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Periodo 26-3\"/>
    </mc:Choice>
  </mc:AlternateContent>
  <xr:revisionPtr revIDLastSave="0" documentId="8_{9BF1788F-BA77-4D98-9D46-7B6F23A05229}" xr6:coauthVersionLast="47" xr6:coauthVersionMax="47" xr10:uidLastSave="{00000000-0000-0000-0000-000000000000}"/>
  <bookViews>
    <workbookView xWindow="-108" yWindow="-108" windowWidth="23256" windowHeight="12456" tabRatio="599" firstSheet="12" activeTab="18" xr2:uid="{00000000-000D-0000-FFFF-FFFF00000000}"/>
  </bookViews>
  <sheets>
    <sheet name="MAYO 2024" sheetId="54" r:id="rId1"/>
    <sheet name="JUNIO 2024" sheetId="55" r:id="rId2"/>
    <sheet name="JULIO 2024" sheetId="56" r:id="rId3"/>
    <sheet name="AGOSTO 2024" sheetId="57" r:id="rId4"/>
    <sheet name="SEPTIEMBRE 2024" sheetId="58" r:id="rId5"/>
    <sheet name="OCTUBRE 2024" sheetId="59" r:id="rId6"/>
    <sheet name="NOVIEMBRE 2024" sheetId="60" r:id="rId7"/>
    <sheet name="DICIEMBRE 2024" sheetId="61" r:id="rId8"/>
    <sheet name="ENERO 2025" sheetId="62" r:id="rId9"/>
    <sheet name="FEBRERO 2025" sheetId="63" r:id="rId10"/>
    <sheet name="MARZO 2025" sheetId="64" r:id="rId11"/>
    <sheet name="ABRIL 2025" sheetId="65" r:id="rId12"/>
    <sheet name="MAYO 2025" sheetId="66" r:id="rId13"/>
    <sheet name="JUNIO 2025" sheetId="67" r:id="rId14"/>
    <sheet name="JULIO 2025" sheetId="68" r:id="rId15"/>
    <sheet name="AGOSTO 2025" sheetId="69" r:id="rId16"/>
    <sheet name="SEPTIEMBRE 2025" sheetId="70" r:id="rId17"/>
    <sheet name="OCTUBRE 2025" sheetId="71" r:id="rId18"/>
    <sheet name="CONSOLIDADO" sheetId="31" r:id="rId19"/>
    <sheet name="NOVIEMBRE" sheetId="28" state="hidden" r:id="rId20"/>
    <sheet name="CAMIONES" sheetId="1" state="hidden" r:id="rId21"/>
  </sheets>
  <definedNames>
    <definedName name="_xlnm._FilterDatabase" localSheetId="3" hidden="1">'AGOSTO 2024'!$A$5:$D$105</definedName>
    <definedName name="_xlnm._FilterDatabase" localSheetId="20" hidden="1">CAMIONES!$A$1:$T$9670</definedName>
    <definedName name="_xlnm._FilterDatabase" localSheetId="7" hidden="1">'DICIEMBRE 2024'!$A$4:$D$4</definedName>
    <definedName name="_xlnm._FilterDatabase" localSheetId="8" hidden="1">'ENERO 2025'!$A$4:$D$4</definedName>
    <definedName name="_xlnm._FilterDatabase" localSheetId="9" hidden="1">'FEBRERO 2025'!$A$4:$D$4</definedName>
    <definedName name="_xlnm._FilterDatabase" localSheetId="2" hidden="1">'JULIO 2024'!$A$5:$D$105</definedName>
    <definedName name="_xlnm._FilterDatabase" localSheetId="1" hidden="1">'JUNIO 2024'!$A$5:$D$105</definedName>
    <definedName name="_xlnm._FilterDatabase" localSheetId="10" hidden="1">'MARZO 2025'!$A$4:$D$4</definedName>
    <definedName name="_xlnm._FilterDatabase" localSheetId="0" hidden="1">'MAYO 2024'!$A$5:$D$105</definedName>
    <definedName name="_xlnm._FilterDatabase" localSheetId="19" hidden="1">NOVIEMBRE!$B$2:$E$2</definedName>
    <definedName name="_xlnm._FilterDatabase" localSheetId="6" hidden="1">'NOVIEMBRE 2024'!$A$4:$D$4</definedName>
    <definedName name="_xlnm._FilterDatabase" localSheetId="5" hidden="1">'OCTUBRE 2024'!$A$5:$D$107</definedName>
    <definedName name="_xlnm._FilterDatabase" localSheetId="4" hidden="1">'SEPTIEMBRE 2024'!$A$5:$D$107</definedName>
  </definedNames>
  <calcPr calcId="191029"/>
</workbook>
</file>

<file path=xl/calcChain.xml><?xml version="1.0" encoding="utf-8"?>
<calcChain xmlns="http://schemas.openxmlformats.org/spreadsheetml/2006/main">
  <c r="V14" i="31" l="1"/>
  <c r="V13" i="31"/>
  <c r="V12" i="31"/>
  <c r="V11" i="31"/>
  <c r="V10" i="31"/>
  <c r="V9" i="31"/>
  <c r="V8" i="31"/>
  <c r="V7" i="31"/>
  <c r="V6" i="31"/>
  <c r="V5" i="31"/>
  <c r="V4" i="31"/>
  <c r="V3" i="31"/>
  <c r="V36" i="31"/>
  <c r="V35" i="31"/>
  <c r="V34" i="31"/>
  <c r="V33" i="31"/>
  <c r="V32" i="31"/>
  <c r="V31" i="31"/>
  <c r="V30" i="31"/>
  <c r="V29" i="31"/>
  <c r="V28" i="31"/>
  <c r="V27" i="31"/>
  <c r="V26" i="31"/>
  <c r="V25" i="31"/>
  <c r="V24" i="31"/>
  <c r="V23" i="31"/>
  <c r="V22" i="31"/>
  <c r="V21" i="31"/>
  <c r="V20" i="31"/>
  <c r="V19" i="31"/>
  <c r="V18" i="31"/>
  <c r="V132" i="31"/>
  <c r="V131" i="31"/>
  <c r="V130" i="31"/>
  <c r="V129" i="31"/>
  <c r="V124" i="31"/>
  <c r="V123" i="31"/>
  <c r="V122" i="31"/>
  <c r="V121" i="31"/>
  <c r="V117" i="31"/>
  <c r="V116" i="31"/>
  <c r="V115" i="31"/>
  <c r="V114" i="31"/>
  <c r="V113" i="31"/>
  <c r="V108" i="31"/>
  <c r="V107" i="31"/>
  <c r="V106" i="31"/>
  <c r="V105" i="31"/>
  <c r="V104" i="31"/>
  <c r="V103" i="31"/>
  <c r="V102" i="31"/>
  <c r="V101" i="31"/>
  <c r="V100" i="31"/>
  <c r="V99" i="31"/>
  <c r="V98" i="31"/>
  <c r="V97" i="31"/>
  <c r="V96" i="31"/>
  <c r="V95" i="31"/>
  <c r="V94" i="31"/>
  <c r="V93" i="31"/>
  <c r="V92" i="31"/>
  <c r="V91" i="31"/>
  <c r="V90" i="31"/>
  <c r="V89" i="31"/>
  <c r="V88" i="31"/>
  <c r="V87" i="31"/>
  <c r="V79" i="31"/>
  <c r="V78" i="31"/>
  <c r="V77" i="31"/>
  <c r="V76" i="31"/>
  <c r="V75" i="31"/>
  <c r="V74" i="31"/>
  <c r="V73" i="31"/>
  <c r="V72" i="31"/>
  <c r="V71" i="31"/>
  <c r="V70" i="31"/>
  <c r="V69" i="31"/>
  <c r="V65" i="31"/>
  <c r="V64" i="31"/>
  <c r="V63" i="31"/>
  <c r="V62" i="31"/>
  <c r="V61" i="31"/>
  <c r="V60" i="31"/>
  <c r="V59" i="31"/>
  <c r="V58" i="31"/>
  <c r="V53" i="31"/>
  <c r="V52" i="31"/>
  <c r="V51" i="31"/>
  <c r="V50" i="31"/>
  <c r="V49" i="31"/>
  <c r="V48" i="31"/>
  <c r="V47" i="31"/>
  <c r="V46" i="31"/>
  <c r="V45" i="31"/>
  <c r="V44" i="31"/>
  <c r="V43" i="31"/>
  <c r="V42" i="31"/>
  <c r="V54" i="31"/>
  <c r="C116" i="71"/>
  <c r="D116" i="71" l="1"/>
  <c r="U132" i="31"/>
  <c r="U131" i="31"/>
  <c r="U124" i="31"/>
  <c r="U123" i="31"/>
  <c r="U122" i="31"/>
  <c r="U121" i="31"/>
  <c r="U117" i="31"/>
  <c r="U116" i="31"/>
  <c r="U115" i="31"/>
  <c r="U114" i="31"/>
  <c r="U113" i="31"/>
  <c r="U108" i="31"/>
  <c r="U107" i="31"/>
  <c r="U106" i="31"/>
  <c r="U105" i="31"/>
  <c r="U104" i="31"/>
  <c r="U103" i="31"/>
  <c r="U102" i="31"/>
  <c r="U101" i="31"/>
  <c r="U100" i="31"/>
  <c r="U99" i="31"/>
  <c r="U98" i="31"/>
  <c r="U97" i="31"/>
  <c r="U96" i="31"/>
  <c r="U95" i="31"/>
  <c r="U94" i="31"/>
  <c r="U93" i="31"/>
  <c r="U92" i="31"/>
  <c r="U90" i="31"/>
  <c r="U89" i="31"/>
  <c r="U87" i="31"/>
  <c r="U79" i="31"/>
  <c r="U78" i="31"/>
  <c r="U77" i="31"/>
  <c r="U76" i="31"/>
  <c r="U75" i="31"/>
  <c r="U73" i="31"/>
  <c r="U72" i="31"/>
  <c r="U71" i="31"/>
  <c r="U70" i="31"/>
  <c r="U69" i="31"/>
  <c r="U65" i="31"/>
  <c r="U64" i="31"/>
  <c r="U63" i="31"/>
  <c r="U62" i="31"/>
  <c r="U61" i="31"/>
  <c r="U60" i="31"/>
  <c r="U58" i="31"/>
  <c r="U54" i="31"/>
  <c r="U53" i="31"/>
  <c r="U52" i="31"/>
  <c r="U51" i="31"/>
  <c r="U50" i="31"/>
  <c r="U49" i="31"/>
  <c r="U48" i="31"/>
  <c r="U47" i="31"/>
  <c r="U46" i="31"/>
  <c r="U45" i="31"/>
  <c r="U44" i="31"/>
  <c r="U43" i="31"/>
  <c r="U42" i="31"/>
  <c r="U41" i="31"/>
  <c r="U36" i="31"/>
  <c r="U35" i="31"/>
  <c r="U34" i="31"/>
  <c r="U33" i="31"/>
  <c r="U32" i="31"/>
  <c r="U31" i="31"/>
  <c r="U29" i="31"/>
  <c r="U28" i="31"/>
  <c r="U27" i="31"/>
  <c r="U26" i="31"/>
  <c r="U25" i="31"/>
  <c r="U24" i="31"/>
  <c r="U22" i="31"/>
  <c r="U21" i="31"/>
  <c r="U20" i="31"/>
  <c r="U18" i="31"/>
  <c r="U14" i="31"/>
  <c r="U13" i="31"/>
  <c r="U12" i="31"/>
  <c r="U11" i="31"/>
  <c r="U10" i="31"/>
  <c r="U7" i="31"/>
  <c r="U6" i="31"/>
  <c r="U5" i="31"/>
  <c r="U4" i="31"/>
  <c r="U3" i="31"/>
  <c r="U140" i="31"/>
  <c r="U141" i="31" s="1"/>
  <c r="D115" i="71"/>
  <c r="D114" i="71"/>
  <c r="D113" i="71"/>
  <c r="D112" i="71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U59" i="31" s="1"/>
  <c r="D36" i="71"/>
  <c r="D37" i="71"/>
  <c r="D38" i="71"/>
  <c r="D39" i="71"/>
  <c r="D40" i="71"/>
  <c r="D41" i="71"/>
  <c r="D42" i="71"/>
  <c r="D43" i="71"/>
  <c r="D44" i="71"/>
  <c r="D45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J148" i="31"/>
  <c r="J156" i="31" s="1"/>
  <c r="T132" i="31"/>
  <c r="T131" i="31"/>
  <c r="T124" i="31"/>
  <c r="T123" i="31"/>
  <c r="T127" i="31" s="1"/>
  <c r="T122" i="31"/>
  <c r="T121" i="31"/>
  <c r="T117" i="31"/>
  <c r="T116" i="31"/>
  <c r="T119" i="31" s="1"/>
  <c r="T115" i="31"/>
  <c r="T114" i="31"/>
  <c r="T113" i="31"/>
  <c r="T108" i="31"/>
  <c r="T107" i="31"/>
  <c r="T106" i="31"/>
  <c r="T105" i="31"/>
  <c r="T104" i="31"/>
  <c r="T103" i="31"/>
  <c r="T102" i="31"/>
  <c r="T101" i="31"/>
  <c r="T99" i="31"/>
  <c r="T98" i="31"/>
  <c r="T97" i="31"/>
  <c r="T96" i="31"/>
  <c r="T95" i="31"/>
  <c r="T94" i="31"/>
  <c r="T93" i="31"/>
  <c r="T92" i="31"/>
  <c r="T90" i="31"/>
  <c r="T89" i="31"/>
  <c r="T87" i="31"/>
  <c r="T79" i="31"/>
  <c r="T78" i="31"/>
  <c r="T77" i="31"/>
  <c r="T76" i="31"/>
  <c r="T75" i="31"/>
  <c r="T73" i="31"/>
  <c r="T72" i="31"/>
  <c r="T71" i="31"/>
  <c r="T81" i="31" s="1"/>
  <c r="T70" i="31"/>
  <c r="T69" i="31"/>
  <c r="T65" i="31"/>
  <c r="T64" i="31"/>
  <c r="T63" i="31"/>
  <c r="T62" i="31"/>
  <c r="T61" i="31"/>
  <c r="T60" i="31"/>
  <c r="T67" i="31" s="1"/>
  <c r="T59" i="31"/>
  <c r="T58" i="31"/>
  <c r="T54" i="31"/>
  <c r="T53" i="31"/>
  <c r="T52" i="31"/>
  <c r="T51" i="31"/>
  <c r="T50" i="31"/>
  <c r="T49" i="31"/>
  <c r="T48" i="31"/>
  <c r="T47" i="31"/>
  <c r="T46" i="31"/>
  <c r="T45" i="31"/>
  <c r="T44" i="31"/>
  <c r="T43" i="31"/>
  <c r="T42" i="31"/>
  <c r="T41" i="31"/>
  <c r="T36" i="31"/>
  <c r="T35" i="31"/>
  <c r="T34" i="31"/>
  <c r="T33" i="31"/>
  <c r="T32" i="31"/>
  <c r="T31" i="31"/>
  <c r="T29" i="31"/>
  <c r="T28" i="31"/>
  <c r="T27" i="31"/>
  <c r="T26" i="31"/>
  <c r="T25" i="31"/>
  <c r="T24" i="31"/>
  <c r="T23" i="31"/>
  <c r="T22" i="31"/>
  <c r="T21" i="31"/>
  <c r="T20" i="31"/>
  <c r="T19" i="31"/>
  <c r="T18" i="31"/>
  <c r="T14" i="31"/>
  <c r="T13" i="31"/>
  <c r="T12" i="31"/>
  <c r="T11" i="31"/>
  <c r="T10" i="31"/>
  <c r="T9" i="31"/>
  <c r="T8" i="31"/>
  <c r="T7" i="31"/>
  <c r="T6" i="31"/>
  <c r="T5" i="31"/>
  <c r="T4" i="31"/>
  <c r="T3" i="31"/>
  <c r="T135" i="31"/>
  <c r="T140" i="31"/>
  <c r="T141" i="31" s="1"/>
  <c r="D109" i="70"/>
  <c r="D110" i="70"/>
  <c r="D111" i="70"/>
  <c r="D112" i="70"/>
  <c r="D113" i="70"/>
  <c r="D108" i="70"/>
  <c r="D107" i="70"/>
  <c r="D106" i="70"/>
  <c r="D105" i="70"/>
  <c r="D104" i="70"/>
  <c r="D103" i="70"/>
  <c r="D102" i="70"/>
  <c r="D101" i="70"/>
  <c r="D100" i="70"/>
  <c r="D99" i="70"/>
  <c r="D98" i="70"/>
  <c r="D97" i="70"/>
  <c r="D96" i="70"/>
  <c r="D95" i="70"/>
  <c r="D94" i="70"/>
  <c r="D93" i="70"/>
  <c r="D92" i="70"/>
  <c r="D91" i="70"/>
  <c r="D90" i="70"/>
  <c r="D89" i="70"/>
  <c r="D88" i="70"/>
  <c r="D87" i="70"/>
  <c r="D86" i="70"/>
  <c r="D85" i="70"/>
  <c r="D84" i="70"/>
  <c r="D83" i="70"/>
  <c r="D82" i="70"/>
  <c r="D81" i="70"/>
  <c r="D80" i="70"/>
  <c r="D79" i="70"/>
  <c r="D78" i="70"/>
  <c r="D77" i="70"/>
  <c r="D76" i="70"/>
  <c r="D75" i="70"/>
  <c r="D74" i="70"/>
  <c r="D73" i="70"/>
  <c r="D72" i="70"/>
  <c r="D71" i="70"/>
  <c r="D70" i="70"/>
  <c r="D69" i="70"/>
  <c r="D68" i="70"/>
  <c r="D67" i="70"/>
  <c r="D66" i="70"/>
  <c r="D65" i="70"/>
  <c r="D64" i="70"/>
  <c r="D63" i="70"/>
  <c r="D62" i="70"/>
  <c r="D61" i="70"/>
  <c r="D60" i="70"/>
  <c r="D59" i="70"/>
  <c r="D58" i="70"/>
  <c r="D57" i="70"/>
  <c r="D56" i="70"/>
  <c r="D55" i="70"/>
  <c r="D54" i="70"/>
  <c r="D53" i="70"/>
  <c r="D52" i="70"/>
  <c r="D51" i="70"/>
  <c r="D50" i="70"/>
  <c r="D49" i="70"/>
  <c r="D48" i="70"/>
  <c r="D47" i="70"/>
  <c r="D46" i="70"/>
  <c r="D45" i="70"/>
  <c r="D44" i="70"/>
  <c r="D43" i="70"/>
  <c r="D42" i="70"/>
  <c r="D41" i="70"/>
  <c r="D40" i="70"/>
  <c r="D39" i="70"/>
  <c r="D38" i="70"/>
  <c r="D37" i="70"/>
  <c r="D36" i="70"/>
  <c r="D35" i="70"/>
  <c r="D34" i="70"/>
  <c r="D33" i="70"/>
  <c r="D32" i="70"/>
  <c r="D31" i="70"/>
  <c r="D30" i="70"/>
  <c r="D29" i="70"/>
  <c r="D28" i="70"/>
  <c r="D27" i="70"/>
  <c r="D26" i="70"/>
  <c r="D25" i="70"/>
  <c r="D24" i="70"/>
  <c r="D23" i="70"/>
  <c r="D22" i="70"/>
  <c r="D21" i="70"/>
  <c r="D20" i="70"/>
  <c r="D19" i="70"/>
  <c r="D18" i="70"/>
  <c r="D17" i="70"/>
  <c r="D16" i="70"/>
  <c r="D15" i="70"/>
  <c r="D14" i="70"/>
  <c r="D13" i="70"/>
  <c r="D12" i="70"/>
  <c r="D11" i="70"/>
  <c r="D10" i="70"/>
  <c r="D9" i="70"/>
  <c r="D8" i="70"/>
  <c r="D7" i="70"/>
  <c r="D6" i="70"/>
  <c r="D5" i="70"/>
  <c r="S140" i="31"/>
  <c r="S141" i="31" s="1"/>
  <c r="S132" i="31"/>
  <c r="S131" i="31"/>
  <c r="S124" i="31"/>
  <c r="S123" i="31"/>
  <c r="S122" i="31"/>
  <c r="S121" i="31"/>
  <c r="S117" i="31"/>
  <c r="S116" i="31"/>
  <c r="S115" i="31"/>
  <c r="S114" i="31"/>
  <c r="S113" i="31"/>
  <c r="S108" i="31"/>
  <c r="S107" i="31"/>
  <c r="S106" i="31"/>
  <c r="S105" i="31"/>
  <c r="S104" i="31"/>
  <c r="S103" i="31"/>
  <c r="S102" i="31"/>
  <c r="S101" i="31"/>
  <c r="S100" i="31"/>
  <c r="S99" i="31"/>
  <c r="S98" i="31"/>
  <c r="S97" i="31"/>
  <c r="S96" i="31"/>
  <c r="S95" i="31"/>
  <c r="S94" i="31"/>
  <c r="S93" i="31"/>
  <c r="S92" i="31"/>
  <c r="S90" i="31"/>
  <c r="S89" i="31"/>
  <c r="S87" i="31"/>
  <c r="S79" i="31"/>
  <c r="S78" i="31"/>
  <c r="S77" i="31"/>
  <c r="S76" i="31"/>
  <c r="S75" i="31"/>
  <c r="S73" i="31"/>
  <c r="S72" i="31"/>
  <c r="S71" i="31"/>
  <c r="S70" i="31"/>
  <c r="S69" i="31"/>
  <c r="S65" i="31"/>
  <c r="S64" i="31"/>
  <c r="S63" i="31"/>
  <c r="S61" i="31"/>
  <c r="S60" i="31"/>
  <c r="S58" i="31"/>
  <c r="S54" i="31"/>
  <c r="S52" i="31"/>
  <c r="S51" i="31"/>
  <c r="S50" i="31"/>
  <c r="S49" i="31"/>
  <c r="S48" i="31"/>
  <c r="S47" i="31"/>
  <c r="S46" i="31"/>
  <c r="S45" i="31"/>
  <c r="S44" i="31"/>
  <c r="S43" i="31"/>
  <c r="S42" i="31"/>
  <c r="S41" i="31"/>
  <c r="S36" i="31"/>
  <c r="S35" i="31"/>
  <c r="S34" i="31"/>
  <c r="S33" i="31"/>
  <c r="S32" i="31"/>
  <c r="S31" i="31"/>
  <c r="S29" i="31"/>
  <c r="S28" i="31"/>
  <c r="S27" i="31"/>
  <c r="S26" i="31"/>
  <c r="S25" i="31"/>
  <c r="S24" i="31"/>
  <c r="S23" i="31"/>
  <c r="S22" i="31"/>
  <c r="S21" i="31"/>
  <c r="S20" i="31"/>
  <c r="S19" i="31"/>
  <c r="S18" i="31"/>
  <c r="S14" i="31"/>
  <c r="S13" i="31"/>
  <c r="S12" i="31"/>
  <c r="S11" i="31"/>
  <c r="S10" i="31"/>
  <c r="S9" i="31"/>
  <c r="S8" i="31"/>
  <c r="S7" i="31"/>
  <c r="S6" i="31"/>
  <c r="S5" i="31"/>
  <c r="S4" i="31"/>
  <c r="S3" i="31"/>
  <c r="D77" i="69"/>
  <c r="D107" i="69"/>
  <c r="D106" i="69"/>
  <c r="D105" i="69"/>
  <c r="D104" i="69"/>
  <c r="D103" i="69"/>
  <c r="D102" i="69"/>
  <c r="D101" i="69"/>
  <c r="D100" i="69"/>
  <c r="D99" i="69"/>
  <c r="D98" i="69"/>
  <c r="D97" i="69"/>
  <c r="D96" i="69"/>
  <c r="D95" i="69"/>
  <c r="D94" i="69"/>
  <c r="D93" i="69"/>
  <c r="D92" i="69"/>
  <c r="D91" i="69"/>
  <c r="D90" i="69"/>
  <c r="D89" i="69"/>
  <c r="D88" i="69"/>
  <c r="D87" i="69"/>
  <c r="D86" i="69"/>
  <c r="D85" i="69"/>
  <c r="D84" i="69"/>
  <c r="D83" i="69"/>
  <c r="D82" i="69"/>
  <c r="D81" i="69"/>
  <c r="D80" i="69"/>
  <c r="D79" i="69"/>
  <c r="D78" i="69"/>
  <c r="D76" i="69"/>
  <c r="D75" i="69"/>
  <c r="D74" i="69"/>
  <c r="D73" i="69"/>
  <c r="D72" i="69"/>
  <c r="D71" i="69"/>
  <c r="D70" i="69"/>
  <c r="D69" i="69"/>
  <c r="D68" i="69"/>
  <c r="D67" i="69"/>
  <c r="D66" i="69"/>
  <c r="D65" i="69"/>
  <c r="D64" i="69"/>
  <c r="D63" i="69"/>
  <c r="D62" i="69"/>
  <c r="D61" i="69"/>
  <c r="D60" i="69"/>
  <c r="D59" i="69"/>
  <c r="D58" i="69"/>
  <c r="D57" i="69"/>
  <c r="D56" i="69"/>
  <c r="D55" i="69"/>
  <c r="D54" i="69"/>
  <c r="D53" i="69"/>
  <c r="D52" i="69"/>
  <c r="D51" i="69"/>
  <c r="D50" i="69"/>
  <c r="D49" i="69"/>
  <c r="D48" i="69"/>
  <c r="D47" i="69"/>
  <c r="D46" i="69"/>
  <c r="D45" i="69"/>
  <c r="D44" i="69"/>
  <c r="D43" i="69"/>
  <c r="D42" i="69"/>
  <c r="D41" i="69"/>
  <c r="D40" i="69"/>
  <c r="D39" i="69"/>
  <c r="D38" i="69"/>
  <c r="S62" i="31" s="1"/>
  <c r="D37" i="69"/>
  <c r="D36" i="69"/>
  <c r="D35" i="69"/>
  <c r="D34" i="69"/>
  <c r="S59" i="31" s="1"/>
  <c r="D33" i="69"/>
  <c r="D32" i="69"/>
  <c r="D31" i="69"/>
  <c r="D30" i="69"/>
  <c r="D29" i="69"/>
  <c r="D28" i="69"/>
  <c r="D27" i="69"/>
  <c r="D26" i="69"/>
  <c r="D25" i="69"/>
  <c r="D24" i="69"/>
  <c r="D23" i="69"/>
  <c r="D22" i="69"/>
  <c r="D21" i="69"/>
  <c r="D20" i="69"/>
  <c r="D19" i="69"/>
  <c r="D18" i="69"/>
  <c r="D17" i="69"/>
  <c r="D16" i="69"/>
  <c r="D15" i="69"/>
  <c r="D14" i="69"/>
  <c r="D13" i="69"/>
  <c r="D12" i="69"/>
  <c r="D11" i="69"/>
  <c r="D10" i="69"/>
  <c r="D9" i="69"/>
  <c r="D8" i="69"/>
  <c r="D7" i="69"/>
  <c r="D6" i="69"/>
  <c r="D5" i="69"/>
  <c r="I152" i="31"/>
  <c r="J152" i="31" s="1"/>
  <c r="J155" i="31" s="1"/>
  <c r="R132" i="31"/>
  <c r="R131" i="31"/>
  <c r="R135" i="31" s="1"/>
  <c r="R124" i="31"/>
  <c r="R123" i="31"/>
  <c r="R122" i="31"/>
  <c r="R121" i="31"/>
  <c r="R117" i="31"/>
  <c r="R116" i="31"/>
  <c r="R115" i="31"/>
  <c r="R114" i="31"/>
  <c r="R113" i="31"/>
  <c r="R108" i="31"/>
  <c r="R107" i="31"/>
  <c r="R106" i="31"/>
  <c r="R105" i="31"/>
  <c r="R104" i="31"/>
  <c r="R103" i="31"/>
  <c r="R102" i="31"/>
  <c r="R101" i="31"/>
  <c r="R100" i="31"/>
  <c r="R99" i="31"/>
  <c r="R98" i="31"/>
  <c r="R97" i="31"/>
  <c r="R96" i="31"/>
  <c r="R95" i="31"/>
  <c r="R94" i="31"/>
  <c r="R93" i="31"/>
  <c r="R92" i="31"/>
  <c r="R90" i="31"/>
  <c r="R89" i="31"/>
  <c r="R88" i="31"/>
  <c r="R87" i="31"/>
  <c r="R79" i="31"/>
  <c r="R78" i="31"/>
  <c r="R77" i="31"/>
  <c r="R76" i="31"/>
  <c r="R75" i="31"/>
  <c r="R73" i="31"/>
  <c r="R72" i="31"/>
  <c r="R71" i="31"/>
  <c r="R70" i="31"/>
  <c r="R69" i="31"/>
  <c r="R65" i="31"/>
  <c r="R64" i="31"/>
  <c r="R63" i="31"/>
  <c r="R62" i="31"/>
  <c r="R61" i="31"/>
  <c r="R60" i="31"/>
  <c r="R59" i="31"/>
  <c r="R58" i="31"/>
  <c r="R54" i="31"/>
  <c r="R53" i="31"/>
  <c r="R52" i="31"/>
  <c r="R51" i="31"/>
  <c r="R50" i="31"/>
  <c r="R49" i="31"/>
  <c r="R48" i="31"/>
  <c r="R47" i="31"/>
  <c r="R46" i="31"/>
  <c r="R45" i="31"/>
  <c r="R44" i="31"/>
  <c r="R43" i="31"/>
  <c r="R42" i="31"/>
  <c r="R41" i="31"/>
  <c r="R36" i="31"/>
  <c r="R35" i="31"/>
  <c r="R34" i="31"/>
  <c r="R33" i="31"/>
  <c r="R32" i="31"/>
  <c r="R31" i="31"/>
  <c r="R29" i="31"/>
  <c r="R28" i="31"/>
  <c r="R27" i="31"/>
  <c r="R26" i="31"/>
  <c r="R25" i="31"/>
  <c r="R24" i="31"/>
  <c r="R23" i="31"/>
  <c r="R22" i="31"/>
  <c r="R21" i="31"/>
  <c r="R20" i="31"/>
  <c r="R19" i="31"/>
  <c r="R18" i="31"/>
  <c r="R14" i="31"/>
  <c r="R13" i="31"/>
  <c r="R12" i="31"/>
  <c r="R11" i="31"/>
  <c r="R10" i="31"/>
  <c r="R9" i="31"/>
  <c r="R8" i="31"/>
  <c r="R7" i="31"/>
  <c r="R6" i="31"/>
  <c r="R5" i="31"/>
  <c r="R4" i="31"/>
  <c r="R3" i="31"/>
  <c r="R140" i="31"/>
  <c r="R141" i="31" s="1"/>
  <c r="C109" i="68"/>
  <c r="B109" i="68"/>
  <c r="D109" i="68" s="1"/>
  <c r="D108" i="68"/>
  <c r="D107" i="68"/>
  <c r="D106" i="68"/>
  <c r="D105" i="68"/>
  <c r="D104" i="68"/>
  <c r="D103" i="68"/>
  <c r="D102" i="68"/>
  <c r="D101" i="68"/>
  <c r="D100" i="68"/>
  <c r="D99" i="68"/>
  <c r="D98" i="68"/>
  <c r="D97" i="68"/>
  <c r="D96" i="68"/>
  <c r="D95" i="68"/>
  <c r="D94" i="68"/>
  <c r="D93" i="68"/>
  <c r="D92" i="68"/>
  <c r="D91" i="68"/>
  <c r="D90" i="68"/>
  <c r="D89" i="68"/>
  <c r="D88" i="68"/>
  <c r="D87" i="68"/>
  <c r="D86" i="68"/>
  <c r="D85" i="68"/>
  <c r="D84" i="68"/>
  <c r="D83" i="68"/>
  <c r="D82" i="68"/>
  <c r="D81" i="68"/>
  <c r="D80" i="68"/>
  <c r="D79" i="68"/>
  <c r="D78" i="68"/>
  <c r="D76" i="68"/>
  <c r="D75" i="68"/>
  <c r="D74" i="68"/>
  <c r="D73" i="68"/>
  <c r="D72" i="68"/>
  <c r="D71" i="68"/>
  <c r="D70" i="68"/>
  <c r="D69" i="68"/>
  <c r="D68" i="68"/>
  <c r="D67" i="68"/>
  <c r="D66" i="68"/>
  <c r="D65" i="68"/>
  <c r="D64" i="68"/>
  <c r="D63" i="68"/>
  <c r="D62" i="68"/>
  <c r="D61" i="68"/>
  <c r="D60" i="68"/>
  <c r="D59" i="68"/>
  <c r="D58" i="68"/>
  <c r="D57" i="68"/>
  <c r="D56" i="68"/>
  <c r="D55" i="68"/>
  <c r="D54" i="68"/>
  <c r="D53" i="68"/>
  <c r="D52" i="68"/>
  <c r="D51" i="68"/>
  <c r="D50" i="68"/>
  <c r="D49" i="68"/>
  <c r="D48" i="68"/>
  <c r="D47" i="68"/>
  <c r="D46" i="68"/>
  <c r="D45" i="68"/>
  <c r="D44" i="68"/>
  <c r="D43" i="68"/>
  <c r="D42" i="68"/>
  <c r="D41" i="68"/>
  <c r="D40" i="68"/>
  <c r="D39" i="68"/>
  <c r="D38" i="68"/>
  <c r="D37" i="68"/>
  <c r="D36" i="68"/>
  <c r="D35" i="68"/>
  <c r="D34" i="68"/>
  <c r="D33" i="68"/>
  <c r="D32" i="68"/>
  <c r="D31" i="68"/>
  <c r="D30" i="68"/>
  <c r="D29" i="68"/>
  <c r="D28" i="68"/>
  <c r="D27" i="68"/>
  <c r="D26" i="68"/>
  <c r="D25" i="68"/>
  <c r="D24" i="68"/>
  <c r="D23" i="68"/>
  <c r="D22" i="68"/>
  <c r="D21" i="68"/>
  <c r="D20" i="68"/>
  <c r="D19" i="68"/>
  <c r="D18" i="68"/>
  <c r="D17" i="68"/>
  <c r="D16" i="68"/>
  <c r="D15" i="68"/>
  <c r="D14" i="68"/>
  <c r="D13" i="68"/>
  <c r="D12" i="68"/>
  <c r="D11" i="68"/>
  <c r="D10" i="68"/>
  <c r="D9" i="68"/>
  <c r="D8" i="68"/>
  <c r="D7" i="68"/>
  <c r="D6" i="68"/>
  <c r="D5" i="68"/>
  <c r="U135" i="31" l="1"/>
  <c r="U127" i="31"/>
  <c r="U39" i="31"/>
  <c r="U56" i="31"/>
  <c r="U16" i="31"/>
  <c r="U67" i="31"/>
  <c r="U81" i="31"/>
  <c r="U119" i="31"/>
  <c r="T16" i="31"/>
  <c r="T39" i="31"/>
  <c r="T56" i="31"/>
  <c r="S135" i="31"/>
  <c r="S81" i="31"/>
  <c r="S119" i="31"/>
  <c r="S127" i="31"/>
  <c r="S67" i="31"/>
  <c r="S39" i="31"/>
  <c r="S56" i="31"/>
  <c r="S16" i="31"/>
  <c r="D108" i="69"/>
  <c r="R39" i="31"/>
  <c r="R67" i="31"/>
  <c r="R111" i="31"/>
  <c r="R127" i="31"/>
  <c r="R119" i="31"/>
  <c r="R56" i="31"/>
  <c r="R16" i="31"/>
  <c r="C108" i="67"/>
  <c r="B108" i="67"/>
  <c r="Q132" i="31" l="1"/>
  <c r="Q131" i="31"/>
  <c r="Q135" i="31" s="1"/>
  <c r="Q123" i="31"/>
  <c r="Q121" i="31"/>
  <c r="Q117" i="31"/>
  <c r="Q116" i="31"/>
  <c r="Q115" i="31"/>
  <c r="Q114" i="31"/>
  <c r="Q106" i="31"/>
  <c r="Q105" i="31"/>
  <c r="Q104" i="31"/>
  <c r="Q102" i="31"/>
  <c r="Q98" i="31"/>
  <c r="Q95" i="31"/>
  <c r="Q94" i="31"/>
  <c r="Q89" i="31"/>
  <c r="Q88" i="31"/>
  <c r="Q78" i="31"/>
  <c r="Q76" i="31"/>
  <c r="Q72" i="31"/>
  <c r="Q71" i="31"/>
  <c r="Q69" i="31"/>
  <c r="Q64" i="31"/>
  <c r="Q61" i="31"/>
  <c r="Q59" i="31"/>
  <c r="Q58" i="31"/>
  <c r="Q50" i="31"/>
  <c r="Q41" i="31"/>
  <c r="Q36" i="31"/>
  <c r="Q35" i="31"/>
  <c r="Q33" i="31"/>
  <c r="Q31" i="31"/>
  <c r="Q29" i="31"/>
  <c r="Q26" i="31"/>
  <c r="Q20" i="31"/>
  <c r="Q19" i="31"/>
  <c r="Q14" i="31"/>
  <c r="Q7" i="31"/>
  <c r="Q6" i="31"/>
  <c r="Q5" i="31"/>
  <c r="D6" i="67"/>
  <c r="Q122" i="31" s="1"/>
  <c r="D7" i="67"/>
  <c r="Q53" i="31" s="1"/>
  <c r="D8" i="67"/>
  <c r="Q54" i="31" s="1"/>
  <c r="D9" i="67"/>
  <c r="Q48" i="31" s="1"/>
  <c r="D10" i="67"/>
  <c r="Q51" i="31" s="1"/>
  <c r="D11" i="67"/>
  <c r="Q44" i="31" s="1"/>
  <c r="D12" i="67"/>
  <c r="Q52" i="31" s="1"/>
  <c r="D13" i="67"/>
  <c r="Q107" i="31" s="1"/>
  <c r="D14" i="67"/>
  <c r="Q43" i="31" s="1"/>
  <c r="D15" i="67"/>
  <c r="Q13" i="31" s="1"/>
  <c r="D16" i="67"/>
  <c r="Q46" i="31" s="1"/>
  <c r="D17" i="67"/>
  <c r="Q49" i="31" s="1"/>
  <c r="D18" i="67"/>
  <c r="Q47" i="31" s="1"/>
  <c r="D19" i="67"/>
  <c r="D20" i="67"/>
  <c r="Q45" i="31" s="1"/>
  <c r="D21" i="67"/>
  <c r="D22" i="67"/>
  <c r="D23" i="67"/>
  <c r="D24" i="67"/>
  <c r="D25" i="67"/>
  <c r="D26" i="67"/>
  <c r="Q42" i="31" s="1"/>
  <c r="D27" i="67"/>
  <c r="Q124" i="31" s="1"/>
  <c r="D28" i="67"/>
  <c r="Q75" i="31" s="1"/>
  <c r="D29" i="67"/>
  <c r="D30" i="67"/>
  <c r="D31" i="67"/>
  <c r="D32" i="67"/>
  <c r="D33" i="67"/>
  <c r="D34" i="67"/>
  <c r="Q70" i="31" s="1"/>
  <c r="D35" i="67"/>
  <c r="D36" i="67"/>
  <c r="D37" i="67"/>
  <c r="D38" i="67"/>
  <c r="Q77" i="31" s="1"/>
  <c r="D39" i="67"/>
  <c r="Q62" i="31" s="1"/>
  <c r="D40" i="67"/>
  <c r="Q60" i="31" s="1"/>
  <c r="D41" i="67"/>
  <c r="Q87" i="31" s="1"/>
  <c r="D42" i="67"/>
  <c r="Q79" i="31" s="1"/>
  <c r="D43" i="67"/>
  <c r="D44" i="67"/>
  <c r="Q63" i="31" s="1"/>
  <c r="D45" i="67"/>
  <c r="D46" i="67"/>
  <c r="Q65" i="31" s="1"/>
  <c r="D47" i="67"/>
  <c r="Q101" i="31" s="1"/>
  <c r="D48" i="67"/>
  <c r="D49" i="67"/>
  <c r="Q73" i="31" s="1"/>
  <c r="D50" i="67"/>
  <c r="D51" i="67"/>
  <c r="D52" i="67"/>
  <c r="D53" i="67"/>
  <c r="Q10" i="31" s="1"/>
  <c r="D54" i="67"/>
  <c r="Q90" i="31" s="1"/>
  <c r="D55" i="67"/>
  <c r="Q92" i="31" s="1"/>
  <c r="D56" i="67"/>
  <c r="Q96" i="31" s="1"/>
  <c r="D57" i="67"/>
  <c r="Q97" i="31" s="1"/>
  <c r="D58" i="67"/>
  <c r="Q93" i="31" s="1"/>
  <c r="D59" i="67"/>
  <c r="D60" i="67"/>
  <c r="D61" i="67"/>
  <c r="D62" i="67"/>
  <c r="Q100" i="31" s="1"/>
  <c r="D63" i="67"/>
  <c r="Q99" i="31" s="1"/>
  <c r="D64" i="67"/>
  <c r="D65" i="67"/>
  <c r="Q108" i="31" s="1"/>
  <c r="D66" i="67"/>
  <c r="Q103" i="31" s="1"/>
  <c r="D67" i="67"/>
  <c r="D68" i="67"/>
  <c r="D69" i="67"/>
  <c r="D70" i="67"/>
  <c r="D71" i="67"/>
  <c r="D72" i="67"/>
  <c r="D73" i="67"/>
  <c r="D74" i="67"/>
  <c r="D75" i="67"/>
  <c r="D76" i="67"/>
  <c r="D77" i="67"/>
  <c r="D78" i="67"/>
  <c r="Q12" i="31" s="1"/>
  <c r="D79" i="67"/>
  <c r="Q9" i="31" s="1"/>
  <c r="D80" i="67"/>
  <c r="D81" i="67"/>
  <c r="Q8" i="31" s="1"/>
  <c r="D82" i="67"/>
  <c r="D83" i="67"/>
  <c r="Q113" i="31" s="1"/>
  <c r="D84" i="67"/>
  <c r="D85" i="67"/>
  <c r="D86" i="67"/>
  <c r="Q4" i="31" s="1"/>
  <c r="D87" i="67"/>
  <c r="D88" i="67"/>
  <c r="D89" i="67"/>
  <c r="Q28" i="31" s="1"/>
  <c r="D90" i="67"/>
  <c r="Q18" i="31" s="1"/>
  <c r="D91" i="67"/>
  <c r="Q25" i="31" s="1"/>
  <c r="D92" i="67"/>
  <c r="D93" i="67"/>
  <c r="D94" i="67"/>
  <c r="Q23" i="31" s="1"/>
  <c r="D95" i="67"/>
  <c r="Q34" i="31" s="1"/>
  <c r="D96" i="67"/>
  <c r="Q3" i="31" s="1"/>
  <c r="D97" i="67"/>
  <c r="Q24" i="31" s="1"/>
  <c r="D98" i="67"/>
  <c r="Q32" i="31" s="1"/>
  <c r="D99" i="67"/>
  <c r="D100" i="67"/>
  <c r="D101" i="67"/>
  <c r="D102" i="67"/>
  <c r="Q22" i="31" s="1"/>
  <c r="D103" i="67"/>
  <c r="D104" i="67"/>
  <c r="D105" i="67"/>
  <c r="Q27" i="31" s="1"/>
  <c r="D106" i="67"/>
  <c r="Q21" i="31" s="1"/>
  <c r="D107" i="67"/>
  <c r="D5" i="67"/>
  <c r="Q11" i="31" s="1"/>
  <c r="Q119" i="31" l="1"/>
  <c r="Q111" i="31"/>
  <c r="Q127" i="31"/>
  <c r="Q67" i="31"/>
  <c r="Q56" i="31"/>
  <c r="Q16" i="31"/>
  <c r="Q39" i="31"/>
  <c r="D108" i="67"/>
  <c r="B107" i="66" l="1"/>
  <c r="C107" i="66"/>
  <c r="D40" i="66"/>
  <c r="P87" i="31" s="1"/>
  <c r="D5" i="66"/>
  <c r="P11" i="31" s="1"/>
  <c r="D6" i="66"/>
  <c r="P122" i="31" s="1"/>
  <c r="D106" i="66"/>
  <c r="P31" i="31" s="1"/>
  <c r="D105" i="66"/>
  <c r="P21" i="31" s="1"/>
  <c r="D104" i="66"/>
  <c r="P27" i="31" s="1"/>
  <c r="D103" i="66"/>
  <c r="P36" i="31" s="1"/>
  <c r="D102" i="66"/>
  <c r="P35" i="31" s="1"/>
  <c r="D101" i="66"/>
  <c r="P22" i="31" s="1"/>
  <c r="D100" i="66"/>
  <c r="P20" i="31" s="1"/>
  <c r="D99" i="66"/>
  <c r="P19" i="31" s="1"/>
  <c r="D98" i="66"/>
  <c r="P29" i="31" s="1"/>
  <c r="D97" i="66"/>
  <c r="P32" i="31" s="1"/>
  <c r="D96" i="66"/>
  <c r="P24" i="31" s="1"/>
  <c r="D95" i="66"/>
  <c r="P3" i="31" s="1"/>
  <c r="D94" i="66"/>
  <c r="P34" i="31" s="1"/>
  <c r="D93" i="66"/>
  <c r="P23" i="31" s="1"/>
  <c r="D92" i="66"/>
  <c r="P33" i="31" s="1"/>
  <c r="D91" i="66"/>
  <c r="P26" i="31" s="1"/>
  <c r="D90" i="66"/>
  <c r="P25" i="31" s="1"/>
  <c r="D89" i="66"/>
  <c r="P18" i="31" s="1"/>
  <c r="D88" i="66"/>
  <c r="P28" i="31" s="1"/>
  <c r="D87" i="66"/>
  <c r="P116" i="31" s="1"/>
  <c r="D86" i="66"/>
  <c r="P115" i="31" s="1"/>
  <c r="D85" i="66"/>
  <c r="P4" i="31" s="1"/>
  <c r="D84" i="66"/>
  <c r="P114" i="31" s="1"/>
  <c r="D83" i="66"/>
  <c r="P117" i="31" s="1"/>
  <c r="D82" i="66"/>
  <c r="P113" i="31" s="1"/>
  <c r="D81" i="66"/>
  <c r="P14" i="31" s="1"/>
  <c r="D80" i="66"/>
  <c r="P8" i="31" s="1"/>
  <c r="D79" i="66"/>
  <c r="P6" i="31" s="1"/>
  <c r="D78" i="66"/>
  <c r="P9" i="31" s="1"/>
  <c r="D77" i="66"/>
  <c r="P12" i="31" s="1"/>
  <c r="D76" i="66"/>
  <c r="P7" i="31" s="1"/>
  <c r="D75" i="66"/>
  <c r="P132" i="31" s="1"/>
  <c r="D74" i="66"/>
  <c r="P131" i="31" s="1"/>
  <c r="P135" i="31" s="1"/>
  <c r="D73" i="66"/>
  <c r="P5" i="31" s="1"/>
  <c r="D72" i="66"/>
  <c r="D71" i="66"/>
  <c r="D70" i="66"/>
  <c r="D69" i="66"/>
  <c r="P106" i="31" s="1"/>
  <c r="D68" i="66"/>
  <c r="P105" i="31" s="1"/>
  <c r="D67" i="66"/>
  <c r="P104" i="31" s="1"/>
  <c r="D66" i="66"/>
  <c r="P103" i="31" s="1"/>
  <c r="D65" i="66"/>
  <c r="P108" i="31" s="1"/>
  <c r="D64" i="66"/>
  <c r="P102" i="31" s="1"/>
  <c r="D63" i="66"/>
  <c r="P99" i="31" s="1"/>
  <c r="D62" i="66"/>
  <c r="P100" i="31" s="1"/>
  <c r="D61" i="66"/>
  <c r="P98" i="31" s="1"/>
  <c r="D60" i="66"/>
  <c r="P95" i="31" s="1"/>
  <c r="D59" i="66"/>
  <c r="P94" i="31" s="1"/>
  <c r="D58" i="66"/>
  <c r="P93" i="31" s="1"/>
  <c r="D57" i="66"/>
  <c r="P97" i="31" s="1"/>
  <c r="D56" i="66"/>
  <c r="P96" i="31" s="1"/>
  <c r="D55" i="66"/>
  <c r="P92" i="31" s="1"/>
  <c r="D54" i="66"/>
  <c r="P91" i="31" s="1"/>
  <c r="D53" i="66"/>
  <c r="P90" i="31" s="1"/>
  <c r="D52" i="66"/>
  <c r="P10" i="31" s="1"/>
  <c r="D51" i="66"/>
  <c r="P88" i="31" s="1"/>
  <c r="D50" i="66"/>
  <c r="P89" i="31" s="1"/>
  <c r="D49" i="66"/>
  <c r="D48" i="66"/>
  <c r="P73" i="31" s="1"/>
  <c r="D47" i="66"/>
  <c r="P78" i="31" s="1"/>
  <c r="D46" i="66"/>
  <c r="P101" i="31" s="1"/>
  <c r="D45" i="66"/>
  <c r="P65" i="31" s="1"/>
  <c r="D44" i="66"/>
  <c r="D43" i="66"/>
  <c r="P63" i="31" s="1"/>
  <c r="D42" i="66"/>
  <c r="P61" i="31" s="1"/>
  <c r="D41" i="66"/>
  <c r="P79" i="31" s="1"/>
  <c r="D39" i="66"/>
  <c r="P60" i="31" s="1"/>
  <c r="D38" i="66"/>
  <c r="P62" i="31" s="1"/>
  <c r="D37" i="66"/>
  <c r="P77" i="31" s="1"/>
  <c r="D36" i="66"/>
  <c r="P64" i="31" s="1"/>
  <c r="D35" i="66"/>
  <c r="D34" i="66"/>
  <c r="P59" i="31" s="1"/>
  <c r="D33" i="66"/>
  <c r="P70" i="31" s="1"/>
  <c r="D32" i="66"/>
  <c r="P123" i="31" s="1"/>
  <c r="D31" i="66"/>
  <c r="P69" i="31" s="1"/>
  <c r="D30" i="66"/>
  <c r="P71" i="31" s="1"/>
  <c r="D29" i="66"/>
  <c r="P76" i="31" s="1"/>
  <c r="D28" i="66"/>
  <c r="P75" i="31" s="1"/>
  <c r="D27" i="66"/>
  <c r="P124" i="31" s="1"/>
  <c r="D26" i="66"/>
  <c r="P42" i="31" s="1"/>
  <c r="D25" i="66"/>
  <c r="D24" i="66"/>
  <c r="P121" i="31" s="1"/>
  <c r="D23" i="66"/>
  <c r="P41" i="31" s="1"/>
  <c r="D22" i="66"/>
  <c r="P72" i="31" s="1"/>
  <c r="D21" i="66"/>
  <c r="P58" i="31" s="1"/>
  <c r="D20" i="66"/>
  <c r="P45" i="31" s="1"/>
  <c r="D19" i="66"/>
  <c r="P50" i="31" s="1"/>
  <c r="D18" i="66"/>
  <c r="P47" i="31" s="1"/>
  <c r="D17" i="66"/>
  <c r="P49" i="31" s="1"/>
  <c r="D16" i="66"/>
  <c r="P46" i="31" s="1"/>
  <c r="D15" i="66"/>
  <c r="P13" i="31" s="1"/>
  <c r="D14" i="66"/>
  <c r="P43" i="31" s="1"/>
  <c r="D13" i="66"/>
  <c r="P107" i="31" s="1"/>
  <c r="D12" i="66"/>
  <c r="P52" i="31" s="1"/>
  <c r="D11" i="66"/>
  <c r="P44" i="31" s="1"/>
  <c r="D10" i="66"/>
  <c r="P51" i="31" s="1"/>
  <c r="D9" i="66"/>
  <c r="P48" i="31" s="1"/>
  <c r="D8" i="66"/>
  <c r="P54" i="31" s="1"/>
  <c r="D7" i="66"/>
  <c r="P53" i="31" s="1"/>
  <c r="B106" i="65"/>
  <c r="C106" i="65"/>
  <c r="O131" i="31"/>
  <c r="O116" i="31"/>
  <c r="O115" i="31"/>
  <c r="O114" i="31"/>
  <c r="O103" i="31"/>
  <c r="O102" i="31"/>
  <c r="O101" i="31"/>
  <c r="O93" i="31"/>
  <c r="O78" i="31"/>
  <c r="O77" i="31"/>
  <c r="O76" i="31"/>
  <c r="O69" i="31"/>
  <c r="O65" i="31"/>
  <c r="O64" i="31"/>
  <c r="O54" i="31"/>
  <c r="O53" i="31"/>
  <c r="O52" i="31"/>
  <c r="O46" i="31"/>
  <c r="O45" i="31"/>
  <c r="O44" i="31"/>
  <c r="O34" i="31"/>
  <c r="O33" i="31"/>
  <c r="O32" i="31"/>
  <c r="O25" i="31"/>
  <c r="O24" i="31"/>
  <c r="O23" i="31"/>
  <c r="O13" i="31"/>
  <c r="O12" i="31"/>
  <c r="O11" i="31"/>
  <c r="O9" i="31"/>
  <c r="O6" i="31"/>
  <c r="O5" i="31"/>
  <c r="O3" i="31"/>
  <c r="D106" i="65"/>
  <c r="O138" i="31" s="1"/>
  <c r="D105" i="65"/>
  <c r="O31" i="31" s="1"/>
  <c r="D104" i="65"/>
  <c r="O21" i="31" s="1"/>
  <c r="D103" i="65"/>
  <c r="O27" i="31" s="1"/>
  <c r="D102" i="65"/>
  <c r="O36" i="31" s="1"/>
  <c r="D101" i="65"/>
  <c r="O35" i="31" s="1"/>
  <c r="D100" i="65"/>
  <c r="O22" i="31" s="1"/>
  <c r="D99" i="65"/>
  <c r="O20" i="31" s="1"/>
  <c r="D98" i="65"/>
  <c r="O19" i="31" s="1"/>
  <c r="D97" i="65"/>
  <c r="O29" i="31" s="1"/>
  <c r="D96" i="65"/>
  <c r="D95" i="65"/>
  <c r="D94" i="65"/>
  <c r="D93" i="65"/>
  <c r="D92" i="65"/>
  <c r="D91" i="65"/>
  <c r="D90" i="65"/>
  <c r="O26" i="31" s="1"/>
  <c r="D89" i="65"/>
  <c r="D88" i="65"/>
  <c r="D87" i="65"/>
  <c r="O28" i="31" s="1"/>
  <c r="D86" i="65"/>
  <c r="D85" i="65"/>
  <c r="D84" i="65"/>
  <c r="D83" i="65"/>
  <c r="D82" i="65"/>
  <c r="O117" i="31" s="1"/>
  <c r="D81" i="65"/>
  <c r="O113" i="31" s="1"/>
  <c r="D80" i="65"/>
  <c r="O14" i="31" s="1"/>
  <c r="D79" i="65"/>
  <c r="O8" i="31" s="1"/>
  <c r="D78" i="65"/>
  <c r="D77" i="65"/>
  <c r="D76" i="65"/>
  <c r="D75" i="65"/>
  <c r="O7" i="31" s="1"/>
  <c r="D74" i="65"/>
  <c r="O132" i="31" s="1"/>
  <c r="D73" i="65"/>
  <c r="D72" i="65"/>
  <c r="D71" i="65"/>
  <c r="D70" i="65"/>
  <c r="D69" i="65"/>
  <c r="D68" i="65"/>
  <c r="O106" i="31" s="1"/>
  <c r="D67" i="65"/>
  <c r="O105" i="31" s="1"/>
  <c r="D66" i="65"/>
  <c r="D65" i="65"/>
  <c r="D64" i="65"/>
  <c r="O108" i="31" s="1"/>
  <c r="D63" i="65"/>
  <c r="D62" i="65"/>
  <c r="O99" i="31" s="1"/>
  <c r="D61" i="65"/>
  <c r="O100" i="31" s="1"/>
  <c r="D60" i="65"/>
  <c r="O98" i="31" s="1"/>
  <c r="D59" i="65"/>
  <c r="O95" i="31" s="1"/>
  <c r="D58" i="65"/>
  <c r="O94" i="31" s="1"/>
  <c r="D57" i="65"/>
  <c r="D56" i="65"/>
  <c r="O97" i="31" s="1"/>
  <c r="D55" i="65"/>
  <c r="O96" i="31" s="1"/>
  <c r="D54" i="65"/>
  <c r="O92" i="31" s="1"/>
  <c r="D53" i="65"/>
  <c r="O91" i="31" s="1"/>
  <c r="D52" i="65"/>
  <c r="O90" i="31" s="1"/>
  <c r="D51" i="65"/>
  <c r="O10" i="31" s="1"/>
  <c r="D50" i="65"/>
  <c r="O88" i="31" s="1"/>
  <c r="D49" i="65"/>
  <c r="O89" i="31" s="1"/>
  <c r="D48" i="65"/>
  <c r="D47" i="65"/>
  <c r="O73" i="31" s="1"/>
  <c r="D46" i="65"/>
  <c r="D45" i="65"/>
  <c r="D44" i="65"/>
  <c r="D43" i="65"/>
  <c r="D42" i="65"/>
  <c r="D41" i="65"/>
  <c r="O61" i="31" s="1"/>
  <c r="D40" i="65"/>
  <c r="D39" i="65"/>
  <c r="O60" i="31" s="1"/>
  <c r="D38" i="65"/>
  <c r="O62" i="31" s="1"/>
  <c r="D37" i="65"/>
  <c r="D36" i="65"/>
  <c r="D35" i="65"/>
  <c r="D34" i="65"/>
  <c r="O59" i="31" s="1"/>
  <c r="D33" i="65"/>
  <c r="O70" i="31" s="1"/>
  <c r="D32" i="65"/>
  <c r="O123" i="31" s="1"/>
  <c r="D31" i="65"/>
  <c r="D30" i="65"/>
  <c r="O71" i="31" s="1"/>
  <c r="D29" i="65"/>
  <c r="D28" i="65"/>
  <c r="O75" i="31" s="1"/>
  <c r="D27" i="65"/>
  <c r="O124" i="31" s="1"/>
  <c r="D26" i="65"/>
  <c r="O42" i="31" s="1"/>
  <c r="D25" i="65"/>
  <c r="D24" i="65"/>
  <c r="O121" i="31" s="1"/>
  <c r="D23" i="65"/>
  <c r="O41" i="31" s="1"/>
  <c r="D22" i="65"/>
  <c r="O72" i="31" s="1"/>
  <c r="D21" i="65"/>
  <c r="O58" i="31" s="1"/>
  <c r="D20" i="65"/>
  <c r="D19" i="65"/>
  <c r="O50" i="31" s="1"/>
  <c r="D18" i="65"/>
  <c r="O47" i="31" s="1"/>
  <c r="D17" i="65"/>
  <c r="O49" i="31" s="1"/>
  <c r="D16" i="65"/>
  <c r="D15" i="65"/>
  <c r="D14" i="65"/>
  <c r="O43" i="31" s="1"/>
  <c r="D13" i="65"/>
  <c r="O107" i="31" s="1"/>
  <c r="D12" i="65"/>
  <c r="D11" i="65"/>
  <c r="D10" i="65"/>
  <c r="O51" i="31" s="1"/>
  <c r="D9" i="65"/>
  <c r="O48" i="31" s="1"/>
  <c r="D8" i="65"/>
  <c r="D7" i="65"/>
  <c r="D6" i="65"/>
  <c r="O122" i="31" s="1"/>
  <c r="D5" i="65"/>
  <c r="N116" i="31"/>
  <c r="N115" i="31"/>
  <c r="N114" i="31"/>
  <c r="N103" i="31"/>
  <c r="N102" i="31"/>
  <c r="N101" i="31"/>
  <c r="N95" i="31"/>
  <c r="N94" i="31"/>
  <c r="N93" i="31"/>
  <c r="N87" i="31"/>
  <c r="N77" i="31"/>
  <c r="N72" i="31"/>
  <c r="N70" i="31"/>
  <c r="N69" i="31"/>
  <c r="N59" i="31"/>
  <c r="N58" i="31"/>
  <c r="N54" i="31"/>
  <c r="N48" i="31"/>
  <c r="N47" i="31"/>
  <c r="N46" i="31"/>
  <c r="N36" i="31"/>
  <c r="N35" i="31"/>
  <c r="N34" i="31"/>
  <c r="N27" i="31"/>
  <c r="N25" i="31"/>
  <c r="N24" i="31"/>
  <c r="N14" i="31"/>
  <c r="N13" i="31"/>
  <c r="N12" i="31"/>
  <c r="N7" i="31"/>
  <c r="N6" i="31"/>
  <c r="N5" i="31"/>
  <c r="N3" i="31"/>
  <c r="D90" i="64"/>
  <c r="D72" i="64"/>
  <c r="D47" i="64"/>
  <c r="D45" i="64"/>
  <c r="N61" i="31" s="1"/>
  <c r="D44" i="64"/>
  <c r="C108" i="64"/>
  <c r="B108" i="64"/>
  <c r="D107" i="64"/>
  <c r="N31" i="31" s="1"/>
  <c r="D106" i="64"/>
  <c r="N21" i="31" s="1"/>
  <c r="D105" i="64"/>
  <c r="D104" i="64"/>
  <c r="D103" i="64"/>
  <c r="D102" i="64"/>
  <c r="N22" i="31" s="1"/>
  <c r="D101" i="64"/>
  <c r="N20" i="31" s="1"/>
  <c r="D100" i="64"/>
  <c r="N19" i="31" s="1"/>
  <c r="D99" i="64"/>
  <c r="N29" i="31" s="1"/>
  <c r="D98" i="64"/>
  <c r="N32" i="31" s="1"/>
  <c r="D97" i="64"/>
  <c r="D96" i="64"/>
  <c r="D95" i="64"/>
  <c r="D94" i="64"/>
  <c r="N23" i="31" s="1"/>
  <c r="D93" i="64"/>
  <c r="N33" i="31" s="1"/>
  <c r="D92" i="64"/>
  <c r="N26" i="31" s="1"/>
  <c r="D91" i="64"/>
  <c r="D89" i="64"/>
  <c r="N28" i="31" s="1"/>
  <c r="D88" i="64"/>
  <c r="D87" i="64"/>
  <c r="D86" i="64"/>
  <c r="D85" i="64"/>
  <c r="D84" i="64"/>
  <c r="N117" i="31" s="1"/>
  <c r="D83" i="64"/>
  <c r="N113" i="31" s="1"/>
  <c r="D82" i="64"/>
  <c r="D81" i="64"/>
  <c r="N8" i="31" s="1"/>
  <c r="D80" i="64"/>
  <c r="D79" i="64"/>
  <c r="N9" i="31" s="1"/>
  <c r="D78" i="64"/>
  <c r="D77" i="64"/>
  <c r="D76" i="64"/>
  <c r="N132" i="31" s="1"/>
  <c r="N135" i="31" s="1"/>
  <c r="D75" i="64"/>
  <c r="N131" i="31" s="1"/>
  <c r="D74" i="64"/>
  <c r="D73" i="64"/>
  <c r="D71" i="64"/>
  <c r="N106" i="31" s="1"/>
  <c r="D70" i="64"/>
  <c r="N105" i="31" s="1"/>
  <c r="D69" i="64"/>
  <c r="D68" i="64"/>
  <c r="D67" i="64"/>
  <c r="N108" i="31" s="1"/>
  <c r="D66" i="64"/>
  <c r="N99" i="31" s="1"/>
  <c r="D65" i="64"/>
  <c r="N100" i="31" s="1"/>
  <c r="D64" i="64"/>
  <c r="N98" i="31" s="1"/>
  <c r="D63" i="64"/>
  <c r="D62" i="64"/>
  <c r="D61" i="64"/>
  <c r="D60" i="64"/>
  <c r="N97" i="31" s="1"/>
  <c r="D59" i="64"/>
  <c r="N96" i="31" s="1"/>
  <c r="D58" i="64"/>
  <c r="N92" i="31" s="1"/>
  <c r="D57" i="64"/>
  <c r="N91" i="31" s="1"/>
  <c r="D56" i="64"/>
  <c r="N90" i="31" s="1"/>
  <c r="D55" i="64"/>
  <c r="N10" i="31" s="1"/>
  <c r="D54" i="64"/>
  <c r="N88" i="31" s="1"/>
  <c r="D53" i="64"/>
  <c r="N89" i="31" s="1"/>
  <c r="D52" i="64"/>
  <c r="D51" i="64"/>
  <c r="N73" i="31" s="1"/>
  <c r="D50" i="64"/>
  <c r="N78" i="31" s="1"/>
  <c r="D49" i="64"/>
  <c r="D48" i="64"/>
  <c r="N65" i="31" s="1"/>
  <c r="D43" i="64"/>
  <c r="D42" i="64"/>
  <c r="N60" i="31" s="1"/>
  <c r="D41" i="64"/>
  <c r="N62" i="31" s="1"/>
  <c r="D40" i="64"/>
  <c r="D39" i="64"/>
  <c r="N64" i="31" s="1"/>
  <c r="D38" i="64"/>
  <c r="D37" i="64"/>
  <c r="D36" i="64"/>
  <c r="D35" i="64"/>
  <c r="N74" i="31" s="1"/>
  <c r="D34" i="64"/>
  <c r="N123" i="31" s="1"/>
  <c r="D33" i="64"/>
  <c r="D32" i="64"/>
  <c r="N71" i="31" s="1"/>
  <c r="D31" i="64"/>
  <c r="N76" i="31" s="1"/>
  <c r="D30" i="64"/>
  <c r="N75" i="31" s="1"/>
  <c r="D29" i="64"/>
  <c r="N124" i="31" s="1"/>
  <c r="D28" i="64"/>
  <c r="N42" i="31" s="1"/>
  <c r="D27" i="64"/>
  <c r="D26" i="64"/>
  <c r="N121" i="31" s="1"/>
  <c r="D25" i="64"/>
  <c r="N41" i="31" s="1"/>
  <c r="D23" i="64"/>
  <c r="D22" i="64"/>
  <c r="N45" i="31" s="1"/>
  <c r="D21" i="64"/>
  <c r="N50" i="31" s="1"/>
  <c r="D20" i="64"/>
  <c r="N43" i="31" s="1"/>
  <c r="D19" i="64"/>
  <c r="D18" i="64"/>
  <c r="N49" i="31" s="1"/>
  <c r="D17" i="64"/>
  <c r="D16" i="64"/>
  <c r="D15" i="64"/>
  <c r="N52" i="31" s="1"/>
  <c r="D14" i="64"/>
  <c r="N44" i="31" s="1"/>
  <c r="D13" i="64"/>
  <c r="N51" i="31" s="1"/>
  <c r="D12" i="64"/>
  <c r="D11" i="64"/>
  <c r="D10" i="64"/>
  <c r="N53" i="31" s="1"/>
  <c r="D9" i="64"/>
  <c r="N107" i="31" s="1"/>
  <c r="D6" i="64"/>
  <c r="N122" i="31" s="1"/>
  <c r="D5" i="64"/>
  <c r="N11" i="31" s="1"/>
  <c r="J157" i="31" l="1"/>
  <c r="K157" i="31" s="1"/>
  <c r="P16" i="31"/>
  <c r="P67" i="31"/>
  <c r="P111" i="31"/>
  <c r="P56" i="31"/>
  <c r="P127" i="31"/>
  <c r="P39" i="31"/>
  <c r="P119" i="31"/>
  <c r="N39" i="31"/>
  <c r="O135" i="31"/>
  <c r="N127" i="31"/>
  <c r="N16" i="31"/>
  <c r="N56" i="31"/>
  <c r="N67" i="31"/>
  <c r="N81" i="31"/>
  <c r="N111" i="31"/>
  <c r="N119" i="31"/>
  <c r="D107" i="66"/>
  <c r="P138" i="31" s="1"/>
  <c r="O67" i="31"/>
  <c r="O111" i="31"/>
  <c r="O127" i="31"/>
  <c r="O56" i="31"/>
  <c r="O16" i="31"/>
  <c r="O39" i="31"/>
  <c r="O81" i="31"/>
  <c r="O119" i="31"/>
  <c r="D108" i="64"/>
  <c r="N138" i="31" s="1"/>
  <c r="O140" i="31" s="1"/>
  <c r="O141" i="31" s="1"/>
  <c r="Q140" i="31" l="1"/>
  <c r="Q141" i="31" s="1"/>
  <c r="P140" i="31"/>
  <c r="P141" i="31" s="1"/>
  <c r="D86" i="63"/>
  <c r="D71" i="63" l="1"/>
  <c r="M106" i="31" s="1"/>
  <c r="D70" i="63"/>
  <c r="M105" i="31" s="1"/>
  <c r="C108" i="63" l="1"/>
  <c r="B108" i="63"/>
  <c r="D107" i="63"/>
  <c r="M31" i="31" s="1"/>
  <c r="D106" i="63"/>
  <c r="M21" i="31" s="1"/>
  <c r="D105" i="63"/>
  <c r="M27" i="31" s="1"/>
  <c r="D104" i="63"/>
  <c r="M36" i="31" s="1"/>
  <c r="D103" i="63"/>
  <c r="M35" i="31" s="1"/>
  <c r="D102" i="63"/>
  <c r="M22" i="31" s="1"/>
  <c r="D101" i="63"/>
  <c r="M20" i="31" s="1"/>
  <c r="D100" i="63"/>
  <c r="M19" i="31" s="1"/>
  <c r="D99" i="63"/>
  <c r="M29" i="31" s="1"/>
  <c r="D98" i="63"/>
  <c r="M32" i="31" s="1"/>
  <c r="D97" i="63"/>
  <c r="M24" i="31" s="1"/>
  <c r="D96" i="63"/>
  <c r="M3" i="31" s="1"/>
  <c r="D95" i="63"/>
  <c r="M34" i="31" s="1"/>
  <c r="D94" i="63"/>
  <c r="M23" i="31" s="1"/>
  <c r="D93" i="63"/>
  <c r="M33" i="31" s="1"/>
  <c r="D92" i="63"/>
  <c r="M26" i="31" s="1"/>
  <c r="D91" i="63"/>
  <c r="M25" i="31" s="1"/>
  <c r="D89" i="63"/>
  <c r="M28" i="31" s="1"/>
  <c r="D88" i="63"/>
  <c r="M116" i="31" s="1"/>
  <c r="D87" i="63"/>
  <c r="M115" i="31" s="1"/>
  <c r="D85" i="63"/>
  <c r="M114" i="31" s="1"/>
  <c r="D84" i="63"/>
  <c r="M117" i="31" s="1"/>
  <c r="D83" i="63"/>
  <c r="M113" i="31" s="1"/>
  <c r="D82" i="63"/>
  <c r="M14" i="31" s="1"/>
  <c r="D81" i="63"/>
  <c r="M8" i="31" s="1"/>
  <c r="D80" i="63"/>
  <c r="M6" i="31" s="1"/>
  <c r="D79" i="63"/>
  <c r="M9" i="31" s="1"/>
  <c r="D78" i="63"/>
  <c r="M12" i="31" s="1"/>
  <c r="D77" i="63"/>
  <c r="M7" i="31" s="1"/>
  <c r="D76" i="63"/>
  <c r="M132" i="31" s="1"/>
  <c r="D75" i="63"/>
  <c r="M131" i="31" s="1"/>
  <c r="D74" i="63"/>
  <c r="M5" i="31" s="1"/>
  <c r="D73" i="63"/>
  <c r="D69" i="63"/>
  <c r="M103" i="31" s="1"/>
  <c r="D68" i="63"/>
  <c r="M102" i="31" s="1"/>
  <c r="D67" i="63"/>
  <c r="M108" i="31" s="1"/>
  <c r="D66" i="63"/>
  <c r="M99" i="31" s="1"/>
  <c r="D65" i="63"/>
  <c r="M100" i="31" s="1"/>
  <c r="D64" i="63"/>
  <c r="M98" i="31" s="1"/>
  <c r="D63" i="63"/>
  <c r="M95" i="31" s="1"/>
  <c r="D62" i="63"/>
  <c r="M94" i="31" s="1"/>
  <c r="D61" i="63"/>
  <c r="M93" i="31" s="1"/>
  <c r="D60" i="63"/>
  <c r="M97" i="31" s="1"/>
  <c r="D59" i="63"/>
  <c r="M96" i="31" s="1"/>
  <c r="D58" i="63"/>
  <c r="M92" i="31" s="1"/>
  <c r="D57" i="63"/>
  <c r="M91" i="31" s="1"/>
  <c r="D56" i="63"/>
  <c r="M90" i="31" s="1"/>
  <c r="D55" i="63"/>
  <c r="M10" i="31" s="1"/>
  <c r="D54" i="63"/>
  <c r="M88" i="31" s="1"/>
  <c r="D53" i="63"/>
  <c r="M89" i="31" s="1"/>
  <c r="D52" i="63"/>
  <c r="D51" i="63"/>
  <c r="M73" i="31" s="1"/>
  <c r="D50" i="63"/>
  <c r="M78" i="31" s="1"/>
  <c r="D49" i="63"/>
  <c r="M101" i="31" s="1"/>
  <c r="D48" i="63"/>
  <c r="M65" i="31" s="1"/>
  <c r="D47" i="63"/>
  <c r="D45" i="63"/>
  <c r="M61" i="31" s="1"/>
  <c r="D43" i="63"/>
  <c r="M87" i="31" s="1"/>
  <c r="D42" i="63"/>
  <c r="M60" i="31" s="1"/>
  <c r="D41" i="63"/>
  <c r="M62" i="31" s="1"/>
  <c r="D40" i="63"/>
  <c r="M77" i="31" s="1"/>
  <c r="D39" i="63"/>
  <c r="M64" i="31" s="1"/>
  <c r="D38" i="63"/>
  <c r="D37" i="63"/>
  <c r="M59" i="31" s="1"/>
  <c r="D36" i="63"/>
  <c r="M70" i="31" s="1"/>
  <c r="D35" i="63"/>
  <c r="M74" i="31" s="1"/>
  <c r="D34" i="63"/>
  <c r="M123" i="31" s="1"/>
  <c r="D33" i="63"/>
  <c r="M69" i="31" s="1"/>
  <c r="D32" i="63"/>
  <c r="M71" i="31" s="1"/>
  <c r="D31" i="63"/>
  <c r="M76" i="31" s="1"/>
  <c r="D30" i="63"/>
  <c r="M75" i="31" s="1"/>
  <c r="D29" i="63"/>
  <c r="M124" i="31" s="1"/>
  <c r="D28" i="63"/>
  <c r="M42" i="31" s="1"/>
  <c r="D27" i="63"/>
  <c r="D26" i="63"/>
  <c r="M121" i="31" s="1"/>
  <c r="D25" i="63"/>
  <c r="M41" i="31" s="1"/>
  <c r="D24" i="63"/>
  <c r="M72" i="31" s="1"/>
  <c r="D23" i="63"/>
  <c r="M58" i="31" s="1"/>
  <c r="D22" i="63"/>
  <c r="M45" i="31" s="1"/>
  <c r="D21" i="63"/>
  <c r="M50" i="31" s="1"/>
  <c r="D20" i="63"/>
  <c r="M43" i="31" s="1"/>
  <c r="D19" i="63"/>
  <c r="M47" i="31" s="1"/>
  <c r="D18" i="63"/>
  <c r="M49" i="31" s="1"/>
  <c r="D17" i="63"/>
  <c r="M46" i="31" s="1"/>
  <c r="D16" i="63"/>
  <c r="M13" i="31" s="1"/>
  <c r="D15" i="63"/>
  <c r="M52" i="31" s="1"/>
  <c r="D14" i="63"/>
  <c r="M44" i="31" s="1"/>
  <c r="D13" i="63"/>
  <c r="M51" i="31" s="1"/>
  <c r="D12" i="63"/>
  <c r="M48" i="31" s="1"/>
  <c r="D11" i="63"/>
  <c r="M54" i="31" s="1"/>
  <c r="D10" i="63"/>
  <c r="M53" i="31" s="1"/>
  <c r="D9" i="63"/>
  <c r="M107" i="31" s="1"/>
  <c r="D6" i="63"/>
  <c r="M122" i="31" s="1"/>
  <c r="D5" i="63"/>
  <c r="M11" i="31" s="1"/>
  <c r="M16" i="31" l="1"/>
  <c r="M39" i="31"/>
  <c r="M119" i="31"/>
  <c r="M135" i="31"/>
  <c r="M111" i="31"/>
  <c r="M81" i="31"/>
  <c r="M127" i="31"/>
  <c r="M56" i="31"/>
  <c r="M67" i="31"/>
  <c r="D108" i="63"/>
  <c r="M138" i="31" s="1"/>
  <c r="N140" i="31" s="1"/>
  <c r="N141" i="31" s="1"/>
  <c r="D72" i="62" l="1"/>
  <c r="L104" i="31" s="1"/>
  <c r="D62" i="62" l="1"/>
  <c r="L94" i="31" s="1"/>
  <c r="D36" i="62" l="1"/>
  <c r="L70" i="31" s="1"/>
  <c r="C109" i="62"/>
  <c r="B109" i="62"/>
  <c r="D108" i="62"/>
  <c r="L31" i="31" s="1"/>
  <c r="D107" i="62"/>
  <c r="L21" i="31" s="1"/>
  <c r="D106" i="62"/>
  <c r="L27" i="31" s="1"/>
  <c r="D105" i="62"/>
  <c r="L36" i="31" s="1"/>
  <c r="D104" i="62"/>
  <c r="L35" i="31" s="1"/>
  <c r="D103" i="62"/>
  <c r="L22" i="31" s="1"/>
  <c r="D102" i="62"/>
  <c r="L20" i="31" s="1"/>
  <c r="D101" i="62"/>
  <c r="L19" i="31" s="1"/>
  <c r="D100" i="62"/>
  <c r="L29" i="31" s="1"/>
  <c r="D99" i="62"/>
  <c r="L32" i="31" s="1"/>
  <c r="D98" i="62"/>
  <c r="L24" i="31" s="1"/>
  <c r="D97" i="62"/>
  <c r="L3" i="31" s="1"/>
  <c r="D96" i="62"/>
  <c r="L34" i="31" s="1"/>
  <c r="D95" i="62"/>
  <c r="L23" i="31" s="1"/>
  <c r="D94" i="62"/>
  <c r="L33" i="31" s="1"/>
  <c r="D93" i="62"/>
  <c r="L26" i="31" s="1"/>
  <c r="D92" i="62"/>
  <c r="L25" i="31" s="1"/>
  <c r="D91" i="62"/>
  <c r="L18" i="31" s="1"/>
  <c r="D90" i="62"/>
  <c r="L28" i="31" s="1"/>
  <c r="D89" i="62"/>
  <c r="L116" i="31" s="1"/>
  <c r="D88" i="62"/>
  <c r="L115" i="31" s="1"/>
  <c r="D86" i="62"/>
  <c r="L114" i="31" s="1"/>
  <c r="D85" i="62"/>
  <c r="L117" i="31" s="1"/>
  <c r="D84" i="62"/>
  <c r="L113" i="31" s="1"/>
  <c r="D83" i="62"/>
  <c r="L14" i="31" s="1"/>
  <c r="D82" i="62"/>
  <c r="L8" i="31" s="1"/>
  <c r="D81" i="62"/>
  <c r="L6" i="31" s="1"/>
  <c r="D80" i="62"/>
  <c r="L9" i="31" s="1"/>
  <c r="D79" i="62"/>
  <c r="L12" i="31" s="1"/>
  <c r="D78" i="62"/>
  <c r="L7" i="31" s="1"/>
  <c r="D77" i="62"/>
  <c r="L132" i="31" s="1"/>
  <c r="D76" i="62"/>
  <c r="L131" i="31" s="1"/>
  <c r="D75" i="62"/>
  <c r="L5" i="31" s="1"/>
  <c r="D74" i="62"/>
  <c r="D69" i="62"/>
  <c r="L103" i="31" s="1"/>
  <c r="D68" i="62"/>
  <c r="L102" i="31" s="1"/>
  <c r="D67" i="62"/>
  <c r="L108" i="31" s="1"/>
  <c r="D66" i="62"/>
  <c r="L99" i="31" s="1"/>
  <c r="D65" i="62"/>
  <c r="L100" i="31" s="1"/>
  <c r="D64" i="62"/>
  <c r="L98" i="31" s="1"/>
  <c r="D63" i="62"/>
  <c r="L95" i="31" s="1"/>
  <c r="D61" i="62"/>
  <c r="L93" i="31" s="1"/>
  <c r="D60" i="62"/>
  <c r="L97" i="31" s="1"/>
  <c r="D59" i="62"/>
  <c r="L96" i="31" s="1"/>
  <c r="D58" i="62"/>
  <c r="L92" i="31" s="1"/>
  <c r="D57" i="62"/>
  <c r="L91" i="31" s="1"/>
  <c r="D56" i="62"/>
  <c r="L90" i="31" s="1"/>
  <c r="D55" i="62"/>
  <c r="L10" i="31" s="1"/>
  <c r="D54" i="62"/>
  <c r="L88" i="31" s="1"/>
  <c r="D53" i="62"/>
  <c r="L89" i="31" s="1"/>
  <c r="D52" i="62"/>
  <c r="D51" i="62"/>
  <c r="L73" i="31" s="1"/>
  <c r="D50" i="62"/>
  <c r="L78" i="31" s="1"/>
  <c r="D49" i="62"/>
  <c r="L101" i="31" s="1"/>
  <c r="D48" i="62"/>
  <c r="L65" i="31" s="1"/>
  <c r="D47" i="62"/>
  <c r="D46" i="62"/>
  <c r="L63" i="31" s="1"/>
  <c r="D45" i="62"/>
  <c r="L61" i="31" s="1"/>
  <c r="D44" i="62"/>
  <c r="L79" i="31" s="1"/>
  <c r="D43" i="62"/>
  <c r="L87" i="31" s="1"/>
  <c r="D42" i="62"/>
  <c r="L60" i="31" s="1"/>
  <c r="D41" i="62"/>
  <c r="L62" i="31" s="1"/>
  <c r="D40" i="62"/>
  <c r="L77" i="31" s="1"/>
  <c r="D39" i="62"/>
  <c r="L64" i="31" s="1"/>
  <c r="D38" i="62"/>
  <c r="D37" i="62"/>
  <c r="L59" i="31" s="1"/>
  <c r="D35" i="62"/>
  <c r="L74" i="31" s="1"/>
  <c r="D34" i="62"/>
  <c r="L123" i="31" s="1"/>
  <c r="D33" i="62"/>
  <c r="L69" i="31" s="1"/>
  <c r="D32" i="62"/>
  <c r="L71" i="31" s="1"/>
  <c r="D31" i="62"/>
  <c r="L76" i="31" s="1"/>
  <c r="D30" i="62"/>
  <c r="L75" i="31" s="1"/>
  <c r="D29" i="62"/>
  <c r="L124" i="31" s="1"/>
  <c r="D28" i="62"/>
  <c r="L42" i="31" s="1"/>
  <c r="D27" i="62"/>
  <c r="D26" i="62"/>
  <c r="L121" i="31" s="1"/>
  <c r="D25" i="62"/>
  <c r="L41" i="31" s="1"/>
  <c r="D24" i="62"/>
  <c r="L72" i="31" s="1"/>
  <c r="D23" i="62"/>
  <c r="L58" i="31" s="1"/>
  <c r="D22" i="62"/>
  <c r="L45" i="31" s="1"/>
  <c r="D21" i="62"/>
  <c r="L50" i="31" s="1"/>
  <c r="D20" i="62"/>
  <c r="L43" i="31" s="1"/>
  <c r="D19" i="62"/>
  <c r="L47" i="31" s="1"/>
  <c r="D18" i="62"/>
  <c r="L49" i="31" s="1"/>
  <c r="D17" i="62"/>
  <c r="L46" i="31" s="1"/>
  <c r="D16" i="62"/>
  <c r="L13" i="31" s="1"/>
  <c r="D15" i="62"/>
  <c r="L52" i="31" s="1"/>
  <c r="D14" i="62"/>
  <c r="L44" i="31" s="1"/>
  <c r="D13" i="62"/>
  <c r="L51" i="31" s="1"/>
  <c r="D12" i="62"/>
  <c r="L48" i="31" s="1"/>
  <c r="D11" i="62"/>
  <c r="L54" i="31" s="1"/>
  <c r="D10" i="62"/>
  <c r="L53" i="31" s="1"/>
  <c r="D9" i="62"/>
  <c r="L107" i="31" s="1"/>
  <c r="D6" i="62"/>
  <c r="L122" i="31" s="1"/>
  <c r="D5" i="62"/>
  <c r="L11" i="31" s="1"/>
  <c r="L135" i="31" l="1"/>
  <c r="L81" i="31"/>
  <c r="L127" i="31"/>
  <c r="L111" i="31"/>
  <c r="L16" i="31"/>
  <c r="L67" i="31"/>
  <c r="L56" i="31"/>
  <c r="L119" i="31"/>
  <c r="L39" i="31"/>
  <c r="D109" i="62"/>
  <c r="L138" i="31" s="1"/>
  <c r="M140" i="31" s="1"/>
  <c r="M141" i="31" s="1"/>
  <c r="D68" i="61" l="1"/>
  <c r="K102" i="31" s="1"/>
  <c r="D69" i="61"/>
  <c r="K103" i="31" s="1"/>
  <c r="D71" i="61"/>
  <c r="K37" i="31" s="1"/>
  <c r="D29" i="61" l="1"/>
  <c r="D30" i="61"/>
  <c r="K75" i="31" s="1"/>
  <c r="D31" i="61"/>
  <c r="K76" i="31" s="1"/>
  <c r="D30" i="60"/>
  <c r="D31" i="60"/>
  <c r="C107" i="61" l="1"/>
  <c r="B107" i="61"/>
  <c r="D106" i="61"/>
  <c r="K31" i="31" s="1"/>
  <c r="D105" i="61"/>
  <c r="K21" i="31" s="1"/>
  <c r="D104" i="61"/>
  <c r="K27" i="31" s="1"/>
  <c r="D103" i="61"/>
  <c r="K36" i="31" s="1"/>
  <c r="D102" i="61"/>
  <c r="K35" i="31" s="1"/>
  <c r="D101" i="61"/>
  <c r="K22" i="31" s="1"/>
  <c r="D100" i="61"/>
  <c r="K20" i="31" s="1"/>
  <c r="D99" i="61"/>
  <c r="K19" i="31" s="1"/>
  <c r="D98" i="61"/>
  <c r="K29" i="31" s="1"/>
  <c r="D97" i="61"/>
  <c r="K32" i="31" s="1"/>
  <c r="D96" i="61"/>
  <c r="K24" i="31" s="1"/>
  <c r="D95" i="61"/>
  <c r="K3" i="31" s="1"/>
  <c r="D94" i="61"/>
  <c r="K34" i="31" s="1"/>
  <c r="D93" i="61"/>
  <c r="K23" i="31" s="1"/>
  <c r="D92" i="61"/>
  <c r="K33" i="31" s="1"/>
  <c r="D91" i="61"/>
  <c r="K26" i="31" s="1"/>
  <c r="D90" i="61"/>
  <c r="K25" i="31" s="1"/>
  <c r="D89" i="61"/>
  <c r="K18" i="31" s="1"/>
  <c r="D88" i="61"/>
  <c r="K28" i="31" s="1"/>
  <c r="D87" i="61"/>
  <c r="K116" i="31" s="1"/>
  <c r="D86" i="61"/>
  <c r="K115" i="31" s="1"/>
  <c r="D85" i="61"/>
  <c r="K4" i="31" s="1"/>
  <c r="D84" i="61"/>
  <c r="K114" i="31" s="1"/>
  <c r="D83" i="61"/>
  <c r="K117" i="31" s="1"/>
  <c r="D82" i="61"/>
  <c r="K113" i="31" s="1"/>
  <c r="D81" i="61"/>
  <c r="K14" i="31" s="1"/>
  <c r="D80" i="61"/>
  <c r="K8" i="31" s="1"/>
  <c r="D79" i="61"/>
  <c r="K6" i="31" s="1"/>
  <c r="D78" i="61"/>
  <c r="K9" i="31" s="1"/>
  <c r="D77" i="61"/>
  <c r="K12" i="31" s="1"/>
  <c r="D76" i="61"/>
  <c r="K7" i="31" s="1"/>
  <c r="D75" i="61"/>
  <c r="K132" i="31" s="1"/>
  <c r="D74" i="61"/>
  <c r="K131" i="31" s="1"/>
  <c r="D73" i="61"/>
  <c r="K5" i="31" s="1"/>
  <c r="D72" i="61"/>
  <c r="D67" i="61"/>
  <c r="K108" i="31" s="1"/>
  <c r="D66" i="61"/>
  <c r="K99" i="31" s="1"/>
  <c r="D65" i="61"/>
  <c r="K100" i="31" s="1"/>
  <c r="D64" i="61"/>
  <c r="K98" i="31" s="1"/>
  <c r="D63" i="61"/>
  <c r="K95" i="31" s="1"/>
  <c r="D61" i="61"/>
  <c r="K93" i="31" s="1"/>
  <c r="D60" i="61"/>
  <c r="K97" i="31" s="1"/>
  <c r="D59" i="61"/>
  <c r="K96" i="31" s="1"/>
  <c r="D58" i="61"/>
  <c r="K92" i="31" s="1"/>
  <c r="D57" i="61"/>
  <c r="K91" i="31" s="1"/>
  <c r="D56" i="61"/>
  <c r="K90" i="31" s="1"/>
  <c r="D55" i="61"/>
  <c r="K10" i="31" s="1"/>
  <c r="D54" i="61"/>
  <c r="K88" i="31" s="1"/>
  <c r="D53" i="61"/>
  <c r="K89" i="31" s="1"/>
  <c r="D52" i="61"/>
  <c r="D51" i="61"/>
  <c r="K73" i="31" s="1"/>
  <c r="D50" i="61"/>
  <c r="K78" i="31" s="1"/>
  <c r="D49" i="61"/>
  <c r="K101" i="31" s="1"/>
  <c r="D48" i="61"/>
  <c r="K65" i="31" s="1"/>
  <c r="D47" i="61"/>
  <c r="D46" i="61"/>
  <c r="K63" i="31" s="1"/>
  <c r="D45" i="61"/>
  <c r="K61" i="31" s="1"/>
  <c r="D44" i="61"/>
  <c r="K79" i="31" s="1"/>
  <c r="D43" i="61"/>
  <c r="K87" i="31" s="1"/>
  <c r="D42" i="61"/>
  <c r="K60" i="31" s="1"/>
  <c r="D41" i="61"/>
  <c r="K62" i="31" s="1"/>
  <c r="D40" i="61"/>
  <c r="K77" i="31" s="1"/>
  <c r="D39" i="61"/>
  <c r="K64" i="31" s="1"/>
  <c r="D38" i="61"/>
  <c r="D37" i="61"/>
  <c r="K59" i="31" s="1"/>
  <c r="D35" i="61"/>
  <c r="K74" i="31" s="1"/>
  <c r="D34" i="61"/>
  <c r="K123" i="31" s="1"/>
  <c r="D33" i="61"/>
  <c r="K69" i="31" s="1"/>
  <c r="D32" i="61"/>
  <c r="K71" i="31" s="1"/>
  <c r="D28" i="61"/>
  <c r="K42" i="31" s="1"/>
  <c r="D27" i="61"/>
  <c r="D26" i="61"/>
  <c r="K121" i="31" s="1"/>
  <c r="D25" i="61"/>
  <c r="K41" i="31" s="1"/>
  <c r="D24" i="61"/>
  <c r="K72" i="31" s="1"/>
  <c r="D23" i="61"/>
  <c r="K58" i="31" s="1"/>
  <c r="D22" i="61"/>
  <c r="K45" i="31" s="1"/>
  <c r="D21" i="61"/>
  <c r="K50" i="31" s="1"/>
  <c r="D20" i="61"/>
  <c r="K43" i="31" s="1"/>
  <c r="D19" i="61"/>
  <c r="K47" i="31" s="1"/>
  <c r="D18" i="61"/>
  <c r="K49" i="31" s="1"/>
  <c r="D17" i="61"/>
  <c r="K46" i="31" s="1"/>
  <c r="D16" i="61"/>
  <c r="K13" i="31" s="1"/>
  <c r="D15" i="61"/>
  <c r="K52" i="31" s="1"/>
  <c r="D14" i="61"/>
  <c r="K44" i="31" s="1"/>
  <c r="D13" i="61"/>
  <c r="K51" i="31" s="1"/>
  <c r="D12" i="61"/>
  <c r="K48" i="31" s="1"/>
  <c r="D11" i="61"/>
  <c r="K54" i="31" s="1"/>
  <c r="D10" i="61"/>
  <c r="K53" i="31" s="1"/>
  <c r="D9" i="61"/>
  <c r="K107" i="31" s="1"/>
  <c r="D8" i="61"/>
  <c r="K133" i="31" s="1"/>
  <c r="D7" i="61"/>
  <c r="K129" i="31" s="1"/>
  <c r="D6" i="61"/>
  <c r="K122" i="31" s="1"/>
  <c r="D5" i="61"/>
  <c r="K11" i="31" s="1"/>
  <c r="K56" i="31" l="1"/>
  <c r="K81" i="31"/>
  <c r="K67" i="31"/>
  <c r="K111" i="31"/>
  <c r="K39" i="31"/>
  <c r="K16" i="31"/>
  <c r="K119" i="31"/>
  <c r="K135" i="31"/>
  <c r="D107" i="61"/>
  <c r="K138" i="31" s="1"/>
  <c r="L140" i="31" s="1"/>
  <c r="L141" i="31" s="1"/>
  <c r="C103" i="60" l="1"/>
  <c r="B103" i="60"/>
  <c r="D103" i="60" l="1"/>
  <c r="J138" i="31" s="1"/>
  <c r="K140" i="31" s="1"/>
  <c r="K141" i="31" s="1"/>
  <c r="D74" i="60"/>
  <c r="D62" i="60"/>
  <c r="D86" i="60"/>
  <c r="J140" i="31" l="1"/>
  <c r="J141" i="31" s="1"/>
  <c r="D102" i="60"/>
  <c r="J31" i="31" s="1"/>
  <c r="D101" i="60"/>
  <c r="J21" i="31" s="1"/>
  <c r="D100" i="60"/>
  <c r="J27" i="31" s="1"/>
  <c r="D98" i="60"/>
  <c r="J35" i="31" s="1"/>
  <c r="D97" i="60"/>
  <c r="J22" i="31" s="1"/>
  <c r="D99" i="60"/>
  <c r="J36" i="31" s="1"/>
  <c r="D96" i="60"/>
  <c r="J20" i="31" s="1"/>
  <c r="D95" i="60"/>
  <c r="J19" i="31" s="1"/>
  <c r="D94" i="60"/>
  <c r="J29" i="31" s="1"/>
  <c r="D93" i="60"/>
  <c r="J32" i="31" s="1"/>
  <c r="D92" i="60"/>
  <c r="J24" i="31" s="1"/>
  <c r="D91" i="60"/>
  <c r="J3" i="31" s="1"/>
  <c r="D90" i="60"/>
  <c r="J34" i="31" s="1"/>
  <c r="D89" i="60"/>
  <c r="J23" i="31" s="1"/>
  <c r="D88" i="60"/>
  <c r="J33" i="31" s="1"/>
  <c r="D87" i="60"/>
  <c r="J26" i="31" s="1"/>
  <c r="J25" i="31"/>
  <c r="D85" i="60"/>
  <c r="J18" i="31" s="1"/>
  <c r="D84" i="60"/>
  <c r="J28" i="31" s="1"/>
  <c r="D83" i="60"/>
  <c r="J116" i="31" s="1"/>
  <c r="D82" i="60"/>
  <c r="J115" i="31" s="1"/>
  <c r="D81" i="60"/>
  <c r="J4" i="31" s="1"/>
  <c r="D80" i="60"/>
  <c r="J114" i="31" s="1"/>
  <c r="D79" i="60"/>
  <c r="J117" i="31" s="1"/>
  <c r="D78" i="60"/>
  <c r="J113" i="31" s="1"/>
  <c r="D77" i="60"/>
  <c r="J14" i="31" s="1"/>
  <c r="D76" i="60"/>
  <c r="J8" i="31" s="1"/>
  <c r="D75" i="60"/>
  <c r="J6" i="31" s="1"/>
  <c r="J9" i="31"/>
  <c r="D73" i="60"/>
  <c r="J12" i="31" s="1"/>
  <c r="D72" i="60"/>
  <c r="J7" i="31" s="1"/>
  <c r="D71" i="60"/>
  <c r="J132" i="31" s="1"/>
  <c r="D70" i="60"/>
  <c r="J131" i="31" s="1"/>
  <c r="D69" i="60"/>
  <c r="J5" i="31" s="1"/>
  <c r="D68" i="60"/>
  <c r="D67" i="60"/>
  <c r="J37" i="31" s="1"/>
  <c r="D66" i="60"/>
  <c r="D65" i="60"/>
  <c r="J99" i="31" s="1"/>
  <c r="D64" i="60"/>
  <c r="J100" i="31" s="1"/>
  <c r="D63" i="60"/>
  <c r="J98" i="31" s="1"/>
  <c r="J95" i="31"/>
  <c r="D61" i="60"/>
  <c r="J93" i="31" s="1"/>
  <c r="D60" i="60"/>
  <c r="J97" i="31" s="1"/>
  <c r="D59" i="60"/>
  <c r="J96" i="31" s="1"/>
  <c r="D58" i="60"/>
  <c r="J92" i="31" s="1"/>
  <c r="D57" i="60"/>
  <c r="J91" i="31" s="1"/>
  <c r="D56" i="60"/>
  <c r="J90" i="31" s="1"/>
  <c r="D55" i="60"/>
  <c r="J10" i="31" s="1"/>
  <c r="D54" i="60"/>
  <c r="J88" i="31" s="1"/>
  <c r="D53" i="60"/>
  <c r="J89" i="31" s="1"/>
  <c r="D52" i="60"/>
  <c r="D51" i="60"/>
  <c r="J73" i="31" s="1"/>
  <c r="D50" i="60"/>
  <c r="J78" i="31" s="1"/>
  <c r="D49" i="60"/>
  <c r="J101" i="31" s="1"/>
  <c r="D48" i="60"/>
  <c r="J65" i="31" s="1"/>
  <c r="D47" i="60"/>
  <c r="D46" i="60"/>
  <c r="J63" i="31" s="1"/>
  <c r="D45" i="60"/>
  <c r="J61" i="31" s="1"/>
  <c r="D44" i="60"/>
  <c r="J79" i="31" s="1"/>
  <c r="D43" i="60"/>
  <c r="J87" i="31" s="1"/>
  <c r="D42" i="60"/>
  <c r="J60" i="31" s="1"/>
  <c r="D41" i="60"/>
  <c r="J62" i="31" s="1"/>
  <c r="D40" i="60"/>
  <c r="J77" i="31" s="1"/>
  <c r="D39" i="60"/>
  <c r="J64" i="31" s="1"/>
  <c r="D38" i="60"/>
  <c r="D37" i="60"/>
  <c r="J59" i="31" s="1"/>
  <c r="D36" i="60"/>
  <c r="J70" i="31" s="1"/>
  <c r="D35" i="60"/>
  <c r="J74" i="31" s="1"/>
  <c r="D34" i="60"/>
  <c r="J123" i="31" s="1"/>
  <c r="D33" i="60"/>
  <c r="J69" i="31" s="1"/>
  <c r="D32" i="60"/>
  <c r="J71" i="31" s="1"/>
  <c r="J76" i="31"/>
  <c r="J75" i="31"/>
  <c r="D28" i="60"/>
  <c r="J42" i="31" s="1"/>
  <c r="D27" i="60"/>
  <c r="D26" i="60"/>
  <c r="J121" i="31" s="1"/>
  <c r="D25" i="60"/>
  <c r="J41" i="31" s="1"/>
  <c r="D24" i="60"/>
  <c r="J72" i="31" s="1"/>
  <c r="D23" i="60"/>
  <c r="J58" i="31" s="1"/>
  <c r="D22" i="60"/>
  <c r="J45" i="31" s="1"/>
  <c r="D21" i="60"/>
  <c r="J50" i="31" s="1"/>
  <c r="D19" i="60"/>
  <c r="J47" i="31" s="1"/>
  <c r="D17" i="60"/>
  <c r="J46" i="31" s="1"/>
  <c r="D16" i="60"/>
  <c r="J13" i="31" s="1"/>
  <c r="D20" i="60"/>
  <c r="J43" i="31" s="1"/>
  <c r="D18" i="60"/>
  <c r="J49" i="31" s="1"/>
  <c r="D15" i="60"/>
  <c r="J52" i="31" s="1"/>
  <c r="D14" i="60"/>
  <c r="J44" i="31" s="1"/>
  <c r="D13" i="60"/>
  <c r="J51" i="31" s="1"/>
  <c r="D10" i="60"/>
  <c r="J53" i="31" s="1"/>
  <c r="D9" i="60"/>
  <c r="J107" i="31" s="1"/>
  <c r="D8" i="60"/>
  <c r="J133" i="31" s="1"/>
  <c r="D7" i="60"/>
  <c r="J129" i="31" s="1"/>
  <c r="D12" i="60"/>
  <c r="J48" i="31" s="1"/>
  <c r="D11" i="60"/>
  <c r="J54" i="31" s="1"/>
  <c r="D6" i="60"/>
  <c r="J122" i="31" s="1"/>
  <c r="D5" i="60"/>
  <c r="J11" i="31" s="1"/>
  <c r="B108" i="58"/>
  <c r="C108" i="58"/>
  <c r="B108" i="59"/>
  <c r="C108" i="59"/>
  <c r="J39" i="31" l="1"/>
  <c r="J56" i="31"/>
  <c r="J135" i="31"/>
  <c r="J127" i="31"/>
  <c r="J119" i="31"/>
  <c r="J81" i="31"/>
  <c r="J67" i="31"/>
  <c r="J111" i="31"/>
  <c r="J16" i="31"/>
  <c r="D93" i="59"/>
  <c r="I3" i="31" l="1"/>
  <c r="D77" i="59" l="1"/>
  <c r="I31" i="31" s="1"/>
  <c r="D61" i="59"/>
  <c r="I21" i="31" s="1"/>
  <c r="D49" i="59"/>
  <c r="I27" i="31" s="1"/>
  <c r="D42" i="59"/>
  <c r="I36" i="31" s="1"/>
  <c r="D96" i="59"/>
  <c r="I35" i="31" s="1"/>
  <c r="D84" i="59"/>
  <c r="I22" i="31" s="1"/>
  <c r="D99" i="59"/>
  <c r="I20" i="31" s="1"/>
  <c r="D98" i="59"/>
  <c r="I19" i="31" s="1"/>
  <c r="D63" i="59"/>
  <c r="I29" i="31" s="1"/>
  <c r="D92" i="59"/>
  <c r="I32" i="31" s="1"/>
  <c r="D55" i="59"/>
  <c r="I24" i="31" s="1"/>
  <c r="D37" i="59"/>
  <c r="I34" i="31" s="1"/>
  <c r="D60" i="59"/>
  <c r="I23" i="31" s="1"/>
  <c r="D88" i="59"/>
  <c r="I33" i="31" s="1"/>
  <c r="D81" i="59"/>
  <c r="I26" i="31" s="1"/>
  <c r="D80" i="59"/>
  <c r="I25" i="31" s="1"/>
  <c r="D74" i="59"/>
  <c r="I18" i="31" s="1"/>
  <c r="D65" i="59"/>
  <c r="I28" i="31" s="1"/>
  <c r="D62" i="59"/>
  <c r="I116" i="31" s="1"/>
  <c r="D26" i="59"/>
  <c r="I115" i="31" s="1"/>
  <c r="D89" i="59"/>
  <c r="I4" i="31" s="1"/>
  <c r="D25" i="59"/>
  <c r="I114" i="31" s="1"/>
  <c r="D43" i="59"/>
  <c r="I117" i="31" s="1"/>
  <c r="D48" i="59"/>
  <c r="I113" i="31" s="1"/>
  <c r="D95" i="59"/>
  <c r="I14" i="31" s="1"/>
  <c r="D91" i="59"/>
  <c r="I8" i="31" s="1"/>
  <c r="D101" i="59"/>
  <c r="I6" i="31" s="1"/>
  <c r="D103" i="59"/>
  <c r="I9" i="31" s="1"/>
  <c r="D102" i="59"/>
  <c r="I12" i="31" s="1"/>
  <c r="D82" i="59"/>
  <c r="I7" i="31" s="1"/>
  <c r="D97" i="59"/>
  <c r="I132" i="31" s="1"/>
  <c r="D78" i="59"/>
  <c r="I131" i="31" s="1"/>
  <c r="D73" i="59"/>
  <c r="I5" i="31" s="1"/>
  <c r="D47" i="59"/>
  <c r="D39" i="59"/>
  <c r="I37" i="31" s="1"/>
  <c r="D38" i="59"/>
  <c r="I99" i="31" s="1"/>
  <c r="D36" i="59"/>
  <c r="I100" i="31" s="1"/>
  <c r="D18" i="59"/>
  <c r="I98" i="31" s="1"/>
  <c r="D64" i="59"/>
  <c r="I95" i="31" s="1"/>
  <c r="D33" i="59"/>
  <c r="I94" i="31" s="1"/>
  <c r="D16" i="59"/>
  <c r="I93" i="31" s="1"/>
  <c r="D10" i="59"/>
  <c r="I97" i="31" s="1"/>
  <c r="D31" i="59"/>
  <c r="I96" i="31" s="1"/>
  <c r="D40" i="59"/>
  <c r="I92" i="31" s="1"/>
  <c r="D13" i="59"/>
  <c r="I91" i="31" s="1"/>
  <c r="D35" i="59"/>
  <c r="I90" i="31" s="1"/>
  <c r="D19" i="59"/>
  <c r="I10" i="31" s="1"/>
  <c r="D8" i="59"/>
  <c r="I88" i="31" s="1"/>
  <c r="D83" i="59"/>
  <c r="I89" i="31" s="1"/>
  <c r="D22" i="59"/>
  <c r="D44" i="59"/>
  <c r="I73" i="31" s="1"/>
  <c r="D11" i="59"/>
  <c r="I78" i="31" s="1"/>
  <c r="D54" i="59"/>
  <c r="I101" i="31" s="1"/>
  <c r="D14" i="59"/>
  <c r="I65" i="31" s="1"/>
  <c r="D34" i="59"/>
  <c r="D41" i="59"/>
  <c r="I63" i="31" s="1"/>
  <c r="D53" i="59"/>
  <c r="I61" i="31" s="1"/>
  <c r="D17" i="59"/>
  <c r="I79" i="31" s="1"/>
  <c r="D59" i="59"/>
  <c r="I87" i="31" s="1"/>
  <c r="D15" i="59"/>
  <c r="I60" i="31" s="1"/>
  <c r="D6" i="59"/>
  <c r="I62" i="31" s="1"/>
  <c r="D9" i="59"/>
  <c r="I77" i="31" s="1"/>
  <c r="D27" i="59"/>
  <c r="I64" i="31" s="1"/>
  <c r="D7" i="59"/>
  <c r="D28" i="59"/>
  <c r="I59" i="31" s="1"/>
  <c r="D32" i="59"/>
  <c r="I70" i="31" s="1"/>
  <c r="D50" i="59"/>
  <c r="I74" i="31" s="1"/>
  <c r="D79" i="59"/>
  <c r="I123" i="31" s="1"/>
  <c r="D45" i="59"/>
  <c r="I69" i="31" s="1"/>
  <c r="D20" i="59"/>
  <c r="I71" i="31" s="1"/>
  <c r="D51" i="59"/>
  <c r="I76" i="31" s="1"/>
  <c r="D24" i="59"/>
  <c r="I75" i="31" s="1"/>
  <c r="D94" i="59"/>
  <c r="D76" i="59"/>
  <c r="I42" i="31" s="1"/>
  <c r="D66" i="59"/>
  <c r="D69" i="59"/>
  <c r="I121" i="31" s="1"/>
  <c r="D46" i="59"/>
  <c r="I41" i="31" s="1"/>
  <c r="D23" i="59"/>
  <c r="I72" i="31" s="1"/>
  <c r="D30" i="59"/>
  <c r="I58" i="31" s="1"/>
  <c r="D56" i="59"/>
  <c r="I45" i="31" s="1"/>
  <c r="D52" i="59"/>
  <c r="I50" i="31" s="1"/>
  <c r="D87" i="59"/>
  <c r="I43" i="31" s="1"/>
  <c r="D29" i="59"/>
  <c r="I47" i="31" s="1"/>
  <c r="D67" i="59"/>
  <c r="I49" i="31" s="1"/>
  <c r="D75" i="59"/>
  <c r="I46" i="31" s="1"/>
  <c r="D21" i="59"/>
  <c r="I13" i="31" s="1"/>
  <c r="D12" i="59"/>
  <c r="I52" i="31" s="1"/>
  <c r="D57" i="59"/>
  <c r="I44" i="31" s="1"/>
  <c r="D58" i="59"/>
  <c r="I51" i="31" s="1"/>
  <c r="D68" i="59"/>
  <c r="I48" i="31" s="1"/>
  <c r="D85" i="59"/>
  <c r="I54" i="31" s="1"/>
  <c r="D71" i="59"/>
  <c r="I53" i="31" s="1"/>
  <c r="D70" i="59"/>
  <c r="I107" i="31" s="1"/>
  <c r="D100" i="59"/>
  <c r="I133" i="31" s="1"/>
  <c r="D90" i="59"/>
  <c r="I129" i="31" s="1"/>
  <c r="D72" i="59"/>
  <c r="I122" i="31" s="1"/>
  <c r="D86" i="59"/>
  <c r="I11" i="31" s="1"/>
  <c r="I140" i="31"/>
  <c r="I141" i="31" s="1"/>
  <c r="K124" i="31" l="1"/>
  <c r="K127" i="31" s="1"/>
  <c r="I124" i="31"/>
  <c r="I127" i="31" s="1"/>
  <c r="I56" i="31"/>
  <c r="I39" i="31"/>
  <c r="I16" i="31"/>
  <c r="I119" i="31"/>
  <c r="I135" i="31"/>
  <c r="I111" i="31"/>
  <c r="I67" i="31"/>
  <c r="I81" i="31"/>
  <c r="D108" i="59"/>
  <c r="H140" i="31" l="1"/>
  <c r="H141" i="31" s="1"/>
  <c r="D108" i="58" l="1"/>
  <c r="D68" i="58" l="1"/>
  <c r="H99" i="31" s="1"/>
  <c r="D99" i="58"/>
  <c r="H22" i="31" s="1"/>
  <c r="D100" i="58"/>
  <c r="H35" i="31" s="1"/>
  <c r="D101" i="58"/>
  <c r="H36" i="31" s="1"/>
  <c r="D102" i="58"/>
  <c r="H27" i="31" s="1"/>
  <c r="D103" i="58"/>
  <c r="H21" i="31" s="1"/>
  <c r="D104" i="58"/>
  <c r="H31" i="31" s="1"/>
  <c r="D67" i="58"/>
  <c r="H100" i="31" s="1"/>
  <c r="D98" i="58" l="1"/>
  <c r="H20" i="31" s="1"/>
  <c r="D97" i="58"/>
  <c r="H19" i="31" s="1"/>
  <c r="D96" i="58"/>
  <c r="H29" i="31" s="1"/>
  <c r="D95" i="58"/>
  <c r="H32" i="31" s="1"/>
  <c r="D94" i="58"/>
  <c r="H24" i="31" s="1"/>
  <c r="D92" i="58"/>
  <c r="H34" i="31" s="1"/>
  <c r="D91" i="58"/>
  <c r="H23" i="31" s="1"/>
  <c r="D90" i="58"/>
  <c r="H33" i="31" s="1"/>
  <c r="D89" i="58"/>
  <c r="H26" i="31" s="1"/>
  <c r="D88" i="58"/>
  <c r="H25" i="31" s="1"/>
  <c r="D87" i="58"/>
  <c r="H18" i="31" s="1"/>
  <c r="D86" i="58"/>
  <c r="H28" i="31" s="1"/>
  <c r="D85" i="58"/>
  <c r="H116" i="31" s="1"/>
  <c r="D84" i="58"/>
  <c r="H115" i="31" s="1"/>
  <c r="D83" i="58"/>
  <c r="H4" i="31" s="1"/>
  <c r="D82" i="58"/>
  <c r="H114" i="31" s="1"/>
  <c r="D81" i="58"/>
  <c r="H117" i="31" s="1"/>
  <c r="D80" i="58"/>
  <c r="H113" i="31" s="1"/>
  <c r="D79" i="58"/>
  <c r="H14" i="31" s="1"/>
  <c r="D78" i="58"/>
  <c r="H8" i="31" s="1"/>
  <c r="D77" i="58"/>
  <c r="H6" i="31" s="1"/>
  <c r="D76" i="58"/>
  <c r="H9" i="31" s="1"/>
  <c r="D75" i="58"/>
  <c r="H12" i="31" s="1"/>
  <c r="D74" i="58"/>
  <c r="H7" i="31" s="1"/>
  <c r="D73" i="58"/>
  <c r="H132" i="31" s="1"/>
  <c r="D72" i="58"/>
  <c r="H131" i="31" s="1"/>
  <c r="D71" i="58"/>
  <c r="H5" i="31" s="1"/>
  <c r="D70" i="58"/>
  <c r="D69" i="58"/>
  <c r="H37" i="31" s="1"/>
  <c r="D66" i="58"/>
  <c r="H98" i="31" s="1"/>
  <c r="D65" i="58"/>
  <c r="H95" i="31" s="1"/>
  <c r="D64" i="58"/>
  <c r="H94" i="31" s="1"/>
  <c r="D63" i="58"/>
  <c r="H93" i="31" s="1"/>
  <c r="D62" i="58"/>
  <c r="H97" i="31" s="1"/>
  <c r="D61" i="58"/>
  <c r="H96" i="31" s="1"/>
  <c r="D60" i="58"/>
  <c r="H92" i="31" s="1"/>
  <c r="D59" i="58"/>
  <c r="H91" i="31" s="1"/>
  <c r="D58" i="58"/>
  <c r="H90" i="31" s="1"/>
  <c r="D57" i="58"/>
  <c r="H10" i="31" s="1"/>
  <c r="D56" i="58"/>
  <c r="H88" i="31" s="1"/>
  <c r="D55" i="58"/>
  <c r="H89" i="31" s="1"/>
  <c r="D54" i="58"/>
  <c r="D53" i="58"/>
  <c r="H73" i="31" s="1"/>
  <c r="D52" i="58"/>
  <c r="H78" i="31" s="1"/>
  <c r="D51" i="58"/>
  <c r="H101" i="31" s="1"/>
  <c r="D50" i="58"/>
  <c r="H65" i="31" s="1"/>
  <c r="D49" i="58"/>
  <c r="D48" i="58"/>
  <c r="H63" i="31" s="1"/>
  <c r="D47" i="58"/>
  <c r="H61" i="31" s="1"/>
  <c r="D46" i="58"/>
  <c r="H79" i="31" s="1"/>
  <c r="D45" i="58"/>
  <c r="H87" i="31" s="1"/>
  <c r="D44" i="58"/>
  <c r="H60" i="31" s="1"/>
  <c r="D43" i="58"/>
  <c r="H62" i="31" s="1"/>
  <c r="D42" i="58"/>
  <c r="H77" i="31" s="1"/>
  <c r="D41" i="58"/>
  <c r="H64" i="31" s="1"/>
  <c r="D40" i="58"/>
  <c r="D39" i="58"/>
  <c r="H59" i="31" s="1"/>
  <c r="D38" i="58"/>
  <c r="H70" i="31" s="1"/>
  <c r="D37" i="58"/>
  <c r="H74" i="31" s="1"/>
  <c r="D36" i="58"/>
  <c r="H123" i="31" s="1"/>
  <c r="D35" i="58"/>
  <c r="H69" i="31" s="1"/>
  <c r="D34" i="58"/>
  <c r="H71" i="31" s="1"/>
  <c r="D33" i="58"/>
  <c r="H76" i="31" s="1"/>
  <c r="D32" i="58"/>
  <c r="H75" i="31" s="1"/>
  <c r="D31" i="58"/>
  <c r="H124" i="31" s="1"/>
  <c r="D30" i="58"/>
  <c r="H42" i="31" s="1"/>
  <c r="D29" i="58"/>
  <c r="D28" i="58"/>
  <c r="H121" i="31" s="1"/>
  <c r="D27" i="58"/>
  <c r="H41" i="31" s="1"/>
  <c r="D26" i="58"/>
  <c r="H72" i="31" s="1"/>
  <c r="D25" i="58"/>
  <c r="H58" i="31" s="1"/>
  <c r="D24" i="58"/>
  <c r="H45" i="31" s="1"/>
  <c r="D23" i="58"/>
  <c r="H50" i="31" s="1"/>
  <c r="D22" i="58"/>
  <c r="H43" i="31" s="1"/>
  <c r="D21" i="58"/>
  <c r="H47" i="31" s="1"/>
  <c r="D20" i="58"/>
  <c r="H49" i="31" s="1"/>
  <c r="D19" i="58"/>
  <c r="H46" i="31" s="1"/>
  <c r="D18" i="58"/>
  <c r="H13" i="31" s="1"/>
  <c r="D17" i="58"/>
  <c r="H52" i="31" s="1"/>
  <c r="D16" i="58"/>
  <c r="H44" i="31" s="1"/>
  <c r="D15" i="58"/>
  <c r="H51" i="31" s="1"/>
  <c r="D14" i="58"/>
  <c r="H48" i="31" s="1"/>
  <c r="D13" i="58"/>
  <c r="H54" i="31" s="1"/>
  <c r="D12" i="58"/>
  <c r="H53" i="31" s="1"/>
  <c r="D11" i="58"/>
  <c r="H107" i="31" s="1"/>
  <c r="D10" i="58"/>
  <c r="H133" i="31" s="1"/>
  <c r="D9" i="58"/>
  <c r="H129" i="31" s="1"/>
  <c r="D8" i="58"/>
  <c r="H130" i="31" s="1"/>
  <c r="D7" i="58"/>
  <c r="H122" i="31" s="1"/>
  <c r="D6" i="58"/>
  <c r="H11" i="31" s="1"/>
  <c r="H56" i="31" l="1"/>
  <c r="H39" i="31"/>
  <c r="H135" i="31"/>
  <c r="H127" i="31"/>
  <c r="H119" i="31"/>
  <c r="H67" i="31"/>
  <c r="H111" i="31"/>
  <c r="H16" i="31"/>
  <c r="H81" i="31"/>
  <c r="G140" i="31"/>
  <c r="G141" i="31" s="1"/>
  <c r="F140" i="31"/>
  <c r="C105" i="57"/>
  <c r="B105" i="57"/>
  <c r="D44" i="57"/>
  <c r="G62" i="31" s="1"/>
  <c r="D40" i="57"/>
  <c r="G59" i="31" s="1"/>
  <c r="D43" i="57"/>
  <c r="G77" i="31" s="1"/>
  <c r="D57" i="57"/>
  <c r="G88" i="31" s="1"/>
  <c r="D63" i="57"/>
  <c r="G97" i="31" s="1"/>
  <c r="D41" i="57"/>
  <c r="D64" i="57"/>
  <c r="G93" i="31" s="1"/>
  <c r="D67" i="57"/>
  <c r="G98" i="31" s="1"/>
  <c r="D58" i="57"/>
  <c r="G10" i="31" s="1"/>
  <c r="D51" i="57"/>
  <c r="G65" i="31" s="1"/>
  <c r="D49" i="57"/>
  <c r="G63" i="31" s="1"/>
  <c r="D54" i="57"/>
  <c r="G73" i="31" s="1"/>
  <c r="D34" i="57"/>
  <c r="G76" i="31" s="1"/>
  <c r="D55" i="57"/>
  <c r="D62" i="57"/>
  <c r="G96" i="31" s="1"/>
  <c r="D53" i="57"/>
  <c r="G78" i="31" s="1"/>
  <c r="D80" i="57"/>
  <c r="G117" i="31" s="1"/>
  <c r="D45" i="57"/>
  <c r="G60" i="31" s="1"/>
  <c r="D47" i="57"/>
  <c r="G79" i="31" s="1"/>
  <c r="D65" i="57"/>
  <c r="G94" i="31" s="1"/>
  <c r="D48" i="57"/>
  <c r="G61" i="31" s="1"/>
  <c r="D35" i="57"/>
  <c r="G71" i="31" s="1"/>
  <c r="D50" i="57"/>
  <c r="D60" i="57"/>
  <c r="G91" i="31" s="1"/>
  <c r="D42" i="57"/>
  <c r="G64" i="31" s="1"/>
  <c r="D14" i="57"/>
  <c r="G48" i="31" s="1"/>
  <c r="D68" i="57"/>
  <c r="G37" i="31" s="1"/>
  <c r="D56" i="57"/>
  <c r="G89" i="31" s="1"/>
  <c r="D19" i="57"/>
  <c r="G13" i="31" s="1"/>
  <c r="D12" i="57"/>
  <c r="G53" i="31" s="1"/>
  <c r="D26" i="57"/>
  <c r="G58" i="31" s="1"/>
  <c r="D46" i="57"/>
  <c r="G87" i="31" s="1"/>
  <c r="D16" i="57"/>
  <c r="G44" i="31" s="1"/>
  <c r="D28" i="57"/>
  <c r="G41" i="31" s="1"/>
  <c r="D39" i="57"/>
  <c r="G70" i="31" s="1"/>
  <c r="D22" i="57"/>
  <c r="G47" i="31" s="1"/>
  <c r="D71" i="57"/>
  <c r="G131" i="31" s="1"/>
  <c r="D59" i="57"/>
  <c r="G90" i="31" s="1"/>
  <c r="D66" i="57"/>
  <c r="G95" i="31" s="1"/>
  <c r="D52" i="57"/>
  <c r="G101" i="31" s="1"/>
  <c r="D69" i="57"/>
  <c r="D83" i="57"/>
  <c r="G115" i="31" s="1"/>
  <c r="D37" i="57"/>
  <c r="G123" i="31" s="1"/>
  <c r="D38" i="57"/>
  <c r="G74" i="31" s="1"/>
  <c r="D104" i="57"/>
  <c r="G31" i="31" s="1"/>
  <c r="D61" i="57"/>
  <c r="G92" i="31" s="1"/>
  <c r="D81" i="57"/>
  <c r="G114" i="31" s="1"/>
  <c r="D100" i="57"/>
  <c r="G35" i="31" s="1"/>
  <c r="D9" i="57"/>
  <c r="G129" i="31" s="1"/>
  <c r="D27" i="57"/>
  <c r="G72" i="31" s="1"/>
  <c r="D31" i="57"/>
  <c r="G42" i="31" s="1"/>
  <c r="D7" i="57"/>
  <c r="G122" i="31" s="1"/>
  <c r="D89" i="57"/>
  <c r="G33" i="31" s="1"/>
  <c r="D30" i="57"/>
  <c r="D11" i="57"/>
  <c r="G107" i="31" s="1"/>
  <c r="D29" i="57"/>
  <c r="G121" i="31" s="1"/>
  <c r="D77" i="57"/>
  <c r="G8" i="31" s="1"/>
  <c r="D15" i="57"/>
  <c r="G51" i="31" s="1"/>
  <c r="D101" i="57"/>
  <c r="G36" i="31" s="1"/>
  <c r="D103" i="57"/>
  <c r="G21" i="31" s="1"/>
  <c r="D88" i="57"/>
  <c r="G26" i="31" s="1"/>
  <c r="D93" i="57"/>
  <c r="G24" i="31" s="1"/>
  <c r="D33" i="57"/>
  <c r="G75" i="31" s="1"/>
  <c r="D84" i="57"/>
  <c r="G116" i="31" s="1"/>
  <c r="D24" i="57"/>
  <c r="G50" i="31" s="1"/>
  <c r="D90" i="57"/>
  <c r="G23" i="31" s="1"/>
  <c r="D13" i="57"/>
  <c r="G54" i="31" s="1"/>
  <c r="D70" i="57"/>
  <c r="G5" i="31" s="1"/>
  <c r="D8" i="57"/>
  <c r="G130" i="31" s="1"/>
  <c r="D25" i="57"/>
  <c r="G45" i="31" s="1"/>
  <c r="D99" i="57"/>
  <c r="G22" i="31" s="1"/>
  <c r="D6" i="57"/>
  <c r="G11" i="31" s="1"/>
  <c r="D85" i="57"/>
  <c r="G28" i="31" s="1"/>
  <c r="D21" i="57"/>
  <c r="G49" i="31" s="1"/>
  <c r="D79" i="57"/>
  <c r="G113" i="31" s="1"/>
  <c r="D95" i="57"/>
  <c r="G29" i="31" s="1"/>
  <c r="D94" i="57"/>
  <c r="G32" i="31" s="1"/>
  <c r="D78" i="57"/>
  <c r="G14" i="31" s="1"/>
  <c r="D36" i="57"/>
  <c r="G69" i="31" s="1"/>
  <c r="D20" i="57"/>
  <c r="G46" i="31" s="1"/>
  <c r="D82" i="57"/>
  <c r="G4" i="31" s="1"/>
  <c r="D23" i="57"/>
  <c r="G43" i="31" s="1"/>
  <c r="D76" i="57"/>
  <c r="G6" i="31" s="1"/>
  <c r="D18" i="57"/>
  <c r="G85" i="31" s="1"/>
  <c r="D75" i="57"/>
  <c r="G9" i="31" s="1"/>
  <c r="D86" i="57"/>
  <c r="G18" i="31" s="1"/>
  <c r="D102" i="57"/>
  <c r="G27" i="31" s="1"/>
  <c r="D17" i="57"/>
  <c r="G52" i="31" s="1"/>
  <c r="D32" i="57"/>
  <c r="G124" i="31" s="1"/>
  <c r="D91" i="57"/>
  <c r="G34" i="31" s="1"/>
  <c r="D73" i="57"/>
  <c r="G7" i="31" s="1"/>
  <c r="D96" i="57"/>
  <c r="G19" i="31" s="1"/>
  <c r="D87" i="57"/>
  <c r="G25" i="31" s="1"/>
  <c r="D10" i="57"/>
  <c r="G133" i="31" s="1"/>
  <c r="D92" i="57"/>
  <c r="G3" i="31" s="1"/>
  <c r="D97" i="57"/>
  <c r="G20" i="31" s="1"/>
  <c r="D72" i="57"/>
  <c r="G132" i="31" s="1"/>
  <c r="D74" i="57"/>
  <c r="G12" i="31" s="1"/>
  <c r="D105" i="57" l="1"/>
  <c r="G56" i="31"/>
  <c r="G39" i="31"/>
  <c r="G127" i="31"/>
  <c r="G119" i="31"/>
  <c r="G135" i="31"/>
  <c r="G111" i="31"/>
  <c r="G81" i="31"/>
  <c r="G16" i="31"/>
  <c r="G67" i="31"/>
  <c r="F141" i="31"/>
  <c r="D6" i="56"/>
  <c r="F77" i="31" s="1"/>
  <c r="D7" i="56"/>
  <c r="F96" i="31" s="1"/>
  <c r="D8" i="56"/>
  <c r="F79" i="31" s="1"/>
  <c r="D9" i="56"/>
  <c r="F97" i="31" s="1"/>
  <c r="D10" i="56"/>
  <c r="D11" i="56"/>
  <c r="D12" i="56"/>
  <c r="F13" i="31" s="1"/>
  <c r="D13" i="56"/>
  <c r="F88" i="31" s="1"/>
  <c r="D14" i="56"/>
  <c r="F62" i="31" s="1"/>
  <c r="D15" i="56"/>
  <c r="F60" i="31" s="1"/>
  <c r="D16" i="56"/>
  <c r="F59" i="31" s="1"/>
  <c r="D17" i="56"/>
  <c r="F65" i="31" s="1"/>
  <c r="D18" i="56"/>
  <c r="F76" i="31" s="1"/>
  <c r="D19" i="56"/>
  <c r="F91" i="31" s="1"/>
  <c r="D20" i="56"/>
  <c r="F71" i="31" s="1"/>
  <c r="D21" i="56"/>
  <c r="F93" i="31" s="1"/>
  <c r="D22" i="56"/>
  <c r="D23" i="56"/>
  <c r="F64" i="31" s="1"/>
  <c r="D24" i="56"/>
  <c r="F98" i="31" s="1"/>
  <c r="D25" i="56"/>
  <c r="F41" i="31" s="1"/>
  <c r="D26" i="56"/>
  <c r="F73" i="31" s="1"/>
  <c r="D27" i="56"/>
  <c r="F63" i="31" s="1"/>
  <c r="D28" i="56"/>
  <c r="F72" i="31" s="1"/>
  <c r="D29" i="56"/>
  <c r="F61" i="31" s="1"/>
  <c r="D30" i="56"/>
  <c r="F58" i="31" s="1"/>
  <c r="D31" i="56"/>
  <c r="F94" i="31" s="1"/>
  <c r="D32" i="56"/>
  <c r="F47" i="31" s="1"/>
  <c r="D33" i="56"/>
  <c r="F10" i="31" s="1"/>
  <c r="D34" i="56"/>
  <c r="F21" i="31" s="1"/>
  <c r="D35" i="56"/>
  <c r="F70" i="31" s="1"/>
  <c r="D36" i="56"/>
  <c r="D37" i="56"/>
  <c r="F75" i="31" s="1"/>
  <c r="D38" i="56"/>
  <c r="F87" i="31" s="1"/>
  <c r="D39" i="56"/>
  <c r="F95" i="31" s="1"/>
  <c r="D40" i="56"/>
  <c r="F117" i="31" s="1"/>
  <c r="D41" i="56"/>
  <c r="F45" i="31" s="1"/>
  <c r="D42" i="56"/>
  <c r="F53" i="31" s="1"/>
  <c r="D43" i="56"/>
  <c r="F51" i="31" s="1"/>
  <c r="D44" i="56"/>
  <c r="D45" i="56"/>
  <c r="F89" i="31" s="1"/>
  <c r="D46" i="56"/>
  <c r="F46" i="31" s="1"/>
  <c r="D47" i="56"/>
  <c r="F123" i="31" s="1"/>
  <c r="D48" i="56"/>
  <c r="F101" i="31" s="1"/>
  <c r="D49" i="56"/>
  <c r="F31" i="31" s="1"/>
  <c r="D50" i="56"/>
  <c r="F29" i="31" s="1"/>
  <c r="D51" i="56"/>
  <c r="F49" i="31" s="1"/>
  <c r="D52" i="56"/>
  <c r="F74" i="31" s="1"/>
  <c r="D53" i="56"/>
  <c r="F115" i="31" s="1"/>
  <c r="D54" i="56"/>
  <c r="F129" i="31" s="1"/>
  <c r="D55" i="56"/>
  <c r="F131" i="31" s="1"/>
  <c r="D56" i="56"/>
  <c r="F90" i="31" s="1"/>
  <c r="D57" i="56"/>
  <c r="F52" i="31" s="1"/>
  <c r="D58" i="56"/>
  <c r="F92" i="31" s="1"/>
  <c r="D59" i="56"/>
  <c r="F35" i="31" s="1"/>
  <c r="D60" i="56"/>
  <c r="F130" i="31" s="1"/>
  <c r="D61" i="56"/>
  <c r="F27" i="31" s="1"/>
  <c r="D62" i="56"/>
  <c r="F78" i="31" s="1"/>
  <c r="R81" i="31" s="1"/>
  <c r="D63" i="56"/>
  <c r="F20" i="31" s="1"/>
  <c r="D64" i="56"/>
  <c r="F69" i="31" s="1"/>
  <c r="D65" i="56"/>
  <c r="F8" i="31" s="1"/>
  <c r="D66" i="56"/>
  <c r="F114" i="31" s="1"/>
  <c r="D67" i="56"/>
  <c r="F37" i="31" s="1"/>
  <c r="D68" i="56"/>
  <c r="F116" i="31" s="1"/>
  <c r="D69" i="56"/>
  <c r="F48" i="31" s="1"/>
  <c r="D70" i="56"/>
  <c r="F121" i="31" s="1"/>
  <c r="D71" i="56"/>
  <c r="F113" i="31" s="1"/>
  <c r="D72" i="56"/>
  <c r="F23" i="31" s="1"/>
  <c r="D73" i="56"/>
  <c r="F34" i="31" s="1"/>
  <c r="D74" i="56"/>
  <c r="F14" i="31" s="1"/>
  <c r="D75" i="56"/>
  <c r="F124" i="31" s="1"/>
  <c r="D76" i="56"/>
  <c r="F44" i="31" s="1"/>
  <c r="D77" i="56"/>
  <c r="F33" i="31" s="1"/>
  <c r="D78" i="56"/>
  <c r="F24" i="31" s="1"/>
  <c r="D79" i="56"/>
  <c r="F28" i="31" s="1"/>
  <c r="D80" i="56"/>
  <c r="F9" i="31" s="1"/>
  <c r="D81" i="56"/>
  <c r="F6" i="31" s="1"/>
  <c r="D82" i="56"/>
  <c r="F85" i="31" s="1"/>
  <c r="D83" i="56"/>
  <c r="F32" i="31" s="1"/>
  <c r="D84" i="56"/>
  <c r="F54" i="31" s="1"/>
  <c r="D85" i="56"/>
  <c r="F22" i="31" s="1"/>
  <c r="D86" i="56"/>
  <c r="F19" i="31" s="1"/>
  <c r="D87" i="56"/>
  <c r="F43" i="31" s="1"/>
  <c r="D88" i="56"/>
  <c r="F11" i="31" s="1"/>
  <c r="D89" i="56"/>
  <c r="F25" i="31" s="1"/>
  <c r="D90" i="56"/>
  <c r="F42" i="31" s="1"/>
  <c r="D91" i="56"/>
  <c r="F4" i="31" s="1"/>
  <c r="D92" i="56"/>
  <c r="F5" i="31" s="1"/>
  <c r="D93" i="56"/>
  <c r="F26" i="31" s="1"/>
  <c r="D94" i="56"/>
  <c r="F30" i="31" s="1"/>
  <c r="D95" i="56"/>
  <c r="F36" i="31" s="1"/>
  <c r="D96" i="56"/>
  <c r="F7" i="31" s="1"/>
  <c r="D97" i="56"/>
  <c r="F50" i="31" s="1"/>
  <c r="D98" i="56"/>
  <c r="F122" i="31" s="1"/>
  <c r="D99" i="56"/>
  <c r="F132" i="31" s="1"/>
  <c r="D100" i="56"/>
  <c r="F133" i="31" s="1"/>
  <c r="D101" i="56"/>
  <c r="F3" i="31" s="1"/>
  <c r="D102" i="56"/>
  <c r="F12" i="31" s="1"/>
  <c r="B105" i="56"/>
  <c r="C105" i="56"/>
  <c r="D105" i="56" l="1"/>
  <c r="F39" i="31"/>
  <c r="F56" i="31"/>
  <c r="F81" i="31"/>
  <c r="F135" i="31"/>
  <c r="F16" i="31"/>
  <c r="F127" i="31"/>
  <c r="F67" i="31"/>
  <c r="F111" i="31"/>
  <c r="F119" i="31"/>
  <c r="D141" i="31" l="1"/>
  <c r="E140" i="31"/>
  <c r="E141" i="31" s="1"/>
  <c r="D92" i="54"/>
  <c r="D3" i="31" s="1"/>
  <c r="B30" i="55" l="1"/>
  <c r="B84" i="55"/>
  <c r="D84" i="55" s="1"/>
  <c r="E11" i="31" s="1"/>
  <c r="C105" i="55"/>
  <c r="D51" i="55"/>
  <c r="E31" i="31" s="1"/>
  <c r="D43" i="55"/>
  <c r="E21" i="31" s="1"/>
  <c r="D74" i="55"/>
  <c r="E27" i="31" s="1"/>
  <c r="D96" i="55"/>
  <c r="E36" i="31" s="1"/>
  <c r="D54" i="55"/>
  <c r="E35" i="31" s="1"/>
  <c r="D85" i="55"/>
  <c r="E22" i="31" s="1"/>
  <c r="D80" i="55"/>
  <c r="E30" i="31" s="1"/>
  <c r="D93" i="55"/>
  <c r="E20" i="31" s="1"/>
  <c r="D57" i="55"/>
  <c r="E19" i="31" s="1"/>
  <c r="D49" i="55"/>
  <c r="E29" i="31" s="1"/>
  <c r="D86" i="55"/>
  <c r="E32" i="31" s="1"/>
  <c r="D69" i="55"/>
  <c r="E24" i="31" s="1"/>
  <c r="D100" i="55"/>
  <c r="E3" i="31" s="1"/>
  <c r="D77" i="55"/>
  <c r="E34" i="31" s="1"/>
  <c r="D15" i="55"/>
  <c r="E23" i="31" s="1"/>
  <c r="D63" i="55"/>
  <c r="E33" i="31" s="1"/>
  <c r="D92" i="55"/>
  <c r="E26" i="31" s="1"/>
  <c r="D87" i="55"/>
  <c r="E25" i="31" s="1"/>
  <c r="D94" i="55"/>
  <c r="E18" i="31" s="1"/>
  <c r="D70" i="55"/>
  <c r="E28" i="31" s="1"/>
  <c r="D52" i="55"/>
  <c r="E116" i="31" s="1"/>
  <c r="D58" i="55"/>
  <c r="E115" i="31" s="1"/>
  <c r="D81" i="55"/>
  <c r="E4" i="31" s="1"/>
  <c r="D82" i="55"/>
  <c r="E114" i="31" s="1"/>
  <c r="D73" i="55"/>
  <c r="E117" i="31" s="1"/>
  <c r="D48" i="55"/>
  <c r="E113" i="31" s="1"/>
  <c r="D72" i="55"/>
  <c r="E14" i="31" s="1"/>
  <c r="D90" i="55"/>
  <c r="E8" i="31" s="1"/>
  <c r="D83" i="55"/>
  <c r="E6" i="31" s="1"/>
  <c r="D98" i="55"/>
  <c r="E9" i="31" s="1"/>
  <c r="D102" i="55"/>
  <c r="E12" i="31" s="1"/>
  <c r="D78" i="55"/>
  <c r="E7" i="31" s="1"/>
  <c r="D53" i="55"/>
  <c r="E132" i="31" s="1"/>
  <c r="D61" i="55"/>
  <c r="E131" i="31" s="1"/>
  <c r="D88" i="55"/>
  <c r="E5" i="31" s="1"/>
  <c r="D35" i="55"/>
  <c r="D22" i="55"/>
  <c r="E98" i="31" s="1"/>
  <c r="D23" i="55"/>
  <c r="E95" i="31" s="1"/>
  <c r="D25" i="55"/>
  <c r="E94" i="31" s="1"/>
  <c r="D10" i="55"/>
  <c r="E93" i="31" s="1"/>
  <c r="D31" i="55"/>
  <c r="E97" i="31" s="1"/>
  <c r="D24" i="55"/>
  <c r="E96" i="31" s="1"/>
  <c r="D33" i="55"/>
  <c r="E92" i="31" s="1"/>
  <c r="D21" i="55"/>
  <c r="E91" i="31" s="1"/>
  <c r="D50" i="55"/>
  <c r="E90" i="31" s="1"/>
  <c r="D32" i="55"/>
  <c r="E10" i="31" s="1"/>
  <c r="D13" i="55"/>
  <c r="E88" i="31" s="1"/>
  <c r="D71" i="55"/>
  <c r="E89" i="31" s="1"/>
  <c r="D7" i="55"/>
  <c r="D39" i="55"/>
  <c r="E73" i="31" s="1"/>
  <c r="D37" i="55"/>
  <c r="E78" i="31" s="1"/>
  <c r="Q81" i="31" s="1"/>
  <c r="D60" i="55"/>
  <c r="E101" i="31" s="1"/>
  <c r="D6" i="55"/>
  <c r="E65" i="31" s="1"/>
  <c r="D17" i="55"/>
  <c r="D26" i="55"/>
  <c r="E63" i="31" s="1"/>
  <c r="D27" i="55"/>
  <c r="E61" i="31" s="1"/>
  <c r="D9" i="55"/>
  <c r="E79" i="31" s="1"/>
  <c r="D36" i="55"/>
  <c r="E87" i="31" s="1"/>
  <c r="D12" i="55"/>
  <c r="E60" i="31" s="1"/>
  <c r="D14" i="55"/>
  <c r="E62" i="31" s="1"/>
  <c r="D16" i="55"/>
  <c r="E77" i="31" s="1"/>
  <c r="D41" i="55"/>
  <c r="E64" i="31" s="1"/>
  <c r="D11" i="55"/>
  <c r="D8" i="55"/>
  <c r="E59" i="31" s="1"/>
  <c r="D18" i="55"/>
  <c r="E70" i="31" s="1"/>
  <c r="D38" i="55"/>
  <c r="E74" i="31" s="1"/>
  <c r="D42" i="55"/>
  <c r="E123" i="31" s="1"/>
  <c r="D55" i="55"/>
  <c r="E69" i="31" s="1"/>
  <c r="D19" i="55"/>
  <c r="E71" i="31" s="1"/>
  <c r="D40" i="55"/>
  <c r="E76" i="31" s="1"/>
  <c r="D29" i="55"/>
  <c r="E75" i="31" s="1"/>
  <c r="D46" i="55"/>
  <c r="E124" i="31" s="1"/>
  <c r="D56" i="55"/>
  <c r="E42" i="31" s="1"/>
  <c r="D64" i="55"/>
  <c r="D79" i="55"/>
  <c r="E121" i="31" s="1"/>
  <c r="D28" i="55"/>
  <c r="E41" i="31" s="1"/>
  <c r="D20" i="55"/>
  <c r="E72" i="31" s="1"/>
  <c r="D34" i="55"/>
  <c r="E58" i="31" s="1"/>
  <c r="D67" i="55"/>
  <c r="E45" i="31" s="1"/>
  <c r="D101" i="55"/>
  <c r="E50" i="31" s="1"/>
  <c r="D62" i="55"/>
  <c r="E43" i="31" s="1"/>
  <c r="D91" i="55"/>
  <c r="E49" i="31" s="1"/>
  <c r="D66" i="55"/>
  <c r="E46" i="31" s="1"/>
  <c r="D45" i="55"/>
  <c r="E13" i="31" s="1"/>
  <c r="D65" i="55"/>
  <c r="E85" i="31" s="1"/>
  <c r="D44" i="55"/>
  <c r="E52" i="31" s="1"/>
  <c r="D59" i="55"/>
  <c r="E44" i="31" s="1"/>
  <c r="D68" i="55"/>
  <c r="E51" i="31" s="1"/>
  <c r="D99" i="55"/>
  <c r="E48" i="31" s="1"/>
  <c r="D95" i="55"/>
  <c r="E54" i="31" s="1"/>
  <c r="D47" i="55"/>
  <c r="E53" i="31" s="1"/>
  <c r="D97" i="55"/>
  <c r="E133" i="31" s="1"/>
  <c r="D89" i="55"/>
  <c r="E129" i="31" s="1"/>
  <c r="D75" i="55"/>
  <c r="E130" i="31" s="1"/>
  <c r="D76" i="55"/>
  <c r="E122" i="31" s="1"/>
  <c r="E39" i="31" l="1"/>
  <c r="D30" i="55"/>
  <c r="E47" i="31" s="1"/>
  <c r="E56" i="31" s="1"/>
  <c r="B105" i="55"/>
  <c r="D105" i="55" s="1"/>
  <c r="E135" i="31"/>
  <c r="E67" i="31"/>
  <c r="E81" i="31"/>
  <c r="E127" i="31"/>
  <c r="E119" i="31"/>
  <c r="E111" i="31"/>
  <c r="E16" i="31"/>
  <c r="D6" i="54" l="1"/>
  <c r="D11" i="31" s="1"/>
  <c r="D7" i="54"/>
  <c r="D122" i="31" s="1"/>
  <c r="D8" i="54"/>
  <c r="D130" i="31" s="1"/>
  <c r="C105" i="54"/>
  <c r="B105" i="54"/>
  <c r="D104" i="54"/>
  <c r="D31" i="31" s="1"/>
  <c r="D103" i="54"/>
  <c r="D21" i="31" s="1"/>
  <c r="D102" i="54"/>
  <c r="D27" i="31" s="1"/>
  <c r="D101" i="54"/>
  <c r="D36" i="31" s="1"/>
  <c r="D100" i="54"/>
  <c r="D35" i="31" s="1"/>
  <c r="D99" i="54"/>
  <c r="D22" i="31" s="1"/>
  <c r="D98" i="54"/>
  <c r="D30" i="31" s="1"/>
  <c r="D97" i="54"/>
  <c r="D20" i="31" s="1"/>
  <c r="D95" i="54"/>
  <c r="D29" i="31" s="1"/>
  <c r="D94" i="54"/>
  <c r="D32" i="31" s="1"/>
  <c r="D93" i="54"/>
  <c r="D24" i="31" s="1"/>
  <c r="D91" i="54"/>
  <c r="D34" i="31" s="1"/>
  <c r="D90" i="54"/>
  <c r="D23" i="31" s="1"/>
  <c r="D89" i="54"/>
  <c r="D33" i="31" s="1"/>
  <c r="D88" i="54"/>
  <c r="D26" i="31" s="1"/>
  <c r="D87" i="54"/>
  <c r="D25" i="31" s="1"/>
  <c r="D86" i="54"/>
  <c r="D18" i="31" s="1"/>
  <c r="D85" i="54"/>
  <c r="D28" i="31" s="1"/>
  <c r="D84" i="54"/>
  <c r="D116" i="31" s="1"/>
  <c r="D83" i="54"/>
  <c r="D115" i="31" s="1"/>
  <c r="D82" i="54"/>
  <c r="D4" i="31" s="1"/>
  <c r="D81" i="54"/>
  <c r="D114" i="31" s="1"/>
  <c r="D80" i="54"/>
  <c r="D117" i="31" s="1"/>
  <c r="D79" i="54"/>
  <c r="D113" i="31" s="1"/>
  <c r="D78" i="54"/>
  <c r="D14" i="31" s="1"/>
  <c r="D77" i="54"/>
  <c r="D8" i="31" s="1"/>
  <c r="D76" i="54"/>
  <c r="D6" i="31" s="1"/>
  <c r="D75" i="54"/>
  <c r="D9" i="31" s="1"/>
  <c r="D74" i="54"/>
  <c r="D12" i="31" s="1"/>
  <c r="D73" i="54"/>
  <c r="D7" i="31" s="1"/>
  <c r="D72" i="54"/>
  <c r="D132" i="31" s="1"/>
  <c r="D71" i="54"/>
  <c r="D131" i="31" s="1"/>
  <c r="D70" i="54"/>
  <c r="D5" i="31" s="1"/>
  <c r="D69" i="54"/>
  <c r="D67" i="54"/>
  <c r="D98" i="31" s="1"/>
  <c r="D66" i="54"/>
  <c r="D95" i="31" s="1"/>
  <c r="D65" i="54"/>
  <c r="D94" i="31" s="1"/>
  <c r="D64" i="54"/>
  <c r="D93" i="31" s="1"/>
  <c r="D63" i="54"/>
  <c r="D97" i="31" s="1"/>
  <c r="D62" i="54"/>
  <c r="D96" i="31" s="1"/>
  <c r="D61" i="54"/>
  <c r="D92" i="31" s="1"/>
  <c r="D60" i="54"/>
  <c r="D91" i="31" s="1"/>
  <c r="D59" i="54"/>
  <c r="D90" i="31" s="1"/>
  <c r="D58" i="54"/>
  <c r="D10" i="31" s="1"/>
  <c r="D56" i="54"/>
  <c r="D89" i="31" s="1"/>
  <c r="D55" i="54"/>
  <c r="D54" i="54"/>
  <c r="D73" i="31" s="1"/>
  <c r="D53" i="54"/>
  <c r="D78" i="31" s="1"/>
  <c r="P81" i="31" s="1"/>
  <c r="D52" i="54"/>
  <c r="D101" i="31" s="1"/>
  <c r="D51" i="54"/>
  <c r="D65" i="31" s="1"/>
  <c r="D50" i="54"/>
  <c r="D49" i="54"/>
  <c r="D63" i="31" s="1"/>
  <c r="D48" i="54"/>
  <c r="D61" i="31" s="1"/>
  <c r="D47" i="54"/>
  <c r="D79" i="31" s="1"/>
  <c r="D46" i="54"/>
  <c r="D87" i="31" s="1"/>
  <c r="D45" i="54"/>
  <c r="D60" i="31" s="1"/>
  <c r="D44" i="54"/>
  <c r="D62" i="31" s="1"/>
  <c r="D43" i="54"/>
  <c r="D77" i="31" s="1"/>
  <c r="D42" i="54"/>
  <c r="D64" i="31" s="1"/>
  <c r="D41" i="54"/>
  <c r="D40" i="54"/>
  <c r="D59" i="31" s="1"/>
  <c r="D39" i="54"/>
  <c r="D70" i="31" s="1"/>
  <c r="D38" i="54"/>
  <c r="D74" i="31" s="1"/>
  <c r="D37" i="54"/>
  <c r="D123" i="31" s="1"/>
  <c r="D36" i="54"/>
  <c r="D69" i="31" s="1"/>
  <c r="D35" i="54"/>
  <c r="D71" i="31" s="1"/>
  <c r="D34" i="54"/>
  <c r="D76" i="31" s="1"/>
  <c r="D33" i="54"/>
  <c r="D75" i="31" s="1"/>
  <c r="D32" i="54"/>
  <c r="D124" i="31" s="1"/>
  <c r="D31" i="54"/>
  <c r="D42" i="31" s="1"/>
  <c r="D30" i="54"/>
  <c r="D29" i="54"/>
  <c r="D121" i="31" s="1"/>
  <c r="D28" i="54"/>
  <c r="D41" i="31" s="1"/>
  <c r="D27" i="54"/>
  <c r="D72" i="31" s="1"/>
  <c r="D26" i="54"/>
  <c r="D58" i="31" s="1"/>
  <c r="D25" i="54"/>
  <c r="D45" i="31" s="1"/>
  <c r="D24" i="54"/>
  <c r="D50" i="31" s="1"/>
  <c r="D23" i="54"/>
  <c r="D43" i="31" s="1"/>
  <c r="D22" i="54"/>
  <c r="D47" i="31" s="1"/>
  <c r="D21" i="54"/>
  <c r="D49" i="31" s="1"/>
  <c r="D20" i="54"/>
  <c r="D46" i="31" s="1"/>
  <c r="D19" i="54"/>
  <c r="D13" i="31" s="1"/>
  <c r="D18" i="54"/>
  <c r="D85" i="31" s="1"/>
  <c r="D17" i="54"/>
  <c r="D52" i="31" s="1"/>
  <c r="D16" i="54"/>
  <c r="D44" i="31" s="1"/>
  <c r="D15" i="54"/>
  <c r="D51" i="31" s="1"/>
  <c r="D14" i="54"/>
  <c r="D48" i="31" s="1"/>
  <c r="D13" i="54"/>
  <c r="D54" i="31" s="1"/>
  <c r="D12" i="54"/>
  <c r="D53" i="31" s="1"/>
  <c r="D11" i="54"/>
  <c r="D107" i="31" s="1"/>
  <c r="D10" i="54"/>
  <c r="D133" i="31" s="1"/>
  <c r="D9" i="54"/>
  <c r="D129" i="31" s="1"/>
  <c r="D56" i="31" l="1"/>
  <c r="D39" i="31"/>
  <c r="D119" i="31"/>
  <c r="D67" i="31"/>
  <c r="D111" i="31"/>
  <c r="D127" i="31"/>
  <c r="D81" i="31"/>
  <c r="D16" i="31"/>
  <c r="D135" i="31"/>
  <c r="D105" i="54"/>
  <c r="J7246" i="1" l="1"/>
  <c r="J7086" i="1"/>
  <c r="J7199" i="1" l="1"/>
  <c r="M7199" i="1" s="1"/>
  <c r="J9287" i="1" l="1"/>
  <c r="J9240" i="1" l="1"/>
  <c r="M9240" i="1" s="1"/>
  <c r="J9235" i="1"/>
  <c r="M9235" i="1" s="1"/>
  <c r="J9211" i="1"/>
  <c r="M9211" i="1" s="1"/>
  <c r="J9208" i="1"/>
  <c r="M9208" i="1" s="1"/>
  <c r="J9206" i="1"/>
  <c r="M9206" i="1" s="1"/>
  <c r="J9203" i="1"/>
  <c r="M9203" i="1" s="1"/>
  <c r="J9201" i="1"/>
  <c r="M9201" i="1" s="1"/>
  <c r="J9198" i="1"/>
  <c r="M9198" i="1" s="1"/>
  <c r="J9194" i="1"/>
  <c r="J9164" i="1"/>
  <c r="J9162" i="1"/>
  <c r="J9156" i="1"/>
  <c r="M9156" i="1" s="1"/>
  <c r="J9150" i="1"/>
  <c r="J9158" i="1"/>
  <c r="J8517" i="1" l="1"/>
  <c r="M8517" i="1" s="1"/>
  <c r="J8514" i="1"/>
  <c r="M8514" i="1" s="1"/>
  <c r="J8511" i="1"/>
  <c r="M8511" i="1" s="1"/>
  <c r="J8508" i="1"/>
  <c r="M8508" i="1" s="1"/>
  <c r="J6340" i="1" l="1"/>
  <c r="J6292" i="1"/>
  <c r="J6290" i="1"/>
  <c r="M6290" i="1" s="1"/>
  <c r="J6187" i="1"/>
  <c r="M6187" i="1" s="1"/>
  <c r="J6095" i="1"/>
  <c r="M6095" i="1" s="1"/>
  <c r="J9140" i="1" l="1"/>
  <c r="J9126" i="1" l="1"/>
  <c r="J9119" i="1"/>
  <c r="J9100" i="1"/>
  <c r="J9097" i="1"/>
  <c r="J9076" i="1"/>
  <c r="J9071" i="1"/>
  <c r="J9057" i="1" l="1"/>
  <c r="M9057" i="1" s="1"/>
  <c r="J9028" i="1" l="1"/>
  <c r="J9035" i="1"/>
  <c r="M9035" i="1" s="1"/>
  <c r="J9033" i="1"/>
  <c r="J9030" i="1"/>
  <c r="M9030" i="1" s="1"/>
  <c r="J9003" i="1"/>
  <c r="J9001" i="1"/>
  <c r="M9001" i="1" s="1"/>
  <c r="J9015" i="1"/>
  <c r="M9015" i="1" s="1"/>
  <c r="J9012" i="1"/>
  <c r="M9012" i="1" s="1"/>
  <c r="J9010" i="1"/>
  <c r="J9008" i="1"/>
  <c r="J9006" i="1"/>
  <c r="J8999" i="1"/>
  <c r="M8999" i="1" s="1"/>
  <c r="J8997" i="1" l="1"/>
  <c r="J8994" i="1"/>
  <c r="J8992" i="1"/>
  <c r="M8987" i="1"/>
  <c r="J8983" i="1" l="1"/>
  <c r="M8983" i="1" s="1"/>
  <c r="J8981" i="1"/>
  <c r="M8981" i="1" s="1"/>
  <c r="J8977" i="1"/>
  <c r="M8977" i="1" s="1"/>
  <c r="J8975" i="1"/>
  <c r="M8975" i="1" s="1"/>
  <c r="J8954" i="1"/>
  <c r="M8954" i="1" s="1"/>
  <c r="J8949" i="1"/>
  <c r="J8944" i="1"/>
  <c r="J8962" i="1"/>
  <c r="J8959" i="1"/>
  <c r="J8941" i="1"/>
  <c r="J8936" i="1"/>
  <c r="J8934" i="1"/>
  <c r="J8919" i="1"/>
  <c r="M8919" i="1"/>
  <c r="J8924" i="1"/>
  <c r="M8924" i="1" s="1"/>
  <c r="J8921" i="1"/>
  <c r="M8921" i="1" s="1"/>
  <c r="L8886" i="1"/>
  <c r="J8868" i="1"/>
  <c r="J8863" i="1"/>
  <c r="J8859" i="1"/>
  <c r="J8854" i="1"/>
  <c r="M8854" i="1" s="1"/>
  <c r="J8847" i="1"/>
  <c r="J8827" i="1"/>
  <c r="M8827" i="1" s="1"/>
  <c r="J8830" i="1"/>
  <c r="J8824" i="1"/>
  <c r="J8789" i="1"/>
  <c r="J8785" i="1"/>
  <c r="J8783" i="1"/>
  <c r="J8779" i="1"/>
  <c r="J8777" i="1"/>
  <c r="J8773" i="1"/>
  <c r="J8770" i="1"/>
  <c r="J8747" i="1" l="1"/>
  <c r="J8726" i="1"/>
  <c r="J8722" i="1"/>
  <c r="J8716" i="1"/>
  <c r="M8716" i="1" s="1"/>
  <c r="J8690" i="1"/>
  <c r="M8690" i="1" s="1"/>
  <c r="J8698" i="1"/>
  <c r="J8696" i="1"/>
  <c r="J8677" i="1"/>
  <c r="J8660" i="1" l="1"/>
  <c r="J8662" i="1"/>
  <c r="J8657" i="1"/>
  <c r="M8657" i="1" s="1"/>
  <c r="J8627" i="1"/>
  <c r="J8623" i="1"/>
  <c r="J8621" i="1"/>
  <c r="M8621" i="1" s="1"/>
  <c r="J8599" i="1"/>
  <c r="J8595" i="1"/>
  <c r="M8595" i="1" s="1"/>
  <c r="J8590" i="1"/>
  <c r="M8590" i="1" s="1"/>
  <c r="J8585" i="1"/>
  <c r="M8585" i="1" s="1"/>
  <c r="J8572" i="1"/>
  <c r="J8568" i="1"/>
  <c r="M8568" i="1" s="1"/>
  <c r="J8563" i="1"/>
  <c r="M8563" i="1" s="1"/>
  <c r="J8541" i="1"/>
  <c r="M8541" i="1" s="1"/>
  <c r="J8537" i="1"/>
  <c r="M8537" i="1" s="1"/>
  <c r="J8534" i="1"/>
  <c r="M8534" i="1" s="1"/>
  <c r="J8493" i="1"/>
  <c r="M8493" i="1" s="1"/>
  <c r="J8490" i="1"/>
  <c r="M8490" i="1" s="1"/>
  <c r="J8477" i="1"/>
  <c r="M8477" i="1" s="1"/>
  <c r="J8474" i="1"/>
  <c r="M8474" i="1" s="1"/>
  <c r="J8471" i="1"/>
  <c r="J8437" i="1"/>
  <c r="J8456" i="1"/>
  <c r="M8456" i="1" s="1"/>
  <c r="J8452" i="1"/>
  <c r="M8452" i="1" s="1"/>
  <c r="J8446" i="1"/>
  <c r="M8446" i="1" s="1"/>
  <c r="M8442" i="1"/>
  <c r="J8431" i="1"/>
  <c r="M8431" i="1" s="1"/>
  <c r="J8427" i="1"/>
  <c r="M8427" i="1" s="1"/>
  <c r="J8424" i="1"/>
  <c r="M8424" i="1" s="1"/>
  <c r="J8400" i="1" l="1"/>
  <c r="M8400" i="1" s="1"/>
  <c r="J8398" i="1"/>
  <c r="J8396" i="1"/>
  <c r="M8396" i="1" s="1"/>
  <c r="J8376" i="1"/>
  <c r="M8376" i="1" s="1"/>
  <c r="J8372" i="1"/>
  <c r="M8372" i="1" s="1"/>
  <c r="J8370" i="1"/>
  <c r="M8370" i="1" s="1"/>
  <c r="J8365" i="1"/>
  <c r="M8365" i="1" s="1"/>
  <c r="J8342" i="1"/>
  <c r="M8342" i="1" s="1"/>
  <c r="J8337" i="1"/>
  <c r="M8337" i="1" s="1"/>
  <c r="J8333" i="1"/>
  <c r="M8333" i="1" s="1"/>
  <c r="M7889" i="1"/>
  <c r="J8108" i="1"/>
  <c r="M8108" i="1" s="1"/>
  <c r="J8106" i="1"/>
  <c r="M8106" i="1" s="1"/>
  <c r="J8018" i="1"/>
  <c r="M8018" i="1" s="1"/>
  <c r="J8016" i="1"/>
  <c r="M8016" i="1" s="1"/>
  <c r="J7892" i="1"/>
  <c r="M7892" i="1" s="1"/>
  <c r="J7890" i="1"/>
  <c r="M7890" i="1" s="1"/>
  <c r="J7453" i="1"/>
  <c r="J7376" i="1"/>
  <c r="M7376" i="1" s="1"/>
  <c r="J7248" i="1"/>
  <c r="J6992" i="1"/>
  <c r="M6992" i="1" s="1"/>
  <c r="J6977" i="1"/>
  <c r="M6977" i="1" s="1"/>
  <c r="J6742" i="1" l="1"/>
  <c r="J6739" i="1"/>
  <c r="J6737" i="1"/>
  <c r="M6737" i="1" s="1"/>
  <c r="J6617" i="1"/>
  <c r="M6617" i="1" s="1"/>
  <c r="J6507" i="1"/>
  <c r="J6036" i="1" l="1"/>
  <c r="M6036" i="1" s="1"/>
  <c r="M6035" i="1" l="1"/>
  <c r="M5770" i="1"/>
  <c r="J5547" i="1"/>
  <c r="M5547" i="1" s="1"/>
  <c r="J5119" i="1" l="1"/>
  <c r="M5119" i="1" s="1"/>
  <c r="J5022" i="1"/>
  <c r="M5022" i="1" s="1"/>
  <c r="J5017" i="1"/>
  <c r="M5017" i="1" s="1"/>
  <c r="J4845" i="1"/>
  <c r="M4845" i="1" s="1"/>
  <c r="J4841" i="1"/>
  <c r="M4841" i="1" s="1"/>
  <c r="J8014" i="1"/>
  <c r="M8014" i="1" s="1"/>
  <c r="J8012" i="1"/>
  <c r="J3514" i="1"/>
  <c r="M3514" i="1" s="1"/>
  <c r="J3518" i="1"/>
  <c r="M3518" i="1" s="1"/>
  <c r="J3187" i="1"/>
  <c r="M3187" i="1" s="1"/>
  <c r="J3068" i="1"/>
  <c r="J2774" i="1"/>
  <c r="M2774" i="1" s="1"/>
  <c r="J2714" i="1"/>
  <c r="J2400" i="1"/>
  <c r="J2159" i="1"/>
  <c r="J2157" i="1"/>
  <c r="M2157" i="1" s="1"/>
  <c r="M2159" i="1" l="1"/>
  <c r="M2400" i="1"/>
  <c r="M3068" i="1"/>
  <c r="L3513" i="1"/>
  <c r="M3513" i="1" s="1"/>
  <c r="L3515" i="1"/>
  <c r="M3515" i="1" s="1"/>
  <c r="L3516" i="1"/>
  <c r="M3516" i="1" s="1"/>
  <c r="L3517" i="1"/>
  <c r="M3517" i="1" s="1"/>
  <c r="L8010" i="1"/>
  <c r="M8010" i="1" s="1"/>
  <c r="L8011" i="1"/>
  <c r="M8011" i="1" s="1"/>
  <c r="M8012" i="1"/>
  <c r="L8013" i="1"/>
  <c r="M8013" i="1" s="1"/>
  <c r="L4078" i="1"/>
  <c r="M4078" i="1" s="1"/>
  <c r="L4079" i="1"/>
  <c r="M4079" i="1" s="1"/>
  <c r="L4080" i="1"/>
  <c r="M4080" i="1" s="1"/>
  <c r="L4081" i="1"/>
  <c r="M4081" i="1" s="1"/>
  <c r="L4179" i="1"/>
  <c r="M4179" i="1" s="1"/>
  <c r="L4196" i="1"/>
  <c r="M4196" i="1" s="1"/>
  <c r="L4197" i="1"/>
  <c r="M4197" i="1" s="1"/>
  <c r="L4293" i="1"/>
  <c r="M4293" i="1" s="1"/>
  <c r="L4714" i="1"/>
  <c r="M4714" i="1" s="1"/>
  <c r="L4716" i="1"/>
  <c r="M4716" i="1" s="1"/>
  <c r="L4717" i="1"/>
  <c r="M4717" i="1" s="1"/>
  <c r="L4718" i="1"/>
  <c r="M4718" i="1" s="1"/>
  <c r="L4842" i="1"/>
  <c r="L4843" i="1"/>
  <c r="M4843" i="1" s="1"/>
  <c r="L4844" i="1"/>
  <c r="M4844" i="1" s="1"/>
  <c r="L5016" i="1"/>
  <c r="M5016" i="1" s="1"/>
  <c r="L5018" i="1"/>
  <c r="M5018" i="1" s="1"/>
  <c r="L5019" i="1"/>
  <c r="M5019" i="1" s="1"/>
  <c r="L5020" i="1"/>
  <c r="M5020" i="1" s="1"/>
  <c r="L5021" i="1"/>
  <c r="M5021" i="1" s="1"/>
  <c r="L5023" i="1"/>
  <c r="M5023" i="1" s="1"/>
  <c r="L5426" i="1"/>
  <c r="M5426" i="1" s="1"/>
  <c r="L5427" i="1"/>
  <c r="M5427" i="1" s="1"/>
  <c r="L5428" i="1"/>
  <c r="M5428" i="1" s="1"/>
  <c r="L6035" i="1"/>
  <c r="M6292" i="1"/>
  <c r="M6340" i="1"/>
  <c r="M6507" i="1"/>
  <c r="L6741" i="1"/>
  <c r="M6741" i="1" s="1"/>
  <c r="M6742" i="1"/>
  <c r="L6743" i="1"/>
  <c r="M6743" i="1" s="1"/>
  <c r="M7453" i="1"/>
  <c r="L8107" i="1"/>
  <c r="M8107" i="1" s="1"/>
  <c r="L8369" i="1"/>
  <c r="M8369" i="1" s="1"/>
  <c r="L8371" i="1"/>
  <c r="M8371" i="1" s="1"/>
  <c r="L8373" i="1"/>
  <c r="M8373" i="1" s="1"/>
  <c r="L8374" i="1"/>
  <c r="M8374" i="1" s="1"/>
  <c r="L8375" i="1"/>
  <c r="M8375" i="1" s="1"/>
  <c r="L8377" i="1"/>
  <c r="M8377" i="1" s="1"/>
  <c r="L8447" i="1"/>
  <c r="M8447" i="1" s="1"/>
  <c r="L8448" i="1"/>
  <c r="M8448" i="1" s="1"/>
  <c r="L8449" i="1"/>
  <c r="M8449" i="1" s="1"/>
  <c r="L8450" i="1"/>
  <c r="M8450" i="1" s="1"/>
  <c r="L8451" i="1"/>
  <c r="M8451" i="1" s="1"/>
  <c r="L8453" i="1"/>
  <c r="M8453" i="1" s="1"/>
  <c r="L8454" i="1"/>
  <c r="M8454" i="1" s="1"/>
  <c r="L8455" i="1"/>
  <c r="M8455" i="1" s="1"/>
  <c r="L8473" i="1"/>
  <c r="M8473" i="1" s="1"/>
  <c r="L8475" i="1"/>
  <c r="M8475" i="1" s="1"/>
  <c r="L8476" i="1"/>
  <c r="M8476" i="1" s="1"/>
  <c r="M8572" i="1"/>
  <c r="M8599" i="1"/>
  <c r="M8627" i="1"/>
  <c r="M8696" i="1"/>
  <c r="M8698" i="1"/>
  <c r="M8722" i="1"/>
  <c r="M8726" i="1"/>
  <c r="L8751" i="1"/>
  <c r="M8751" i="1" s="1"/>
  <c r="M8783" i="1"/>
  <c r="M8785" i="1"/>
  <c r="M8789" i="1"/>
  <c r="M8830" i="1"/>
  <c r="M8863" i="1"/>
  <c r="M8868" i="1"/>
  <c r="M8934" i="1"/>
  <c r="M8936" i="1"/>
  <c r="M8941" i="1"/>
  <c r="M8959" i="1"/>
  <c r="M8962" i="1"/>
  <c r="M8997" i="1"/>
  <c r="M9033" i="1"/>
  <c r="M9076" i="1"/>
  <c r="M9100" i="1"/>
  <c r="M9126" i="1"/>
  <c r="M9140" i="1"/>
  <c r="M9194" i="1"/>
  <c r="L9321" i="1"/>
  <c r="M9321" i="1" s="1"/>
  <c r="L9322" i="1"/>
  <c r="M9322" i="1" s="1"/>
  <c r="L9323" i="1"/>
  <c r="M9323" i="1" s="1"/>
  <c r="L9324" i="1"/>
  <c r="M9324" i="1" s="1"/>
  <c r="L9325" i="1"/>
  <c r="M9325" i="1" s="1"/>
  <c r="L9326" i="1"/>
  <c r="M9326" i="1" s="1"/>
  <c r="L9327" i="1"/>
  <c r="M9327" i="1" s="1"/>
  <c r="L9328" i="1"/>
  <c r="M9328" i="1" s="1"/>
  <c r="L9329" i="1"/>
  <c r="M9329" i="1" s="1"/>
  <c r="L9353" i="1"/>
  <c r="M9353" i="1" s="1"/>
  <c r="L9376" i="1"/>
  <c r="M9376" i="1" s="1"/>
  <c r="L9377" i="1"/>
  <c r="M9377" i="1" s="1"/>
  <c r="L9378" i="1"/>
  <c r="M9378" i="1" s="1"/>
  <c r="L9397" i="1"/>
  <c r="M9397" i="1" s="1"/>
  <c r="L9398" i="1"/>
  <c r="M9398" i="1" s="1"/>
  <c r="L9399" i="1"/>
  <c r="M9399" i="1" s="1"/>
  <c r="L9400" i="1"/>
  <c r="M9400" i="1" s="1"/>
  <c r="L9401" i="1"/>
  <c r="M9401" i="1" s="1"/>
  <c r="L9420" i="1"/>
  <c r="M9420" i="1" s="1"/>
  <c r="L9432" i="1"/>
  <c r="M9432" i="1" s="1"/>
  <c r="L9433" i="1"/>
  <c r="M9433" i="1" s="1"/>
  <c r="L9434" i="1"/>
  <c r="M9434" i="1" s="1"/>
  <c r="L9447" i="1"/>
  <c r="M9447" i="1" s="1"/>
  <c r="L9448" i="1"/>
  <c r="M9448" i="1" s="1"/>
  <c r="L9449" i="1"/>
  <c r="M9449" i="1" s="1"/>
  <c r="L9450" i="1"/>
  <c r="M9450" i="1" s="1"/>
  <c r="L9469" i="1"/>
  <c r="M9469" i="1" s="1"/>
  <c r="L9470" i="1"/>
  <c r="M9470" i="1" s="1"/>
  <c r="L9471" i="1"/>
  <c r="M9471" i="1" s="1"/>
  <c r="L9472" i="1"/>
  <c r="M9472" i="1" s="1"/>
  <c r="L9473" i="1"/>
  <c r="M9473" i="1" s="1"/>
  <c r="L9474" i="1"/>
  <c r="M9474" i="1" s="1"/>
  <c r="L9475" i="1"/>
  <c r="M9475" i="1" s="1"/>
  <c r="L9504" i="1"/>
  <c r="M9504" i="1" s="1"/>
  <c r="L9507" i="1"/>
  <c r="M9507" i="1" s="1"/>
  <c r="I9506" i="1"/>
  <c r="I9502" i="1"/>
  <c r="J8532" i="1" l="1"/>
  <c r="M8532" i="1" s="1"/>
  <c r="M8437" i="1"/>
  <c r="J8004" i="1" l="1"/>
  <c r="M8004" i="1" s="1"/>
  <c r="M3448" i="1"/>
  <c r="M3335" i="1"/>
  <c r="J3449" i="1"/>
  <c r="M3449" i="1" s="1"/>
  <c r="J2164" i="1" l="1"/>
  <c r="M2164" i="1" s="1"/>
  <c r="J2396" i="1"/>
  <c r="M2396" i="1" s="1"/>
  <c r="M6435" i="1" l="1"/>
  <c r="J6435" i="1" l="1"/>
  <c r="M5915" i="1"/>
  <c r="M6032" i="1"/>
  <c r="M6033" i="1"/>
  <c r="M6034" i="1"/>
  <c r="M5914" i="1"/>
  <c r="M5880" i="1"/>
  <c r="M5905" i="1"/>
  <c r="M5777" i="1"/>
  <c r="M5769" i="1"/>
  <c r="M5767" i="1"/>
  <c r="M5765" i="1"/>
  <c r="J5906" i="1"/>
  <c r="M5906" i="1" s="1"/>
  <c r="J5324" i="1"/>
  <c r="J5322" i="1" l="1"/>
  <c r="J5254" i="1"/>
  <c r="M5254" i="1" s="1"/>
  <c r="J5233" i="1"/>
  <c r="M4853" i="1"/>
  <c r="J4713" i="1"/>
  <c r="J4662" i="1"/>
  <c r="M4662" i="1" s="1"/>
  <c r="M8009" i="1"/>
  <c r="J8008" i="1"/>
  <c r="M8008" i="1" s="1"/>
  <c r="M8003" i="1"/>
  <c r="J8005" i="1"/>
  <c r="M8005" i="1" s="1"/>
  <c r="M3457" i="1"/>
  <c r="M3458" i="1" l="1"/>
  <c r="J3456" i="1" l="1"/>
  <c r="M3456" i="1" s="1"/>
  <c r="J3453" i="1"/>
  <c r="M3453" i="1" s="1"/>
  <c r="J3450" i="1"/>
  <c r="M3450" i="1" s="1"/>
  <c r="J3010" i="1"/>
  <c r="M3010" i="1" s="1"/>
  <c r="J3007" i="1"/>
  <c r="M3007" i="1" s="1"/>
  <c r="J3005" i="1"/>
  <c r="M3005" i="1" s="1"/>
  <c r="M2714" i="1"/>
  <c r="J2331" i="1" l="1"/>
  <c r="M2331" i="1" s="1"/>
  <c r="J2284" i="1"/>
  <c r="M2284" i="1" s="1"/>
  <c r="J8849" i="1"/>
  <c r="M8849" i="1" s="1"/>
  <c r="M9374" i="1"/>
  <c r="J9375" i="1"/>
  <c r="M9375" i="1" s="1"/>
  <c r="L8850" i="1" l="1"/>
  <c r="M8850" i="1" s="1"/>
  <c r="L8852" i="1"/>
  <c r="L8856" i="1"/>
  <c r="M8856" i="1" s="1"/>
  <c r="L3451" i="1"/>
  <c r="M3451" i="1" s="1"/>
  <c r="L3454" i="1"/>
  <c r="M3454" i="1" s="1"/>
  <c r="L3455" i="1"/>
  <c r="M3455" i="1" s="1"/>
  <c r="L8006" i="1"/>
  <c r="M8006" i="1" s="1"/>
  <c r="L8007" i="1"/>
  <c r="M8007" i="1" s="1"/>
  <c r="L4023" i="1"/>
  <c r="M4023" i="1" s="1"/>
  <c r="L4024" i="1"/>
  <c r="M4024" i="1" s="1"/>
  <c r="L4025" i="1"/>
  <c r="M4025" i="1" s="1"/>
  <c r="L4026" i="1"/>
  <c r="M4026" i="1" s="1"/>
  <c r="L4027" i="1"/>
  <c r="M4027" i="1" s="1"/>
  <c r="L4028" i="1"/>
  <c r="M4028" i="1" s="1"/>
  <c r="L4029" i="1"/>
  <c r="M4029" i="1" s="1"/>
  <c r="L4619" i="1"/>
  <c r="M4619" i="1" s="1"/>
  <c r="L4659" i="1"/>
  <c r="M4659" i="1" s="1"/>
  <c r="L4660" i="1"/>
  <c r="M4660" i="1" s="1"/>
  <c r="L4661" i="1"/>
  <c r="M4661" i="1" s="1"/>
  <c r="L4665" i="1"/>
  <c r="M4665" i="1" s="1"/>
  <c r="L4710" i="1"/>
  <c r="M4710" i="1" s="1"/>
  <c r="L4711" i="1"/>
  <c r="M4711" i="1" s="1"/>
  <c r="L4712" i="1"/>
  <c r="M4712" i="1" s="1"/>
  <c r="M4713" i="1"/>
  <c r="L4854" i="1"/>
  <c r="M4854" i="1" s="1"/>
  <c r="L4855" i="1"/>
  <c r="M4855" i="1" s="1"/>
  <c r="L5013" i="1"/>
  <c r="M5013" i="1" s="1"/>
  <c r="L5014" i="1"/>
  <c r="M5014" i="1" s="1"/>
  <c r="L5015" i="1"/>
  <c r="M5015" i="1" s="1"/>
  <c r="L5230" i="1"/>
  <c r="M5230" i="1" s="1"/>
  <c r="L5231" i="1"/>
  <c r="M5231" i="1" s="1"/>
  <c r="L5232" i="1"/>
  <c r="M5232" i="1" s="1"/>
  <c r="M5233" i="1"/>
  <c r="L5253" i="1"/>
  <c r="M5253" i="1" s="1"/>
  <c r="L5255" i="1"/>
  <c r="M5255" i="1" s="1"/>
  <c r="L5320" i="1"/>
  <c r="M5320" i="1" s="1"/>
  <c r="L5321" i="1"/>
  <c r="M5321" i="1" s="1"/>
  <c r="L5323" i="1"/>
  <c r="M5323" i="1" s="1"/>
  <c r="M5324" i="1"/>
  <c r="L5777" i="1"/>
  <c r="L5880" i="1"/>
  <c r="L5905" i="1"/>
  <c r="L5914" i="1"/>
  <c r="L5915" i="1"/>
  <c r="L6032" i="1"/>
  <c r="L6033" i="1"/>
  <c r="L6034" i="1"/>
  <c r="L6435" i="1"/>
  <c r="L6616" i="1"/>
  <c r="M6616" i="1" s="1"/>
  <c r="L6618" i="1"/>
  <c r="M6618" i="1" s="1"/>
  <c r="L6619" i="1"/>
  <c r="M6619" i="1" s="1"/>
  <c r="L6735" i="1"/>
  <c r="M6735" i="1" s="1"/>
  <c r="L6736" i="1"/>
  <c r="M6736" i="1" s="1"/>
  <c r="L6738" i="1"/>
  <c r="M6738" i="1" s="1"/>
  <c r="M6739" i="1"/>
  <c r="L6740" i="1"/>
  <c r="M6740" i="1" s="1"/>
  <c r="M7246" i="1"/>
  <c r="M7248" i="1"/>
  <c r="L7889" i="1"/>
  <c r="L7891" i="1"/>
  <c r="M7891" i="1" s="1"/>
  <c r="L7910" i="1"/>
  <c r="M7910" i="1" s="1"/>
  <c r="L8015" i="1"/>
  <c r="M8015" i="1" s="1"/>
  <c r="L8017" i="1"/>
  <c r="M8017" i="1" s="1"/>
  <c r="L8019" i="1"/>
  <c r="M8019" i="1" s="1"/>
  <c r="L8366" i="1"/>
  <c r="M8366" i="1" s="1"/>
  <c r="L8367" i="1"/>
  <c r="M8367" i="1" s="1"/>
  <c r="L8368" i="1"/>
  <c r="M8368" i="1" s="1"/>
  <c r="M8398" i="1"/>
  <c r="L8402" i="1"/>
  <c r="M8402" i="1" s="1"/>
  <c r="L8439" i="1"/>
  <c r="L8440" i="1"/>
  <c r="L8441" i="1"/>
  <c r="M8441" i="1" s="1"/>
  <c r="L8442" i="1"/>
  <c r="L8443" i="1"/>
  <c r="M8443" i="1" s="1"/>
  <c r="L8444" i="1"/>
  <c r="M8444" i="1" s="1"/>
  <c r="L8445" i="1"/>
  <c r="M8445" i="1" s="1"/>
  <c r="L8469" i="1"/>
  <c r="M8469" i="1" s="1"/>
  <c r="L8470" i="1"/>
  <c r="M8470" i="1" s="1"/>
  <c r="M8471" i="1"/>
  <c r="L8472" i="1"/>
  <c r="M8472" i="1" s="1"/>
  <c r="M8623" i="1"/>
  <c r="M8660" i="1"/>
  <c r="M8662" i="1"/>
  <c r="M8677" i="1"/>
  <c r="M8747" i="1"/>
  <c r="M8770" i="1"/>
  <c r="M8773" i="1"/>
  <c r="M8777" i="1"/>
  <c r="M8779" i="1"/>
  <c r="M8824" i="1"/>
  <c r="M8847" i="1"/>
  <c r="M8859" i="1"/>
  <c r="L8873" i="1"/>
  <c r="M8873" i="1" s="1"/>
  <c r="L8874" i="1"/>
  <c r="M8874" i="1" s="1"/>
  <c r="L8875" i="1"/>
  <c r="M8875" i="1" s="1"/>
  <c r="L8876" i="1"/>
  <c r="M8876" i="1" s="1"/>
  <c r="L8877" i="1"/>
  <c r="M8877" i="1" s="1"/>
  <c r="L8878" i="1"/>
  <c r="M8878" i="1" s="1"/>
  <c r="L8879" i="1"/>
  <c r="M8879" i="1" s="1"/>
  <c r="L8880" i="1"/>
  <c r="M8880" i="1" s="1"/>
  <c r="L8881" i="1"/>
  <c r="M8881" i="1" s="1"/>
  <c r="L8885" i="1"/>
  <c r="M8885" i="1" s="1"/>
  <c r="M8886" i="1"/>
  <c r="L8894" i="1"/>
  <c r="M8894" i="1" s="1"/>
  <c r="L8895" i="1"/>
  <c r="M8895" i="1" s="1"/>
  <c r="L8896" i="1"/>
  <c r="M8896" i="1" s="1"/>
  <c r="L8897" i="1"/>
  <c r="M8897" i="1" s="1"/>
  <c r="L8898" i="1"/>
  <c r="M8898" i="1" s="1"/>
  <c r="L8906" i="1"/>
  <c r="M8906" i="1" s="1"/>
  <c r="L8907" i="1"/>
  <c r="M8907" i="1" s="1"/>
  <c r="L8908" i="1"/>
  <c r="M8908" i="1" s="1"/>
  <c r="L8909" i="1"/>
  <c r="M8909" i="1" s="1"/>
  <c r="L8910" i="1"/>
  <c r="M8910" i="1" s="1"/>
  <c r="L8911" i="1"/>
  <c r="M8911" i="1" s="1"/>
  <c r="L8912" i="1"/>
  <c r="M8912" i="1" s="1"/>
  <c r="L8913" i="1"/>
  <c r="M8913" i="1" s="1"/>
  <c r="M8992" i="1"/>
  <c r="M8994" i="1"/>
  <c r="M9006" i="1"/>
  <c r="M9008" i="1"/>
  <c r="M9010" i="1"/>
  <c r="M9028" i="1"/>
  <c r="M9071" i="1"/>
  <c r="M9097" i="1"/>
  <c r="M9119" i="1"/>
  <c r="M9158" i="1"/>
  <c r="M9162" i="1"/>
  <c r="M9164" i="1"/>
  <c r="L9320" i="1"/>
  <c r="M9320" i="1" s="1"/>
  <c r="L9345" i="1"/>
  <c r="M9345" i="1" s="1"/>
  <c r="L9349" i="1"/>
  <c r="M9349" i="1" s="1"/>
  <c r="L9372" i="1"/>
  <c r="M9372" i="1" s="1"/>
  <c r="L9373" i="1"/>
  <c r="M9373" i="1" s="1"/>
  <c r="L9393" i="1"/>
  <c r="M9393" i="1" s="1"/>
  <c r="L9394" i="1"/>
  <c r="M9394" i="1" s="1"/>
  <c r="L9395" i="1"/>
  <c r="M9395" i="1" s="1"/>
  <c r="L9396" i="1"/>
  <c r="M9396" i="1" s="1"/>
  <c r="L9414" i="1"/>
  <c r="M9414" i="1" s="1"/>
  <c r="L9415" i="1"/>
  <c r="M9415" i="1" s="1"/>
  <c r="L9416" i="1"/>
  <c r="M9416" i="1" s="1"/>
  <c r="L9417" i="1"/>
  <c r="M9417" i="1" s="1"/>
  <c r="L9418" i="1"/>
  <c r="M9418" i="1" s="1"/>
  <c r="L9419" i="1"/>
  <c r="M9419" i="1" s="1"/>
  <c r="L9426" i="1"/>
  <c r="M9426" i="1" s="1"/>
  <c r="L9427" i="1"/>
  <c r="M9427" i="1" s="1"/>
  <c r="L9428" i="1"/>
  <c r="M9428" i="1" s="1"/>
  <c r="L9429" i="1"/>
  <c r="M9429" i="1" s="1"/>
  <c r="L9430" i="1"/>
  <c r="M9430" i="1" s="1"/>
  <c r="L9431" i="1"/>
  <c r="M9431" i="1" s="1"/>
  <c r="L9442" i="1"/>
  <c r="M9442" i="1" s="1"/>
  <c r="L9443" i="1"/>
  <c r="M9443" i="1" s="1"/>
  <c r="L9444" i="1"/>
  <c r="M9444" i="1" s="1"/>
  <c r="L9445" i="1"/>
  <c r="M9445" i="1" s="1"/>
  <c r="L9446" i="1"/>
  <c r="M9446" i="1" s="1"/>
  <c r="L9458" i="1"/>
  <c r="M9458" i="1" s="1"/>
  <c r="L9459" i="1"/>
  <c r="M9459" i="1" s="1"/>
  <c r="L9460" i="1"/>
  <c r="M9460" i="1" s="1"/>
  <c r="L9461" i="1"/>
  <c r="M9461" i="1" s="1"/>
  <c r="L9462" i="1"/>
  <c r="M9462" i="1" s="1"/>
  <c r="L9463" i="1"/>
  <c r="M9463" i="1" s="1"/>
  <c r="L9464" i="1"/>
  <c r="M9464" i="1" s="1"/>
  <c r="L9465" i="1"/>
  <c r="M9465" i="1" s="1"/>
  <c r="L9466" i="1"/>
  <c r="M9466" i="1" s="1"/>
  <c r="L9467" i="1"/>
  <c r="M9467" i="1" s="1"/>
  <c r="L9468" i="1"/>
  <c r="M9468" i="1" s="1"/>
  <c r="L9494" i="1"/>
  <c r="M9494" i="1" s="1"/>
  <c r="L9500" i="1"/>
  <c r="M9500" i="1" s="1"/>
  <c r="J9643" i="1" l="1"/>
  <c r="M9643" i="1" s="1"/>
  <c r="J9555" i="1"/>
  <c r="M9555" i="1" s="1"/>
  <c r="J9550" i="1"/>
  <c r="M9550" i="1" s="1"/>
  <c r="J9548" i="1"/>
  <c r="M9548" i="1" s="1"/>
  <c r="J9512" i="1"/>
  <c r="M9512" i="1" s="1"/>
  <c r="J9492" i="1"/>
  <c r="M9492" i="1" s="1"/>
  <c r="J9489" i="1"/>
  <c r="M9489" i="1" s="1"/>
  <c r="J9456" i="1"/>
  <c r="J9441" i="1"/>
  <c r="M9441" i="1" s="1"/>
  <c r="M9424" i="1"/>
  <c r="J9425" i="1"/>
  <c r="M9425" i="1" s="1"/>
  <c r="J9392" i="1"/>
  <c r="M9392" i="1" s="1"/>
  <c r="M9389" i="1"/>
  <c r="M9390" i="1"/>
  <c r="M9391" i="1"/>
  <c r="M9388" i="1"/>
  <c r="M9386" i="1"/>
  <c r="J9387" i="1"/>
  <c r="M9387" i="1" s="1"/>
  <c r="J9342" i="1"/>
  <c r="M9342" i="1" s="1"/>
  <c r="M9319" i="1"/>
  <c r="M9316" i="1"/>
  <c r="M9317" i="1"/>
  <c r="M9315" i="1"/>
  <c r="M9313" i="1"/>
  <c r="J9318" i="1"/>
  <c r="M9318" i="1" s="1"/>
  <c r="J9256" i="1"/>
  <c r="M9256" i="1" s="1"/>
  <c r="J9253" i="1"/>
  <c r="M9253" i="1" s="1"/>
  <c r="J9229" i="1"/>
  <c r="M9229" i="1" s="1"/>
  <c r="J9224" i="1"/>
  <c r="M9224" i="1" s="1"/>
  <c r="J9188" i="1" l="1"/>
  <c r="M9188" i="1" s="1"/>
  <c r="J9185" i="1"/>
  <c r="M9185" i="1" s="1"/>
  <c r="J9134" i="1"/>
  <c r="M9134" i="1" s="1"/>
  <c r="J9131" i="1"/>
  <c r="M9131" i="1" s="1"/>
  <c r="J9113" i="1"/>
  <c r="M9113" i="1" s="1"/>
  <c r="J9093" i="1"/>
  <c r="M9093" i="1" s="1"/>
  <c r="J8957" i="1"/>
  <c r="M8957" i="1" s="1"/>
  <c r="J8930" i="1"/>
  <c r="M8930" i="1" s="1"/>
  <c r="J8928" i="1"/>
  <c r="M8928" i="1" s="1"/>
  <c r="J8905" i="1"/>
  <c r="M8905" i="1" s="1"/>
  <c r="J8893" i="1"/>
  <c r="M8893" i="1" s="1"/>
  <c r="J8845" i="1"/>
  <c r="M8845" i="1" s="1"/>
  <c r="J8842" i="1"/>
  <c r="M8842" i="1" s="1"/>
  <c r="J8821" i="1"/>
  <c r="M8821" i="1" s="1"/>
  <c r="J8819" i="1"/>
  <c r="M8819" i="1" s="1"/>
  <c r="J8803" i="1" l="1"/>
  <c r="M8803" i="1" s="1"/>
  <c r="J8763" i="1"/>
  <c r="M8763" i="1" s="1"/>
  <c r="J8745" i="1"/>
  <c r="M8745" i="1" s="1"/>
  <c r="J8742" i="1"/>
  <c r="M8742" i="1" s="1"/>
  <c r="J8740" i="1"/>
  <c r="M8740" i="1" s="1"/>
  <c r="J8693" i="1"/>
  <c r="M8693" i="1" s="1"/>
  <c r="J8675" i="1"/>
  <c r="M8675" i="1" s="1"/>
  <c r="J8655" i="1"/>
  <c r="M8655" i="1" s="1"/>
  <c r="J8652" i="1"/>
  <c r="M8652" i="1" s="1"/>
  <c r="J8650" i="1"/>
  <c r="M8650" i="1" s="1"/>
  <c r="J8617" i="1"/>
  <c r="M8617" i="1" s="1"/>
  <c r="J8614" i="1"/>
  <c r="M8614" i="1" s="1"/>
  <c r="J8582" i="1"/>
  <c r="M8582" i="1" s="1"/>
  <c r="J8560" i="1"/>
  <c r="M8560" i="1" s="1"/>
  <c r="J8530" i="1"/>
  <c r="M8530" i="1" s="1"/>
  <c r="J8485" i="1"/>
  <c r="M8485" i="1" s="1"/>
  <c r="J8465" i="1"/>
  <c r="M8465" i="1" s="1"/>
  <c r="J8435" i="1"/>
  <c r="M8435" i="1" s="1"/>
  <c r="J8421" i="1"/>
  <c r="M8421" i="1" s="1"/>
  <c r="J8418" i="1"/>
  <c r="M8418" i="1" s="1"/>
  <c r="J8393" i="1"/>
  <c r="M8393" i="1" s="1"/>
  <c r="J8391" i="1"/>
  <c r="M8391" i="1" s="1"/>
  <c r="J8361" i="1"/>
  <c r="M8361" i="1" s="1"/>
  <c r="J9154" i="1"/>
  <c r="M9154" i="1" s="1"/>
  <c r="M9150" i="1"/>
  <c r="J8356" i="1"/>
  <c r="M8356" i="1" s="1"/>
  <c r="J8354" i="1"/>
  <c r="M8354" i="1" s="1"/>
  <c r="J8359" i="1"/>
  <c r="M8359" i="1" s="1"/>
  <c r="M8349" i="1"/>
  <c r="M8348" i="1"/>
  <c r="M8347" i="1"/>
  <c r="M8346" i="1"/>
  <c r="M8345" i="1"/>
  <c r="M8344" i="1"/>
  <c r="J7788" i="1" l="1"/>
  <c r="M7788" i="1" s="1"/>
  <c r="M7687" i="1"/>
  <c r="M7688" i="1"/>
  <c r="M7789" i="1"/>
  <c r="M7888" i="1"/>
  <c r="M7686" i="1"/>
  <c r="M7684" i="1"/>
  <c r="J7203" i="1"/>
  <c r="M7203" i="1" s="1"/>
  <c r="J6975" i="1"/>
  <c r="M6975" i="1" s="1"/>
  <c r="J6775" i="1"/>
  <c r="M6775" i="1" s="1"/>
  <c r="J6612" i="1"/>
  <c r="J6615" i="1"/>
  <c r="J6431" i="1"/>
  <c r="M6431" i="1" s="1"/>
  <c r="M6349" i="1"/>
  <c r="M6348" i="1"/>
  <c r="J5776" i="1"/>
  <c r="M5776" i="1" s="1"/>
  <c r="J5768" i="1"/>
  <c r="M5768" i="1" s="1"/>
  <c r="J4618" i="1"/>
  <c r="M4618" i="1" s="1"/>
  <c r="J4613" i="1"/>
  <c r="M4613" i="1" s="1"/>
  <c r="M8001" i="1"/>
  <c r="J2709" i="1"/>
  <c r="M2709" i="1" s="1"/>
  <c r="J2707" i="1"/>
  <c r="M2707" i="1" s="1"/>
  <c r="J5229" i="1"/>
  <c r="M5229" i="1" s="1"/>
  <c r="J5227" i="1"/>
  <c r="M5227" i="1" s="1"/>
  <c r="M5228" i="1"/>
  <c r="M5131" i="1"/>
  <c r="M5130" i="1"/>
  <c r="M5129" i="1"/>
  <c r="J4852" i="1"/>
  <c r="M4852" i="1" s="1"/>
  <c r="M4505" i="1"/>
  <c r="M4611" i="1"/>
  <c r="M4612" i="1"/>
  <c r="M4614" i="1"/>
  <c r="M4615" i="1"/>
  <c r="M4616" i="1"/>
  <c r="M4617" i="1"/>
  <c r="J8000" i="1"/>
  <c r="M8000" i="1" s="1"/>
  <c r="J7997" i="1"/>
  <c r="M7997" i="1" s="1"/>
  <c r="J2911" i="1"/>
  <c r="M2911" i="1" s="1"/>
  <c r="J2909" i="1"/>
  <c r="M2909" i="1" s="1"/>
  <c r="J2903" i="1"/>
  <c r="M2903" i="1" s="1"/>
  <c r="J2063" i="1"/>
  <c r="M2063" i="1" s="1"/>
  <c r="J9282" i="1"/>
  <c r="M9282" i="1" s="1"/>
  <c r="J9279" i="1"/>
  <c r="M9279" i="1" s="1"/>
  <c r="J9277" i="1"/>
  <c r="M9277" i="1" s="1"/>
  <c r="J9371" i="1"/>
  <c r="M9371" i="1" s="1"/>
  <c r="J9369" i="1"/>
  <c r="M9369" i="1" s="1"/>
  <c r="J9585" i="1"/>
  <c r="M9585" i="1" s="1"/>
  <c r="M9003" i="1"/>
  <c r="J9580" i="1" l="1"/>
  <c r="M9580" i="1" s="1"/>
  <c r="J9485" i="1"/>
  <c r="M9485" i="1" s="1"/>
  <c r="M9412" i="1"/>
  <c r="M9411" i="1"/>
  <c r="M9409" i="1"/>
  <c r="J9413" i="1"/>
  <c r="M9413" i="1" s="1"/>
  <c r="M9384" i="1"/>
  <c r="J9385" i="1"/>
  <c r="M9385" i="1" s="1"/>
  <c r="J9339" i="1"/>
  <c r="M9339" i="1" s="1"/>
  <c r="M4504" i="1"/>
  <c r="M4501" i="1"/>
  <c r="M4500" i="1"/>
  <c r="M4499" i="1"/>
  <c r="M2500" i="1" l="1"/>
  <c r="J2501" i="1"/>
  <c r="M2501" i="1" s="1"/>
  <c r="J2494" i="1"/>
  <c r="M2494" i="1" s="1"/>
  <c r="M2495" i="1"/>
  <c r="J9613" i="1"/>
  <c r="M9613" i="1" s="1"/>
  <c r="J9410" i="1"/>
  <c r="M9410" i="1" s="1"/>
  <c r="J9314" i="1"/>
  <c r="M9314" i="1" s="1"/>
  <c r="J9106" i="1"/>
  <c r="M9106" i="1" s="1"/>
  <c r="J9065" i="1"/>
  <c r="M9065" i="1" s="1"/>
  <c r="J9053" i="1"/>
  <c r="M9053" i="1" s="1"/>
  <c r="J8736" i="1" l="1"/>
  <c r="M8736" i="1" s="1"/>
  <c r="J8712" i="1"/>
  <c r="M8712" i="1" s="1"/>
  <c r="J8647" i="1"/>
  <c r="M8647" i="1" s="1"/>
  <c r="J8643" i="1"/>
  <c r="M8643" i="1" s="1"/>
  <c r="J8504" i="1"/>
  <c r="M8504" i="1" s="1"/>
  <c r="J8482" i="1"/>
  <c r="M8482" i="1" s="1"/>
  <c r="J8224" i="1"/>
  <c r="M8224" i="1" s="1"/>
  <c r="J7685" i="1"/>
  <c r="M7685" i="1" s="1"/>
  <c r="J5766" i="1"/>
  <c r="M5766" i="1" s="1"/>
  <c r="J8002" i="1"/>
  <c r="M8002" i="1" s="1"/>
  <c r="J9086" i="1" l="1"/>
  <c r="M9086" i="1" s="1"/>
  <c r="J9611" i="1"/>
  <c r="M9611" i="1" s="1"/>
  <c r="J9607" i="1"/>
  <c r="M9607" i="1" s="1"/>
  <c r="J9578" i="1"/>
  <c r="M9578" i="1" s="1"/>
  <c r="J9542" i="1"/>
  <c r="M9542" i="1" s="1"/>
  <c r="J9509" i="1"/>
  <c r="M9509" i="1" s="1"/>
  <c r="J9483" i="1"/>
  <c r="M9483" i="1" s="1"/>
  <c r="J9423" i="1"/>
  <c r="M9423" i="1" s="1"/>
  <c r="J9366" i="1"/>
  <c r="M9366" i="1" s="1"/>
  <c r="J9336" i="1"/>
  <c r="M9336" i="1" s="1"/>
  <c r="J9311" i="1"/>
  <c r="M9311" i="1" s="1"/>
  <c r="J9273" i="1"/>
  <c r="M9273" i="1" s="1"/>
  <c r="J9249" i="1"/>
  <c r="M9249" i="1" s="1"/>
  <c r="J9179" i="1"/>
  <c r="M9179" i="1" s="1"/>
  <c r="J9129" i="1"/>
  <c r="M9129" i="1" s="1"/>
  <c r="J9063" i="1"/>
  <c r="M9063" i="1" s="1"/>
  <c r="J9049" i="1"/>
  <c r="M9049" i="1" s="1"/>
  <c r="J9047" i="1"/>
  <c r="M9047" i="1" s="1"/>
  <c r="J8972" i="1"/>
  <c r="M8972" i="1" s="1"/>
  <c r="M8949" i="1"/>
  <c r="J8838" i="1"/>
  <c r="M8838" i="1" s="1"/>
  <c r="J8671" i="1"/>
  <c r="M8671" i="1" s="1"/>
  <c r="J8610" i="1"/>
  <c r="M8610" i="1" s="1"/>
  <c r="J8558" i="1"/>
  <c r="M8558" i="1" s="1"/>
  <c r="J8554" i="1"/>
  <c r="M8554" i="1" s="1"/>
  <c r="J8527" i="1"/>
  <c r="M8527" i="1" s="1"/>
  <c r="J8462" i="1"/>
  <c r="M8462" i="1" s="1"/>
  <c r="J8414" i="1"/>
  <c r="M8414" i="1" s="1"/>
  <c r="J8388" i="1"/>
  <c r="M8388" i="1" s="1"/>
  <c r="J8219" i="1"/>
  <c r="M8219" i="1" s="1"/>
  <c r="J7683" i="1"/>
  <c r="M7683" i="1" s="1"/>
  <c r="J7095" i="1"/>
  <c r="M7095" i="1" s="1"/>
  <c r="J6346" i="1"/>
  <c r="M6346" i="1" s="1"/>
  <c r="J6046" i="1"/>
  <c r="M6046" i="1" s="1"/>
  <c r="J5763" i="1"/>
  <c r="M5763" i="1" s="1"/>
  <c r="J5128" i="1"/>
  <c r="M5128" i="1" s="1"/>
  <c r="J4497" i="1"/>
  <c r="M4497" i="1" s="1"/>
  <c r="J3334" i="1"/>
  <c r="M3334" i="1" s="1"/>
  <c r="J2704" i="1"/>
  <c r="M2704" i="1" s="1"/>
  <c r="J2060" i="1"/>
  <c r="M2060" i="1" s="1"/>
  <c r="M9312" i="1" l="1"/>
  <c r="M5764" i="1"/>
  <c r="M4498" i="1"/>
  <c r="M9383" i="1"/>
  <c r="M9310" i="1"/>
  <c r="M8971" i="1"/>
  <c r="M8461" i="1"/>
  <c r="M7682" i="1"/>
  <c r="M6045" i="1"/>
  <c r="M5127" i="1"/>
  <c r="M4422" i="1"/>
  <c r="M4423" i="1"/>
  <c r="M4424" i="1"/>
  <c r="M7999" i="1"/>
  <c r="M9422" i="1"/>
  <c r="M9309" i="1"/>
  <c r="M8970" i="1"/>
  <c r="M8749" i="1"/>
  <c r="M8460" i="1"/>
  <c r="M8355" i="1"/>
  <c r="M8343" i="1"/>
  <c r="M7582" i="1"/>
  <c r="M7093" i="1"/>
  <c r="M7094" i="1"/>
  <c r="M6044" i="1"/>
  <c r="M5762" i="1"/>
  <c r="M7998" i="1"/>
  <c r="M2496" i="1"/>
  <c r="M2499" i="1"/>
  <c r="M9408" i="1"/>
  <c r="M9307" i="1"/>
  <c r="M9308" i="1"/>
  <c r="M8497" i="1"/>
  <c r="M8459" i="1"/>
  <c r="M8352" i="1"/>
  <c r="M8353" i="1"/>
  <c r="M7581" i="1"/>
  <c r="M7088" i="1"/>
  <c r="M6042" i="1"/>
  <c r="M6043" i="1"/>
  <c r="M5685" i="1"/>
  <c r="M5126" i="1"/>
  <c r="M4420" i="1"/>
  <c r="M4421" i="1"/>
  <c r="J9641" i="1" l="1"/>
  <c r="M9641" i="1" s="1"/>
  <c r="J9601" i="1"/>
  <c r="M9601" i="1" s="1"/>
  <c r="J4502" i="1"/>
  <c r="M4502" i="1" s="1"/>
  <c r="J4503" i="1"/>
  <c r="M4503" i="1" s="1"/>
  <c r="J9538" i="1"/>
  <c r="M9538" i="1" s="1"/>
  <c r="J1515" i="1"/>
  <c r="M1515" i="1" s="1"/>
  <c r="J9479" i="1"/>
  <c r="M9479" i="1" s="1"/>
  <c r="J7209" i="1"/>
  <c r="M7209" i="1" s="1"/>
  <c r="J9454" i="1"/>
  <c r="M9454" i="1" s="1"/>
  <c r="J9438" i="1"/>
  <c r="M9438" i="1" s="1"/>
  <c r="J9421" i="1"/>
  <c r="M9421" i="1" s="1"/>
  <c r="J2779" i="1"/>
  <c r="M2779" i="1" s="1"/>
  <c r="J2058" i="1"/>
  <c r="M2058" i="1" s="1"/>
  <c r="J9407" i="1"/>
  <c r="M9407" i="1" s="1"/>
  <c r="J9382" i="1"/>
  <c r="M9382" i="1" s="1"/>
  <c r="J8223" i="1"/>
  <c r="M8223" i="1" s="1"/>
  <c r="J9363" i="1"/>
  <c r="M9363" i="1" s="1"/>
  <c r="J3066" i="1"/>
  <c r="M3066" i="1" s="1"/>
  <c r="J9331" i="1"/>
  <c r="M9331" i="1" s="1"/>
  <c r="J9300" i="1"/>
  <c r="M9300" i="1" s="1"/>
  <c r="J9306" i="1"/>
  <c r="M9306" i="1" s="1"/>
  <c r="J4663" i="1"/>
  <c r="M4663" i="1" s="1"/>
  <c r="J4664" i="1"/>
  <c r="M4664" i="1" s="1"/>
  <c r="J5425" i="1"/>
  <c r="M5425" i="1" s="1"/>
  <c r="J310" i="1"/>
  <c r="M310" i="1" s="1"/>
  <c r="J9221" i="1"/>
  <c r="M9221" i="1" s="1"/>
  <c r="J4077" i="1"/>
  <c r="M4077" i="1" s="1"/>
  <c r="J9195" i="1"/>
  <c r="M9195" i="1" s="1"/>
  <c r="J9173" i="1"/>
  <c r="M9173" i="1" s="1"/>
  <c r="J6347" i="1"/>
  <c r="M6347" i="1" s="1"/>
  <c r="J9146" i="1"/>
  <c r="M9146" i="1" s="1"/>
  <c r="J1433" i="1"/>
  <c r="M1433" i="1" s="1"/>
  <c r="J2498" i="1"/>
  <c r="M2498" i="1" s="1"/>
  <c r="J9060" i="1"/>
  <c r="M9060" i="1" s="1"/>
  <c r="J1797" i="1"/>
  <c r="M1797" i="1" s="1"/>
  <c r="J2905" i="1"/>
  <c r="M2905" i="1" s="1"/>
  <c r="J9042" i="1"/>
  <c r="M9042" i="1" s="1"/>
  <c r="J1422" i="1"/>
  <c r="M1422" i="1" s="1"/>
  <c r="J9023" i="1"/>
  <c r="M9023" i="1" s="1"/>
  <c r="J1957" i="1"/>
  <c r="M1957" i="1" s="1"/>
  <c r="J5252" i="1"/>
  <c r="M5252" i="1" s="1"/>
  <c r="J8969" i="1"/>
  <c r="M8969" i="1" s="1"/>
  <c r="J8964" i="1"/>
  <c r="M8964" i="1" s="1"/>
  <c r="M8944" i="1"/>
  <c r="J551" i="1"/>
  <c r="M551" i="1" s="1"/>
  <c r="J3522" i="1"/>
  <c r="M3522" i="1" s="1"/>
  <c r="J3521" i="1"/>
  <c r="M3521" i="1" s="1"/>
  <c r="J8815" i="1"/>
  <c r="M8815" i="1" s="1"/>
  <c r="J8810" i="1"/>
  <c r="M8810" i="1" s="1"/>
  <c r="J8792" i="1"/>
  <c r="M8792" i="1" s="1"/>
  <c r="J8796" i="1"/>
  <c r="M8796" i="1" s="1"/>
  <c r="J8758" i="1"/>
  <c r="M8758" i="1" s="1"/>
  <c r="J8732" i="1"/>
  <c r="M8732" i="1" s="1"/>
  <c r="J8729" i="1"/>
  <c r="M8729" i="1" s="1"/>
  <c r="J8705" i="1"/>
  <c r="M8705" i="1" s="1"/>
  <c r="J4715" i="1"/>
  <c r="M4715" i="1" s="1"/>
  <c r="J8684" i="1"/>
  <c r="M8684" i="1" s="1"/>
  <c r="J6504" i="1"/>
  <c r="M6504" i="1" s="1"/>
  <c r="J8668" i="1"/>
  <c r="M8668" i="1" s="1"/>
  <c r="J8634" i="1"/>
  <c r="M8634" i="1" s="1"/>
  <c r="J8640" i="1"/>
  <c r="M8640" i="1" s="1"/>
  <c r="J8600" i="1"/>
  <c r="M8600" i="1" s="1"/>
  <c r="J8606" i="1"/>
  <c r="M8606" i="1" s="1"/>
  <c r="J8577" i="1"/>
  <c r="M8577" i="1" s="1"/>
  <c r="J8548" i="1"/>
  <c r="M8548" i="1" s="1"/>
  <c r="J7579" i="1"/>
  <c r="M7579" i="1" s="1"/>
  <c r="J8523" i="1"/>
  <c r="M8523" i="1" s="1"/>
  <c r="J8519" i="1"/>
  <c r="M8519" i="1" s="1"/>
  <c r="J6989" i="1"/>
  <c r="M6989" i="1" s="1"/>
  <c r="J4419" i="1"/>
  <c r="M4419" i="1" s="1"/>
  <c r="J8501" i="1"/>
  <c r="M8501" i="1" s="1"/>
  <c r="J7249" i="1"/>
  <c r="M7249" i="1" s="1"/>
  <c r="J8480" i="1"/>
  <c r="M8480" i="1" s="1"/>
  <c r="J2162" i="1"/>
  <c r="M2162" i="1" s="1"/>
  <c r="J8457" i="1"/>
  <c r="M8457" i="1" s="1"/>
  <c r="J5775" i="1"/>
  <c r="M5775" i="1" s="1"/>
  <c r="J8432" i="1"/>
  <c r="M8432" i="1" s="1"/>
  <c r="J8411" i="1"/>
  <c r="M8411" i="1" s="1"/>
  <c r="J8383" i="1"/>
  <c r="M8383" i="1" s="1"/>
  <c r="J5681" i="1"/>
  <c r="M5681" i="1" s="1"/>
  <c r="J2711" i="1"/>
  <c r="M2711" i="1" s="1"/>
  <c r="J8215" i="1"/>
  <c r="M8215" i="1" s="1"/>
  <c r="J3760" i="1"/>
  <c r="M3760" i="1" s="1"/>
  <c r="J3761" i="1"/>
  <c r="M3761" i="1" s="1"/>
  <c r="M7086" i="1"/>
  <c r="J6762" i="1"/>
  <c r="M6762" i="1" s="1"/>
  <c r="J6094" i="1"/>
  <c r="M6094" i="1" s="1"/>
  <c r="J5881" i="1"/>
  <c r="M5881" i="1" s="1"/>
  <c r="M2492" i="1" l="1"/>
  <c r="M2493" i="1"/>
  <c r="M3908" i="1"/>
  <c r="M3909" i="1"/>
  <c r="M4418" i="1"/>
  <c r="M5125" i="1"/>
  <c r="M5684" i="1"/>
  <c r="M6763" i="1"/>
  <c r="M7087" i="1"/>
  <c r="L2492" i="1"/>
  <c r="L2493" i="1"/>
  <c r="L3908" i="1"/>
  <c r="L3909" i="1"/>
  <c r="L4418" i="1"/>
  <c r="L5125" i="1"/>
  <c r="L5684" i="1"/>
  <c r="L6763" i="1"/>
  <c r="L7087" i="1"/>
  <c r="I9363" i="1"/>
  <c r="I8969" i="1"/>
  <c r="J6041" i="1" l="1"/>
  <c r="M6041" i="1" s="1"/>
  <c r="J5683" i="1"/>
  <c r="M5683" i="1" s="1"/>
  <c r="J5124" i="1"/>
  <c r="M5124" i="1" s="1"/>
  <c r="J4849" i="1"/>
  <c r="M4849" i="1" s="1"/>
  <c r="J4417" i="1"/>
  <c r="M4417" i="1" s="1"/>
  <c r="J3907" i="1"/>
  <c r="M3907" i="1" s="1"/>
  <c r="J3294" i="1"/>
  <c r="M3294" i="1" s="1"/>
  <c r="J2782" i="1"/>
  <c r="M2782" i="1" s="1"/>
  <c r="J2574" i="1"/>
  <c r="M2574" i="1" s="1"/>
  <c r="M2491" i="1"/>
  <c r="J3511" i="1"/>
  <c r="M3511" i="1" s="1"/>
  <c r="J3913" i="1"/>
  <c r="M3913" i="1" s="1"/>
  <c r="L751" i="1"/>
  <c r="L1960" i="1"/>
  <c r="L1961" i="1"/>
  <c r="L1962" i="1"/>
  <c r="J1963" i="1"/>
  <c r="M1963" i="1" s="1"/>
  <c r="L4413" i="1"/>
  <c r="L3720" i="1"/>
  <c r="L3721" i="1"/>
  <c r="L7787" i="1"/>
  <c r="L6287" i="1"/>
  <c r="L6288" i="1"/>
  <c r="L6031" i="1"/>
  <c r="L1117" i="1"/>
  <c r="L5761" i="1"/>
  <c r="L1720" i="1"/>
  <c r="L115" i="1"/>
  <c r="L3447" i="1"/>
  <c r="L4291" i="1"/>
  <c r="L4292" i="1"/>
  <c r="L2773" i="1"/>
  <c r="L5118" i="1"/>
  <c r="L5878" i="1"/>
  <c r="L5879" i="1"/>
  <c r="L2280" i="1"/>
  <c r="L4496" i="1"/>
  <c r="L7681" i="1"/>
  <c r="L2487" i="1"/>
  <c r="L2488" i="1"/>
  <c r="L6609" i="1"/>
  <c r="L895" i="1"/>
  <c r="L896" i="1"/>
  <c r="L5012" i="1"/>
  <c r="L4019" i="1"/>
  <c r="L1423" i="1"/>
  <c r="L1424" i="1"/>
  <c r="L3001" i="1"/>
  <c r="L3002" i="1"/>
  <c r="L2568" i="1"/>
  <c r="L2569" i="1"/>
  <c r="L6973" i="1"/>
  <c r="L6974" i="1"/>
  <c r="L6430" i="1"/>
  <c r="L8214" i="1"/>
  <c r="L4178" i="1"/>
  <c r="L3182" i="1"/>
  <c r="L8331" i="1"/>
  <c r="L4658" i="1"/>
  <c r="L2900" i="1"/>
  <c r="L8105" i="1"/>
  <c r="L7244" i="1"/>
  <c r="L7245" i="1"/>
  <c r="L7886" i="1"/>
  <c r="L7887" i="1"/>
  <c r="L6734" i="1"/>
  <c r="L1006" i="1"/>
  <c r="L2703" i="1"/>
  <c r="M1961" i="1" l="1"/>
  <c r="L233" i="1"/>
  <c r="M233" i="1" s="1"/>
  <c r="M4413" i="1"/>
  <c r="M3721" i="1"/>
  <c r="L2777" i="1"/>
  <c r="M2777" i="1" s="1"/>
  <c r="L2778" i="1"/>
  <c r="M2778" i="1" s="1"/>
  <c r="L2780" i="1"/>
  <c r="M2780" i="1" s="1"/>
  <c r="L2781" i="1"/>
  <c r="M2781" i="1" s="1"/>
  <c r="L2783" i="1"/>
  <c r="M2783" i="1" s="1"/>
  <c r="L3818" i="1"/>
  <c r="M3818" i="1" s="1"/>
  <c r="L3819" i="1"/>
  <c r="M3819" i="1" s="1"/>
  <c r="L3820" i="1"/>
  <c r="M3820" i="1" s="1"/>
  <c r="L3821" i="1"/>
  <c r="M3821" i="1" s="1"/>
  <c r="L3822" i="1"/>
  <c r="M3822" i="1" s="1"/>
  <c r="L3906" i="1"/>
  <c r="M3906" i="1" s="1"/>
  <c r="M6288" i="1"/>
  <c r="L3910" i="1"/>
  <c r="M3910" i="1" s="1"/>
  <c r="L3911" i="1"/>
  <c r="M3911" i="1" s="1"/>
  <c r="L3912" i="1"/>
  <c r="M3912" i="1" s="1"/>
  <c r="M6031" i="1"/>
  <c r="L4294" i="1"/>
  <c r="M4294" i="1" s="1"/>
  <c r="L4295" i="1"/>
  <c r="M4295" i="1" s="1"/>
  <c r="L4296" i="1"/>
  <c r="M4296" i="1" s="1"/>
  <c r="L4297" i="1"/>
  <c r="M4297" i="1" s="1"/>
  <c r="L4298" i="1"/>
  <c r="M4298" i="1" s="1"/>
  <c r="L4299" i="1"/>
  <c r="M4299" i="1" s="1"/>
  <c r="L4414" i="1"/>
  <c r="M4414" i="1" s="1"/>
  <c r="L4415" i="1"/>
  <c r="M4415" i="1" s="1"/>
  <c r="L4416" i="1"/>
  <c r="M4416" i="1" s="1"/>
  <c r="M1117" i="1"/>
  <c r="L4846" i="1"/>
  <c r="M4846" i="1" s="1"/>
  <c r="L4847" i="1"/>
  <c r="M4847" i="1" s="1"/>
  <c r="L4848" i="1"/>
  <c r="M4848" i="1" s="1"/>
  <c r="L4850" i="1"/>
  <c r="M4850" i="1" s="1"/>
  <c r="L5120" i="1"/>
  <c r="M5120" i="1" s="1"/>
  <c r="L5121" i="1"/>
  <c r="M5121" i="1" s="1"/>
  <c r="L5122" i="1"/>
  <c r="M5122" i="1" s="1"/>
  <c r="L5123" i="1"/>
  <c r="M5123" i="1" s="1"/>
  <c r="L5606" i="1"/>
  <c r="M5606" i="1" s="1"/>
  <c r="L5607" i="1"/>
  <c r="M5607" i="1" s="1"/>
  <c r="L5682" i="1"/>
  <c r="M5682" i="1" s="1"/>
  <c r="L6037" i="1"/>
  <c r="M6037" i="1" s="1"/>
  <c r="L6038" i="1"/>
  <c r="L6039" i="1"/>
  <c r="M6039" i="1" s="1"/>
  <c r="L6040" i="1"/>
  <c r="M6040" i="1" s="1"/>
  <c r="M1720" i="1"/>
  <c r="L6341" i="1"/>
  <c r="M6341" i="1" s="1"/>
  <c r="M3447" i="1"/>
  <c r="M4292" i="1"/>
  <c r="M2773" i="1"/>
  <c r="L8350" i="1"/>
  <c r="M8350" i="1" s="1"/>
  <c r="L8351" i="1"/>
  <c r="M8351" i="1" s="1"/>
  <c r="L8378" i="1"/>
  <c r="M8378" i="1" s="1"/>
  <c r="L8379" i="1"/>
  <c r="M8379" i="1" s="1"/>
  <c r="L8380" i="1"/>
  <c r="M8380" i="1" s="1"/>
  <c r="L8381" i="1"/>
  <c r="M8381" i="1" s="1"/>
  <c r="L8382" i="1"/>
  <c r="M8382" i="1" s="1"/>
  <c r="M5878" i="1"/>
  <c r="M5879" i="1"/>
  <c r="L8433" i="1"/>
  <c r="M8433" i="1" s="1"/>
  <c r="M2280" i="1"/>
  <c r="L8458" i="1"/>
  <c r="M8458" i="1" s="1"/>
  <c r="M4496" i="1"/>
  <c r="L8498" i="1"/>
  <c r="M8498" i="1" s="1"/>
  <c r="L8499" i="1"/>
  <c r="M8499" i="1" s="1"/>
  <c r="L8500" i="1"/>
  <c r="M8500" i="1" s="1"/>
  <c r="M2487" i="1"/>
  <c r="M2488" i="1"/>
  <c r="M6609" i="1"/>
  <c r="M896" i="1"/>
  <c r="M5012" i="1"/>
  <c r="M4019" i="1"/>
  <c r="L8963" i="1"/>
  <c r="M8963" i="1" s="1"/>
  <c r="L8965" i="1"/>
  <c r="M8965" i="1" s="1"/>
  <c r="L8966" i="1"/>
  <c r="M8966" i="1" s="1"/>
  <c r="L8967" i="1"/>
  <c r="M8967" i="1" s="1"/>
  <c r="L8968" i="1"/>
  <c r="M8968" i="1" s="1"/>
  <c r="M1424" i="1"/>
  <c r="M3001" i="1"/>
  <c r="M2569" i="1"/>
  <c r="L9214" i="1"/>
  <c r="M9214" i="1" s="1"/>
  <c r="L9213" i="1"/>
  <c r="M9213" i="1" s="1"/>
  <c r="L9298" i="1"/>
  <c r="M9298" i="1" s="1"/>
  <c r="L9299" i="1"/>
  <c r="M9299" i="1" s="1"/>
  <c r="L9301" i="1"/>
  <c r="M9301" i="1" s="1"/>
  <c r="L9302" i="1"/>
  <c r="M9302" i="1" s="1"/>
  <c r="L9303" i="1"/>
  <c r="M9303" i="1" s="1"/>
  <c r="L9304" i="1"/>
  <c r="M9304" i="1" s="1"/>
  <c r="L9305" i="1"/>
  <c r="M9305" i="1" s="1"/>
  <c r="L9379" i="1"/>
  <c r="M9379" i="1" s="1"/>
  <c r="L9380" i="1"/>
  <c r="M9380" i="1" s="1"/>
  <c r="L9381" i="1"/>
  <c r="M9381" i="1" s="1"/>
  <c r="L9402" i="1"/>
  <c r="M9402" i="1" s="1"/>
  <c r="L9403" i="1"/>
  <c r="M9403" i="1" s="1"/>
  <c r="L9404" i="1"/>
  <c r="M9404" i="1" s="1"/>
  <c r="L9405" i="1"/>
  <c r="M9405" i="1" s="1"/>
  <c r="L9406" i="1"/>
  <c r="M9406" i="1" s="1"/>
  <c r="M2900" i="1"/>
  <c r="L9435" i="1"/>
  <c r="M9435" i="1" s="1"/>
  <c r="L9436" i="1"/>
  <c r="M9436" i="1" s="1"/>
  <c r="L9437" i="1"/>
  <c r="M9437" i="1" s="1"/>
  <c r="L9451" i="1"/>
  <c r="M9451" i="1" s="1"/>
  <c r="L9452" i="1"/>
  <c r="M9452" i="1" s="1"/>
  <c r="L9453" i="1"/>
  <c r="M9453" i="1" s="1"/>
  <c r="M7886" i="1"/>
  <c r="L9597" i="1"/>
  <c r="M9597" i="1" s="1"/>
  <c r="L9598" i="1"/>
  <c r="M9598" i="1" s="1"/>
  <c r="L9599" i="1"/>
  <c r="M9599" i="1" s="1"/>
  <c r="L9600" i="1"/>
  <c r="M9600" i="1" s="1"/>
  <c r="L9602" i="1"/>
  <c r="M9602" i="1" s="1"/>
  <c r="M1960" i="1"/>
  <c r="M1962" i="1"/>
  <c r="M3720" i="1"/>
  <c r="M7787" i="1"/>
  <c r="M6287" i="1"/>
  <c r="M115" i="1"/>
  <c r="M4291" i="1"/>
  <c r="M5118" i="1"/>
  <c r="M7681" i="1"/>
  <c r="M895" i="1"/>
  <c r="M1423" i="1"/>
  <c r="M3002" i="1"/>
  <c r="M2568" i="1"/>
  <c r="M6973" i="1"/>
  <c r="M6974" i="1"/>
  <c r="M6430" i="1"/>
  <c r="M8214" i="1"/>
  <c r="M4178" i="1"/>
  <c r="M3182" i="1"/>
  <c r="M8331" i="1"/>
  <c r="M4658" i="1"/>
  <c r="M8105" i="1"/>
  <c r="M7244" i="1"/>
  <c r="M7245" i="1"/>
  <c r="M7887" i="1"/>
  <c r="M6734" i="1"/>
  <c r="M1006" i="1"/>
  <c r="M2703" i="1"/>
  <c r="M751" i="1"/>
  <c r="I7086" i="1"/>
  <c r="I6041" i="1"/>
  <c r="I6038" i="1"/>
  <c r="I5761" i="1"/>
  <c r="M5761" i="1" s="1"/>
  <c r="M6038" i="1" l="1"/>
  <c r="M5011" i="1"/>
  <c r="M1005" i="1" l="1"/>
  <c r="M1004" i="1"/>
  <c r="M4610" i="1"/>
  <c r="M4609" i="1"/>
  <c r="M6733" i="1"/>
  <c r="M6732" i="1"/>
  <c r="M1642" i="1"/>
  <c r="M7885" i="1"/>
  <c r="M4709" i="1"/>
  <c r="M4708" i="1"/>
  <c r="M4707" i="1"/>
  <c r="M441" i="1"/>
  <c r="M6429" i="1"/>
  <c r="M1513" i="1"/>
  <c r="M6972" i="1"/>
  <c r="M6971" i="1"/>
  <c r="M1911" i="1"/>
  <c r="M3000" i="1"/>
  <c r="M2999" i="1"/>
  <c r="M106" i="1"/>
  <c r="M5319" i="1"/>
  <c r="M657" i="1"/>
  <c r="M5010" i="1"/>
  <c r="M894" i="1"/>
  <c r="M893" i="1"/>
  <c r="M892" i="1"/>
  <c r="M3293" i="1"/>
  <c r="M7680" i="1"/>
  <c r="M2279" i="1"/>
  <c r="M5877" i="1"/>
  <c r="M5226" i="1"/>
  <c r="M4290" i="1"/>
  <c r="M3446" i="1"/>
  <c r="M3445" i="1"/>
  <c r="M1116" i="1"/>
  <c r="M1115" i="1"/>
  <c r="M6030" i="1"/>
  <c r="M6286" i="1"/>
  <c r="M3817" i="1"/>
  <c r="M7786" i="1"/>
  <c r="M3719" i="1"/>
  <c r="M4412" i="1"/>
  <c r="M4411" i="1"/>
  <c r="M232" i="1"/>
  <c r="M7193" i="1"/>
  <c r="M2702" i="1" l="1"/>
  <c r="M1003" i="1"/>
  <c r="M4608" i="1"/>
  <c r="M6731" i="1"/>
  <c r="M6730" i="1"/>
  <c r="M1641" i="1"/>
  <c r="M1640" i="1"/>
  <c r="M1639" i="1"/>
  <c r="M7243" i="1"/>
  <c r="M7242" i="1"/>
  <c r="M2899" i="1"/>
  <c r="M2898" i="1"/>
  <c r="M4657" i="1"/>
  <c r="M3181" i="1"/>
  <c r="M4706" i="1"/>
  <c r="M4705" i="1"/>
  <c r="M4704" i="1"/>
  <c r="M4703" i="1"/>
  <c r="M4177" i="1"/>
  <c r="M4176" i="1"/>
  <c r="M6970" i="1"/>
  <c r="M1910" i="1"/>
  <c r="M2998" i="1"/>
  <c r="M5318" i="1"/>
  <c r="M5317" i="1"/>
  <c r="M6339" i="1"/>
  <c r="M309" i="1"/>
  <c r="M656" i="1"/>
  <c r="M655" i="1"/>
  <c r="M5009" i="1"/>
  <c r="M4018" i="1"/>
  <c r="M4017" i="1"/>
  <c r="M4840" i="1"/>
  <c r="M3292" i="1"/>
  <c r="M7679" i="1" l="1"/>
  <c r="M7083" i="1"/>
  <c r="M5225" i="1"/>
  <c r="M5117" i="1"/>
  <c r="M2772" i="1"/>
  <c r="M2771" i="1"/>
  <c r="M4289" i="1"/>
  <c r="M3444" i="1"/>
  <c r="M3443" i="1"/>
  <c r="M3442" i="1"/>
  <c r="M114" i="1"/>
  <c r="M113" i="1"/>
  <c r="M5760" i="1" l="1"/>
  <c r="M6029" i="1"/>
  <c r="M6028" i="1"/>
  <c r="M3816" i="1"/>
  <c r="M3762" i="1"/>
  <c r="M7785" i="1"/>
  <c r="M7784" i="1"/>
  <c r="M3718" i="1"/>
  <c r="M4410" i="1"/>
  <c r="M231" i="1"/>
  <c r="M7192" i="1"/>
  <c r="M5008" i="1" l="1"/>
  <c r="M5007" i="1"/>
  <c r="M5006" i="1"/>
  <c r="M5005" i="1"/>
  <c r="M5004" i="1"/>
  <c r="M5003" i="1"/>
  <c r="M5002" i="1"/>
  <c r="M6285" i="1" l="1"/>
  <c r="M6284" i="1"/>
  <c r="M6283" i="1"/>
  <c r="M6282" i="1"/>
  <c r="M6281" i="1"/>
  <c r="M6280" i="1"/>
  <c r="M6279" i="1"/>
  <c r="M6278" i="1"/>
  <c r="M6277" i="1"/>
  <c r="M6276" i="1"/>
  <c r="M6275" i="1"/>
  <c r="M6274" i="1"/>
  <c r="M4016" i="1"/>
  <c r="M4015" i="1"/>
  <c r="M4014" i="1"/>
  <c r="M4013" i="1"/>
  <c r="M2701" i="1"/>
  <c r="M1002" i="1"/>
  <c r="M1001" i="1"/>
  <c r="M4607" i="1"/>
  <c r="M6729" i="1"/>
  <c r="M7884" i="1"/>
  <c r="M7241" i="1"/>
  <c r="M4656" i="1"/>
  <c r="M3180" i="1"/>
  <c r="M2383" i="1"/>
  <c r="M2382" i="1"/>
  <c r="M440" i="1"/>
  <c r="M439" i="1"/>
  <c r="M438" i="1"/>
  <c r="M4175" i="1"/>
  <c r="M6969" i="1"/>
  <c r="M2997" i="1"/>
  <c r="M1421" i="1"/>
  <c r="M5411" i="1"/>
  <c r="M5410" i="1"/>
  <c r="M2056" i="1"/>
  <c r="M2329" i="1"/>
  <c r="M6761" i="1"/>
  <c r="M5604" i="1"/>
  <c r="M3024" i="1"/>
  <c r="M1737" i="1"/>
  <c r="M1646" i="1"/>
  <c r="M3194" i="1"/>
  <c r="M3905" i="1"/>
  <c r="M891" i="1"/>
  <c r="M3291" i="1"/>
  <c r="M7678" i="1"/>
  <c r="M5224" i="1"/>
  <c r="M7092" i="1"/>
  <c r="M4288" i="1"/>
  <c r="M3815" i="1"/>
  <c r="M112" i="1"/>
  <c r="M5904" i="1"/>
  <c r="M5759" i="1"/>
  <c r="M7451" i="1"/>
  <c r="M1114" i="1"/>
  <c r="M6027" i="1"/>
  <c r="M6026" i="1"/>
  <c r="M7783" i="1"/>
  <c r="M4409" i="1"/>
  <c r="M230" i="1"/>
  <c r="M2700" i="1"/>
  <c r="M1000" i="1"/>
  <c r="M4606" i="1"/>
  <c r="M6728" i="1"/>
  <c r="M6727" i="1"/>
  <c r="M1638" i="1"/>
  <c r="M1637" i="1"/>
  <c r="M7240" i="1"/>
  <c r="M2897" i="1"/>
  <c r="M4655" i="1"/>
  <c r="M3179" i="1"/>
  <c r="M437" i="1"/>
  <c r="M436" i="1"/>
  <c r="M1512" i="1"/>
  <c r="M6968" i="1"/>
  <c r="M6967" i="1"/>
  <c r="M2567" i="1"/>
  <c r="M1909" i="1"/>
  <c r="M2996" i="1"/>
  <c r="M2995" i="1"/>
  <c r="M6338" i="1"/>
  <c r="M3614" i="1"/>
  <c r="M890" i="1"/>
  <c r="M889" i="1"/>
  <c r="M4839" i="1"/>
  <c r="M654" i="1"/>
  <c r="M3290" i="1"/>
  <c r="M7082" i="1"/>
  <c r="M4495" i="1"/>
  <c r="M5876" i="1"/>
  <c r="M5875" i="1"/>
  <c r="M2770" i="1"/>
  <c r="M4287" i="1"/>
  <c r="M3814" i="1"/>
  <c r="M3813" i="1"/>
  <c r="M3441" i="1"/>
  <c r="M111" i="1"/>
  <c r="M5758" i="1"/>
  <c r="M7450" i="1"/>
  <c r="M7449" i="1"/>
  <c r="M1113" i="1"/>
  <c r="M6025" i="1"/>
  <c r="M6024" i="1"/>
  <c r="M3726" i="1"/>
  <c r="M7782" i="1"/>
  <c r="M1952" i="1"/>
  <c r="M4408" i="1"/>
  <c r="M229" i="1"/>
  <c r="M7191" i="1"/>
  <c r="M7190" i="1"/>
  <c r="M2699" i="1"/>
  <c r="M999" i="1"/>
  <c r="M4605" i="1"/>
  <c r="M6726" i="1"/>
  <c r="M7239" i="1"/>
  <c r="M4654" i="1"/>
  <c r="M8330" i="1"/>
  <c r="M3178" i="1"/>
  <c r="M435" i="1"/>
  <c r="M4174" i="1"/>
  <c r="M1511" i="1"/>
  <c r="M6947" i="1"/>
  <c r="M6948" i="1"/>
  <c r="M7867" i="1"/>
  <c r="M1953" i="1"/>
  <c r="M2755" i="1"/>
  <c r="M2756" i="1"/>
  <c r="M4006" i="1"/>
  <c r="M4829" i="1"/>
  <c r="M4984" i="1"/>
  <c r="M1192" i="1"/>
  <c r="M2878" i="1"/>
  <c r="M3189" i="1"/>
  <c r="M2757" i="1"/>
  <c r="M4830" i="1"/>
  <c r="M4985" i="1"/>
  <c r="M6753" i="1"/>
  <c r="M1954" i="1"/>
  <c r="M4986" i="1"/>
  <c r="M4987" i="1"/>
  <c r="M2285" i="1"/>
  <c r="M3452" i="1"/>
  <c r="M8312" i="1"/>
  <c r="M2758" i="1"/>
  <c r="M7665" i="1"/>
  <c r="M7666" i="1"/>
  <c r="M7667" i="1"/>
  <c r="M2879" i="1"/>
  <c r="M2880" i="1"/>
  <c r="M2759" i="1"/>
  <c r="M7668" i="1"/>
  <c r="M4992" i="1"/>
  <c r="M4993" i="1"/>
  <c r="M6755" i="1"/>
  <c r="M6780" i="1"/>
  <c r="M5306" i="1"/>
  <c r="M2881" i="1"/>
  <c r="M2760" i="1"/>
  <c r="M2761" i="1"/>
  <c r="M7669" i="1"/>
  <c r="M4994" i="1"/>
  <c r="M1196" i="1"/>
  <c r="M7670" i="1"/>
  <c r="M4995" i="1"/>
  <c r="M3046" i="1"/>
  <c r="M6949" i="1"/>
  <c r="M6950" i="1"/>
  <c r="M6951" i="1"/>
  <c r="M7895" i="1"/>
  <c r="M2882" i="1"/>
  <c r="M3191" i="1"/>
  <c r="M7671" i="1"/>
  <c r="M4996" i="1"/>
  <c r="M2562" i="1"/>
  <c r="M2883" i="1"/>
  <c r="M2884" i="1"/>
  <c r="M5894" i="1"/>
  <c r="M4400" i="1"/>
  <c r="M4401" i="1"/>
  <c r="M1945" i="1"/>
  <c r="M3705" i="1"/>
  <c r="M7775" i="1"/>
  <c r="M7776" i="1"/>
  <c r="M3620" i="1"/>
  <c r="M6017" i="1"/>
  <c r="M6018" i="1"/>
  <c r="M1102" i="1"/>
  <c r="M6770" i="1"/>
  <c r="M6180" i="1"/>
  <c r="M3432" i="1"/>
  <c r="M3433" i="1"/>
  <c r="M3801" i="1"/>
  <c r="M4277" i="1"/>
  <c r="M4278" i="1"/>
  <c r="M5111" i="1"/>
  <c r="M2477" i="1"/>
  <c r="M6756" i="1"/>
  <c r="M1409" i="1"/>
  <c r="M6952" i="1"/>
  <c r="M8206" i="1"/>
  <c r="M4167" i="1"/>
  <c r="M1904" i="1"/>
  <c r="M2763" i="1"/>
  <c r="M8322" i="1"/>
  <c r="M2885" i="1"/>
  <c r="M4402" i="1"/>
  <c r="M3706" i="1"/>
  <c r="M6271" i="1"/>
  <c r="M6019" i="1"/>
  <c r="M6020" i="1"/>
  <c r="M1103" i="1"/>
  <c r="M7437" i="1"/>
  <c r="M3802" i="1"/>
  <c r="M5750" i="1"/>
  <c r="M5216" i="1"/>
  <c r="M5859" i="1"/>
  <c r="M5860" i="1"/>
  <c r="M2270" i="1"/>
  <c r="M7332" i="1"/>
  <c r="M3280" i="1"/>
  <c r="M3281" i="1"/>
  <c r="M2478" i="1"/>
  <c r="M1348" i="1"/>
  <c r="M6600" i="1"/>
  <c r="M6601" i="1"/>
  <c r="M6602" i="1"/>
  <c r="M876" i="1"/>
  <c r="M877" i="1"/>
  <c r="M4999" i="1"/>
  <c r="M3607" i="1"/>
  <c r="M306" i="1"/>
  <c r="M5307" i="1"/>
  <c r="M5308" i="1"/>
  <c r="M2987" i="1"/>
  <c r="M3900" i="1"/>
  <c r="M6983" i="1"/>
  <c r="M2563" i="1"/>
  <c r="M6953" i="1"/>
  <c r="M6954" i="1"/>
  <c r="M8207" i="1"/>
  <c r="M8208" i="1"/>
  <c r="M424" i="1"/>
  <c r="M425" i="1"/>
  <c r="M426" i="1"/>
  <c r="M4696" i="1"/>
  <c r="M1905" i="1"/>
  <c r="M2764" i="1"/>
  <c r="M8323" i="1"/>
  <c r="M4648" i="1"/>
  <c r="M4649" i="1"/>
  <c r="M2150" i="1"/>
  <c r="M2886" i="1"/>
  <c r="M8097" i="1"/>
  <c r="M7225" i="1"/>
  <c r="M7226" i="1"/>
  <c r="M7880" i="1"/>
  <c r="M1623" i="1"/>
  <c r="M6719" i="1"/>
  <c r="M6720" i="1"/>
  <c r="M2687" i="1"/>
  <c r="M222" i="1"/>
  <c r="M4403" i="1"/>
  <c r="M3707" i="1"/>
  <c r="M5895" i="1"/>
  <c r="M6272" i="1"/>
  <c r="M1104" i="1"/>
  <c r="M7438" i="1"/>
  <c r="M7439" i="1"/>
  <c r="M6771" i="1"/>
  <c r="M5751" i="1"/>
  <c r="M6181" i="1"/>
  <c r="M3434" i="1"/>
  <c r="M3435" i="1"/>
  <c r="M3803" i="1"/>
  <c r="M3804" i="1"/>
  <c r="M4279" i="1"/>
  <c r="M4280" i="1"/>
  <c r="M7091" i="1"/>
  <c r="M5112" i="1"/>
  <c r="M5217" i="1"/>
  <c r="M5861" i="1"/>
  <c r="M2271" i="1"/>
  <c r="M2272" i="1"/>
  <c r="M7333" i="1"/>
  <c r="M3282" i="1"/>
  <c r="M2479" i="1"/>
  <c r="M6603" i="1"/>
  <c r="M4836" i="1"/>
  <c r="M878" i="1"/>
  <c r="M5000" i="1"/>
  <c r="M99" i="1"/>
  <c r="M3192" i="1"/>
  <c r="M1736" i="1"/>
  <c r="M3608" i="1"/>
  <c r="M6757" i="1"/>
  <c r="M103" i="1"/>
  <c r="M2988" i="1"/>
  <c r="M3901" i="1"/>
  <c r="M6955" i="1"/>
  <c r="M6956" i="1"/>
  <c r="M6957" i="1"/>
  <c r="M6426" i="1"/>
  <c r="M4168" i="1"/>
  <c r="M4169" i="1"/>
  <c r="M4170" i="1"/>
  <c r="M427" i="1"/>
  <c r="M5540" i="1"/>
  <c r="M5541" i="1"/>
  <c r="M4697" i="1"/>
  <c r="M1906" i="1"/>
  <c r="M3172" i="1"/>
  <c r="M8324" i="1"/>
  <c r="M2151" i="1"/>
  <c r="M2887" i="1"/>
  <c r="M8098" i="1"/>
  <c r="M1624" i="1"/>
  <c r="M1625" i="1"/>
  <c r="M6721" i="1"/>
  <c r="M4600" i="1"/>
  <c r="M2688" i="1"/>
  <c r="M747" i="1"/>
  <c r="M748" i="1"/>
  <c r="M223" i="1"/>
  <c r="M4404" i="1"/>
  <c r="M3708" i="1"/>
  <c r="M3621" i="1"/>
  <c r="M3722" i="1"/>
  <c r="M6273" i="1"/>
  <c r="M6021" i="1"/>
  <c r="M1105" i="1"/>
  <c r="M7440" i="1"/>
  <c r="M7441" i="1"/>
  <c r="M5752" i="1"/>
  <c r="M3805" i="1"/>
  <c r="M2765" i="1"/>
  <c r="M2766" i="1"/>
  <c r="M5218" i="1"/>
  <c r="M5219" i="1"/>
  <c r="M5862" i="1"/>
  <c r="M2273" i="1"/>
  <c r="M2274" i="1"/>
  <c r="M2480" i="1"/>
  <c r="M1349" i="1"/>
  <c r="M1350" i="1"/>
  <c r="M5001" i="1"/>
  <c r="M3193" i="1"/>
  <c r="M5407" i="1"/>
  <c r="M5408" i="1"/>
  <c r="M6984" i="1"/>
  <c r="M648" i="1"/>
  <c r="M5309" i="1"/>
  <c r="M2989" i="1"/>
  <c r="M6958" i="1"/>
  <c r="M1507" i="1"/>
  <c r="M8209" i="1"/>
  <c r="M8210" i="1"/>
  <c r="M4171" i="1"/>
  <c r="M428" i="1"/>
  <c r="M5542" i="1"/>
  <c r="M3173" i="1"/>
  <c r="M3174" i="1"/>
  <c r="M4650" i="1"/>
  <c r="M2152" i="1"/>
  <c r="M2153" i="1"/>
  <c r="M2888" i="1"/>
  <c r="M7227" i="1"/>
  <c r="M7228" i="1"/>
  <c r="M1626" i="1"/>
  <c r="M6722" i="1"/>
  <c r="M4601" i="1"/>
  <c r="M4405" i="1"/>
  <c r="M1946" i="1"/>
  <c r="M3709" i="1"/>
  <c r="M6772" i="1"/>
  <c r="M6182" i="1"/>
  <c r="M3436" i="1"/>
  <c r="M3437" i="1"/>
  <c r="M3806" i="1"/>
  <c r="M4281" i="1"/>
  <c r="M4282" i="1"/>
  <c r="M5113" i="1"/>
  <c r="M5220" i="1"/>
  <c r="M5863" i="1"/>
  <c r="M5864" i="1"/>
  <c r="M5865" i="1"/>
  <c r="M2275" i="1"/>
  <c r="M7334" i="1"/>
  <c r="M7077" i="1"/>
  <c r="M3283" i="1"/>
  <c r="M3284" i="1"/>
  <c r="M2481" i="1"/>
  <c r="M2482" i="1"/>
  <c r="M1351" i="1"/>
  <c r="M6604" i="1"/>
  <c r="M879" i="1"/>
  <c r="M880" i="1"/>
  <c r="M4012" i="1"/>
  <c r="M2698" i="1" l="1"/>
  <c r="M998" i="1"/>
  <c r="M1636" i="1"/>
  <c r="M7238" i="1"/>
  <c r="M3904" i="1" l="1"/>
  <c r="M3903" i="1"/>
  <c r="M3902" i="1"/>
  <c r="M2896" i="1" l="1"/>
  <c r="M2895" i="1"/>
  <c r="M4653" i="1"/>
  <c r="M8329" i="1" l="1"/>
  <c r="M8328" i="1"/>
  <c r="M3177" i="1"/>
  <c r="M434" i="1" l="1"/>
  <c r="M433" i="1"/>
  <c r="M4173" i="1" l="1"/>
  <c r="M6428" i="1"/>
  <c r="M6966" i="1"/>
  <c r="M6965" i="1"/>
  <c r="M2566" i="1"/>
  <c r="M2565" i="1"/>
  <c r="M1908" i="1"/>
  <c r="M1907" i="1"/>
  <c r="M2994" i="1"/>
  <c r="M2993" i="1"/>
  <c r="M2992" i="1"/>
  <c r="M1420" i="1"/>
  <c r="M1419" i="1"/>
  <c r="M1418" i="1"/>
  <c r="M6337" i="1"/>
  <c r="M6336" i="1"/>
  <c r="M308" i="1"/>
  <c r="M307" i="1"/>
  <c r="M3613" i="1"/>
  <c r="M888" i="1"/>
  <c r="M887" i="1"/>
  <c r="M4838" i="1"/>
  <c r="M4837" i="1"/>
  <c r="M653" i="1"/>
  <c r="M652" i="1"/>
  <c r="M651" i="1"/>
  <c r="M1357" i="1"/>
  <c r="M3289" i="1"/>
  <c r="M3288" i="1"/>
  <c r="M7677" i="1"/>
  <c r="M7676" i="1"/>
  <c r="M7675" i="1"/>
  <c r="M7081" i="1" l="1"/>
  <c r="M7080" i="1"/>
  <c r="M4494" i="1"/>
  <c r="M4493" i="1"/>
  <c r="M7341" i="1"/>
  <c r="M7340" i="1"/>
  <c r="M5874" i="1"/>
  <c r="M5873" i="1"/>
  <c r="M4286" i="1"/>
  <c r="M4285" i="1"/>
  <c r="M3812" i="1"/>
  <c r="M3440" i="1"/>
  <c r="M3439" i="1"/>
  <c r="M6186" i="1"/>
  <c r="M5903" i="1"/>
  <c r="M5902" i="1"/>
  <c r="M5757" i="1" l="1"/>
  <c r="M7448" i="1"/>
  <c r="M7447" i="1"/>
  <c r="M1112" i="1"/>
  <c r="M1111" i="1"/>
  <c r="M1110" i="1"/>
  <c r="M1109" i="1"/>
  <c r="M6023" i="1"/>
  <c r="M6022" i="1"/>
  <c r="M3725" i="1"/>
  <c r="M3724" i="1"/>
  <c r="M7781" i="1"/>
  <c r="M7780" i="1"/>
  <c r="M3717" i="1"/>
  <c r="M3716" i="1"/>
  <c r="M4407" i="1"/>
  <c r="M4406" i="1"/>
  <c r="M228" i="1" l="1"/>
  <c r="M227" i="1"/>
  <c r="M3512" i="1"/>
  <c r="M7189" i="1" l="1"/>
  <c r="M2697" i="1" l="1"/>
  <c r="M2696" i="1"/>
  <c r="M997" i="1"/>
  <c r="M4604" i="1"/>
  <c r="M1635" i="1"/>
  <c r="M1634" i="1"/>
  <c r="M7237" i="1"/>
  <c r="M2894" i="1"/>
  <c r="M2893" i="1"/>
  <c r="M4652" i="1"/>
  <c r="M4651" i="1"/>
  <c r="M4702" i="1" l="1"/>
  <c r="M432" i="1"/>
  <c r="M431" i="1"/>
  <c r="M4172" i="1"/>
  <c r="M1510" i="1"/>
  <c r="M2991" i="1"/>
  <c r="M1417" i="1"/>
  <c r="M1416" i="1"/>
  <c r="M3612" i="1"/>
  <c r="M886" i="1"/>
  <c r="M885" i="1"/>
  <c r="M1356" i="1"/>
  <c r="M1355" i="1"/>
  <c r="M3287" i="1"/>
  <c r="M7674" i="1"/>
  <c r="M7673" i="1"/>
  <c r="M4492" i="1"/>
  <c r="M5872" i="1"/>
  <c r="M4284" i="1"/>
  <c r="M4283" i="1"/>
  <c r="M3811" i="1"/>
  <c r="M3810" i="1"/>
  <c r="M3438" i="1"/>
  <c r="M110" i="1"/>
  <c r="M5901" i="1"/>
  <c r="M5900" i="1"/>
  <c r="M7446" i="1" l="1"/>
  <c r="M7779" i="1"/>
  <c r="M3715" i="1"/>
  <c r="M3714" i="1"/>
  <c r="M1951" i="1"/>
  <c r="M226" i="1"/>
  <c r="M7188" i="1" l="1"/>
  <c r="M7187" i="1"/>
  <c r="M996" i="1" l="1"/>
  <c r="M4603" i="1"/>
  <c r="M1633" i="1"/>
  <c r="M7236" i="1"/>
  <c r="M8104" i="1"/>
  <c r="M8103" i="1"/>
  <c r="M2892" i="1"/>
  <c r="M4701" i="1"/>
  <c r="M4700" i="1"/>
  <c r="M5546" i="1"/>
  <c r="M6427" i="1"/>
  <c r="M1509" i="1" l="1"/>
  <c r="M6964" i="1"/>
  <c r="M6963" i="1"/>
  <c r="M1415" i="1"/>
  <c r="M105" i="1"/>
  <c r="M5316" i="1"/>
  <c r="M5315" i="1"/>
  <c r="M6335" i="1"/>
  <c r="M3611" i="1"/>
  <c r="M6608" i="1"/>
  <c r="M1354" i="1"/>
  <c r="M1353" i="1"/>
  <c r="M3286" i="1"/>
  <c r="M4491" i="1" l="1"/>
  <c r="M7339" i="1"/>
  <c r="M5871" i="1"/>
  <c r="M5870" i="1"/>
  <c r="M5116" i="1"/>
  <c r="M2769" i="1"/>
  <c r="M2768" i="1"/>
  <c r="M109" i="1"/>
  <c r="M6185" i="1"/>
  <c r="M5756" i="1"/>
  <c r="M7445" i="1"/>
  <c r="M7444" i="1"/>
  <c r="M7443" i="1"/>
  <c r="M1108" i="1"/>
  <c r="M3723" i="1"/>
  <c r="M7778" i="1"/>
  <c r="M3713" i="1"/>
  <c r="M225" i="1"/>
  <c r="M750" i="1"/>
  <c r="M995" i="1" l="1"/>
  <c r="M1632" i="1"/>
  <c r="M7235" i="1"/>
  <c r="M8327" i="1"/>
  <c r="M4699" i="1"/>
  <c r="M4698" i="1"/>
  <c r="M5545" i="1"/>
  <c r="M430" i="1"/>
  <c r="M8213" i="1"/>
  <c r="M6962" i="1"/>
  <c r="M1414" i="1"/>
  <c r="M6334" i="1"/>
  <c r="M884" i="1" l="1"/>
  <c r="M2486" i="1"/>
  <c r="M4490" i="1"/>
  <c r="M7338" i="1"/>
  <c r="M2278" i="1"/>
  <c r="M5869" i="1"/>
  <c r="M5223" i="1"/>
  <c r="M2767" i="1"/>
  <c r="M3809" i="1"/>
  <c r="M6184" i="1"/>
  <c r="M7442" i="1"/>
  <c r="M1107" i="1" l="1"/>
  <c r="M7777" i="1"/>
  <c r="M3712" i="1" l="1"/>
  <c r="M1950" i="1"/>
  <c r="M224" i="1"/>
  <c r="M2695" i="1" l="1"/>
  <c r="M2694" i="1"/>
  <c r="M2693" i="1"/>
  <c r="M2692" i="1"/>
  <c r="M2691" i="1"/>
  <c r="M2690" i="1"/>
  <c r="M2689" i="1"/>
  <c r="M4602" i="1" l="1"/>
  <c r="M6725" i="1"/>
  <c r="M6724" i="1"/>
  <c r="M6723" i="1"/>
  <c r="M1631" i="1"/>
  <c r="M1630" i="1"/>
  <c r="M1629" i="1"/>
  <c r="M1628" i="1"/>
  <c r="M1627" i="1"/>
  <c r="M7883" i="1"/>
  <c r="M7882" i="1"/>
  <c r="M7881" i="1"/>
  <c r="M7234" i="1"/>
  <c r="M7233" i="1"/>
  <c r="M7232" i="1"/>
  <c r="M7231" i="1"/>
  <c r="M7230" i="1"/>
  <c r="M7229" i="1"/>
  <c r="M8102" i="1"/>
  <c r="M8101" i="1"/>
  <c r="M8100" i="1"/>
  <c r="M8099" i="1"/>
  <c r="M2891" i="1"/>
  <c r="M2890" i="1"/>
  <c r="M2889" i="1"/>
  <c r="M2154" i="1"/>
  <c r="M8326" i="1"/>
  <c r="M8325" i="1"/>
  <c r="M3176" i="1"/>
  <c r="M3175" i="1"/>
  <c r="M5544" i="1"/>
  <c r="M5543" i="1"/>
  <c r="M429" i="1"/>
  <c r="M8212" i="1"/>
  <c r="M8211" i="1"/>
  <c r="M1508" i="1"/>
  <c r="M6961" i="1" l="1"/>
  <c r="M6960" i="1"/>
  <c r="M6959" i="1"/>
  <c r="M2564" i="1"/>
  <c r="M2990" i="1"/>
  <c r="M1413" i="1"/>
  <c r="M1412" i="1"/>
  <c r="M1411" i="1"/>
  <c r="M1410" i="1"/>
  <c r="M104" i="1"/>
  <c r="M5314" i="1"/>
  <c r="M5313" i="1"/>
  <c r="M5312" i="1"/>
  <c r="M5311" i="1"/>
  <c r="M5310" i="1"/>
  <c r="M650" i="1"/>
  <c r="M649" i="1"/>
  <c r="M3610" i="1"/>
  <c r="M3609" i="1"/>
  <c r="M883" i="1"/>
  <c r="M882" i="1"/>
  <c r="M881" i="1"/>
  <c r="M6607" i="1" l="1"/>
  <c r="M6606" i="1"/>
  <c r="M6605" i="1"/>
  <c r="M1352" i="1" l="1"/>
  <c r="M2485" i="1"/>
  <c r="M2484" i="1"/>
  <c r="M2483" i="1"/>
  <c r="M3285" i="1"/>
  <c r="M7079" i="1"/>
  <c r="M7078" i="1"/>
  <c r="M7337" i="1"/>
  <c r="M7336" i="1"/>
  <c r="M7335" i="1"/>
  <c r="M2277" i="1"/>
  <c r="M2276" i="1"/>
  <c r="M5868" i="1" l="1"/>
  <c r="M5867" i="1"/>
  <c r="M5866" i="1"/>
  <c r="M5222" i="1"/>
  <c r="M5221" i="1"/>
  <c r="M5114" i="1"/>
  <c r="M5115" i="1"/>
  <c r="K5899" i="1" l="1"/>
  <c r="K5898" i="1"/>
  <c r="K5897" i="1"/>
  <c r="M5897" i="1" s="1"/>
  <c r="K5896" i="1"/>
  <c r="M5896" i="1" s="1"/>
  <c r="M6773" i="1"/>
  <c r="K3510" i="1" l="1"/>
  <c r="K3509" i="1"/>
  <c r="M3509" i="1" s="1"/>
  <c r="K3508" i="1"/>
  <c r="M3508" i="1" s="1"/>
  <c r="K3507" i="1"/>
  <c r="M3507" i="1" s="1"/>
  <c r="K3506" i="1"/>
  <c r="M3506" i="1" s="1"/>
  <c r="K7186" i="1"/>
  <c r="K7185" i="1"/>
  <c r="K1959" i="1"/>
  <c r="K4647" i="1" l="1"/>
  <c r="M4647" i="1" s="1"/>
  <c r="K4646" i="1"/>
  <c r="M4646" i="1" s="1"/>
  <c r="K5538" i="1" l="1"/>
  <c r="M5538" i="1" s="1"/>
  <c r="K3618" i="1" l="1"/>
  <c r="M3618" i="1" s="1"/>
  <c r="K3617" i="1"/>
  <c r="M3617" i="1" s="1"/>
  <c r="K221" i="1" l="1"/>
  <c r="M221" i="1" s="1"/>
  <c r="K746" i="1" l="1"/>
  <c r="M746" i="1" s="1"/>
  <c r="K220" i="1"/>
  <c r="M220" i="1" s="1"/>
  <c r="K219" i="1"/>
  <c r="M219" i="1" s="1"/>
  <c r="K989" i="1" l="1"/>
  <c r="M989" i="1" s="1"/>
  <c r="K994" i="1"/>
  <c r="M994" i="1" s="1"/>
  <c r="K993" i="1"/>
  <c r="M993" i="1" s="1"/>
  <c r="K992" i="1"/>
  <c r="M992" i="1" s="1"/>
  <c r="K991" i="1"/>
  <c r="M991" i="1" s="1"/>
  <c r="K990" i="1"/>
  <c r="M990" i="1" s="1"/>
  <c r="K4599" i="1" l="1"/>
  <c r="M4599" i="1" s="1"/>
  <c r="K4598" i="1"/>
  <c r="M4598" i="1" s="1"/>
  <c r="K4597" i="1"/>
  <c r="M4597" i="1" s="1"/>
  <c r="K4596" i="1"/>
  <c r="M4596" i="1" s="1"/>
  <c r="K4595" i="1"/>
  <c r="M4595" i="1" s="1"/>
  <c r="K4594" i="1"/>
  <c r="M4594" i="1" s="1"/>
  <c r="K4593" i="1"/>
  <c r="M4593" i="1" s="1"/>
  <c r="K6718" i="1"/>
  <c r="M6718" i="1" s="1"/>
  <c r="K6717" i="1"/>
  <c r="M6717" i="1" s="1"/>
  <c r="K6716" i="1"/>
  <c r="M6716" i="1" s="1"/>
  <c r="K6715" i="1"/>
  <c r="M6715" i="1" s="1"/>
  <c r="K6714" i="1"/>
  <c r="M6714" i="1" s="1"/>
  <c r="K1622" i="1"/>
  <c r="M1622" i="1" s="1"/>
  <c r="K1621" i="1"/>
  <c r="M1621" i="1" s="1"/>
  <c r="K1620" i="1"/>
  <c r="M1620" i="1" s="1"/>
  <c r="K1619" i="1"/>
  <c r="M1619" i="1" s="1"/>
  <c r="K1618" i="1" l="1"/>
  <c r="M1618" i="1" s="1"/>
  <c r="K1617" i="1"/>
  <c r="M1617" i="1" s="1"/>
  <c r="K1616" i="1"/>
  <c r="M1616" i="1" s="1"/>
  <c r="K7879" i="1"/>
  <c r="M7879" i="1" s="1"/>
  <c r="K7878" i="1"/>
  <c r="M7878" i="1" s="1"/>
  <c r="K7877" i="1"/>
  <c r="M7877" i="1" s="1"/>
  <c r="K7876" i="1"/>
  <c r="M7876" i="1" s="1"/>
  <c r="K7875" i="1"/>
  <c r="M7875" i="1" s="1"/>
  <c r="K7874" i="1"/>
  <c r="M7874" i="1" s="1"/>
  <c r="K7224" i="1"/>
  <c r="M7224" i="1" s="1"/>
  <c r="K7223" i="1"/>
  <c r="M7223" i="1" s="1"/>
  <c r="K7222" i="1"/>
  <c r="M7222" i="1" s="1"/>
  <c r="K7221" i="1"/>
  <c r="M7221" i="1" s="1"/>
  <c r="K8096" i="1"/>
  <c r="M8096" i="1" s="1"/>
  <c r="K8095" i="1"/>
  <c r="M8095" i="1" s="1"/>
  <c r="K8094" i="1"/>
  <c r="M8094" i="1" s="1"/>
  <c r="K8093" i="1"/>
  <c r="M8093" i="1" s="1"/>
  <c r="K2149" i="1"/>
  <c r="M2149" i="1" s="1"/>
  <c r="K2148" i="1"/>
  <c r="M2148" i="1" s="1"/>
  <c r="K2147" i="1"/>
  <c r="M2147" i="1" s="1"/>
  <c r="K2146" i="1"/>
  <c r="M2146" i="1" s="1"/>
  <c r="K4645" i="1"/>
  <c r="M4645" i="1" s="1"/>
  <c r="K4644" i="1"/>
  <c r="M4644" i="1" s="1"/>
  <c r="K8321" i="1"/>
  <c r="M8321" i="1" s="1"/>
  <c r="K8320" i="1"/>
  <c r="M8320" i="1" s="1"/>
  <c r="K8319" i="1"/>
  <c r="M8319" i="1" s="1"/>
  <c r="K8318" i="1"/>
  <c r="M8318" i="1" s="1"/>
  <c r="K8317" i="1"/>
  <c r="M8317" i="1" s="1"/>
  <c r="K8316" i="1"/>
  <c r="M8316" i="1" s="1"/>
  <c r="K8315" i="1"/>
  <c r="M8315" i="1" s="1"/>
  <c r="K2762" i="1" l="1"/>
  <c r="M2762" i="1" s="1"/>
  <c r="K1903" i="1"/>
  <c r="M1903" i="1" s="1"/>
  <c r="K1902" i="1"/>
  <c r="M1902" i="1" s="1"/>
  <c r="K1901" i="1"/>
  <c r="M1901" i="1" s="1"/>
  <c r="K1900" i="1"/>
  <c r="M1900" i="1" s="1"/>
  <c r="K4695" i="1"/>
  <c r="M4695" i="1" s="1"/>
  <c r="K4694" i="1"/>
  <c r="M4694" i="1" s="1"/>
  <c r="K4693" i="1"/>
  <c r="M4693" i="1" s="1"/>
  <c r="K4692" i="1"/>
  <c r="M4692" i="1" s="1"/>
  <c r="K4691" i="1"/>
  <c r="M4691" i="1" s="1"/>
  <c r="K4690" i="1"/>
  <c r="M4690" i="1" s="1"/>
  <c r="K7894" i="1"/>
  <c r="M7894" i="1" s="1"/>
  <c r="K7893" i="1"/>
  <c r="M7893" i="1" s="1"/>
  <c r="K4166" i="1"/>
  <c r="M4166" i="1" s="1"/>
  <c r="K4165" i="1"/>
  <c r="M4165" i="1" s="1"/>
  <c r="K4164" i="1"/>
  <c r="M4164" i="1" s="1"/>
  <c r="K8205" i="1"/>
  <c r="M8205" i="1" s="1"/>
  <c r="K8204" i="1"/>
  <c r="M8204" i="1" s="1"/>
  <c r="K1506" i="1"/>
  <c r="M1506" i="1" s="1"/>
  <c r="K1505" i="1"/>
  <c r="M1505" i="1" s="1"/>
  <c r="K2561" i="1"/>
  <c r="M2561" i="1" s="1"/>
  <c r="K2560" i="1"/>
  <c r="M2560" i="1" s="1"/>
  <c r="K3899" i="1"/>
  <c r="M3899" i="1" s="1"/>
  <c r="K3898" i="1"/>
  <c r="M3898" i="1" s="1"/>
  <c r="K3897" i="1"/>
  <c r="M3897" i="1" s="1"/>
  <c r="K3896" i="1"/>
  <c r="M3896" i="1" s="1"/>
  <c r="K3895" i="1"/>
  <c r="M3895" i="1" s="1"/>
  <c r="K3894" i="1"/>
  <c r="M3894" i="1" s="1"/>
  <c r="K3893" i="1"/>
  <c r="M3893" i="1" s="1"/>
  <c r="K2986" i="1"/>
  <c r="M2986" i="1" s="1"/>
  <c r="K1408" i="1"/>
  <c r="M1408" i="1" s="1"/>
  <c r="K1407" i="1"/>
  <c r="M1407" i="1" s="1"/>
  <c r="K1406" i="1"/>
  <c r="M1406" i="1" s="1"/>
  <c r="K1405" i="1"/>
  <c r="M1405" i="1" s="1"/>
  <c r="K102" i="1"/>
  <c r="M102" i="1" s="1"/>
  <c r="K6333" i="1"/>
  <c r="M6333" i="1" s="1"/>
  <c r="K6332" i="1"/>
  <c r="M6332" i="1" s="1"/>
  <c r="K6331" i="1"/>
  <c r="M6331" i="1" s="1"/>
  <c r="K6330" i="1"/>
  <c r="M6330" i="1" s="1"/>
  <c r="K6329" i="1"/>
  <c r="M6329" i="1" s="1"/>
  <c r="K305" i="1"/>
  <c r="M305" i="1" s="1"/>
  <c r="K304" i="1"/>
  <c r="M304" i="1" s="1"/>
  <c r="K303" i="1"/>
  <c r="M303" i="1" s="1"/>
  <c r="K302" i="1"/>
  <c r="M302" i="1" s="1"/>
  <c r="K647" i="1"/>
  <c r="M647" i="1" s="1"/>
  <c r="K646" i="1"/>
  <c r="M646" i="1" s="1"/>
  <c r="K645" i="1"/>
  <c r="M645" i="1" s="1"/>
  <c r="K3606" i="1"/>
  <c r="M3606" i="1" s="1"/>
  <c r="K3605" i="1"/>
  <c r="M3605" i="1" s="1"/>
  <c r="K3604" i="1"/>
  <c r="M3604" i="1" s="1"/>
  <c r="K4835" i="1"/>
  <c r="M4835" i="1" s="1"/>
  <c r="K4834" i="1"/>
  <c r="M4834" i="1" s="1"/>
  <c r="K4833" i="1"/>
  <c r="M4833" i="1" s="1"/>
  <c r="K6599" i="1"/>
  <c r="M6599" i="1" s="1"/>
  <c r="K6598" i="1"/>
  <c r="M6598" i="1" s="1"/>
  <c r="K6597" i="1"/>
  <c r="M6597" i="1" s="1"/>
  <c r="K1347" i="1"/>
  <c r="M1347" i="1" s="1"/>
  <c r="K1346" i="1"/>
  <c r="M1346" i="1" s="1"/>
  <c r="K1345" i="1"/>
  <c r="M1345" i="1" s="1"/>
  <c r="K1344" i="1"/>
  <c r="M1344" i="1" s="1"/>
  <c r="K1343" i="1"/>
  <c r="M1343" i="1" s="1"/>
  <c r="K1342" i="1"/>
  <c r="M1342" i="1" s="1"/>
  <c r="K1341" i="1"/>
  <c r="M1341" i="1" s="1"/>
  <c r="K1340" i="1"/>
  <c r="M1340" i="1" s="1"/>
  <c r="K2476" i="1"/>
  <c r="M2476" i="1" s="1"/>
  <c r="K2475" i="1"/>
  <c r="M2475" i="1" s="1"/>
  <c r="K2474" i="1"/>
  <c r="M2474" i="1" s="1"/>
  <c r="K3279" i="1"/>
  <c r="M3279" i="1" s="1"/>
  <c r="K3278" i="1"/>
  <c r="M3278" i="1" s="1"/>
  <c r="K3277" i="1"/>
  <c r="M3277" i="1" s="1"/>
  <c r="K3276" i="1"/>
  <c r="M3276" i="1" s="1"/>
  <c r="K2559" i="1"/>
  <c r="M2559" i="1" s="1"/>
  <c r="K7652" i="1"/>
  <c r="K7651" i="1"/>
  <c r="K7650" i="1"/>
  <c r="M6752" i="1"/>
  <c r="M6944" i="1"/>
  <c r="M6945" i="1"/>
  <c r="M7866" i="1"/>
  <c r="M2752" i="1"/>
  <c r="M2753" i="1"/>
  <c r="M4828" i="1"/>
  <c r="M1735" i="1"/>
  <c r="M6779" i="1"/>
  <c r="M6980" i="1"/>
  <c r="M6981" i="1"/>
  <c r="M2053" i="1"/>
  <c r="M6946" i="1"/>
  <c r="M2754" i="1"/>
  <c r="M1959" i="1"/>
  <c r="M7185" i="1"/>
  <c r="M7186" i="1"/>
  <c r="M749" i="1"/>
  <c r="M3510" i="1"/>
  <c r="M1947" i="1"/>
  <c r="M1948" i="1"/>
  <c r="M1949" i="1"/>
  <c r="M3710" i="1"/>
  <c r="M3711" i="1"/>
  <c r="M1106" i="1"/>
  <c r="M5753" i="1"/>
  <c r="M5754" i="1"/>
  <c r="M5755" i="1"/>
  <c r="M5898" i="1"/>
  <c r="M5899" i="1"/>
  <c r="M6183" i="1"/>
  <c r="M3807" i="1"/>
  <c r="M3808" i="1"/>
  <c r="M3043" i="1"/>
  <c r="M1644" i="1"/>
  <c r="M2327" i="1"/>
  <c r="M2328" i="1"/>
  <c r="M5404" i="1"/>
  <c r="M4827" i="1"/>
  <c r="M5206" i="1"/>
  <c r="M1092" i="1"/>
  <c r="M3188" i="1"/>
  <c r="M6751" i="1"/>
  <c r="M1188" i="1"/>
  <c r="M1189" i="1"/>
  <c r="M1190" i="1"/>
  <c r="M1738" i="1"/>
  <c r="M7090" i="1"/>
  <c r="M4582" i="1"/>
  <c r="M4583" i="1"/>
  <c r="K7076" i="1"/>
  <c r="M7076" i="1" s="1"/>
  <c r="K7075" i="1"/>
  <c r="M7075" i="1" s="1"/>
  <c r="K7074" i="1"/>
  <c r="M7074" i="1" s="1"/>
  <c r="K4489" i="1"/>
  <c r="M4489" i="1" s="1"/>
  <c r="K7331" i="1"/>
  <c r="M7331" i="1" s="1"/>
  <c r="K2269" i="1"/>
  <c r="M2269" i="1" s="1"/>
  <c r="K2268" i="1"/>
  <c r="M2268" i="1" s="1"/>
  <c r="K2267" i="1"/>
  <c r="M2267" i="1" s="1"/>
  <c r="K5215" i="1"/>
  <c r="M5215" i="1" s="1"/>
  <c r="K5214" i="1"/>
  <c r="M5214" i="1" s="1"/>
  <c r="K8311" i="1" l="1"/>
  <c r="M8311" i="1" s="1"/>
  <c r="K1896" i="1"/>
  <c r="M1896" i="1" s="1"/>
  <c r="K420" i="1"/>
  <c r="M420" i="1" s="1"/>
  <c r="K3890" i="1"/>
  <c r="M3890" i="1" s="1"/>
  <c r="K2985" i="1"/>
  <c r="M2985" i="1" s="1"/>
  <c r="K2984" i="1"/>
  <c r="M2984" i="1" s="1"/>
  <c r="K2983" i="1"/>
  <c r="M2983" i="1" s="1"/>
  <c r="K2982" i="1"/>
  <c r="M2982" i="1" s="1"/>
  <c r="K2981" i="1"/>
  <c r="M2981" i="1" s="1"/>
  <c r="K2980" i="1"/>
  <c r="M2980" i="1" s="1"/>
  <c r="K2979" i="1"/>
  <c r="M2979" i="1" s="1"/>
  <c r="K1401" i="1"/>
  <c r="M1401" i="1" s="1"/>
  <c r="K1400" i="1"/>
  <c r="M1400" i="1" s="1"/>
  <c r="K1399" i="1"/>
  <c r="M1399" i="1" s="1"/>
  <c r="K5303" i="1"/>
  <c r="M5303" i="1" s="1"/>
  <c r="K5302" i="1"/>
  <c r="M5302" i="1" s="1"/>
  <c r="K300" i="1"/>
  <c r="M300" i="1" s="1"/>
  <c r="K3601" i="1"/>
  <c r="M3601" i="1" s="1"/>
  <c r="K3600" i="1"/>
  <c r="M3600" i="1" s="1"/>
  <c r="K3599" i="1"/>
  <c r="M3599" i="1" s="1"/>
  <c r="K3598" i="1"/>
  <c r="M3598" i="1" s="1"/>
  <c r="K874" i="1" l="1"/>
  <c r="M874" i="1" s="1"/>
  <c r="K6595" i="1"/>
  <c r="M6595" i="1" s="1"/>
  <c r="K6594" i="1"/>
  <c r="M6594" i="1" s="1"/>
  <c r="K6593" i="1"/>
  <c r="M6593" i="1" s="1"/>
  <c r="K6592" i="1"/>
  <c r="M6592" i="1" s="1"/>
  <c r="K2470" i="1"/>
  <c r="M2470" i="1" s="1"/>
  <c r="K2469" i="1"/>
  <c r="M2469" i="1" s="1"/>
  <c r="K2468" i="1"/>
  <c r="M2468" i="1" s="1"/>
  <c r="K2467" i="1"/>
  <c r="M2467" i="1" s="1"/>
  <c r="K2466" i="1"/>
  <c r="M2466" i="1" s="1"/>
  <c r="K2465" i="1"/>
  <c r="M2465" i="1" s="1"/>
  <c r="M4998" i="1"/>
  <c r="M4997" i="1"/>
  <c r="K2555" i="1"/>
  <c r="M2555" i="1" s="1"/>
  <c r="K3275" i="1"/>
  <c r="M3275" i="1" s="1"/>
  <c r="K7672" i="1"/>
  <c r="M7672" i="1" s="1"/>
  <c r="K5858" i="1"/>
  <c r="M5858" i="1" s="1"/>
  <c r="K5213" i="1"/>
  <c r="M5213" i="1" s="1"/>
  <c r="K5110" i="1"/>
  <c r="M5110" i="1" s="1"/>
  <c r="K5109" i="1"/>
  <c r="M5109" i="1" s="1"/>
  <c r="K5108" i="1"/>
  <c r="M5108" i="1" s="1"/>
  <c r="K5749" i="1"/>
  <c r="M5749" i="1" s="1"/>
  <c r="K5748" i="1"/>
  <c r="M5748" i="1" s="1"/>
  <c r="K4276" i="1"/>
  <c r="M4276" i="1" s="1"/>
  <c r="K4275" i="1"/>
  <c r="M4275" i="1" s="1"/>
  <c r="K4274" i="1"/>
  <c r="M4274" i="1" s="1"/>
  <c r="K4273" i="1"/>
  <c r="M4273" i="1" s="1"/>
  <c r="K3800" i="1"/>
  <c r="M3800" i="1" s="1"/>
  <c r="K3799" i="1"/>
  <c r="M3799" i="1" s="1"/>
  <c r="K3798" i="1"/>
  <c r="M3798" i="1" s="1"/>
  <c r="K3797" i="1"/>
  <c r="M3797" i="1" s="1"/>
  <c r="K3796" i="1"/>
  <c r="M3796" i="1" s="1"/>
  <c r="K3431" i="1"/>
  <c r="M3431" i="1" s="1"/>
  <c r="K3430" i="1"/>
  <c r="M3430" i="1" s="1"/>
  <c r="K3429" i="1"/>
  <c r="M3429" i="1" s="1"/>
  <c r="K3428" i="1"/>
  <c r="M3428" i="1" s="1"/>
  <c r="K3427" i="1"/>
  <c r="M3427" i="1" s="1"/>
  <c r="K6179" i="1" l="1"/>
  <c r="M6179" i="1" s="1"/>
  <c r="K6178" i="1"/>
  <c r="M6178" i="1" s="1"/>
  <c r="K5600" i="1"/>
  <c r="M5600" i="1" s="1"/>
  <c r="K5599" i="1"/>
  <c r="M5599" i="1" s="1"/>
  <c r="K5598" i="1"/>
  <c r="M5598" i="1" s="1"/>
  <c r="K5597" i="1"/>
  <c r="M5597" i="1" s="1"/>
  <c r="K5596" i="1"/>
  <c r="M5596" i="1" s="1"/>
  <c r="K5595" i="1"/>
  <c r="M5595" i="1" s="1"/>
  <c r="K5594" i="1"/>
  <c r="M5594" i="1" s="1"/>
  <c r="K5593" i="1"/>
  <c r="M5593" i="1" s="1"/>
  <c r="K6769" i="1"/>
  <c r="M6769" i="1" s="1"/>
  <c r="K6768" i="1"/>
  <c r="M6768" i="1" s="1"/>
  <c r="K6767" i="1"/>
  <c r="M6767" i="1" s="1"/>
  <c r="K6766" i="1"/>
  <c r="M6766" i="1" s="1"/>
  <c r="K1719" i="1"/>
  <c r="M1719" i="1" s="1"/>
  <c r="K7433" i="1"/>
  <c r="M7433" i="1" s="1"/>
  <c r="K1718" i="1"/>
  <c r="M1718" i="1" s="1"/>
  <c r="K7436" i="1"/>
  <c r="M7436" i="1" s="1"/>
  <c r="K7435" i="1"/>
  <c r="M7435" i="1" s="1"/>
  <c r="K7434" i="1"/>
  <c r="M7434" i="1" s="1"/>
  <c r="K1101" i="1"/>
  <c r="M1101" i="1" s="1"/>
  <c r="K6016" i="1"/>
  <c r="M6016" i="1" s="1"/>
  <c r="K6015" i="1"/>
  <c r="M6015" i="1" s="1"/>
  <c r="K6014" i="1"/>
  <c r="M6014" i="1" s="1"/>
  <c r="K6013" i="1"/>
  <c r="M6013" i="1" s="1"/>
  <c r="K6270" i="1"/>
  <c r="M6270" i="1" s="1"/>
  <c r="K3619" i="1"/>
  <c r="M3619" i="1" s="1"/>
  <c r="K3616" i="1"/>
  <c r="M3616" i="1" s="1"/>
  <c r="K3615" i="1"/>
  <c r="M3615" i="1" s="1"/>
  <c r="K7774" i="1"/>
  <c r="M7774" i="1" s="1"/>
  <c r="K7773" i="1"/>
  <c r="M7773" i="1" s="1"/>
  <c r="K7772" i="1"/>
  <c r="M7772" i="1" s="1"/>
  <c r="K7771" i="1"/>
  <c r="M7771" i="1" s="1"/>
  <c r="K7770" i="1"/>
  <c r="M7770" i="1" s="1"/>
  <c r="K7766" i="1"/>
  <c r="M7766" i="1" s="1"/>
  <c r="K7765" i="1"/>
  <c r="M7765" i="1" s="1"/>
  <c r="K7764" i="1"/>
  <c r="M7764" i="1" s="1"/>
  <c r="K1944" i="1"/>
  <c r="M1944" i="1" s="1"/>
  <c r="K1943" i="1"/>
  <c r="M1943" i="1" s="1"/>
  <c r="K1942" i="1"/>
  <c r="M1942" i="1" s="1"/>
  <c r="K1941" i="1"/>
  <c r="M1941" i="1" s="1"/>
  <c r="K4399" i="1"/>
  <c r="M4399" i="1" s="1"/>
  <c r="K4398" i="1"/>
  <c r="M4398" i="1" s="1"/>
  <c r="K4397" i="1"/>
  <c r="M4397" i="1" s="1"/>
  <c r="K4396" i="1"/>
  <c r="M4396" i="1" s="1"/>
  <c r="K4395" i="1"/>
  <c r="M4395" i="1" s="1"/>
  <c r="K4381" i="1"/>
  <c r="M4381" i="1" s="1"/>
  <c r="K218" i="1"/>
  <c r="M218" i="1" s="1"/>
  <c r="K217" i="1"/>
  <c r="M217" i="1" s="1"/>
  <c r="K216" i="1"/>
  <c r="M216" i="1" s="1"/>
  <c r="K215" i="1"/>
  <c r="M215" i="1" s="1"/>
  <c r="K214" i="1"/>
  <c r="M214" i="1" s="1"/>
  <c r="K210" i="1"/>
  <c r="M210" i="1" s="1"/>
  <c r="K209" i="1"/>
  <c r="M209" i="1" s="1"/>
  <c r="K3505" i="1"/>
  <c r="M3505" i="1" s="1"/>
  <c r="K3504" i="1"/>
  <c r="M3504" i="1" s="1"/>
  <c r="K5893" i="1"/>
  <c r="M5893" i="1" s="1"/>
  <c r="K5892" i="1"/>
  <c r="M5892" i="1" s="1"/>
  <c r="K5891" i="1"/>
  <c r="M5891" i="1" s="1"/>
  <c r="K745" i="1"/>
  <c r="M745" i="1" s="1"/>
  <c r="K744" i="1"/>
  <c r="M744" i="1" s="1"/>
  <c r="K743" i="1"/>
  <c r="M743" i="1" s="1"/>
  <c r="K1958" i="1"/>
  <c r="M1958" i="1" s="1"/>
  <c r="K1956" i="1"/>
  <c r="M1956" i="1" s="1"/>
  <c r="H10676" i="1" l="1"/>
  <c r="K4592" i="1" l="1"/>
  <c r="M4592" i="1" s="1"/>
  <c r="K6713" i="1"/>
  <c r="M6713" i="1" s="1"/>
  <c r="K7873" i="1" l="1"/>
  <c r="M7873" i="1" s="1"/>
  <c r="K7220" i="1"/>
  <c r="M7220" i="1" s="1"/>
  <c r="K8092" i="1"/>
  <c r="M8092" i="1" s="1"/>
  <c r="K8091" i="1"/>
  <c r="M8091" i="1" s="1"/>
  <c r="K1898" i="1"/>
  <c r="M1898" i="1" s="1"/>
  <c r="K8203" i="1"/>
  <c r="M8203" i="1" s="1"/>
  <c r="K1503" i="1"/>
  <c r="M1503" i="1" s="1"/>
  <c r="K6588" i="1"/>
  <c r="M6588" i="1" s="1"/>
  <c r="K4153" i="1" l="1"/>
  <c r="M4153" i="1" s="1"/>
  <c r="K4152" i="1"/>
  <c r="M4152" i="1" s="1"/>
  <c r="K4151" i="1"/>
  <c r="M4151" i="1" s="1"/>
  <c r="M738" i="1"/>
  <c r="K3168" i="1"/>
  <c r="M3168" i="1" s="1"/>
  <c r="K5535" i="1"/>
  <c r="M5535" i="1" s="1"/>
  <c r="K2970" i="1"/>
  <c r="M2970" i="1" s="1"/>
  <c r="K2969" i="1"/>
  <c r="M2969" i="1" s="1"/>
  <c r="K1404" i="1"/>
  <c r="M1404" i="1" s="1"/>
  <c r="K6327" i="1"/>
  <c r="M6327" i="1" s="1"/>
  <c r="K298" i="1"/>
  <c r="M298" i="1" s="1"/>
  <c r="K297" i="1"/>
  <c r="M297" i="1" s="1"/>
  <c r="K4824" i="1"/>
  <c r="M4824" i="1" s="1"/>
  <c r="K4823" i="1"/>
  <c r="M4823" i="1" s="1"/>
  <c r="K2472" i="1"/>
  <c r="M2472" i="1" s="1"/>
  <c r="K3273" i="1"/>
  <c r="M3273" i="1" s="1"/>
  <c r="K5101" i="1"/>
  <c r="M5101" i="1" s="1"/>
  <c r="K6764" i="1"/>
  <c r="M6764" i="1" s="1"/>
  <c r="K1100" i="1"/>
  <c r="M1100" i="1" s="1"/>
  <c r="K1924" i="1"/>
  <c r="M1924" i="1" s="1"/>
  <c r="K2684" i="1" l="1"/>
  <c r="M2684" i="1" s="1"/>
  <c r="K2683" i="1"/>
  <c r="M2683" i="1" s="1"/>
  <c r="K2682" i="1"/>
  <c r="M2682" i="1" s="1"/>
  <c r="K2681" i="1"/>
  <c r="M2681" i="1" s="1"/>
  <c r="K2680" i="1"/>
  <c r="M2680" i="1" s="1"/>
  <c r="K2671" i="1"/>
  <c r="M2671" i="1" s="1"/>
  <c r="K2670" i="1"/>
  <c r="M2670" i="1" s="1"/>
  <c r="K2669" i="1"/>
  <c r="M2669" i="1" s="1"/>
  <c r="K2668" i="1"/>
  <c r="M2668" i="1" s="1"/>
  <c r="K2667" i="1"/>
  <c r="M2667" i="1" s="1"/>
  <c r="K2666" i="1"/>
  <c r="M2666" i="1" s="1"/>
  <c r="K2665" i="1"/>
  <c r="M2665" i="1" s="1"/>
  <c r="K2664" i="1"/>
  <c r="M2664" i="1" s="1"/>
  <c r="K2663" i="1"/>
  <c r="M2663" i="1" s="1"/>
  <c r="K2662" i="1"/>
  <c r="M2662" i="1" s="1"/>
  <c r="K2661" i="1"/>
  <c r="M2661" i="1" s="1"/>
  <c r="K986" i="1"/>
  <c r="M986" i="1" s="1"/>
  <c r="K985" i="1"/>
  <c r="M985" i="1" s="1"/>
  <c r="K984" i="1"/>
  <c r="M984" i="1" s="1"/>
  <c r="K983" i="1"/>
  <c r="M983" i="1" s="1"/>
  <c r="K982" i="1"/>
  <c r="M982" i="1" s="1"/>
  <c r="K981" i="1"/>
  <c r="M981" i="1" s="1"/>
  <c r="K977" i="1"/>
  <c r="M977" i="1" s="1"/>
  <c r="K976" i="1"/>
  <c r="M976" i="1" s="1"/>
  <c r="K975" i="1"/>
  <c r="M975" i="1" s="1"/>
  <c r="K974" i="1"/>
  <c r="M974" i="1" s="1"/>
  <c r="K973" i="1"/>
  <c r="M973" i="1" s="1"/>
  <c r="K972" i="1"/>
  <c r="M972" i="1" s="1"/>
  <c r="K971" i="1"/>
  <c r="M971" i="1" s="1"/>
  <c r="K970" i="1"/>
  <c r="M970" i="1" s="1"/>
  <c r="K6871" i="1"/>
  <c r="M6871" i="1" s="1"/>
  <c r="K6870" i="1"/>
  <c r="M6870" i="1" s="1"/>
  <c r="K4589" i="1"/>
  <c r="M4589" i="1" s="1"/>
  <c r="K4588" i="1"/>
  <c r="M4588" i="1" s="1"/>
  <c r="K4581" i="1"/>
  <c r="M4581" i="1" s="1"/>
  <c r="K6710" i="1"/>
  <c r="M6710" i="1" s="1"/>
  <c r="K6709" i="1"/>
  <c r="M6709" i="1" s="1"/>
  <c r="K6708" i="1"/>
  <c r="M6708" i="1" s="1"/>
  <c r="K6707" i="1"/>
  <c r="M6707" i="1" s="1"/>
  <c r="K6704" i="1"/>
  <c r="M6704" i="1" s="1"/>
  <c r="K6703" i="1"/>
  <c r="M6703" i="1" s="1"/>
  <c r="K6702" i="1"/>
  <c r="M6702" i="1" s="1"/>
  <c r="K1611" i="1"/>
  <c r="M1611" i="1" s="1"/>
  <c r="K1610" i="1"/>
  <c r="M1610" i="1" s="1"/>
  <c r="K1609" i="1"/>
  <c r="M1609" i="1" s="1"/>
  <c r="K1608" i="1"/>
  <c r="M1608" i="1" s="1"/>
  <c r="K1607" i="1"/>
  <c r="M1607" i="1" s="1"/>
  <c r="K1606" i="1"/>
  <c r="M1606" i="1" s="1"/>
  <c r="K1605" i="1"/>
  <c r="M1605" i="1" s="1"/>
  <c r="K1604" i="1"/>
  <c r="M1604" i="1" s="1"/>
  <c r="K1603" i="1"/>
  <c r="M1603" i="1" s="1"/>
  <c r="K1601" i="1"/>
  <c r="M1601" i="1" s="1"/>
  <c r="K7871" i="1"/>
  <c r="M7871" i="1" s="1"/>
  <c r="K7870" i="1"/>
  <c r="M7870" i="1" s="1"/>
  <c r="K7869" i="1"/>
  <c r="M7869" i="1" s="1"/>
  <c r="K7868" i="1"/>
  <c r="M7868" i="1" s="1"/>
  <c r="K7865" i="1"/>
  <c r="M7865" i="1" s="1"/>
  <c r="K7864" i="1"/>
  <c r="M7864" i="1" s="1"/>
  <c r="K7863" i="1"/>
  <c r="M7863" i="1" s="1"/>
  <c r="K7862" i="1"/>
  <c r="M7862" i="1" s="1"/>
  <c r="K7861" i="1"/>
  <c r="M7861" i="1" s="1"/>
  <c r="K7217" i="1"/>
  <c r="M7217" i="1" s="1"/>
  <c r="K7216" i="1"/>
  <c r="M7216" i="1" s="1"/>
  <c r="K6176" i="1"/>
  <c r="M6176" i="1" s="1"/>
  <c r="K7214" i="1"/>
  <c r="M7214" i="1" s="1"/>
  <c r="K5680" i="1"/>
  <c r="M5680" i="1" s="1"/>
  <c r="K5679" i="1"/>
  <c r="M5679" i="1" s="1"/>
  <c r="K5678" i="1"/>
  <c r="M5678" i="1" s="1"/>
  <c r="K5677" i="1"/>
  <c r="M5677" i="1" s="1"/>
  <c r="K5676" i="1"/>
  <c r="M5676" i="1" s="1"/>
  <c r="K8089" i="1"/>
  <c r="M8089" i="1" s="1"/>
  <c r="K8088" i="1"/>
  <c r="M8088" i="1" s="1"/>
  <c r="K8087" i="1"/>
  <c r="M8087" i="1" s="1"/>
  <c r="K8085" i="1"/>
  <c r="M8085" i="1" s="1"/>
  <c r="K8084" i="1"/>
  <c r="M8084" i="1" s="1"/>
  <c r="K2877" i="1"/>
  <c r="M2877" i="1" s="1"/>
  <c r="K2874" i="1"/>
  <c r="M2874" i="1" s="1"/>
  <c r="K2873" i="1"/>
  <c r="M2873" i="1" s="1"/>
  <c r="K2140" i="1"/>
  <c r="M2140" i="1" s="1"/>
  <c r="K2139" i="1"/>
  <c r="M2139" i="1" s="1"/>
  <c r="K2138" i="1"/>
  <c r="M2138" i="1" s="1"/>
  <c r="K2137" i="1"/>
  <c r="M2137" i="1" s="1"/>
  <c r="K2134" i="1"/>
  <c r="M2134" i="1" s="1"/>
  <c r="K2133" i="1"/>
  <c r="M2133" i="1" s="1"/>
  <c r="K2132" i="1"/>
  <c r="M2132" i="1" s="1"/>
  <c r="K4643" i="1"/>
  <c r="M4643" i="1" s="1"/>
  <c r="K4642" i="1"/>
  <c r="M4642" i="1" s="1"/>
  <c r="K4641" i="1"/>
  <c r="M4641" i="1" s="1"/>
  <c r="K4640" i="1"/>
  <c r="M4640" i="1" s="1"/>
  <c r="K4636" i="1"/>
  <c r="M4636" i="1" s="1"/>
  <c r="K4635" i="1"/>
  <c r="M4635" i="1" s="1"/>
  <c r="K4634" i="1"/>
  <c r="M4634" i="1" s="1"/>
  <c r="K8304" i="1"/>
  <c r="M8304" i="1" s="1"/>
  <c r="K8303" i="1"/>
  <c r="M8303" i="1" s="1"/>
  <c r="K8302" i="1"/>
  <c r="M8302" i="1" s="1"/>
  <c r="K8301" i="1"/>
  <c r="M8301" i="1" s="1"/>
  <c r="K8300" i="1"/>
  <c r="M8300" i="1" s="1"/>
  <c r="K3171" i="1"/>
  <c r="M3171" i="1" s="1"/>
  <c r="K3170" i="1"/>
  <c r="M3170" i="1" s="1"/>
  <c r="K3169" i="1"/>
  <c r="M3169" i="1" s="1"/>
  <c r="K3165" i="1"/>
  <c r="M3165" i="1" s="1"/>
  <c r="K3164" i="1"/>
  <c r="M3164" i="1" s="1"/>
  <c r="K3163" i="1"/>
  <c r="M3163" i="1" s="1"/>
  <c r="K3162" i="1"/>
  <c r="M3162" i="1" s="1"/>
  <c r="K3161" i="1"/>
  <c r="M3161" i="1" s="1"/>
  <c r="K3160" i="1"/>
  <c r="M3160" i="1" s="1"/>
  <c r="K3159" i="1"/>
  <c r="M3159" i="1" s="1"/>
  <c r="K3158" i="1"/>
  <c r="M3158" i="1" s="1"/>
  <c r="K3157" i="1"/>
  <c r="M3157" i="1" s="1"/>
  <c r="K1895" i="1"/>
  <c r="M1895" i="1" s="1"/>
  <c r="K1894" i="1"/>
  <c r="M1894" i="1" s="1"/>
  <c r="K1893" i="1"/>
  <c r="M1893" i="1" s="1"/>
  <c r="K1892" i="1"/>
  <c r="M1892" i="1" s="1"/>
  <c r="K1891" i="1"/>
  <c r="M1891" i="1" s="1"/>
  <c r="K4688" i="1"/>
  <c r="M4688" i="1" s="1"/>
  <c r="K4687" i="1"/>
  <c r="M4687" i="1" s="1"/>
  <c r="K4686" i="1"/>
  <c r="M4686" i="1" s="1"/>
  <c r="K4681" i="1"/>
  <c r="M4681" i="1" s="1"/>
  <c r="K4680" i="1"/>
  <c r="M4680" i="1" s="1"/>
  <c r="K4679" i="1"/>
  <c r="M4679" i="1" s="1"/>
  <c r="K4678" i="1"/>
  <c r="M4678" i="1" s="1"/>
  <c r="K4677" i="1"/>
  <c r="M4677" i="1" s="1"/>
  <c r="K5537" i="1"/>
  <c r="M5537" i="1" s="1"/>
  <c r="K5536" i="1"/>
  <c r="M5536" i="1" s="1"/>
  <c r="K5527" i="1"/>
  <c r="M5527" i="1" s="1"/>
  <c r="K5526" i="1"/>
  <c r="M5526" i="1" s="1"/>
  <c r="K5525" i="1"/>
  <c r="M5525" i="1" s="1"/>
  <c r="K5524" i="1"/>
  <c r="M5524" i="1" s="1"/>
  <c r="K5523" i="1"/>
  <c r="M5523" i="1" s="1"/>
  <c r="K5522" i="1"/>
  <c r="M5522" i="1" s="1"/>
  <c r="K5521" i="1"/>
  <c r="M5521" i="1" s="1"/>
  <c r="K5520" i="1"/>
  <c r="M5520" i="1" s="1"/>
  <c r="K423" i="1"/>
  <c r="M423" i="1" s="1"/>
  <c r="K422" i="1"/>
  <c r="M422" i="1" s="1"/>
  <c r="K421" i="1"/>
  <c r="M421" i="1" s="1"/>
  <c r="K419" i="1"/>
  <c r="M419" i="1" s="1"/>
  <c r="K418" i="1"/>
  <c r="M418" i="1" s="1"/>
  <c r="K415" i="1"/>
  <c r="M415" i="1" s="1"/>
  <c r="K294" i="1"/>
  <c r="M294" i="1" s="1"/>
  <c r="K293" i="1"/>
  <c r="M293" i="1" s="1"/>
  <c r="K292" i="1"/>
  <c r="M292" i="1" s="1"/>
  <c r="K291" i="1"/>
  <c r="M291" i="1" s="1"/>
  <c r="K290" i="1"/>
  <c r="M290" i="1" s="1"/>
  <c r="K289" i="1"/>
  <c r="M289" i="1" s="1"/>
  <c r="K405" i="1"/>
  <c r="M405" i="1" s="1"/>
  <c r="K404" i="1"/>
  <c r="M404" i="1" s="1"/>
  <c r="K403" i="1"/>
  <c r="M403" i="1" s="1"/>
  <c r="K4161" i="1"/>
  <c r="M4161" i="1" s="1"/>
  <c r="K8200" i="1"/>
  <c r="M8200" i="1" s="1"/>
  <c r="K8199" i="1"/>
  <c r="M8199" i="1" s="1"/>
  <c r="K8198" i="1"/>
  <c r="M8198" i="1" s="1"/>
  <c r="K8197" i="1"/>
  <c r="M8197" i="1" s="1"/>
  <c r="K2264" i="1"/>
  <c r="M2264" i="1" s="1"/>
  <c r="K2263" i="1"/>
  <c r="M2263" i="1" s="1"/>
  <c r="K2262" i="1"/>
  <c r="M2262" i="1" s="1"/>
  <c r="K2261" i="1"/>
  <c r="M2261" i="1" s="1"/>
  <c r="K2260" i="1"/>
  <c r="M2260" i="1" s="1"/>
  <c r="K2259" i="1"/>
  <c r="M2259" i="1" s="1"/>
  <c r="K2258" i="1"/>
  <c r="M2258" i="1" s="1"/>
  <c r="K2257" i="1"/>
  <c r="M2257" i="1" s="1"/>
  <c r="K6424" i="1"/>
  <c r="M6424" i="1" s="1"/>
  <c r="K6422" i="1"/>
  <c r="M6422" i="1" s="1"/>
  <c r="K6421" i="1"/>
  <c r="M6421" i="1" s="1"/>
  <c r="K6420" i="1"/>
  <c r="M6420" i="1" s="1"/>
  <c r="K1499" i="1"/>
  <c r="M1499" i="1" s="1"/>
  <c r="K1498" i="1"/>
  <c r="M1498" i="1" s="1"/>
  <c r="K1497" i="1"/>
  <c r="M1497" i="1" s="1"/>
  <c r="K1496" i="1"/>
  <c r="M1496" i="1" s="1"/>
  <c r="K6939" i="1"/>
  <c r="M6939" i="1" s="1"/>
  <c r="K6938" i="1"/>
  <c r="K2553" i="1"/>
  <c r="K3892" i="1"/>
  <c r="M3892" i="1" s="1"/>
  <c r="K3891" i="1"/>
  <c r="M3891" i="1" s="1"/>
  <c r="K3889" i="1"/>
  <c r="M3889" i="1" s="1"/>
  <c r="K3888" i="1"/>
  <c r="M3888" i="1" s="1"/>
  <c r="K3883" i="1"/>
  <c r="M3883" i="1" s="1"/>
  <c r="K3882" i="1"/>
  <c r="M3882" i="1" s="1"/>
  <c r="K1397" i="1"/>
  <c r="M1397" i="1" s="1"/>
  <c r="K1396" i="1"/>
  <c r="M1396" i="1" s="1"/>
  <c r="K1395" i="1"/>
  <c r="M1395" i="1" s="1"/>
  <c r="K1394" i="1"/>
  <c r="M1394" i="1" s="1"/>
  <c r="K1393" i="1"/>
  <c r="M1393" i="1" s="1"/>
  <c r="K1392" i="1"/>
  <c r="M1392" i="1" s="1"/>
  <c r="K5298" i="1"/>
  <c r="M5298" i="1" s="1"/>
  <c r="K5297" i="1"/>
  <c r="M5297" i="1" s="1"/>
  <c r="K5296" i="1"/>
  <c r="M5296" i="1" s="1"/>
  <c r="K5295" i="1"/>
  <c r="M5295" i="1" s="1"/>
  <c r="K6324" i="1"/>
  <c r="M6324" i="1" s="1"/>
  <c r="K6323" i="1"/>
  <c r="M6323" i="1" s="1"/>
  <c r="K6322" i="1"/>
  <c r="M6322" i="1" s="1"/>
  <c r="K6321" i="1"/>
  <c r="M6321" i="1" s="1"/>
  <c r="K6320" i="1"/>
  <c r="M6320" i="1" s="1"/>
  <c r="K6319" i="1"/>
  <c r="M6319" i="1" s="1"/>
  <c r="K6318" i="1"/>
  <c r="M6318" i="1" s="1"/>
  <c r="K6317" i="1"/>
  <c r="M6317" i="1" s="1"/>
  <c r="K6316" i="1"/>
  <c r="M6316" i="1" s="1"/>
  <c r="K6315" i="1"/>
  <c r="M6315" i="1" s="1"/>
  <c r="K299" i="1"/>
  <c r="M299" i="1" s="1"/>
  <c r="K296" i="1"/>
  <c r="M296" i="1" s="1"/>
  <c r="K295" i="1"/>
  <c r="M295" i="1" s="1"/>
  <c r="K414" i="1"/>
  <c r="M414" i="1" s="1"/>
  <c r="K413" i="1"/>
  <c r="M413" i="1" s="1"/>
  <c r="K412" i="1"/>
  <c r="M412" i="1" s="1"/>
  <c r="K411" i="1"/>
  <c r="M411" i="1" s="1"/>
  <c r="K410" i="1"/>
  <c r="M410" i="1" s="1"/>
  <c r="K409" i="1"/>
  <c r="M409" i="1" s="1"/>
  <c r="K408" i="1"/>
  <c r="M408" i="1" s="1"/>
  <c r="K407" i="1"/>
  <c r="M407" i="1" s="1"/>
  <c r="K406" i="1"/>
  <c r="M406" i="1" s="1"/>
  <c r="K644" i="1"/>
  <c r="M644" i="1" s="1"/>
  <c r="K643" i="1"/>
  <c r="M643" i="1" s="1"/>
  <c r="K642" i="1"/>
  <c r="M642" i="1" s="1"/>
  <c r="K641" i="1"/>
  <c r="M641" i="1" s="1"/>
  <c r="K640" i="1"/>
  <c r="M640" i="1" s="1"/>
  <c r="K639" i="1"/>
  <c r="M639" i="1" s="1"/>
  <c r="K638" i="1"/>
  <c r="M638" i="1" s="1"/>
  <c r="K637" i="1"/>
  <c r="M637" i="1" s="1"/>
  <c r="K636" i="1"/>
  <c r="M636" i="1" s="1"/>
  <c r="K635" i="1"/>
  <c r="M635" i="1" s="1"/>
  <c r="K634" i="1"/>
  <c r="M634" i="1" s="1"/>
  <c r="K633" i="1"/>
  <c r="M633" i="1" s="1"/>
  <c r="K3502" i="1"/>
  <c r="M3502" i="1" s="1"/>
  <c r="K3500" i="1"/>
  <c r="M3500" i="1" s="1"/>
  <c r="K3596" i="1"/>
  <c r="M3596" i="1" s="1"/>
  <c r="K3595" i="1"/>
  <c r="M3595" i="1" s="1"/>
  <c r="K3594" i="1"/>
  <c r="M3594" i="1" s="1"/>
  <c r="K3593" i="1"/>
  <c r="M3593" i="1" s="1"/>
  <c r="K3592" i="1"/>
  <c r="M3592" i="1" s="1"/>
  <c r="K875" i="1"/>
  <c r="M875" i="1" s="1"/>
  <c r="K873" i="1"/>
  <c r="M873" i="1" s="1"/>
  <c r="K872" i="1"/>
  <c r="M872" i="1" s="1"/>
  <c r="K871" i="1"/>
  <c r="M871" i="1" s="1"/>
  <c r="K870" i="1"/>
  <c r="M870" i="1" s="1"/>
  <c r="K869" i="1"/>
  <c r="M869" i="1" s="1"/>
  <c r="K868" i="1"/>
  <c r="M868" i="1" s="1"/>
  <c r="K867" i="1"/>
  <c r="M867" i="1" s="1"/>
  <c r="K866" i="1"/>
  <c r="M866" i="1" s="1"/>
  <c r="K865" i="1"/>
  <c r="M865" i="1" s="1"/>
  <c r="K864" i="1"/>
  <c r="M864" i="1" s="1"/>
  <c r="K863" i="1"/>
  <c r="M863" i="1" s="1"/>
  <c r="K862" i="1"/>
  <c r="M862" i="1" s="1"/>
  <c r="K861" i="1"/>
  <c r="M861" i="1" s="1"/>
  <c r="K860" i="1"/>
  <c r="M860" i="1" s="1"/>
  <c r="K859" i="1"/>
  <c r="M859" i="1" s="1"/>
  <c r="K1336" i="1"/>
  <c r="M1336" i="1" s="1"/>
  <c r="K1335" i="1"/>
  <c r="M1335" i="1" s="1"/>
  <c r="K1334" i="1"/>
  <c r="M1334" i="1" s="1"/>
  <c r="K1333" i="1"/>
  <c r="M1333" i="1" s="1"/>
  <c r="K1332" i="1"/>
  <c r="M1332" i="1" s="1"/>
  <c r="K1331" i="1"/>
  <c r="M1331" i="1" s="1"/>
  <c r="K1330" i="1"/>
  <c r="M1330" i="1" s="1"/>
  <c r="K1329" i="1"/>
  <c r="M1329" i="1" s="1"/>
  <c r="K1328" i="1"/>
  <c r="M1328" i="1" s="1"/>
  <c r="K1327" i="1"/>
  <c r="M1327" i="1" s="1"/>
  <c r="K1326" i="1"/>
  <c r="M1326" i="1" s="1"/>
  <c r="K1325" i="1"/>
  <c r="M1325" i="1" s="1"/>
  <c r="K1324" i="1"/>
  <c r="M1324" i="1" s="1"/>
  <c r="K3274" i="1"/>
  <c r="M3274" i="1" s="1"/>
  <c r="K7663" i="1"/>
  <c r="M7663" i="1" s="1"/>
  <c r="K7662" i="1"/>
  <c r="M7662" i="1" s="1"/>
  <c r="K7661" i="1"/>
  <c r="M7661" i="1" s="1"/>
  <c r="K7660" i="1"/>
  <c r="M7660" i="1" s="1"/>
  <c r="K7071" i="1"/>
  <c r="M7071" i="1" s="1"/>
  <c r="K7070" i="1"/>
  <c r="M7070" i="1" s="1"/>
  <c r="K7069" i="1"/>
  <c r="M7069" i="1" s="1"/>
  <c r="K7068" i="1"/>
  <c r="M7068" i="1" s="1"/>
  <c r="K7067" i="1"/>
  <c r="M7067" i="1" s="1"/>
  <c r="K7066" i="1"/>
  <c r="M7066" i="1" s="1"/>
  <c r="K7065" i="1"/>
  <c r="M7065" i="1" s="1"/>
  <c r="K7064" i="1"/>
  <c r="M7064" i="1" s="1"/>
  <c r="K7063" i="1"/>
  <c r="M7063" i="1" s="1"/>
  <c r="K7062" i="1"/>
  <c r="M7062" i="1" s="1"/>
  <c r="K7061" i="1"/>
  <c r="M7061" i="1" s="1"/>
  <c r="K7060" i="1"/>
  <c r="M7060" i="1" s="1"/>
  <c r="K4484" i="1"/>
  <c r="M4484" i="1" s="1"/>
  <c r="K4483" i="1"/>
  <c r="M4483" i="1" s="1"/>
  <c r="K4482" i="1"/>
  <c r="M4482" i="1" s="1"/>
  <c r="K4481" i="1"/>
  <c r="M4481" i="1" s="1"/>
  <c r="K4480" i="1"/>
  <c r="M4480" i="1" s="1"/>
  <c r="K4479" i="1"/>
  <c r="M4479" i="1" s="1"/>
  <c r="K4478" i="1"/>
  <c r="M4478" i="1" s="1"/>
  <c r="K4477" i="1"/>
  <c r="M4477" i="1" s="1"/>
  <c r="K4476" i="1"/>
  <c r="M4476" i="1" s="1"/>
  <c r="K4475" i="1"/>
  <c r="M4475" i="1" s="1"/>
  <c r="K4474" i="1"/>
  <c r="M4474" i="1" s="1"/>
  <c r="K4473" i="1"/>
  <c r="M4473" i="1" s="1"/>
  <c r="K4472" i="1"/>
  <c r="M4472" i="1" s="1"/>
  <c r="K4471" i="1"/>
  <c r="M4471" i="1" s="1"/>
  <c r="K7328" i="1"/>
  <c r="M7328" i="1" s="1"/>
  <c r="K7327" i="1"/>
  <c r="M7327" i="1" s="1"/>
  <c r="K7326" i="1"/>
  <c r="M7326" i="1" s="1"/>
  <c r="K7325" i="1"/>
  <c r="M7325" i="1" s="1"/>
  <c r="K7324" i="1"/>
  <c r="M7324" i="1" s="1"/>
  <c r="K7323" i="1"/>
  <c r="M7323" i="1" s="1"/>
  <c r="K7322" i="1"/>
  <c r="M7322" i="1" s="1"/>
  <c r="K7321" i="1"/>
  <c r="M7321" i="1" s="1"/>
  <c r="K7320" i="1"/>
  <c r="M7320" i="1" s="1"/>
  <c r="K7319" i="1"/>
  <c r="M7319" i="1" s="1"/>
  <c r="K7318" i="1"/>
  <c r="M7318" i="1" s="1"/>
  <c r="K98" i="1"/>
  <c r="M98" i="1" s="1"/>
  <c r="K97" i="1"/>
  <c r="M97" i="1" s="1"/>
  <c r="K96" i="1"/>
  <c r="M96" i="1" s="1"/>
  <c r="K95" i="1"/>
  <c r="M95" i="1" s="1"/>
  <c r="K94" i="1"/>
  <c r="M94" i="1" s="1"/>
  <c r="K93" i="1"/>
  <c r="M93" i="1" s="1"/>
  <c r="K92" i="1"/>
  <c r="M92" i="1" s="1"/>
  <c r="K91" i="1"/>
  <c r="M91" i="1" s="1"/>
  <c r="K90" i="1"/>
  <c r="M90" i="1" s="1"/>
  <c r="K89" i="1"/>
  <c r="M89" i="1" s="1"/>
  <c r="K88" i="1"/>
  <c r="M88" i="1" s="1"/>
  <c r="K87" i="1"/>
  <c r="M87" i="1" s="1"/>
  <c r="K5857" i="1"/>
  <c r="M5857" i="1" s="1"/>
  <c r="K5856" i="1"/>
  <c r="M5856" i="1" s="1"/>
  <c r="K5855" i="1"/>
  <c r="M5855" i="1" s="1"/>
  <c r="K5854" i="1"/>
  <c r="M5854" i="1" s="1"/>
  <c r="K5853" i="1"/>
  <c r="M5853" i="1" s="1"/>
  <c r="K5852" i="1"/>
  <c r="M5852" i="1" s="1"/>
  <c r="K5851" i="1"/>
  <c r="M5851" i="1" s="1"/>
  <c r="K5850" i="1"/>
  <c r="M5850" i="1" s="1"/>
  <c r="K5849" i="1"/>
  <c r="M5849" i="1" s="1"/>
  <c r="K5210" i="1"/>
  <c r="M5210" i="1" s="1"/>
  <c r="K5209" i="1"/>
  <c r="M5209" i="1" s="1"/>
  <c r="K5208" i="1"/>
  <c r="M5208" i="1" s="1"/>
  <c r="K5207" i="1"/>
  <c r="M5207" i="1" s="1"/>
  <c r="K5205" i="1"/>
  <c r="M5205" i="1" s="1"/>
  <c r="K5204" i="1"/>
  <c r="M5204" i="1" s="1"/>
  <c r="K5203" i="1"/>
  <c r="M5203" i="1" s="1"/>
  <c r="K5202" i="1"/>
  <c r="M5202" i="1" s="1"/>
  <c r="K5201" i="1"/>
  <c r="M5201" i="1" s="1"/>
  <c r="K5107" i="1"/>
  <c r="M5107" i="1" s="1"/>
  <c r="K5106" i="1"/>
  <c r="M5106" i="1" s="1"/>
  <c r="K5105" i="1"/>
  <c r="M5105" i="1" s="1"/>
  <c r="K5104" i="1"/>
  <c r="M5104" i="1" s="1"/>
  <c r="K5103" i="1"/>
  <c r="M5103" i="1" s="1"/>
  <c r="K5102" i="1"/>
  <c r="M5102" i="1" s="1"/>
  <c r="K5745" i="1"/>
  <c r="M5745" i="1" s="1"/>
  <c r="K5743" i="1"/>
  <c r="M5743" i="1" s="1"/>
  <c r="K5742" i="1"/>
  <c r="M5742" i="1" s="1"/>
  <c r="K5741" i="1"/>
  <c r="M5741" i="1" s="1"/>
  <c r="K5740" i="1"/>
  <c r="M5740" i="1" s="1"/>
  <c r="K5739" i="1"/>
  <c r="M5739" i="1" s="1"/>
  <c r="K5738" i="1"/>
  <c r="M5738" i="1" s="1"/>
  <c r="K5737" i="1"/>
  <c r="M5737" i="1" s="1"/>
  <c r="K5736" i="1"/>
  <c r="M5736" i="1" s="1"/>
  <c r="K5735" i="1"/>
  <c r="M5735" i="1" s="1"/>
  <c r="K4007" i="1"/>
  <c r="M4007" i="1" s="1"/>
  <c r="K4005" i="1"/>
  <c r="M4005" i="1" s="1"/>
  <c r="K4004" i="1"/>
  <c r="M4004" i="1" s="1"/>
  <c r="K4003" i="1"/>
  <c r="M4003" i="1" s="1"/>
  <c r="K4002" i="1"/>
  <c r="M4002" i="1" s="1"/>
  <c r="K4001" i="1"/>
  <c r="M4001" i="1" s="1"/>
  <c r="K4000" i="1"/>
  <c r="M4000" i="1" s="1"/>
  <c r="K4262" i="1"/>
  <c r="M4262" i="1" s="1"/>
  <c r="K4261" i="1"/>
  <c r="M4261" i="1" s="1"/>
  <c r="K4260" i="1"/>
  <c r="M4260" i="1" s="1"/>
  <c r="K4259" i="1"/>
  <c r="M4259" i="1" s="1"/>
  <c r="K3788" i="1"/>
  <c r="M3788" i="1" s="1"/>
  <c r="K3787" i="1"/>
  <c r="M3787" i="1" s="1"/>
  <c r="K3786" i="1"/>
  <c r="M3786" i="1" s="1"/>
  <c r="K3785" i="1"/>
  <c r="M3785" i="1" s="1"/>
  <c r="K3784" i="1"/>
  <c r="M3784" i="1" s="1"/>
  <c r="K3783" i="1"/>
  <c r="M3783" i="1" s="1"/>
  <c r="K3420" i="1"/>
  <c r="M3420" i="1" s="1"/>
  <c r="K3419" i="1"/>
  <c r="M3419" i="1" s="1"/>
  <c r="K3418" i="1"/>
  <c r="M3418" i="1" s="1"/>
  <c r="K3417" i="1"/>
  <c r="M3417" i="1" s="1"/>
  <c r="K3416" i="1"/>
  <c r="M3416" i="1" s="1"/>
  <c r="K3415" i="1"/>
  <c r="M3415" i="1" s="1"/>
  <c r="K3414" i="1"/>
  <c r="M3414" i="1" s="1"/>
  <c r="K3413" i="1"/>
  <c r="M3413" i="1" s="1"/>
  <c r="K3412" i="1"/>
  <c r="M3412" i="1" s="1"/>
  <c r="K3411" i="1"/>
  <c r="M3411" i="1" s="1"/>
  <c r="K3410" i="1"/>
  <c r="M3410" i="1" s="1"/>
  <c r="K3409" i="1"/>
  <c r="M3409" i="1" s="1"/>
  <c r="K3408" i="1"/>
  <c r="M3408" i="1" s="1"/>
  <c r="K3407" i="1"/>
  <c r="M3407" i="1" s="1"/>
  <c r="K3501" i="1"/>
  <c r="M3501" i="1" s="1"/>
  <c r="K6872" i="1"/>
  <c r="M6872" i="1" s="1"/>
  <c r="K7528" i="1"/>
  <c r="M7528" i="1" s="1"/>
  <c r="K7527" i="1"/>
  <c r="M7527" i="1" s="1"/>
  <c r="K7526" i="1"/>
  <c r="M7526" i="1" s="1"/>
  <c r="K6177" i="1"/>
  <c r="M6177" i="1" s="1"/>
  <c r="K6175" i="1"/>
  <c r="M6175" i="1" s="1"/>
  <c r="K6174" i="1"/>
  <c r="M6174" i="1" s="1"/>
  <c r="K6173" i="1"/>
  <c r="M6173" i="1" s="1"/>
  <c r="K6172" i="1"/>
  <c r="M6172" i="1" s="1"/>
  <c r="K6171" i="1"/>
  <c r="M6171" i="1" s="1"/>
  <c r="K6170" i="1"/>
  <c r="M6170" i="1" s="1"/>
  <c r="K6169" i="1"/>
  <c r="M6169" i="1" s="1"/>
  <c r="K6168" i="1"/>
  <c r="M6168" i="1" s="1"/>
  <c r="K6167" i="1"/>
  <c r="M6167" i="1" s="1"/>
  <c r="K6166" i="1"/>
  <c r="M6166" i="1" s="1"/>
  <c r="K6165" i="1"/>
  <c r="M6165" i="1" s="1"/>
  <c r="K6164" i="1"/>
  <c r="M6164" i="1" s="1"/>
  <c r="K6163" i="1"/>
  <c r="M6163" i="1" s="1"/>
  <c r="K5592" i="1"/>
  <c r="M5592" i="1" s="1"/>
  <c r="K5591" i="1"/>
  <c r="M5591" i="1" s="1"/>
  <c r="K5590" i="1"/>
  <c r="M5590" i="1" s="1"/>
  <c r="K5589" i="1"/>
  <c r="M5589" i="1" s="1"/>
  <c r="K5588" i="1"/>
  <c r="M5588" i="1" s="1"/>
  <c r="K5587" i="1"/>
  <c r="M5587" i="1" s="1"/>
  <c r="K5586" i="1"/>
  <c r="M5586" i="1" s="1"/>
  <c r="K5585" i="1"/>
  <c r="M5585" i="1" s="1"/>
  <c r="K5584" i="1"/>
  <c r="M5584" i="1" s="1"/>
  <c r="K5583" i="1"/>
  <c r="M5583" i="1" s="1"/>
  <c r="K5582" i="1"/>
  <c r="M5582" i="1" s="1"/>
  <c r="K7432" i="1"/>
  <c r="M7432" i="1" s="1"/>
  <c r="K7431" i="1"/>
  <c r="M7431" i="1" s="1"/>
  <c r="K2747" i="1"/>
  <c r="M2747" i="1" s="1"/>
  <c r="K2746" i="1"/>
  <c r="M2746" i="1" s="1"/>
  <c r="K2745" i="1"/>
  <c r="M2745" i="1" s="1"/>
  <c r="K1097" i="1"/>
  <c r="M1097" i="1" s="1"/>
  <c r="K1096" i="1"/>
  <c r="M1096" i="1" s="1"/>
  <c r="K1095" i="1"/>
  <c r="M1095" i="1" s="1"/>
  <c r="K1094" i="1"/>
  <c r="M1094" i="1" s="1"/>
  <c r="K1093" i="1"/>
  <c r="M1093" i="1" s="1"/>
  <c r="K7213" i="1"/>
  <c r="M7213" i="1" s="1"/>
  <c r="K7212" i="1"/>
  <c r="M7212" i="1" s="1"/>
  <c r="K7211" i="1"/>
  <c r="M7211" i="1" s="1"/>
  <c r="K7210" i="1"/>
  <c r="M7210" i="1" s="1"/>
  <c r="K6009" i="1"/>
  <c r="M6009" i="1" s="1"/>
  <c r="K6008" i="1"/>
  <c r="M6008" i="1" s="1"/>
  <c r="K6007" i="1"/>
  <c r="M6007" i="1" s="1"/>
  <c r="K6006" i="1"/>
  <c r="M6006" i="1" s="1"/>
  <c r="K6005" i="1"/>
  <c r="M6005" i="1" s="1"/>
  <c r="K6004" i="1"/>
  <c r="M6004" i="1" s="1"/>
  <c r="K6003" i="1"/>
  <c r="M6003" i="1" s="1"/>
  <c r="K6002" i="1"/>
  <c r="M6002" i="1" s="1"/>
  <c r="K6001" i="1"/>
  <c r="M6001" i="1" s="1"/>
  <c r="K6000" i="1"/>
  <c r="M6000" i="1" s="1"/>
  <c r="K5999" i="1"/>
  <c r="M5999" i="1" s="1"/>
  <c r="K5998" i="1"/>
  <c r="M5998" i="1" s="1"/>
  <c r="K5997" i="1"/>
  <c r="M5997" i="1" s="1"/>
  <c r="K5996" i="1"/>
  <c r="M5996" i="1" s="1"/>
  <c r="K5995" i="1"/>
  <c r="M5995" i="1" s="1"/>
  <c r="K5994" i="1"/>
  <c r="M5994" i="1" s="1"/>
  <c r="K5993" i="1"/>
  <c r="M5993" i="1" s="1"/>
  <c r="K5992" i="1"/>
  <c r="M5992" i="1" s="1"/>
  <c r="K6269" i="1"/>
  <c r="M6269" i="1" s="1"/>
  <c r="K6268" i="1"/>
  <c r="M6268" i="1" s="1"/>
  <c r="K6267" i="1"/>
  <c r="M6267" i="1" s="1"/>
  <c r="K6266" i="1"/>
  <c r="M6266" i="1" s="1"/>
  <c r="K6265" i="1"/>
  <c r="M6265" i="1" s="1"/>
  <c r="K6264" i="1"/>
  <c r="M6264" i="1" s="1"/>
  <c r="K6263" i="1"/>
  <c r="M6263" i="1" s="1"/>
  <c r="K6262" i="1"/>
  <c r="M6262" i="1" s="1"/>
  <c r="K6261" i="1"/>
  <c r="M6261" i="1" s="1"/>
  <c r="K6260" i="1"/>
  <c r="M6260" i="1" s="1"/>
  <c r="K3523" i="1"/>
  <c r="M3523" i="1" s="1"/>
  <c r="K3520" i="1"/>
  <c r="M3520" i="1" s="1"/>
  <c r="K3519" i="1"/>
  <c r="M3519" i="1" s="1"/>
  <c r="K7996" i="1"/>
  <c r="M7996" i="1" s="1"/>
  <c r="K7995" i="1"/>
  <c r="M7995" i="1" s="1"/>
  <c r="K7994" i="1"/>
  <c r="M7994" i="1" s="1"/>
  <c r="K7993" i="1"/>
  <c r="M7993" i="1" s="1"/>
  <c r="K7992" i="1"/>
  <c r="M7992" i="1" s="1"/>
  <c r="K7991" i="1"/>
  <c r="M7991" i="1" s="1"/>
  <c r="K7990" i="1"/>
  <c r="M7990" i="1" s="1"/>
  <c r="K7989" i="1"/>
  <c r="M7989" i="1" s="1"/>
  <c r="K7988" i="1"/>
  <c r="M7988" i="1" s="1"/>
  <c r="K7763" i="1"/>
  <c r="M7763" i="1" s="1"/>
  <c r="K7762" i="1"/>
  <c r="M7762" i="1" s="1"/>
  <c r="K7761" i="1"/>
  <c r="M7761" i="1" s="1"/>
  <c r="K7760" i="1"/>
  <c r="M7760" i="1" s="1"/>
  <c r="K7759" i="1"/>
  <c r="M7759" i="1" s="1"/>
  <c r="K7758" i="1"/>
  <c r="M7758" i="1" s="1"/>
  <c r="K7757" i="1"/>
  <c r="M7757" i="1" s="1"/>
  <c r="K7756" i="1"/>
  <c r="M7756" i="1" s="1"/>
  <c r="K7755" i="1"/>
  <c r="M7755" i="1" s="1"/>
  <c r="K3704" i="1"/>
  <c r="M3704" i="1" s="1"/>
  <c r="K1938" i="1"/>
  <c r="M1938" i="1" s="1"/>
  <c r="K1937" i="1"/>
  <c r="M1937" i="1" s="1"/>
  <c r="K1936" i="1"/>
  <c r="M1936" i="1" s="1"/>
  <c r="K1935" i="1"/>
  <c r="M1935" i="1" s="1"/>
  <c r="K1934" i="1"/>
  <c r="M1934" i="1" s="1"/>
  <c r="K4392" i="1"/>
  <c r="M4392" i="1" s="1"/>
  <c r="K4391" i="1"/>
  <c r="M4391" i="1" s="1"/>
  <c r="K4390" i="1"/>
  <c r="M4390" i="1" s="1"/>
  <c r="K4389" i="1"/>
  <c r="M4389" i="1" s="1"/>
  <c r="K206" i="1"/>
  <c r="M206" i="1" s="1"/>
  <c r="M740" i="1"/>
  <c r="K739" i="1"/>
  <c r="M739" i="1" s="1"/>
  <c r="K737" i="1"/>
  <c r="M737" i="1" s="1"/>
  <c r="K736" i="1"/>
  <c r="M736" i="1" s="1"/>
  <c r="K735" i="1"/>
  <c r="M735" i="1" s="1"/>
  <c r="K734" i="1"/>
  <c r="M734" i="1" s="1"/>
  <c r="K733" i="1"/>
  <c r="M733" i="1" s="1"/>
  <c r="K1925" i="1"/>
  <c r="M1925" i="1" s="1"/>
  <c r="K7180" i="1"/>
  <c r="M7180" i="1" s="1"/>
  <c r="K7179" i="1"/>
  <c r="M7179" i="1" s="1"/>
  <c r="K7178" i="1"/>
  <c r="M7178" i="1" s="1"/>
  <c r="K7177" i="1"/>
  <c r="M7177" i="1" s="1"/>
  <c r="K2677" i="1" l="1"/>
  <c r="M2677" i="1" s="1"/>
  <c r="K6706" i="1"/>
  <c r="M6706" i="1" s="1"/>
  <c r="K980" i="1"/>
  <c r="M980" i="1" s="1"/>
  <c r="K2678" i="1"/>
  <c r="M2678" i="1" s="1"/>
  <c r="K2679" i="1"/>
  <c r="M2679" i="1" s="1"/>
  <c r="K8086" i="1"/>
  <c r="M8086" i="1" s="1"/>
  <c r="K8310" i="1"/>
  <c r="M8310" i="1" s="1"/>
  <c r="K416" i="1"/>
  <c r="M416" i="1" s="1"/>
  <c r="K417" i="1"/>
  <c r="M417" i="1" s="1"/>
  <c r="K5532" i="1"/>
  <c r="M5532" i="1" s="1"/>
  <c r="K5533" i="1"/>
  <c r="M5533" i="1" s="1"/>
  <c r="K5534" i="1"/>
  <c r="M5534" i="1" s="1"/>
  <c r="K4685" i="1"/>
  <c r="M4685" i="1" s="1"/>
  <c r="K1890" i="1"/>
  <c r="M1890" i="1" s="1"/>
  <c r="K1371" i="1"/>
  <c r="M1371" i="1" s="1"/>
  <c r="K1191" i="1"/>
  <c r="M1191" i="1" s="1"/>
  <c r="K6982" i="1"/>
  <c r="M6982" i="1" s="1"/>
  <c r="M4983" i="1"/>
  <c r="K5100" i="1" l="1"/>
  <c r="M5100" i="1" s="1"/>
  <c r="K5099" i="1"/>
  <c r="M5099" i="1" s="1"/>
  <c r="K5098" i="1"/>
  <c r="M5098" i="1" s="1"/>
  <c r="G9754" i="1" l="1"/>
  <c r="K2973" i="1" l="1"/>
  <c r="M2973" i="1" s="1"/>
  <c r="K3268" i="1" l="1"/>
  <c r="M3268" i="1" s="1"/>
  <c r="K3269" i="1"/>
  <c r="M3269" i="1" s="1"/>
  <c r="K4388" i="1"/>
  <c r="M4388" i="1" s="1"/>
  <c r="K4386" i="1"/>
  <c r="M4386" i="1" s="1"/>
  <c r="K7655" i="1"/>
  <c r="M7655" i="1" s="1"/>
  <c r="K7215" i="1" l="1"/>
  <c r="M7215" i="1" s="1"/>
  <c r="K2876" i="1"/>
  <c r="M2876" i="1" s="1"/>
  <c r="K3167" i="1"/>
  <c r="M3167" i="1" s="1"/>
  <c r="K4160" i="1"/>
  <c r="M4160" i="1" s="1"/>
  <c r="K4159" i="1"/>
  <c r="M4159" i="1" s="1"/>
  <c r="K2978" i="1" l="1"/>
  <c r="M2978" i="1" s="1"/>
  <c r="K1398" i="1"/>
  <c r="M1398" i="1" s="1"/>
  <c r="K4982" i="1" l="1"/>
  <c r="M4982" i="1" s="1"/>
  <c r="K4981" i="1"/>
  <c r="M4981" i="1" s="1"/>
  <c r="K4980" i="1"/>
  <c r="M4980" i="1" s="1"/>
  <c r="K3272" i="1"/>
  <c r="M3272" i="1" s="1"/>
  <c r="K7659" i="1"/>
  <c r="M7659" i="1" s="1"/>
  <c r="K4387" i="1" l="1"/>
  <c r="M4387" i="1" s="1"/>
  <c r="K2875" i="1" l="1"/>
  <c r="M2875" i="1" s="1"/>
  <c r="K2136" i="1"/>
  <c r="M2136" i="1" s="1"/>
  <c r="K4639" i="1"/>
  <c r="M4639" i="1" s="1"/>
  <c r="K8309" i="1"/>
  <c r="M8309" i="1" s="1"/>
  <c r="K3166" i="1"/>
  <c r="M3166" i="1" s="1"/>
  <c r="K1889" i="1"/>
  <c r="M1889" i="1" s="1"/>
  <c r="K1888" i="1"/>
  <c r="M1888" i="1" s="1"/>
  <c r="K4158" i="1"/>
  <c r="M4158" i="1" s="1"/>
  <c r="K8196" i="1"/>
  <c r="M8196" i="1" s="1"/>
  <c r="K3887" i="1"/>
  <c r="M3887" i="1" s="1"/>
  <c r="K3886" i="1"/>
  <c r="M3886" i="1" s="1"/>
  <c r="K2977" i="1"/>
  <c r="M2977" i="1" s="1"/>
  <c r="K5301" i="1"/>
  <c r="M5301" i="1" s="1"/>
  <c r="K5300" i="1"/>
  <c r="M5300" i="1" s="1"/>
  <c r="K6591" i="1"/>
  <c r="M6591" i="1" s="1"/>
  <c r="K2464" i="1"/>
  <c r="M2464" i="1" s="1"/>
  <c r="K7658" i="1"/>
  <c r="M7658" i="1" s="1"/>
  <c r="K1717" i="1"/>
  <c r="M1717" i="1" s="1"/>
  <c r="K2751" i="1"/>
  <c r="M2751" i="1" s="1"/>
  <c r="K1500" i="1" l="1"/>
  <c r="M1500" i="1" s="1"/>
  <c r="K1501" i="1"/>
  <c r="M1501" i="1" s="1"/>
  <c r="K1502" i="1"/>
  <c r="M1502" i="1" s="1"/>
  <c r="K2676" i="1" l="1"/>
  <c r="M2676" i="1" s="1"/>
  <c r="K2675" i="1"/>
  <c r="M2675" i="1" s="1"/>
  <c r="K2674" i="1"/>
  <c r="M2674" i="1" s="1"/>
  <c r="K2673" i="1"/>
  <c r="M2673" i="1" s="1"/>
  <c r="K2672" i="1"/>
  <c r="M2672" i="1" s="1"/>
  <c r="K979" i="1"/>
  <c r="M979" i="1" s="1"/>
  <c r="K978" i="1"/>
  <c r="M978" i="1" s="1"/>
  <c r="K4587" i="1"/>
  <c r="M4587" i="1" s="1"/>
  <c r="K4586" i="1"/>
  <c r="M4586" i="1" s="1"/>
  <c r="K8308" i="1"/>
  <c r="M8308" i="1" s="1"/>
  <c r="K1887" i="1"/>
  <c r="M1887" i="1" s="1"/>
  <c r="K4684" i="1"/>
  <c r="M4684" i="1" s="1"/>
  <c r="K5531" i="1"/>
  <c r="M5531" i="1" s="1"/>
  <c r="K4157" i="1"/>
  <c r="M4157" i="1" s="1"/>
  <c r="K8195" i="1"/>
  <c r="M8195" i="1" s="1"/>
  <c r="K2976" i="1"/>
  <c r="M2976" i="1" s="1"/>
  <c r="K5299" i="1"/>
  <c r="M5299" i="1" s="1"/>
  <c r="K2463" i="1"/>
  <c r="M2463" i="1" s="1"/>
  <c r="K3271" i="1"/>
  <c r="M3271" i="1" s="1"/>
  <c r="K3270" i="1"/>
  <c r="M3270" i="1" s="1"/>
  <c r="K7657" i="1"/>
  <c r="M7657" i="1" s="1"/>
  <c r="K4267" i="1" l="1"/>
  <c r="M4267" i="1" s="1"/>
  <c r="K3792" i="1"/>
  <c r="M3792" i="1" s="1"/>
  <c r="K1716" i="1"/>
  <c r="M1716" i="1" s="1"/>
  <c r="K2750" i="1"/>
  <c r="M2750" i="1" s="1"/>
  <c r="K4385" i="1"/>
  <c r="M4385" i="1" s="1"/>
  <c r="K208" i="1"/>
  <c r="M208" i="1" s="1"/>
  <c r="K7184" i="1"/>
  <c r="M7184" i="1" s="1"/>
  <c r="K4585" i="1" l="1"/>
  <c r="M4585" i="1" s="1"/>
  <c r="K4584" i="1"/>
  <c r="M4584" i="1" s="1"/>
  <c r="K6705" i="1"/>
  <c r="M6705" i="1" s="1"/>
  <c r="K1615" i="1"/>
  <c r="M1615" i="1" s="1"/>
  <c r="K1614" i="1"/>
  <c r="M1614" i="1" s="1"/>
  <c r="K1613" i="1"/>
  <c r="M1613" i="1" s="1"/>
  <c r="K1612" i="1"/>
  <c r="M1612" i="1" s="1"/>
  <c r="K2135" i="1" l="1"/>
  <c r="M2135" i="1" s="1"/>
  <c r="K4638" i="1"/>
  <c r="M4638" i="1" s="1"/>
  <c r="K4637" i="1"/>
  <c r="M4637" i="1" s="1"/>
  <c r="K8307" i="1"/>
  <c r="M8307" i="1" s="1"/>
  <c r="K8306" i="1"/>
  <c r="M8306" i="1" s="1"/>
  <c r="K8305" i="1"/>
  <c r="M8305" i="1" s="1"/>
  <c r="K1886" i="1"/>
  <c r="M1886" i="1" s="1"/>
  <c r="K1885" i="1"/>
  <c r="M1885" i="1" s="1"/>
  <c r="K1884" i="1"/>
  <c r="M1884" i="1" s="1"/>
  <c r="K1883" i="1"/>
  <c r="M1883" i="1" s="1"/>
  <c r="K4683" i="1"/>
  <c r="M4683" i="1" s="1"/>
  <c r="K4682" i="1"/>
  <c r="M4682" i="1" s="1"/>
  <c r="K5530" i="1"/>
  <c r="M5530" i="1" s="1"/>
  <c r="K5529" i="1"/>
  <c r="M5529" i="1" s="1"/>
  <c r="K5528" i="1"/>
  <c r="M5528" i="1" s="1"/>
  <c r="K4156" i="1"/>
  <c r="M4156" i="1" s="1"/>
  <c r="K4155" i="1"/>
  <c r="M4155" i="1" s="1"/>
  <c r="K4154" i="1"/>
  <c r="M4154" i="1" s="1"/>
  <c r="K6423" i="1"/>
  <c r="M6423" i="1" s="1"/>
  <c r="K1495" i="1"/>
  <c r="M1495" i="1" s="1"/>
  <c r="K1494" i="1"/>
  <c r="M1494" i="1" s="1"/>
  <c r="K6943" i="1"/>
  <c r="M6943" i="1" s="1"/>
  <c r="K6942" i="1"/>
  <c r="M6942" i="1" s="1"/>
  <c r="K6941" i="1"/>
  <c r="M6941" i="1" s="1"/>
  <c r="K6940" i="1"/>
  <c r="M6940" i="1" s="1"/>
  <c r="K2554" i="1"/>
  <c r="M2554" i="1" s="1"/>
  <c r="K3885" i="1"/>
  <c r="M3885" i="1" s="1"/>
  <c r="K3884" i="1"/>
  <c r="M3884" i="1" s="1"/>
  <c r="K2975" i="1"/>
  <c r="M2975" i="1" s="1"/>
  <c r="K2974" i="1"/>
  <c r="M2974" i="1" s="1"/>
  <c r="K2972" i="1"/>
  <c r="M2972" i="1" s="1"/>
  <c r="K2971" i="1"/>
  <c r="M2971" i="1" s="1"/>
  <c r="K1390" i="1" l="1"/>
  <c r="M1390" i="1" s="1"/>
  <c r="K1388" i="1"/>
  <c r="M1388" i="1" s="1"/>
  <c r="K1387" i="1"/>
  <c r="M1387" i="1" s="1"/>
  <c r="K632" i="1"/>
  <c r="M632" i="1" s="1"/>
  <c r="K3497" i="1"/>
  <c r="M3497" i="1" s="1"/>
  <c r="K3496" i="1"/>
  <c r="M3496" i="1" s="1"/>
  <c r="K3597" i="1"/>
  <c r="M3597" i="1" s="1"/>
  <c r="K4826" i="1"/>
  <c r="M4826" i="1" s="1"/>
  <c r="K4825" i="1"/>
  <c r="M4825" i="1" s="1"/>
  <c r="K6590" i="1"/>
  <c r="M6590" i="1" s="1"/>
  <c r="K6589" i="1"/>
  <c r="M6589" i="1" s="1"/>
  <c r="K2462" i="1"/>
  <c r="M2462" i="1" s="1"/>
  <c r="K2461" i="1"/>
  <c r="M2461" i="1" s="1"/>
  <c r="K2460" i="1"/>
  <c r="M2460" i="1" s="1"/>
  <c r="K3267" i="1"/>
  <c r="M3267" i="1" s="1"/>
  <c r="K7656" i="1"/>
  <c r="M7656" i="1" s="1"/>
  <c r="K7654" i="1"/>
  <c r="M7654" i="1" s="1"/>
  <c r="K7653" i="1"/>
  <c r="M7653" i="1" s="1"/>
  <c r="K4266" i="1"/>
  <c r="M4266" i="1" s="1"/>
  <c r="K4265" i="1"/>
  <c r="M4265" i="1" s="1"/>
  <c r="K4264" i="1"/>
  <c r="M4264" i="1" s="1"/>
  <c r="K4263" i="1"/>
  <c r="M4263" i="1" s="1"/>
  <c r="K3791" i="1"/>
  <c r="M3791" i="1" s="1"/>
  <c r="K3790" i="1"/>
  <c r="M3790" i="1" s="1"/>
  <c r="K3789" i="1"/>
  <c r="M3789" i="1" s="1"/>
  <c r="K3405" i="1"/>
  <c r="M3405" i="1" s="1"/>
  <c r="K2749" i="1"/>
  <c r="M2749" i="1" s="1"/>
  <c r="K2748" i="1"/>
  <c r="M2748" i="1" s="1"/>
  <c r="K4384" i="1"/>
  <c r="M4384" i="1" s="1"/>
  <c r="K4383" i="1"/>
  <c r="M4383" i="1" s="1"/>
  <c r="K4382" i="1"/>
  <c r="M4382" i="1" s="1"/>
  <c r="K207" i="1" l="1"/>
  <c r="M207" i="1" s="1"/>
  <c r="K7183" i="1"/>
  <c r="M7183" i="1" s="1"/>
  <c r="K7182" i="1"/>
  <c r="M7182" i="1" s="1"/>
  <c r="K7181" i="1"/>
  <c r="M7181" i="1" s="1"/>
  <c r="K1602" i="1" l="1"/>
  <c r="M1602" i="1" s="1"/>
  <c r="K1600" i="1"/>
  <c r="M1600" i="1" s="1"/>
  <c r="K7859" i="1"/>
  <c r="M7859" i="1" s="1"/>
  <c r="K7858" i="1"/>
  <c r="M7858" i="1" s="1"/>
  <c r="K2130" i="1"/>
  <c r="M2130" i="1" s="1"/>
  <c r="K8299" i="1"/>
  <c r="M8299" i="1" s="1"/>
  <c r="K5519" i="1" l="1"/>
  <c r="M5519" i="1" s="1"/>
  <c r="K5518" i="1"/>
  <c r="M5518" i="1" s="1"/>
  <c r="K5517" i="1"/>
  <c r="M5517" i="1" s="1"/>
  <c r="K402" i="1"/>
  <c r="M402" i="1" s="1"/>
  <c r="K5581" i="1"/>
  <c r="M5581" i="1" s="1"/>
  <c r="K8194" i="1"/>
  <c r="M8194" i="1" s="1"/>
  <c r="K2256" i="1"/>
  <c r="M2256" i="1" s="1"/>
  <c r="K2255" i="1"/>
  <c r="M2255" i="1" s="1"/>
  <c r="K6419" i="1"/>
  <c r="K1492" i="1"/>
  <c r="M1492" i="1" s="1"/>
  <c r="K6937" i="1"/>
  <c r="M6937" i="1" s="1"/>
  <c r="K1391" i="1"/>
  <c r="M1391" i="1" s="1"/>
  <c r="K1386" i="1"/>
  <c r="M1386" i="1" s="1"/>
  <c r="K5293" i="1"/>
  <c r="M5293" i="1" s="1"/>
  <c r="K5294" i="1"/>
  <c r="M5294" i="1" s="1"/>
  <c r="K288" i="1"/>
  <c r="M288" i="1" s="1"/>
  <c r="K631" i="1"/>
  <c r="M631" i="1" s="1"/>
  <c r="K3499" i="1"/>
  <c r="M3499" i="1" s="1"/>
  <c r="K3591" i="1"/>
  <c r="M3591" i="1" s="1"/>
  <c r="K3590" i="1"/>
  <c r="M3590" i="1" s="1"/>
  <c r="K4978" i="1"/>
  <c r="M4978" i="1" s="1"/>
  <c r="K4977" i="1"/>
  <c r="M4977" i="1" s="1"/>
  <c r="K856" i="1"/>
  <c r="M856" i="1" s="1"/>
  <c r="K857" i="1"/>
  <c r="K858" i="1"/>
  <c r="M858" i="1" s="1"/>
  <c r="K1321" i="1"/>
  <c r="M1321" i="1" s="1"/>
  <c r="K1320" i="1"/>
  <c r="M1320" i="1" s="1"/>
  <c r="K3263" i="1"/>
  <c r="M3263" i="1" s="1"/>
  <c r="K7649" i="1"/>
  <c r="K5848" i="1"/>
  <c r="K3781" i="1"/>
  <c r="M3781" i="1" s="1"/>
  <c r="K287" i="1" l="1"/>
  <c r="M287" i="1" s="1"/>
  <c r="K7646" i="1" l="1"/>
  <c r="M7646" i="1" s="1"/>
  <c r="M7650" i="1" l="1"/>
  <c r="M7652" i="1"/>
  <c r="M7651" i="1"/>
  <c r="K3265" i="1"/>
  <c r="M3265" i="1" s="1"/>
  <c r="K3264" i="1"/>
  <c r="M3264" i="1" s="1"/>
  <c r="K3266" i="1"/>
  <c r="M3266" i="1" s="1"/>
  <c r="I2553" i="1"/>
  <c r="M2553" i="1" s="1"/>
  <c r="K3696" i="1" l="1"/>
  <c r="K847" i="1"/>
  <c r="I193" i="1"/>
  <c r="K1490" i="1" l="1"/>
  <c r="M1490" i="1" s="1"/>
  <c r="K4821" i="1"/>
  <c r="K7741" i="1"/>
  <c r="K3042" i="1" l="1"/>
  <c r="M3042" i="1" s="1"/>
  <c r="K1187" i="1"/>
  <c r="M1187" i="1" s="1"/>
  <c r="K4076" i="1"/>
  <c r="M4076" i="1" s="1"/>
  <c r="K6750" i="1"/>
  <c r="M6750" i="1" s="1"/>
  <c r="K1734" i="1"/>
  <c r="M1734" i="1" s="1"/>
  <c r="K962" i="1"/>
  <c r="M962" i="1" s="1"/>
  <c r="K963" i="1"/>
  <c r="M963" i="1" s="1"/>
  <c r="K964" i="1"/>
  <c r="I964" i="1"/>
  <c r="I6938" i="1"/>
  <c r="M6938" i="1" s="1"/>
  <c r="M964" i="1" l="1"/>
  <c r="K7647" i="1"/>
  <c r="M7647" i="1" s="1"/>
  <c r="K7176" i="1" l="1"/>
  <c r="M7176" i="1" s="1"/>
  <c r="K732" i="1"/>
  <c r="M732" i="1" s="1"/>
  <c r="K85" i="1"/>
  <c r="M85" i="1" s="1"/>
  <c r="K204" i="1"/>
  <c r="M204" i="1" s="1"/>
  <c r="K205" i="1"/>
  <c r="M205" i="1" s="1"/>
  <c r="K1931" i="1"/>
  <c r="M1931" i="1" s="1"/>
  <c r="K1932" i="1"/>
  <c r="M1932" i="1" s="1"/>
  <c r="K1933" i="1"/>
  <c r="M1933" i="1" s="1"/>
  <c r="K3699" i="1"/>
  <c r="M3699" i="1" s="1"/>
  <c r="K3700" i="1"/>
  <c r="K3701" i="1"/>
  <c r="M3701" i="1" s="1"/>
  <c r="K3702" i="1"/>
  <c r="M3702" i="1" s="1"/>
  <c r="K3703" i="1"/>
  <c r="M3703" i="1" s="1"/>
  <c r="K7987" i="1"/>
  <c r="K6257" i="1"/>
  <c r="M6257" i="1" s="1"/>
  <c r="K6258" i="1"/>
  <c r="M6258" i="1" s="1"/>
  <c r="K6259" i="1"/>
  <c r="M6259" i="1" s="1"/>
  <c r="K5988" i="1"/>
  <c r="M5988" i="1" s="1"/>
  <c r="K5990" i="1"/>
  <c r="M5990" i="1" s="1"/>
  <c r="K5989" i="1"/>
  <c r="M5989" i="1" s="1"/>
  <c r="K5991" i="1"/>
  <c r="M5991" i="1" s="1"/>
  <c r="K2741" i="1"/>
  <c r="M2741" i="1" s="1"/>
  <c r="K2742" i="1"/>
  <c r="M2742" i="1" s="1"/>
  <c r="K2743" i="1"/>
  <c r="M2743" i="1" s="1"/>
  <c r="K2744" i="1"/>
  <c r="M2744" i="1" s="1"/>
  <c r="K1714" i="1"/>
  <c r="M1714" i="1" s="1"/>
  <c r="K1715" i="1"/>
  <c r="M1715" i="1" s="1"/>
  <c r="K6160" i="1"/>
  <c r="M6160" i="1" s="1"/>
  <c r="K6161" i="1"/>
  <c r="M6161" i="1" s="1"/>
  <c r="K6162" i="1"/>
  <c r="M6162" i="1" s="1"/>
  <c r="K7525" i="1"/>
  <c r="M7525" i="1" s="1"/>
  <c r="K3406" i="1"/>
  <c r="M3406" i="1" s="1"/>
  <c r="K3780" i="1"/>
  <c r="M3780" i="1" s="1"/>
  <c r="K3782" i="1"/>
  <c r="M3782" i="1" s="1"/>
  <c r="K4258" i="1"/>
  <c r="M4258" i="1" s="1"/>
  <c r="K3997" i="1"/>
  <c r="M3997" i="1" s="1"/>
  <c r="K3998" i="1"/>
  <c r="M3998" i="1" s="1"/>
  <c r="K3999" i="1"/>
  <c r="M3999" i="1" s="1"/>
  <c r="K5733" i="1"/>
  <c r="M5733" i="1" s="1"/>
  <c r="K5734" i="1"/>
  <c r="M5734" i="1" s="1"/>
  <c r="K5095" i="1"/>
  <c r="K5094" i="1"/>
  <c r="M5094" i="1" s="1"/>
  <c r="K5096" i="1"/>
  <c r="M5096" i="1" s="1"/>
  <c r="K5097" i="1"/>
  <c r="M5097" i="1" s="1"/>
  <c r="K5199" i="1"/>
  <c r="M5199" i="1" s="1"/>
  <c r="K5200" i="1"/>
  <c r="M5200" i="1" s="1"/>
  <c r="K5847" i="1"/>
  <c r="M5847" i="1" s="1"/>
  <c r="K86" i="1"/>
  <c r="M86" i="1" s="1"/>
  <c r="K7317" i="1"/>
  <c r="M7317" i="1" s="1"/>
  <c r="K4469" i="1"/>
  <c r="M4469" i="1" s="1"/>
  <c r="K4470" i="1"/>
  <c r="M4470" i="1" s="1"/>
  <c r="K7648" i="1"/>
  <c r="M7648" i="1" s="1"/>
  <c r="K1322" i="1"/>
  <c r="M1322" i="1" s="1"/>
  <c r="K1323" i="1"/>
  <c r="M1323" i="1" s="1"/>
  <c r="K855" i="1"/>
  <c r="M855" i="1" s="1"/>
  <c r="K4979" i="1"/>
  <c r="M4979" i="1" s="1"/>
  <c r="K3023" i="1"/>
  <c r="M3023" i="1" s="1"/>
  <c r="K1185" i="1"/>
  <c r="M1185" i="1" s="1"/>
  <c r="K1186" i="1"/>
  <c r="M1186" i="1" s="1"/>
  <c r="K2323" i="1"/>
  <c r="M2323" i="1" s="1"/>
  <c r="K2324" i="1"/>
  <c r="M2324" i="1" s="1"/>
  <c r="K2325" i="1"/>
  <c r="M2325" i="1" s="1"/>
  <c r="K2326" i="1"/>
  <c r="M2326" i="1" s="1"/>
  <c r="K2051" i="1"/>
  <c r="M2051" i="1" s="1"/>
  <c r="K2052" i="1"/>
  <c r="M2052" i="1" s="1"/>
  <c r="K3495" i="1"/>
  <c r="M3495" i="1" s="1"/>
  <c r="K3498" i="1"/>
  <c r="M3498" i="1" s="1"/>
  <c r="K5292" i="1"/>
  <c r="M5292" i="1" s="1"/>
  <c r="K1389" i="1"/>
  <c r="M1389" i="1" s="1"/>
  <c r="K2968" i="1"/>
  <c r="M2968" i="1" s="1"/>
  <c r="K2552" i="1"/>
  <c r="M2552" i="1" s="1"/>
  <c r="K1493" i="1"/>
  <c r="M1493" i="1" s="1"/>
  <c r="K2253" i="1"/>
  <c r="M2253" i="1" s="1"/>
  <c r="K2254" i="1"/>
  <c r="M2254" i="1" s="1"/>
  <c r="K8193" i="1"/>
  <c r="M8193" i="1" s="1"/>
  <c r="K5515" i="1"/>
  <c r="M5515" i="1" s="1"/>
  <c r="K5516" i="1"/>
  <c r="M5516" i="1" s="1"/>
  <c r="K2129" i="1"/>
  <c r="M2129" i="1" s="1"/>
  <c r="K2131" i="1"/>
  <c r="M2131" i="1" s="1"/>
  <c r="K7860" i="1"/>
  <c r="M7860" i="1" s="1"/>
  <c r="K4580" i="1"/>
  <c r="M4580" i="1" s="1"/>
  <c r="I6419" i="1"/>
  <c r="M6419" i="1" s="1"/>
  <c r="I857" i="1"/>
  <c r="M857" i="1" s="1"/>
  <c r="I7649" i="1"/>
  <c r="M7649" i="1" s="1"/>
  <c r="I5848" i="1"/>
  <c r="M5848" i="1" s="1"/>
  <c r="I5095" i="1"/>
  <c r="I7987" i="1"/>
  <c r="I3700" i="1"/>
  <c r="K84" i="1"/>
  <c r="M84" i="1" s="1"/>
  <c r="K203" i="1"/>
  <c r="M203" i="1" s="1"/>
  <c r="K1930" i="1"/>
  <c r="M1930" i="1" s="1"/>
  <c r="K3698" i="1"/>
  <c r="M3698" i="1" s="1"/>
  <c r="K7986" i="1"/>
  <c r="M7986" i="1" s="1"/>
  <c r="K6255" i="1"/>
  <c r="M6255" i="1" s="1"/>
  <c r="K6256" i="1"/>
  <c r="M6256" i="1" s="1"/>
  <c r="K5987" i="1"/>
  <c r="M5987" i="1" s="1"/>
  <c r="K2740" i="1"/>
  <c r="M2740" i="1" s="1"/>
  <c r="K6159" i="1"/>
  <c r="M6159" i="1" s="1"/>
  <c r="K7523" i="1"/>
  <c r="M7523" i="1" s="1"/>
  <c r="K7524" i="1"/>
  <c r="M7524" i="1" s="1"/>
  <c r="K3404" i="1"/>
  <c r="M3404" i="1" s="1"/>
  <c r="K5846" i="1"/>
  <c r="M5846" i="1" s="1"/>
  <c r="K7316" i="1"/>
  <c r="M7316" i="1" s="1"/>
  <c r="K4467" i="1"/>
  <c r="M4467" i="1" s="1"/>
  <c r="K4468" i="1"/>
  <c r="M4468" i="1" s="1"/>
  <c r="K7645" i="1"/>
  <c r="M7645" i="1" s="1"/>
  <c r="K3262" i="1"/>
  <c r="M3262" i="1" s="1"/>
  <c r="K1317" i="1"/>
  <c r="M1317" i="1" s="1"/>
  <c r="K1318" i="1"/>
  <c r="M1318" i="1" s="1"/>
  <c r="K1319" i="1"/>
  <c r="M1319" i="1" s="1"/>
  <c r="K854" i="1"/>
  <c r="M854" i="1" s="1"/>
  <c r="K4976" i="1"/>
  <c r="M4976" i="1" s="1"/>
  <c r="K2049" i="1"/>
  <c r="M2049" i="1" s="1"/>
  <c r="K2050" i="1"/>
  <c r="M2050" i="1" s="1"/>
  <c r="K3494" i="1"/>
  <c r="M3494" i="1" s="1"/>
  <c r="K630" i="1"/>
  <c r="M630" i="1" s="1"/>
  <c r="K5291" i="1"/>
  <c r="M5291" i="1" s="1"/>
  <c r="K2967" i="1"/>
  <c r="M2967" i="1" s="1"/>
  <c r="K6936" i="1"/>
  <c r="M6936" i="1" s="1"/>
  <c r="K1491" i="1"/>
  <c r="M1491" i="1" s="1"/>
  <c r="K2252" i="1"/>
  <c r="M2252" i="1" s="1"/>
  <c r="K8192" i="1"/>
  <c r="M8192" i="1" s="1"/>
  <c r="K5514" i="1"/>
  <c r="M5514" i="1" s="1"/>
  <c r="K4676" i="1"/>
  <c r="M4676" i="1" s="1"/>
  <c r="K3156" i="1"/>
  <c r="M3156" i="1" s="1"/>
  <c r="K8298" i="1"/>
  <c r="M8298" i="1" s="1"/>
  <c r="K2871" i="1"/>
  <c r="M2871" i="1" s="1"/>
  <c r="K2872" i="1"/>
  <c r="M2872" i="1" s="1"/>
  <c r="K5675" i="1"/>
  <c r="M5675" i="1" s="1"/>
  <c r="K6701" i="1"/>
  <c r="M6701" i="1" s="1"/>
  <c r="K6869" i="1"/>
  <c r="M6869" i="1" s="1"/>
  <c r="K2660" i="1"/>
  <c r="M2660" i="1" s="1"/>
  <c r="M7987" i="1" l="1"/>
  <c r="M3700" i="1"/>
  <c r="M5095" i="1"/>
  <c r="K3022" i="1"/>
  <c r="K3589" i="1"/>
  <c r="K1182" i="1"/>
  <c r="K1183" i="1"/>
  <c r="K1184" i="1"/>
  <c r="K2046" i="1"/>
  <c r="K2047" i="1"/>
  <c r="K2048" i="1"/>
  <c r="K1211" i="1"/>
  <c r="K5403" i="1"/>
  <c r="K3492" i="1"/>
  <c r="K3493" i="1"/>
  <c r="K627" i="1"/>
  <c r="K629" i="1"/>
  <c r="M629" i="1" s="1"/>
  <c r="K628" i="1"/>
  <c r="K5289" i="1"/>
  <c r="K5290" i="1"/>
  <c r="K1929" i="1"/>
  <c r="K1384" i="1"/>
  <c r="M1384" i="1" s="1"/>
  <c r="K1385" i="1"/>
  <c r="M1385" i="1" s="1"/>
  <c r="K2966" i="1"/>
  <c r="M2966" i="1" s="1"/>
  <c r="K2551" i="1"/>
  <c r="M2551" i="1" s="1"/>
  <c r="K6934" i="1"/>
  <c r="M6934" i="1" s="1"/>
  <c r="K6935" i="1"/>
  <c r="M6935" i="1" s="1"/>
  <c r="K1489" i="1"/>
  <c r="K2251" i="1"/>
  <c r="M2251" i="1" s="1"/>
  <c r="K8191" i="1"/>
  <c r="M8191" i="1" s="1"/>
  <c r="K400" i="1"/>
  <c r="M400" i="1" s="1"/>
  <c r="K401" i="1"/>
  <c r="M401" i="1" s="1"/>
  <c r="K5512" i="1"/>
  <c r="K5513" i="1"/>
  <c r="M5513" i="1" s="1"/>
  <c r="K4675" i="1"/>
  <c r="M4675" i="1" s="1"/>
  <c r="K1882" i="1"/>
  <c r="M1882" i="1" s="1"/>
  <c r="K3154" i="1"/>
  <c r="M3154" i="1" s="1"/>
  <c r="K3155" i="1"/>
  <c r="M3155" i="1" s="1"/>
  <c r="K8296" i="1"/>
  <c r="M8296" i="1" s="1"/>
  <c r="K8297" i="1"/>
  <c r="M8297" i="1" s="1"/>
  <c r="K2127" i="1"/>
  <c r="M2127" i="1" s="1"/>
  <c r="K2128" i="1"/>
  <c r="M2128" i="1" s="1"/>
  <c r="K2870" i="1"/>
  <c r="M2870" i="1" s="1"/>
  <c r="K5674" i="1"/>
  <c r="M5674" i="1" s="1"/>
  <c r="K1598" i="1"/>
  <c r="K1599" i="1"/>
  <c r="M1599" i="1" s="1"/>
  <c r="K6698" i="1"/>
  <c r="M6698" i="1" s="1"/>
  <c r="K6700" i="1"/>
  <c r="M6700" i="1" s="1"/>
  <c r="K6699" i="1"/>
  <c r="M6699" i="1" s="1"/>
  <c r="K6867" i="1"/>
  <c r="M6867" i="1" s="1"/>
  <c r="K6868" i="1"/>
  <c r="M6868" i="1" s="1"/>
  <c r="K2656" i="1"/>
  <c r="K2657" i="1"/>
  <c r="M2657" i="1" s="1"/>
  <c r="K2658" i="1"/>
  <c r="M2658" i="1" s="1"/>
  <c r="K2659" i="1"/>
  <c r="M2659" i="1" s="1"/>
  <c r="K960" i="1"/>
  <c r="M960" i="1" s="1"/>
  <c r="K961" i="1"/>
  <c r="M961" i="1" s="1"/>
  <c r="K6979" i="1"/>
  <c r="M6979" i="1" s="1"/>
  <c r="K741" i="1"/>
  <c r="M741" i="1" s="1"/>
  <c r="K1939" i="1"/>
  <c r="M1939" i="1" s="1"/>
  <c r="K6010" i="1"/>
  <c r="M6010" i="1" s="1"/>
  <c r="K6011" i="1"/>
  <c r="M6011" i="1" s="1"/>
  <c r="K1098" i="1"/>
  <c r="M1098" i="1" s="1"/>
  <c r="K3421" i="1"/>
  <c r="M3421" i="1" s="1"/>
  <c r="K4268" i="1"/>
  <c r="M4268" i="1" s="1"/>
  <c r="K4008" i="1"/>
  <c r="M4008" i="1" s="1"/>
  <c r="K5744" i="1"/>
  <c r="M5744" i="1" s="1"/>
  <c r="K7329" i="1"/>
  <c r="M7329" i="1" s="1"/>
  <c r="K4485" i="1"/>
  <c r="M4485" i="1" s="1"/>
  <c r="K7664" i="1"/>
  <c r="M7664" i="1" s="1"/>
  <c r="K6596" i="1"/>
  <c r="M6596" i="1" s="1"/>
  <c r="M4988" i="1"/>
  <c r="K1402" i="1"/>
  <c r="M1402" i="1" s="1"/>
  <c r="K1403" i="1"/>
  <c r="M1403" i="1" s="1"/>
  <c r="K6425" i="1"/>
  <c r="M6425" i="1" s="1"/>
  <c r="K1897" i="1"/>
  <c r="M1897" i="1" s="1"/>
  <c r="K8090" i="1"/>
  <c r="M8090" i="1" s="1"/>
  <c r="K4590" i="1"/>
  <c r="M4590" i="1" s="1"/>
  <c r="K987" i="1"/>
  <c r="M987" i="1" s="1"/>
  <c r="K2685" i="1"/>
  <c r="M2685" i="1" s="1"/>
  <c r="K2686" i="1"/>
  <c r="M2686" i="1" s="1"/>
  <c r="K1955" i="1"/>
  <c r="M1955" i="1" s="1"/>
  <c r="M742" i="1"/>
  <c r="K5890" i="1"/>
  <c r="M5890" i="1" s="1"/>
  <c r="K3503" i="1"/>
  <c r="M3503" i="1" s="1"/>
  <c r="K211" i="1"/>
  <c r="M211" i="1" s="1"/>
  <c r="K212" i="1"/>
  <c r="M212" i="1" s="1"/>
  <c r="K4393" i="1"/>
  <c r="M4393" i="1" s="1"/>
  <c r="K6012" i="1"/>
  <c r="M6012" i="1" s="1"/>
  <c r="K1099" i="1"/>
  <c r="M1099" i="1" s="1"/>
  <c r="K6765" i="1"/>
  <c r="M6765" i="1" s="1"/>
  <c r="K3422" i="1"/>
  <c r="M3422" i="1" s="1"/>
  <c r="K3423" i="1"/>
  <c r="M3423" i="1" s="1"/>
  <c r="K3424" i="1"/>
  <c r="M3424" i="1" s="1"/>
  <c r="K3425" i="1"/>
  <c r="M3425" i="1" s="1"/>
  <c r="K3793" i="1"/>
  <c r="M3793" i="1" s="1"/>
  <c r="K4269" i="1"/>
  <c r="M4269" i="1" s="1"/>
  <c r="K4270" i="1"/>
  <c r="M4270" i="1" s="1"/>
  <c r="K4271" i="1"/>
  <c r="M4271" i="1" s="1"/>
  <c r="K4009" i="1"/>
  <c r="M4009" i="1" s="1"/>
  <c r="K4010" i="1"/>
  <c r="M4010" i="1" s="1"/>
  <c r="K5746" i="1"/>
  <c r="M5746" i="1" s="1"/>
  <c r="K5211" i="1"/>
  <c r="M5211" i="1" s="1"/>
  <c r="K7330" i="1"/>
  <c r="M7330" i="1" s="1"/>
  <c r="K7072" i="1"/>
  <c r="M7072" i="1" s="1"/>
  <c r="K2556" i="1"/>
  <c r="M2556" i="1" s="1"/>
  <c r="K2471" i="1"/>
  <c r="M2471" i="1" s="1"/>
  <c r="K1212" i="1"/>
  <c r="M1212" i="1" s="1"/>
  <c r="K1337" i="1"/>
  <c r="M1337" i="1" s="1"/>
  <c r="K1338" i="1"/>
  <c r="M1338" i="1" s="1"/>
  <c r="K4831" i="1"/>
  <c r="M4831" i="1" s="1"/>
  <c r="M4989" i="1"/>
  <c r="K100" i="1"/>
  <c r="M100" i="1" s="1"/>
  <c r="K3044" i="1"/>
  <c r="M3044" i="1" s="1"/>
  <c r="K3602" i="1"/>
  <c r="M3602" i="1" s="1"/>
  <c r="K1193" i="1"/>
  <c r="M1193" i="1" s="1"/>
  <c r="K1194" i="1"/>
  <c r="M1194" i="1" s="1"/>
  <c r="K2054" i="1"/>
  <c r="M2054" i="1" s="1"/>
  <c r="K2055" i="1"/>
  <c r="M2055" i="1" s="1"/>
  <c r="K5405" i="1"/>
  <c r="M5405" i="1" s="1"/>
  <c r="K5406" i="1"/>
  <c r="M5406" i="1" s="1"/>
  <c r="K301" i="1"/>
  <c r="M301" i="1" s="1"/>
  <c r="K6325" i="1"/>
  <c r="M6325" i="1" s="1"/>
  <c r="K6326" i="1"/>
  <c r="M6326" i="1" s="1"/>
  <c r="K5304" i="1"/>
  <c r="M5304" i="1" s="1"/>
  <c r="K2265" i="1"/>
  <c r="M2265" i="1" s="1"/>
  <c r="K2266" i="1"/>
  <c r="M2266" i="1" s="1"/>
  <c r="K8201" i="1"/>
  <c r="M8201" i="1" s="1"/>
  <c r="K8202" i="1"/>
  <c r="M8202" i="1" s="1"/>
  <c r="K5539" i="1"/>
  <c r="M5539" i="1" s="1"/>
  <c r="K4689" i="1"/>
  <c r="M4689" i="1" s="1"/>
  <c r="K8313" i="1"/>
  <c r="M8313" i="1" s="1"/>
  <c r="K2141" i="1"/>
  <c r="M2141" i="1" s="1"/>
  <c r="K7218" i="1"/>
  <c r="M7218" i="1" s="1"/>
  <c r="K7219" i="1"/>
  <c r="M7219" i="1" s="1"/>
  <c r="K7872" i="1"/>
  <c r="M7872" i="1" s="1"/>
  <c r="K6711" i="1"/>
  <c r="M6711" i="1" s="1"/>
  <c r="K6712" i="1"/>
  <c r="M6712" i="1" s="1"/>
  <c r="K4591" i="1"/>
  <c r="M4591" i="1" s="1"/>
  <c r="K988" i="1"/>
  <c r="M988" i="1" s="1"/>
  <c r="K3190" i="1"/>
  <c r="M3190" i="1" s="1"/>
  <c r="K659" i="1"/>
  <c r="M659" i="1" s="1"/>
  <c r="K1645" i="1"/>
  <c r="M1645" i="1" s="1"/>
  <c r="K965" i="1"/>
  <c r="M965" i="1" s="1"/>
  <c r="K213" i="1"/>
  <c r="M213" i="1" s="1"/>
  <c r="K4394" i="1"/>
  <c r="M4394" i="1" s="1"/>
  <c r="K1940" i="1"/>
  <c r="M1940" i="1" s="1"/>
  <c r="K7767" i="1"/>
  <c r="M7767" i="1" s="1"/>
  <c r="K7768" i="1"/>
  <c r="M7768" i="1" s="1"/>
  <c r="K7769" i="1"/>
  <c r="M7769" i="1" s="1"/>
  <c r="K3426" i="1"/>
  <c r="M3426" i="1" s="1"/>
  <c r="K3794" i="1"/>
  <c r="M3794" i="1" s="1"/>
  <c r="K3795" i="1"/>
  <c r="M3795" i="1" s="1"/>
  <c r="K4272" i="1"/>
  <c r="M4272" i="1" s="1"/>
  <c r="K5747" i="1"/>
  <c r="M5747" i="1" s="1"/>
  <c r="K5212" i="1"/>
  <c r="M5212" i="1" s="1"/>
  <c r="K1215" i="1"/>
  <c r="M1215" i="1" s="1"/>
  <c r="K4486" i="1"/>
  <c r="M4486" i="1" s="1"/>
  <c r="K4487" i="1"/>
  <c r="M4487" i="1" s="1"/>
  <c r="K4488" i="1"/>
  <c r="M4488" i="1" s="1"/>
  <c r="K7073" i="1"/>
  <c r="M7073" i="1" s="1"/>
  <c r="K2557" i="1"/>
  <c r="M2557" i="1" s="1"/>
  <c r="K2558" i="1"/>
  <c r="M2558" i="1" s="1"/>
  <c r="K2473" i="1"/>
  <c r="M2473" i="1" s="1"/>
  <c r="K1339" i="1"/>
  <c r="M1339" i="1" s="1"/>
  <c r="K4832" i="1"/>
  <c r="M4832" i="1" s="1"/>
  <c r="M4990" i="1"/>
  <c r="M4991" i="1"/>
  <c r="K3045" i="1"/>
  <c r="M3045" i="1" s="1"/>
  <c r="K3603" i="1"/>
  <c r="M3603" i="1" s="1"/>
  <c r="K6754" i="1"/>
  <c r="M6754" i="1" s="1"/>
  <c r="K1195" i="1"/>
  <c r="M1195" i="1" s="1"/>
  <c r="K6328" i="1"/>
  <c r="M6328" i="1" s="1"/>
  <c r="K5305" i="1"/>
  <c r="M5305" i="1" s="1"/>
  <c r="K1504" i="1"/>
  <c r="M1504" i="1" s="1"/>
  <c r="K4162" i="1"/>
  <c r="M4162" i="1" s="1"/>
  <c r="K4163" i="1"/>
  <c r="M4163" i="1" s="1"/>
  <c r="K1899" i="1"/>
  <c r="M1899" i="1" s="1"/>
  <c r="K8314" i="1"/>
  <c r="M8314" i="1" s="1"/>
  <c r="K2142" i="1"/>
  <c r="M2142" i="1" s="1"/>
  <c r="K2143" i="1"/>
  <c r="M2143" i="1" s="1"/>
  <c r="K2144" i="1"/>
  <c r="M2144" i="1" s="1"/>
  <c r="K2145" i="1"/>
  <c r="M2145" i="1" s="1"/>
  <c r="K4975" i="1" l="1"/>
  <c r="K4974" i="1"/>
  <c r="K4973" i="1"/>
  <c r="K853" i="1"/>
  <c r="K850" i="1"/>
  <c r="K852" i="1"/>
  <c r="K851" i="1"/>
  <c r="K6587" i="1"/>
  <c r="K6586" i="1"/>
  <c r="K6585" i="1"/>
  <c r="K1316" i="1"/>
  <c r="K1315" i="1"/>
  <c r="K2459" i="1"/>
  <c r="K3261" i="1"/>
  <c r="K7644" i="1"/>
  <c r="K7059" i="1"/>
  <c r="K7315" i="1"/>
  <c r="K5845" i="1"/>
  <c r="K3779" i="1"/>
  <c r="K3778" i="1"/>
  <c r="K3775" i="1"/>
  <c r="K3777" i="1"/>
  <c r="K3776" i="1"/>
  <c r="K7522" i="1"/>
  <c r="K7521" i="1"/>
  <c r="K7520" i="1"/>
  <c r="K6158" i="1"/>
  <c r="K6157" i="1"/>
  <c r="K6156" i="1"/>
  <c r="K6155" i="1"/>
  <c r="K83" i="1"/>
  <c r="K1713" i="1"/>
  <c r="K1712" i="1"/>
  <c r="K2739" i="1"/>
  <c r="K2738" i="1"/>
  <c r="K2737" i="1"/>
  <c r="K1091" i="1"/>
  <c r="K5986" i="1"/>
  <c r="K6254" i="1"/>
  <c r="K7985" i="1"/>
  <c r="K7984" i="1"/>
  <c r="K3697" i="1"/>
  <c r="K3695" i="1"/>
  <c r="K4380" i="1"/>
  <c r="K202" i="1"/>
  <c r="K731" i="1"/>
  <c r="K730" i="1"/>
  <c r="K2655" i="1" l="1"/>
  <c r="K2654" i="1"/>
  <c r="K6866" i="1"/>
  <c r="K6865" i="1"/>
  <c r="K6864" i="1"/>
  <c r="K4579" i="1"/>
  <c r="K4578" i="1"/>
  <c r="K4577" i="1"/>
  <c r="K6697" i="1"/>
  <c r="K6696" i="1"/>
  <c r="K6695" i="1"/>
  <c r="K6694" i="1"/>
  <c r="K6693" i="1"/>
  <c r="K6690" i="1"/>
  <c r="K6692" i="1"/>
  <c r="K6691" i="1"/>
  <c r="K6689" i="1"/>
  <c r="K1597" i="1"/>
  <c r="K1596" i="1"/>
  <c r="K1595" i="1"/>
  <c r="K1594" i="1"/>
  <c r="K1593" i="1"/>
  <c r="K1592" i="1"/>
  <c r="K7857" i="1"/>
  <c r="K7856" i="1"/>
  <c r="K5673" i="1"/>
  <c r="K5672" i="1"/>
  <c r="K5671" i="1"/>
  <c r="K8080" i="1"/>
  <c r="K2869" i="1"/>
  <c r="K2868" i="1"/>
  <c r="K2867" i="1"/>
  <c r="K2866" i="1"/>
  <c r="K2126" i="1"/>
  <c r="K2125" i="1"/>
  <c r="K4633" i="1"/>
  <c r="K4632" i="1"/>
  <c r="K4631" i="1"/>
  <c r="K4630" i="1"/>
  <c r="K8294" i="1"/>
  <c r="K8295" i="1"/>
  <c r="K8292" i="1"/>
  <c r="K1881" i="1"/>
  <c r="K1880" i="1"/>
  <c r="K1879" i="1"/>
  <c r="K1877" i="1"/>
  <c r="K1878" i="1"/>
  <c r="K4674" i="1"/>
  <c r="K4673" i="1"/>
  <c r="K4672" i="1"/>
  <c r="K4669" i="1"/>
  <c r="K4671" i="1"/>
  <c r="K4670" i="1"/>
  <c r="K399" i="1"/>
  <c r="K398" i="1"/>
  <c r="K397" i="1"/>
  <c r="K395" i="1"/>
  <c r="K396" i="1"/>
  <c r="K394" i="1"/>
  <c r="K393" i="1"/>
  <c r="K2250" i="1"/>
  <c r="K1927" i="1"/>
  <c r="K5285" i="1" l="1"/>
  <c r="K3485" i="1"/>
  <c r="M3485" i="1" s="1"/>
  <c r="K5093" i="1"/>
  <c r="I1598" i="1" l="1"/>
  <c r="M1598" i="1" s="1"/>
  <c r="I5512" i="1"/>
  <c r="M5512" i="1" s="1"/>
  <c r="I1489" i="1"/>
  <c r="M1489" i="1" s="1"/>
  <c r="K7174" i="1" l="1"/>
  <c r="K7175" i="1"/>
  <c r="K727" i="1"/>
  <c r="K728" i="1"/>
  <c r="K729" i="1"/>
  <c r="K198" i="1"/>
  <c r="K200" i="1"/>
  <c r="K199" i="1"/>
  <c r="K201" i="1"/>
  <c r="K4374" i="1"/>
  <c r="K4375" i="1"/>
  <c r="K4377" i="1"/>
  <c r="K4376" i="1"/>
  <c r="K4378" i="1"/>
  <c r="K4379" i="1"/>
  <c r="K3689" i="1"/>
  <c r="K3690" i="1"/>
  <c r="K3692" i="1"/>
  <c r="K3691" i="1"/>
  <c r="K3694" i="1"/>
  <c r="K3693" i="1"/>
  <c r="K7753" i="1"/>
  <c r="K7754" i="1"/>
  <c r="K7980" i="1"/>
  <c r="K7981" i="1"/>
  <c r="K7982" i="1"/>
  <c r="K7983" i="1"/>
  <c r="K6250" i="1"/>
  <c r="K6251" i="1"/>
  <c r="K6252" i="1"/>
  <c r="K6253" i="1"/>
  <c r="K5983" i="1"/>
  <c r="K5984" i="1"/>
  <c r="K5985" i="1"/>
  <c r="K1087" i="1"/>
  <c r="K1088" i="1"/>
  <c r="K1089" i="1"/>
  <c r="K1090" i="1"/>
  <c r="K2733" i="1"/>
  <c r="K2734" i="1"/>
  <c r="K2735" i="1"/>
  <c r="K2736" i="1"/>
  <c r="K1709" i="1"/>
  <c r="K1710" i="1"/>
  <c r="K1711" i="1"/>
  <c r="K79" i="1"/>
  <c r="K80" i="1"/>
  <c r="K81" i="1"/>
  <c r="K82" i="1"/>
  <c r="K6152" i="1"/>
  <c r="K6153" i="1"/>
  <c r="K6154" i="1"/>
  <c r="K7517" i="1"/>
  <c r="K7518" i="1"/>
  <c r="K7519" i="1"/>
  <c r="K3403" i="1"/>
  <c r="K3771" i="1"/>
  <c r="K3770" i="1"/>
  <c r="K3772" i="1"/>
  <c r="K3774" i="1"/>
  <c r="K3773" i="1"/>
  <c r="K4257" i="1"/>
  <c r="K5730" i="1"/>
  <c r="K5731" i="1"/>
  <c r="K5732" i="1"/>
  <c r="K5090" i="1"/>
  <c r="K5089" i="1"/>
  <c r="K5091" i="1"/>
  <c r="K5092" i="1"/>
  <c r="K5195" i="1"/>
  <c r="K5196" i="1"/>
  <c r="K5197" i="1"/>
  <c r="K5198" i="1"/>
  <c r="K5841" i="1"/>
  <c r="K5842" i="1"/>
  <c r="K5843" i="1"/>
  <c r="K5844" i="1"/>
  <c r="K7055" i="1"/>
  <c r="K7056" i="1"/>
  <c r="K7057" i="1"/>
  <c r="K7058" i="1"/>
  <c r="K3256" i="1"/>
  <c r="K3257" i="1"/>
  <c r="K3258" i="1"/>
  <c r="K3259" i="1"/>
  <c r="K3260" i="1"/>
  <c r="K2456" i="1"/>
  <c r="K2457" i="1"/>
  <c r="K2458" i="1"/>
  <c r="K1310" i="1"/>
  <c r="K1313" i="1"/>
  <c r="K1311" i="1"/>
  <c r="K1312" i="1"/>
  <c r="K1314" i="1"/>
  <c r="K6582" i="1"/>
  <c r="K6583" i="1"/>
  <c r="K6584" i="1"/>
  <c r="K4822" i="1"/>
  <c r="K844" i="1"/>
  <c r="K845" i="1"/>
  <c r="K846" i="1"/>
  <c r="K848" i="1"/>
  <c r="K849" i="1"/>
  <c r="K4966" i="1"/>
  <c r="K4968" i="1"/>
  <c r="K4967" i="1"/>
  <c r="K4969" i="1"/>
  <c r="K4970" i="1"/>
  <c r="K4971" i="1"/>
  <c r="K4972" i="1"/>
  <c r="K5424" i="1"/>
  <c r="K3021" i="1"/>
  <c r="K3585" i="1"/>
  <c r="K3586" i="1"/>
  <c r="K3587" i="1"/>
  <c r="K3588" i="1"/>
  <c r="K1178" i="1"/>
  <c r="K1179" i="1"/>
  <c r="K1180" i="1"/>
  <c r="K1181" i="1"/>
  <c r="K2321" i="1"/>
  <c r="K2322" i="1"/>
  <c r="K2041" i="1"/>
  <c r="K2042" i="1"/>
  <c r="K2043" i="1"/>
  <c r="K2044" i="1"/>
  <c r="K2045" i="1"/>
  <c r="K5395" i="1"/>
  <c r="K5396" i="1"/>
  <c r="K5397" i="1"/>
  <c r="K5398" i="1"/>
  <c r="K5399" i="1"/>
  <c r="K5400" i="1"/>
  <c r="K5401" i="1"/>
  <c r="K5402" i="1"/>
  <c r="K623" i="1"/>
  <c r="K624" i="1"/>
  <c r="K625" i="1"/>
  <c r="K626" i="1"/>
  <c r="K6314" i="1"/>
  <c r="K5287" i="1"/>
  <c r="K5286" i="1"/>
  <c r="K5288" i="1"/>
  <c r="K1926" i="1"/>
  <c r="K1928" i="1"/>
  <c r="K1383" i="1"/>
  <c r="K2962" i="1"/>
  <c r="K2964" i="1"/>
  <c r="K2963" i="1"/>
  <c r="K2965" i="1"/>
  <c r="K3877" i="1"/>
  <c r="K3878" i="1"/>
  <c r="K3880" i="1"/>
  <c r="K3879" i="1"/>
  <c r="K3881" i="1"/>
  <c r="K2548" i="1"/>
  <c r="K2549" i="1"/>
  <c r="K2550" i="1"/>
  <c r="K6932" i="1"/>
  <c r="K6933" i="1"/>
  <c r="K1484" i="1"/>
  <c r="K1485" i="1"/>
  <c r="K1488" i="1"/>
  <c r="K1486" i="1"/>
  <c r="K1487" i="1"/>
  <c r="K6418" i="1"/>
  <c r="K2245" i="1"/>
  <c r="K2247" i="1"/>
  <c r="K2246" i="1"/>
  <c r="K2248" i="1"/>
  <c r="K2249" i="1"/>
  <c r="K8185" i="1"/>
  <c r="K8187" i="1"/>
  <c r="K8186" i="1"/>
  <c r="K8188" i="1"/>
  <c r="K8189" i="1"/>
  <c r="K8190" i="1"/>
  <c r="K392" i="1"/>
  <c r="K959" i="1"/>
  <c r="I7857" i="1"/>
  <c r="I5671" i="1"/>
  <c r="I1877" i="1"/>
  <c r="I2043" i="1"/>
  <c r="I7058" i="1"/>
  <c r="I4257" i="1"/>
  <c r="I7754" i="1"/>
  <c r="I200" i="1"/>
  <c r="K4960" i="1" l="1"/>
  <c r="K4349" i="1"/>
  <c r="K4368" i="1"/>
  <c r="K3866" i="1"/>
  <c r="K3864" i="1"/>
  <c r="K2244" i="1" l="1"/>
  <c r="K2646" i="1" l="1"/>
  <c r="K2531" i="1"/>
  <c r="K3876" i="1"/>
  <c r="K3875" i="1"/>
  <c r="K3874" i="1"/>
  <c r="K3873" i="1"/>
  <c r="K3872" i="1"/>
  <c r="K3871" i="1"/>
  <c r="K3870" i="1"/>
  <c r="K3869" i="1"/>
  <c r="K1012" i="1"/>
  <c r="K124" i="1"/>
  <c r="K3868" i="1"/>
  <c r="K3867" i="1"/>
  <c r="K3865" i="1"/>
  <c r="K3863" i="1"/>
  <c r="K3862" i="1"/>
  <c r="K3860" i="1"/>
  <c r="K3861" i="1"/>
  <c r="K3859" i="1"/>
  <c r="K3858" i="1"/>
  <c r="K2647" i="1"/>
  <c r="K2648" i="1"/>
  <c r="K2649" i="1"/>
  <c r="K905" i="1"/>
  <c r="K906" i="1"/>
  <c r="K2651" i="1"/>
  <c r="K2650" i="1"/>
  <c r="K2652" i="1"/>
  <c r="K2653" i="1"/>
  <c r="K1213" i="1"/>
  <c r="K7314" i="1"/>
  <c r="K7313" i="1"/>
  <c r="K7312" i="1"/>
  <c r="K7311" i="1"/>
  <c r="K7310" i="1"/>
  <c r="K7309" i="1"/>
  <c r="K1366" i="1"/>
  <c r="K1365" i="1"/>
  <c r="K7308" i="1"/>
  <c r="K7307" i="1"/>
  <c r="K7306" i="1"/>
  <c r="K7305" i="1"/>
  <c r="K7304" i="1"/>
  <c r="K7303" i="1"/>
  <c r="K7302" i="1"/>
  <c r="K7301" i="1"/>
  <c r="K7300" i="1"/>
  <c r="K7299" i="1"/>
  <c r="K7298" i="1"/>
  <c r="K7297" i="1"/>
  <c r="K7296" i="1"/>
  <c r="K7295" i="1"/>
  <c r="K75" i="1"/>
  <c r="K74" i="1"/>
  <c r="K1426" i="1"/>
  <c r="K1425" i="1"/>
  <c r="K752" i="1"/>
  <c r="K2" i="1"/>
  <c r="K73" i="1"/>
  <c r="K72" i="1"/>
  <c r="K71" i="1"/>
  <c r="K70" i="1"/>
  <c r="K69" i="1"/>
  <c r="K67" i="1"/>
  <c r="K66" i="1"/>
  <c r="K65" i="1"/>
  <c r="K64" i="1"/>
  <c r="K62" i="1"/>
  <c r="K63" i="1"/>
  <c r="K61" i="1"/>
  <c r="K60" i="1"/>
  <c r="K59" i="1"/>
  <c r="K5840" i="1"/>
  <c r="K5839" i="1"/>
  <c r="K5838" i="1"/>
  <c r="K1219" i="1"/>
  <c r="K5837" i="1"/>
  <c r="K5836" i="1"/>
  <c r="K5835" i="1"/>
  <c r="K5833" i="1"/>
  <c r="K5834" i="1"/>
  <c r="K5832" i="1"/>
  <c r="K5831" i="1"/>
  <c r="K5830" i="1"/>
  <c r="K5829" i="1"/>
  <c r="K5828" i="1"/>
  <c r="K5826" i="1"/>
  <c r="K5827" i="1"/>
  <c r="K5825" i="1"/>
  <c r="K5824" i="1"/>
  <c r="K5823" i="1"/>
  <c r="K5821" i="1"/>
  <c r="K5822" i="1"/>
  <c r="K5194" i="1"/>
  <c r="K5193" i="1"/>
  <c r="K5192" i="1"/>
  <c r="K5191" i="1"/>
  <c r="K5190" i="1"/>
  <c r="K5189" i="1"/>
  <c r="K5188" i="1"/>
  <c r="K5187" i="1"/>
  <c r="K5186" i="1"/>
  <c r="K5184" i="1"/>
  <c r="K5185" i="1"/>
  <c r="K4798" i="1"/>
  <c r="K4797" i="1"/>
  <c r="K4796" i="1"/>
  <c r="K4795" i="1"/>
  <c r="K4794" i="1"/>
  <c r="K4793" i="1"/>
  <c r="K4792" i="1"/>
  <c r="K4790" i="1"/>
  <c r="K4791" i="1"/>
  <c r="K4789" i="1"/>
  <c r="K6560" i="1"/>
  <c r="K6561" i="1"/>
  <c r="K6559" i="1"/>
  <c r="K6558" i="1"/>
  <c r="K6557" i="1"/>
  <c r="K5088" i="1"/>
  <c r="K5087" i="1"/>
  <c r="K5086" i="1"/>
  <c r="K5085" i="1"/>
  <c r="K5084" i="1"/>
  <c r="K1914" i="1"/>
  <c r="K1122" i="1"/>
  <c r="K5083" i="1"/>
  <c r="K5082" i="1"/>
  <c r="K5081" i="1"/>
  <c r="K5079" i="1"/>
  <c r="K5080" i="1"/>
  <c r="K5078" i="1"/>
  <c r="K5077" i="1"/>
  <c r="K5076" i="1"/>
  <c r="K5075" i="1"/>
  <c r="K5074" i="1"/>
  <c r="K5073" i="1"/>
  <c r="K5072" i="1"/>
  <c r="K5071" i="1"/>
  <c r="K5070" i="1"/>
  <c r="K5068" i="1"/>
  <c r="K5069" i="1"/>
  <c r="K5729" i="1"/>
  <c r="K5728" i="1"/>
  <c r="K5727" i="1"/>
  <c r="K5726" i="1"/>
  <c r="K5725" i="1"/>
  <c r="K5724" i="1"/>
  <c r="K5723" i="1"/>
  <c r="K5722" i="1"/>
  <c r="K1919" i="1"/>
  <c r="K1218" i="1"/>
  <c r="K5721" i="1"/>
  <c r="K5720" i="1"/>
  <c r="K5719" i="1"/>
  <c r="K5717" i="1"/>
  <c r="K5718" i="1"/>
  <c r="K5716" i="1"/>
  <c r="K5715" i="1"/>
  <c r="K5714" i="1"/>
  <c r="K5713" i="1"/>
  <c r="K5711" i="1"/>
  <c r="K5712" i="1"/>
  <c r="K5710" i="1"/>
  <c r="K5709" i="1"/>
  <c r="K5708" i="1"/>
  <c r="K5707" i="1"/>
  <c r="K5706" i="1"/>
  <c r="K3996" i="1"/>
  <c r="K3995" i="1"/>
  <c r="K3994" i="1"/>
  <c r="K3993" i="1"/>
  <c r="K3992" i="1"/>
  <c r="K3991" i="1"/>
  <c r="K3990" i="1"/>
  <c r="K3989" i="1"/>
  <c r="K3988" i="1"/>
  <c r="K3987" i="1"/>
  <c r="K1014" i="1"/>
  <c r="K1013" i="1"/>
  <c r="K125" i="1"/>
  <c r="K3985" i="1"/>
  <c r="K3984" i="1"/>
  <c r="K3983" i="1"/>
  <c r="K3982" i="1"/>
  <c r="K3981" i="1"/>
  <c r="K3979" i="1"/>
  <c r="K3980" i="1"/>
  <c r="K3978" i="1"/>
  <c r="K3977" i="1"/>
  <c r="K3975" i="1"/>
  <c r="K3976" i="1"/>
  <c r="K3974" i="1"/>
  <c r="K3973" i="1"/>
  <c r="K3972" i="1"/>
  <c r="K3971" i="1"/>
  <c r="K3970" i="1"/>
  <c r="K3969" i="1"/>
  <c r="K3967" i="1"/>
  <c r="K3968" i="1"/>
  <c r="K7089" i="1"/>
  <c r="K4256" i="1"/>
  <c r="K4255" i="1"/>
  <c r="K4254" i="1"/>
  <c r="K4253" i="1"/>
  <c r="K4252" i="1"/>
  <c r="K4251" i="1"/>
  <c r="K4250" i="1"/>
  <c r="K4249" i="1"/>
  <c r="K4248" i="1"/>
  <c r="K4247" i="1"/>
  <c r="K4246" i="1"/>
  <c r="K4245" i="1"/>
  <c r="K4244" i="1"/>
  <c r="K4243" i="1"/>
  <c r="K4242" i="1"/>
  <c r="K4241" i="1"/>
  <c r="K4240" i="1"/>
  <c r="K4239" i="1"/>
  <c r="K4238" i="1"/>
  <c r="K4237" i="1"/>
  <c r="K4236" i="1"/>
  <c r="K4234" i="1"/>
  <c r="K4235" i="1"/>
  <c r="K4233" i="1"/>
  <c r="K4232" i="1"/>
  <c r="K4231" i="1"/>
  <c r="K4230" i="1"/>
  <c r="K4229" i="1"/>
  <c r="K3769" i="1"/>
  <c r="K3768" i="1"/>
  <c r="K3767" i="1"/>
  <c r="K3766" i="1"/>
  <c r="K3765" i="1"/>
  <c r="K3764" i="1"/>
  <c r="K3763" i="1"/>
  <c r="K1798" i="1"/>
  <c r="K1007" i="1"/>
  <c r="K969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0" i="1"/>
  <c r="K2941" i="1"/>
  <c r="K2939" i="1"/>
  <c r="K2938" i="1"/>
  <c r="K2937" i="1"/>
  <c r="K2936" i="1"/>
  <c r="K2935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7516" i="1"/>
  <c r="K7515" i="1"/>
  <c r="K7514" i="1"/>
  <c r="K7513" i="1"/>
  <c r="K1368" i="1"/>
  <c r="K1367" i="1"/>
  <c r="K7512" i="1"/>
  <c r="K7511" i="1"/>
  <c r="K7510" i="1"/>
  <c r="K7509" i="1"/>
  <c r="K7508" i="1"/>
  <c r="K7507" i="1"/>
  <c r="K7506" i="1"/>
  <c r="K7505" i="1"/>
  <c r="K7504" i="1"/>
  <c r="K7503" i="1"/>
  <c r="K7502" i="1"/>
  <c r="K7500" i="1"/>
  <c r="K7501" i="1"/>
  <c r="K7499" i="1"/>
  <c r="K4667" i="1"/>
  <c r="M4667" i="1" s="1"/>
  <c r="K4666" i="1"/>
  <c r="K2330" i="1"/>
  <c r="K6151" i="1"/>
  <c r="K6150" i="1"/>
  <c r="K6149" i="1"/>
  <c r="K6148" i="1"/>
  <c r="K1220" i="1"/>
  <c r="K313" i="1"/>
  <c r="K6147" i="1"/>
  <c r="K6146" i="1"/>
  <c r="K3389" i="1"/>
  <c r="K3388" i="1"/>
  <c r="K3387" i="1"/>
  <c r="K3385" i="1"/>
  <c r="K3386" i="1"/>
  <c r="K3384" i="1"/>
  <c r="K3383" i="1"/>
  <c r="K3382" i="1"/>
  <c r="K1652" i="1"/>
  <c r="K1651" i="1"/>
  <c r="K1650" i="1"/>
  <c r="K1649" i="1"/>
  <c r="K1648" i="1"/>
  <c r="K1647" i="1"/>
  <c r="K1017" i="1"/>
  <c r="K235" i="1"/>
  <c r="K4355" i="1"/>
  <c r="K4354" i="1"/>
  <c r="K461" i="1"/>
  <c r="K460" i="1"/>
  <c r="K458" i="1"/>
  <c r="K459" i="1"/>
  <c r="K457" i="1"/>
  <c r="K456" i="1"/>
  <c r="K455" i="1"/>
  <c r="K454" i="1"/>
  <c r="K453" i="1"/>
  <c r="K78" i="1"/>
  <c r="K77" i="1"/>
  <c r="K76" i="1"/>
  <c r="K68" i="1"/>
  <c r="K6673" i="1"/>
  <c r="K6672" i="1"/>
  <c r="K6671" i="1"/>
  <c r="K6670" i="1"/>
  <c r="K6669" i="1"/>
  <c r="K6668" i="1"/>
  <c r="K6667" i="1"/>
  <c r="K6666" i="1"/>
  <c r="K6665" i="1"/>
  <c r="K6664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5" i="1"/>
  <c r="K1696" i="1"/>
  <c r="K1694" i="1"/>
  <c r="K1693" i="1"/>
  <c r="K1692" i="1"/>
  <c r="K1691" i="1"/>
  <c r="K1690" i="1"/>
  <c r="K1689" i="1"/>
  <c r="K188" i="1"/>
  <c r="K187" i="1"/>
  <c r="K186" i="1"/>
  <c r="K1688" i="1"/>
  <c r="K2732" i="1"/>
  <c r="K2731" i="1"/>
  <c r="K2730" i="1"/>
  <c r="K2729" i="1"/>
  <c r="K2728" i="1"/>
  <c r="K2727" i="1"/>
  <c r="K2726" i="1"/>
  <c r="K1739" i="1"/>
  <c r="K1721" i="1"/>
  <c r="K907" i="1"/>
  <c r="K2725" i="1"/>
  <c r="K2724" i="1"/>
  <c r="K2723" i="1"/>
  <c r="K2722" i="1"/>
  <c r="K2721" i="1"/>
  <c r="K2720" i="1"/>
  <c r="K2719" i="1"/>
  <c r="K2718" i="1"/>
  <c r="K2717" i="1"/>
  <c r="K2716" i="1"/>
  <c r="K7430" i="1"/>
  <c r="K7429" i="1"/>
  <c r="K7427" i="1"/>
  <c r="K7428" i="1"/>
  <c r="K7426" i="1"/>
  <c r="K7425" i="1"/>
  <c r="K7424" i="1"/>
  <c r="K1086" i="1"/>
  <c r="K1085" i="1"/>
  <c r="K1084" i="1"/>
  <c r="K1083" i="1"/>
  <c r="K1082" i="1"/>
  <c r="K1081" i="1"/>
  <c r="K1080" i="1"/>
  <c r="K1079" i="1"/>
  <c r="K1430" i="1"/>
  <c r="K758" i="1"/>
  <c r="K101" i="1"/>
  <c r="K1078" i="1"/>
  <c r="K1077" i="1"/>
  <c r="K1076" i="1"/>
  <c r="K1075" i="1"/>
  <c r="K1074" i="1"/>
  <c r="K1073" i="1"/>
  <c r="K1072" i="1"/>
  <c r="K1377" i="1"/>
  <c r="K1376" i="1"/>
  <c r="K1375" i="1"/>
  <c r="K713" i="1"/>
  <c r="K712" i="1"/>
  <c r="K711" i="1"/>
  <c r="K1071" i="1"/>
  <c r="K1070" i="1"/>
  <c r="K1069" i="1"/>
  <c r="K1068" i="1"/>
  <c r="K5982" i="1"/>
  <c r="K5981" i="1"/>
  <c r="K5980" i="1"/>
  <c r="K5979" i="1"/>
  <c r="K5978" i="1"/>
  <c r="K5977" i="1"/>
  <c r="K5976" i="1"/>
  <c r="K5975" i="1"/>
  <c r="K5974" i="1"/>
  <c r="K5973" i="1"/>
  <c r="K5972" i="1"/>
  <c r="K5971" i="1"/>
  <c r="K5970" i="1"/>
  <c r="K5969" i="1"/>
  <c r="K5968" i="1"/>
  <c r="K5967" i="1"/>
  <c r="K5965" i="1"/>
  <c r="K5966" i="1"/>
  <c r="K5964" i="1"/>
  <c r="K5963" i="1"/>
  <c r="K5962" i="1"/>
  <c r="K5961" i="1"/>
  <c r="K5960" i="1"/>
  <c r="K5959" i="1"/>
  <c r="K5957" i="1"/>
  <c r="K5958" i="1"/>
  <c r="K6249" i="1"/>
  <c r="K6248" i="1"/>
  <c r="K442" i="1"/>
  <c r="K6247" i="1"/>
  <c r="K6246" i="1"/>
  <c r="K6245" i="1"/>
  <c r="K6244" i="1"/>
  <c r="K6243" i="1"/>
  <c r="K6242" i="1"/>
  <c r="K6241" i="1"/>
  <c r="K6240" i="1"/>
  <c r="K6239" i="1"/>
  <c r="K6238" i="1"/>
  <c r="K6236" i="1"/>
  <c r="K6237" i="1"/>
  <c r="K6235" i="1"/>
  <c r="K5280" i="1"/>
  <c r="K7979" i="1"/>
  <c r="K7978" i="1"/>
  <c r="K1923" i="1"/>
  <c r="K1373" i="1"/>
  <c r="K1372" i="1"/>
  <c r="K553" i="1"/>
  <c r="K7977" i="1"/>
  <c r="K7976" i="1"/>
  <c r="K7975" i="1"/>
  <c r="K7974" i="1"/>
  <c r="K7973" i="1"/>
  <c r="K7972" i="1"/>
  <c r="K7971" i="1"/>
  <c r="K7970" i="1"/>
  <c r="K7969" i="1"/>
  <c r="K7968" i="1"/>
  <c r="K7966" i="1"/>
  <c r="K7967" i="1"/>
  <c r="K7964" i="1"/>
  <c r="K7965" i="1"/>
  <c r="K7963" i="1"/>
  <c r="K7962" i="1"/>
  <c r="K7961" i="1"/>
  <c r="K7960" i="1"/>
  <c r="K7959" i="1"/>
  <c r="K7958" i="1"/>
  <c r="K7956" i="1"/>
  <c r="K7732" i="1"/>
  <c r="K7733" i="1"/>
  <c r="K7734" i="1"/>
  <c r="K7735" i="1"/>
  <c r="K7736" i="1"/>
  <c r="K7737" i="1"/>
  <c r="K7738" i="1"/>
  <c r="K7739" i="1"/>
  <c r="K7740" i="1"/>
  <c r="K7742" i="1"/>
  <c r="K7743" i="1"/>
  <c r="K7744" i="1"/>
  <c r="K7745" i="1"/>
  <c r="K7746" i="1"/>
  <c r="K7747" i="1"/>
  <c r="K7748" i="1"/>
  <c r="K7749" i="1"/>
  <c r="K7750" i="1"/>
  <c r="K7751" i="1"/>
  <c r="K7752" i="1"/>
  <c r="K7171" i="1" l="1"/>
  <c r="K7172" i="1"/>
  <c r="K7173" i="1"/>
  <c r="K725" i="1"/>
  <c r="K726" i="1"/>
  <c r="K195" i="1"/>
  <c r="K196" i="1"/>
  <c r="K197" i="1"/>
  <c r="K4373" i="1"/>
  <c r="K3686" i="1"/>
  <c r="K3687" i="1"/>
  <c r="K3688" i="1"/>
  <c r="K7054" i="1"/>
  <c r="K2452" i="1"/>
  <c r="K2453" i="1"/>
  <c r="K2454" i="1"/>
  <c r="K2455" i="1"/>
  <c r="K1308" i="1"/>
  <c r="K1309" i="1"/>
  <c r="K6580" i="1"/>
  <c r="K6581" i="1"/>
  <c r="K4819" i="1"/>
  <c r="K4820" i="1"/>
  <c r="K843" i="1"/>
  <c r="K4964" i="1"/>
  <c r="K4965" i="1"/>
  <c r="K5423" i="1"/>
  <c r="K3041" i="1"/>
  <c r="K3583" i="1"/>
  <c r="K3584" i="1"/>
  <c r="K1176" i="1"/>
  <c r="K1177" i="1"/>
  <c r="K2040" i="1"/>
  <c r="K5392" i="1"/>
  <c r="K5393" i="1"/>
  <c r="K5394" i="1"/>
  <c r="K3491" i="1"/>
  <c r="K285" i="1"/>
  <c r="K286" i="1"/>
  <c r="K6311" i="1"/>
  <c r="K6312" i="1"/>
  <c r="K6313" i="1"/>
  <c r="K2960" i="1"/>
  <c r="K2961" i="1"/>
  <c r="K2546" i="1"/>
  <c r="K2547" i="1"/>
  <c r="K6931" i="1"/>
  <c r="K1483" i="1"/>
  <c r="K6417" i="1"/>
  <c r="K8184" i="1"/>
  <c r="K4150" i="1"/>
  <c r="K4668" i="1"/>
  <c r="K1875" i="1"/>
  <c r="K1876" i="1"/>
  <c r="K3152" i="1"/>
  <c r="K3153" i="1"/>
  <c r="K8293" i="1"/>
  <c r="K2123" i="1"/>
  <c r="K2124" i="1"/>
  <c r="K2864" i="1"/>
  <c r="K2865" i="1"/>
  <c r="K8083" i="1"/>
  <c r="K5670" i="1"/>
  <c r="K7855" i="1"/>
  <c r="K1588" i="1"/>
  <c r="K1589" i="1"/>
  <c r="K1590" i="1"/>
  <c r="K1591" i="1"/>
  <c r="K6686" i="1"/>
  <c r="K6687" i="1"/>
  <c r="K6688" i="1"/>
  <c r="K4575" i="1"/>
  <c r="K4576" i="1"/>
  <c r="K6861" i="1"/>
  <c r="K6862" i="1"/>
  <c r="K6863" i="1"/>
  <c r="K958" i="1"/>
  <c r="I6687" i="1"/>
  <c r="I6686" i="1"/>
  <c r="I7855" i="1"/>
  <c r="I3153" i="1"/>
  <c r="I3875" i="1"/>
  <c r="I2454" i="1"/>
  <c r="I4373" i="1"/>
  <c r="I7172" i="1"/>
  <c r="K2863" i="1" l="1"/>
  <c r="K4623" i="1"/>
  <c r="K6304" i="1" l="1"/>
  <c r="K6578" i="1" l="1"/>
  <c r="K4465" i="1" l="1"/>
  <c r="K4466" i="1"/>
  <c r="K7051" i="1"/>
  <c r="K7052" i="1"/>
  <c r="K7053" i="1"/>
  <c r="K7640" i="1"/>
  <c r="K7641" i="1"/>
  <c r="K7642" i="1"/>
  <c r="K7643" i="1"/>
  <c r="K2448" i="1"/>
  <c r="K2449" i="1"/>
  <c r="K2450" i="1"/>
  <c r="K2451" i="1"/>
  <c r="K1304" i="1"/>
  <c r="K1305" i="1"/>
  <c r="K1306" i="1"/>
  <c r="K6576" i="1"/>
  <c r="K6577" i="1"/>
  <c r="K6579" i="1"/>
  <c r="K4817" i="1"/>
  <c r="K4818" i="1"/>
  <c r="K838" i="1"/>
  <c r="K839" i="1"/>
  <c r="K840" i="1"/>
  <c r="K4959" i="1"/>
  <c r="K4962" i="1"/>
  <c r="K4961" i="1"/>
  <c r="K4075" i="1"/>
  <c r="K1733" i="1"/>
  <c r="K3040" i="1"/>
  <c r="K3579" i="1"/>
  <c r="K3580" i="1"/>
  <c r="K3581" i="1"/>
  <c r="K3582" i="1"/>
  <c r="K1171" i="1"/>
  <c r="K1172" i="1"/>
  <c r="K2317" i="1"/>
  <c r="K2318" i="1"/>
  <c r="K2319" i="1"/>
  <c r="K2035" i="1"/>
  <c r="K2036" i="1"/>
  <c r="K2037" i="1"/>
  <c r="K2038" i="1"/>
  <c r="K5383" i="1"/>
  <c r="K5384" i="1"/>
  <c r="K5385" i="1"/>
  <c r="K5386" i="1"/>
  <c r="K5387" i="1"/>
  <c r="K3486" i="1"/>
  <c r="K3487" i="1"/>
  <c r="K3488" i="1"/>
  <c r="K3489" i="1"/>
  <c r="K281" i="1"/>
  <c r="K282" i="1"/>
  <c r="K283" i="1"/>
  <c r="K284" i="1"/>
  <c r="K6305" i="1"/>
  <c r="K6306" i="1"/>
  <c r="K6307" i="1"/>
  <c r="K6308" i="1"/>
  <c r="K6309" i="1"/>
  <c r="K6310" i="1"/>
  <c r="K5281" i="1"/>
  <c r="K5282" i="1"/>
  <c r="K5283" i="1"/>
  <c r="K5284" i="1"/>
  <c r="K1381" i="1"/>
  <c r="K1382" i="1"/>
  <c r="K2958" i="1"/>
  <c r="K2543" i="1"/>
  <c r="K2544" i="1"/>
  <c r="K2545" i="1"/>
  <c r="K1480" i="1"/>
  <c r="K1481" i="1"/>
  <c r="K6412" i="1"/>
  <c r="K6413" i="1"/>
  <c r="K6414" i="1"/>
  <c r="K6415" i="1"/>
  <c r="K2240" i="1"/>
  <c r="K2241" i="1"/>
  <c r="K8179" i="1"/>
  <c r="K8180" i="1"/>
  <c r="K8181" i="1"/>
  <c r="K4148" i="1"/>
  <c r="K5507" i="1"/>
  <c r="K5508" i="1"/>
  <c r="K5509" i="1"/>
  <c r="K5510" i="1"/>
  <c r="K1869" i="1"/>
  <c r="K1870" i="1"/>
  <c r="K1871" i="1"/>
  <c r="K1872" i="1"/>
  <c r="K3148" i="1"/>
  <c r="K3149" i="1"/>
  <c r="K3150" i="1"/>
  <c r="K3151" i="1"/>
  <c r="K8288" i="1"/>
  <c r="K8289" i="1"/>
  <c r="K8290" i="1"/>
  <c r="K4627" i="1"/>
  <c r="K4628" i="1"/>
  <c r="K4629" i="1"/>
  <c r="K2120" i="1"/>
  <c r="K2121" i="1"/>
  <c r="K2862" i="1"/>
  <c r="K5668" i="1"/>
  <c r="K5669" i="1"/>
  <c r="K7851" i="1"/>
  <c r="K7852" i="1"/>
  <c r="K7853" i="1"/>
  <c r="K1582" i="1"/>
  <c r="K1583" i="1"/>
  <c r="K1584" i="1"/>
  <c r="K1585" i="1"/>
  <c r="K1586" i="1"/>
  <c r="K1587" i="1"/>
  <c r="K6682" i="1"/>
  <c r="K6683" i="1"/>
  <c r="K6684" i="1"/>
  <c r="K6685" i="1"/>
  <c r="K4572" i="1"/>
  <c r="K4573" i="1"/>
  <c r="K6856" i="1"/>
  <c r="K6857" i="1"/>
  <c r="K6858" i="1"/>
  <c r="K6859" i="1"/>
  <c r="K957" i="1"/>
  <c r="K724" i="1"/>
  <c r="K4372" i="1"/>
  <c r="K3685" i="1"/>
  <c r="K1307" i="1"/>
  <c r="K841" i="1"/>
  <c r="K842" i="1"/>
  <c r="K4963" i="1"/>
  <c r="K1173" i="1"/>
  <c r="K1174" i="1"/>
  <c r="K1175" i="1"/>
  <c r="K2320" i="1"/>
  <c r="K2039" i="1"/>
  <c r="K5388" i="1"/>
  <c r="K5389" i="1"/>
  <c r="K5390" i="1"/>
  <c r="K5391" i="1"/>
  <c r="K3490" i="1"/>
  <c r="K2959" i="1"/>
  <c r="K1482" i="1"/>
  <c r="K6416" i="1"/>
  <c r="K2243" i="1"/>
  <c r="K2242" i="1"/>
  <c r="K8183" i="1"/>
  <c r="K8182" i="1"/>
  <c r="K4149" i="1"/>
  <c r="K5511" i="1"/>
  <c r="K1873" i="1"/>
  <c r="K1874" i="1"/>
  <c r="K8291" i="1"/>
  <c r="K2122" i="1"/>
  <c r="K7854" i="1"/>
  <c r="K4574" i="1"/>
  <c r="K6860" i="1"/>
  <c r="K7167" i="1"/>
  <c r="K7168" i="1"/>
  <c r="K7169" i="1"/>
  <c r="K7170" i="1"/>
  <c r="K719" i="1"/>
  <c r="K720" i="1"/>
  <c r="K721" i="1"/>
  <c r="K722" i="1"/>
  <c r="K723" i="1"/>
  <c r="K194" i="1"/>
  <c r="K4369" i="1"/>
  <c r="K4370" i="1"/>
  <c r="K4371" i="1"/>
  <c r="I7854" i="1"/>
  <c r="I6416" i="1"/>
  <c r="I2320" i="1"/>
  <c r="I4963" i="1"/>
  <c r="K7636" i="1" l="1"/>
  <c r="K445" i="1" l="1"/>
  <c r="I7168" i="1" l="1"/>
  <c r="K3572" i="1" l="1"/>
  <c r="K6855" i="1" l="1"/>
  <c r="K6854" i="1"/>
  <c r="K444" i="1"/>
  <c r="K6681" i="1"/>
  <c r="K6680" i="1"/>
  <c r="K1581" i="1"/>
  <c r="K7850" i="1" l="1"/>
  <c r="K7849" i="1"/>
  <c r="K5667" i="1"/>
  <c r="K5666" i="1"/>
  <c r="K5665" i="1"/>
  <c r="K8082" i="1"/>
  <c r="K2861" i="1"/>
  <c r="K2860" i="1"/>
  <c r="K2119" i="1"/>
  <c r="K1432" i="1"/>
  <c r="K4626" i="1"/>
  <c r="K4625" i="1"/>
  <c r="K8287" i="1"/>
  <c r="K3147" i="1"/>
  <c r="K3146" i="1"/>
  <c r="K5506" i="1"/>
  <c r="K5505" i="1"/>
  <c r="K5504" i="1"/>
  <c r="K391" i="1"/>
  <c r="K390" i="1"/>
  <c r="K4147" i="1"/>
  <c r="K8178" i="1"/>
  <c r="K2239" i="1"/>
  <c r="K6411" i="1"/>
  <c r="K1359" i="1"/>
  <c r="K1479" i="1"/>
  <c r="K2542" i="1"/>
  <c r="K2957" i="1"/>
  <c r="K2956" i="1"/>
  <c r="K2955" i="1"/>
  <c r="K2954" i="1"/>
  <c r="K5279" i="1"/>
  <c r="K5278" i="1"/>
  <c r="K6301" i="1"/>
  <c r="K6303" i="1"/>
  <c r="K6302" i="1"/>
  <c r="K280" i="1"/>
  <c r="K279" i="1"/>
  <c r="K278" i="1"/>
  <c r="K622" i="1"/>
  <c r="K621" i="1"/>
  <c r="K3484" i="1"/>
  <c r="K3483" i="1"/>
  <c r="K3482" i="1"/>
  <c r="K3481" i="1"/>
  <c r="K3578" i="1"/>
  <c r="K3577" i="1"/>
  <c r="K3576" i="1"/>
  <c r="K3575" i="1"/>
  <c r="K4958" i="1"/>
  <c r="K4956" i="1"/>
  <c r="K4957" i="1"/>
  <c r="K837" i="1"/>
  <c r="K4816" i="1"/>
  <c r="K6575" i="1"/>
  <c r="K6574" i="1"/>
  <c r="K2446" i="1"/>
  <c r="K2447" i="1"/>
  <c r="K3255" i="1"/>
  <c r="K3253" i="1"/>
  <c r="K3254" i="1"/>
  <c r="K7639" i="1"/>
  <c r="K7050" i="1"/>
  <c r="K7049" i="1"/>
  <c r="K4464" i="1"/>
  <c r="K4462" i="1"/>
  <c r="K4463" i="1"/>
  <c r="K193" i="1"/>
  <c r="K718" i="1"/>
  <c r="K717" i="1"/>
  <c r="K7166" i="1"/>
  <c r="K7165" i="1"/>
  <c r="M5191" i="1" l="1"/>
  <c r="I1479" i="1"/>
  <c r="I2034" i="1"/>
  <c r="I717" i="1"/>
  <c r="K6679" i="1" l="1"/>
  <c r="K7848" i="1"/>
  <c r="K8081" i="1"/>
  <c r="K4624" i="1"/>
  <c r="K3145" i="1"/>
  <c r="K1868" i="1"/>
  <c r="K5503" i="1"/>
  <c r="K389" i="1"/>
  <c r="K388" i="1"/>
  <c r="K4146" i="1"/>
  <c r="K8177" i="1"/>
  <c r="K8176" i="1"/>
  <c r="K620" i="1" l="1"/>
  <c r="K3480" i="1" l="1"/>
  <c r="K4815" i="1"/>
  <c r="K6573" i="1"/>
  <c r="K3252" i="1"/>
  <c r="K7638" i="1"/>
  <c r="K192" i="1"/>
  <c r="K4348" i="1" l="1"/>
  <c r="K7164" i="1" l="1"/>
  <c r="K4461" i="1"/>
  <c r="K7048" i="1"/>
  <c r="K3251" i="1"/>
  <c r="K6572" i="1"/>
  <c r="K4814" i="1"/>
  <c r="K4955" i="1"/>
  <c r="K1168" i="1"/>
  <c r="K2315" i="1"/>
  <c r="K5376" i="1"/>
  <c r="K3479" i="1"/>
  <c r="K619" i="1"/>
  <c r="K277" i="1"/>
  <c r="K6300" i="1"/>
  <c r="K6930" i="1"/>
  <c r="K8175" i="1"/>
  <c r="K4145" i="1"/>
  <c r="K387" i="1"/>
  <c r="K5502" i="1"/>
  <c r="K1867" i="1"/>
  <c r="K2118" i="1"/>
  <c r="K2859" i="1"/>
  <c r="K5277" i="1"/>
  <c r="K7847" i="1"/>
  <c r="K6678" i="1"/>
  <c r="K954" i="1"/>
  <c r="K1019" i="1" l="1"/>
  <c r="K1922" i="1"/>
  <c r="K1370" i="1"/>
  <c r="K552" i="1"/>
  <c r="K658" i="1"/>
  <c r="K968" i="1"/>
  <c r="K967" i="1"/>
  <c r="K1434" i="1"/>
  <c r="K902" i="1"/>
  <c r="K1020" i="1"/>
  <c r="K1021" i="1"/>
  <c r="K661" i="1"/>
  <c r="K660" i="1"/>
  <c r="K899" i="1"/>
  <c r="K118" i="1"/>
  <c r="K756" i="1"/>
  <c r="K5" i="1"/>
  <c r="K1918" i="1"/>
  <c r="K1917" i="1"/>
  <c r="K1217" i="1"/>
  <c r="K1428" i="1"/>
  <c r="K755" i="1"/>
  <c r="K1016" i="1"/>
  <c r="K234" i="1"/>
  <c r="K1374" i="1"/>
  <c r="K443" i="1"/>
  <c r="K1361" i="1"/>
  <c r="K446" i="1"/>
  <c r="K1643" i="1"/>
  <c r="K120" i="1"/>
  <c r="K312" i="1"/>
  <c r="K898" i="1"/>
  <c r="K117" i="1"/>
  <c r="K239" i="1"/>
  <c r="K1123" i="1"/>
  <c r="K241" i="1"/>
  <c r="K240" i="1"/>
  <c r="K1920" i="1"/>
  <c r="K1358" i="1"/>
  <c r="K754" i="1"/>
  <c r="K4" i="1"/>
  <c r="K1429" i="1"/>
  <c r="K757" i="1"/>
  <c r="K1801" i="1"/>
  <c r="K1800" i="1"/>
  <c r="K1009" i="1"/>
  <c r="K1010" i="1"/>
  <c r="K122" i="1"/>
  <c r="K1916" i="1"/>
  <c r="K1915" i="1"/>
  <c r="K1216" i="1"/>
  <c r="K311" i="1"/>
  <c r="K242" i="1"/>
  <c r="K1431" i="1"/>
  <c r="K901" i="1"/>
  <c r="K900" i="1"/>
  <c r="K119" i="1"/>
  <c r="K1514" i="1"/>
  <c r="K903" i="1"/>
  <c r="K107" i="1"/>
  <c r="K108" i="1"/>
  <c r="K1802" i="1"/>
  <c r="K1015" i="1"/>
  <c r="K1913" i="1"/>
  <c r="K1121" i="1"/>
  <c r="K1120" i="1"/>
  <c r="K1119" i="1"/>
  <c r="K238" i="1"/>
  <c r="K1118" i="1"/>
  <c r="K1921" i="1"/>
  <c r="K1360" i="1"/>
  <c r="K897" i="1"/>
  <c r="K116" i="1"/>
  <c r="K1516" i="1"/>
  <c r="K904" i="1"/>
  <c r="K1799" i="1"/>
  <c r="K1008" i="1"/>
  <c r="K121" i="1"/>
  <c r="K1369" i="1"/>
  <c r="K503" i="1"/>
  <c r="K1362" i="1"/>
  <c r="K502" i="1"/>
  <c r="K1912" i="1"/>
  <c r="K1018" i="1"/>
  <c r="K237" i="1"/>
  <c r="K236" i="1"/>
  <c r="K1011" i="1"/>
  <c r="K123" i="1"/>
  <c r="K1427" i="1"/>
  <c r="K753" i="1"/>
  <c r="K3" i="1"/>
  <c r="K1364" i="1"/>
  <c r="K1363" i="1"/>
  <c r="K953" i="1"/>
  <c r="K949" i="1"/>
  <c r="K950" i="1"/>
  <c r="K951" i="1"/>
  <c r="K952" i="1"/>
  <c r="I902" i="1"/>
  <c r="I4" i="1"/>
  <c r="I121" i="1"/>
  <c r="I3" i="1"/>
  <c r="K8079" i="1" l="1"/>
  <c r="K710" i="1" l="1"/>
  <c r="K948" i="1"/>
  <c r="K947" i="1"/>
  <c r="K946" i="1"/>
  <c r="K944" i="1"/>
  <c r="K945" i="1"/>
  <c r="K943" i="1"/>
  <c r="K942" i="1"/>
  <c r="K941" i="1"/>
  <c r="K940" i="1"/>
  <c r="K938" i="1"/>
  <c r="K939" i="1"/>
  <c r="K937" i="1"/>
  <c r="K936" i="1"/>
  <c r="K935" i="1"/>
  <c r="K933" i="1"/>
  <c r="K934" i="1"/>
  <c r="K2314" i="1"/>
  <c r="K2306" i="1"/>
  <c r="K2305" i="1"/>
  <c r="K932" i="1"/>
  <c r="K931" i="1"/>
  <c r="K930" i="1"/>
  <c r="K929" i="1"/>
  <c r="K928" i="1"/>
  <c r="K927" i="1"/>
  <c r="K926" i="1"/>
  <c r="K5580" i="1"/>
  <c r="K5579" i="1"/>
  <c r="K5578" i="1"/>
  <c r="K5577" i="1"/>
  <c r="K5576" i="1"/>
  <c r="K5575" i="1"/>
  <c r="K5574" i="1"/>
  <c r="K5573" i="1"/>
  <c r="K5572" i="1"/>
  <c r="K5571" i="1"/>
  <c r="K5569" i="1"/>
  <c r="K5568" i="1"/>
  <c r="K5567" i="1"/>
  <c r="M4626" i="1"/>
  <c r="M4624" i="1"/>
  <c r="K2645" i="1"/>
  <c r="K2644" i="1"/>
  <c r="K2641" i="1"/>
  <c r="K2643" i="1"/>
  <c r="K2642" i="1"/>
  <c r="K2640" i="1"/>
  <c r="K2639" i="1"/>
  <c r="K2638" i="1"/>
  <c r="K2637" i="1"/>
  <c r="K2635" i="1"/>
  <c r="K2636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0" i="1"/>
  <c r="K2621" i="1"/>
  <c r="K2619" i="1"/>
  <c r="K2618" i="1"/>
  <c r="K2617" i="1"/>
  <c r="K2616" i="1"/>
  <c r="K2615" i="1"/>
  <c r="K2614" i="1"/>
  <c r="K2613" i="1"/>
  <c r="K2612" i="1"/>
  <c r="K2611" i="1"/>
  <c r="K5705" i="1"/>
  <c r="K5704" i="1"/>
  <c r="M5704" i="1" s="1"/>
  <c r="K5703" i="1"/>
  <c r="M5703" i="1" s="1"/>
  <c r="K5702" i="1"/>
  <c r="M5702" i="1" s="1"/>
  <c r="K2610" i="1"/>
  <c r="K2609" i="1"/>
  <c r="M2609" i="1" s="1"/>
  <c r="K2608" i="1"/>
  <c r="M2608" i="1" s="1"/>
  <c r="K2607" i="1"/>
  <c r="M2607" i="1" s="1"/>
  <c r="K6853" i="1"/>
  <c r="K6852" i="1"/>
  <c r="K6851" i="1"/>
  <c r="K6850" i="1"/>
  <c r="K6849" i="1"/>
  <c r="K6848" i="1"/>
  <c r="M6848" i="1" s="1"/>
  <c r="K6847" i="1"/>
  <c r="M6847" i="1" s="1"/>
  <c r="K6846" i="1"/>
  <c r="M6846" i="1" s="1"/>
  <c r="K6845" i="1"/>
  <c r="M6845" i="1" s="1"/>
  <c r="K6844" i="1"/>
  <c r="M6844" i="1" s="1"/>
  <c r="K6843" i="1"/>
  <c r="K6842" i="1"/>
  <c r="K6841" i="1"/>
  <c r="K6840" i="1"/>
  <c r="K6839" i="1"/>
  <c r="K6837" i="1"/>
  <c r="K6838" i="1"/>
  <c r="K6836" i="1"/>
  <c r="K191" i="1"/>
  <c r="K190" i="1"/>
  <c r="K189" i="1"/>
  <c r="K6835" i="1"/>
  <c r="K6834" i="1"/>
  <c r="K6833" i="1"/>
  <c r="K6832" i="1"/>
  <c r="K6831" i="1"/>
  <c r="K6830" i="1"/>
  <c r="K6829" i="1"/>
  <c r="K6828" i="1"/>
  <c r="K6827" i="1"/>
  <c r="K6826" i="1"/>
  <c r="K6825" i="1"/>
  <c r="K6824" i="1"/>
  <c r="K6823" i="1"/>
  <c r="K6822" i="1"/>
  <c r="K6821" i="1"/>
  <c r="K6820" i="1"/>
  <c r="M5384" i="1"/>
  <c r="K4570" i="1"/>
  <c r="K4569" i="1"/>
  <c r="K4568" i="1"/>
  <c r="K4567" i="1"/>
  <c r="K4566" i="1"/>
  <c r="K4565" i="1"/>
  <c r="K4564" i="1"/>
  <c r="K4563" i="1"/>
  <c r="K4562" i="1"/>
  <c r="K4561" i="1"/>
  <c r="K4560" i="1"/>
  <c r="K4559" i="1"/>
  <c r="K4558" i="1"/>
  <c r="K4557" i="1"/>
  <c r="K4556" i="1"/>
  <c r="K4555" i="1"/>
  <c r="K4554" i="1"/>
  <c r="K4553" i="1"/>
  <c r="K4552" i="1"/>
  <c r="K4551" i="1"/>
  <c r="K4550" i="1"/>
  <c r="K4549" i="1"/>
  <c r="K4548" i="1"/>
  <c r="K4547" i="1"/>
  <c r="K4546" i="1"/>
  <c r="K4545" i="1"/>
  <c r="K4544" i="1"/>
  <c r="K4543" i="1"/>
  <c r="K4542" i="1"/>
  <c r="K4541" i="1"/>
  <c r="K6677" i="1"/>
  <c r="K6676" i="1"/>
  <c r="K6675" i="1"/>
  <c r="K6674" i="1"/>
  <c r="K2379" i="1"/>
  <c r="K2378" i="1"/>
  <c r="K2377" i="1"/>
  <c r="K2375" i="1"/>
  <c r="K2376" i="1"/>
  <c r="K2374" i="1"/>
  <c r="K2373" i="1"/>
  <c r="K2372" i="1"/>
  <c r="K2371" i="1"/>
  <c r="K2370" i="1"/>
  <c r="K2369" i="1"/>
  <c r="K2368" i="1"/>
  <c r="K2367" i="1"/>
  <c r="K2366" i="1"/>
  <c r="K2365" i="1"/>
  <c r="K2364" i="1"/>
  <c r="M2364" i="1" s="1"/>
  <c r="K2363" i="1"/>
  <c r="M2363" i="1" s="1"/>
  <c r="K2362" i="1"/>
  <c r="M2362" i="1" s="1"/>
  <c r="K2361" i="1"/>
  <c r="M2361" i="1" s="1"/>
  <c r="K2360" i="1"/>
  <c r="K2359" i="1"/>
  <c r="M2359" i="1" s="1"/>
  <c r="K2358" i="1"/>
  <c r="M2358" i="1" s="1"/>
  <c r="K2357" i="1"/>
  <c r="M2357" i="1" s="1"/>
  <c r="K2356" i="1"/>
  <c r="M2356" i="1" s="1"/>
  <c r="K2355" i="1"/>
  <c r="M2355" i="1" s="1"/>
  <c r="K2354" i="1"/>
  <c r="M2354" i="1" s="1"/>
  <c r="K2353" i="1"/>
  <c r="K1580" i="1"/>
  <c r="K1579" i="1"/>
  <c r="K1577" i="1"/>
  <c r="K1578" i="1"/>
  <c r="K1576" i="1"/>
  <c r="K1575" i="1"/>
  <c r="K1574" i="1"/>
  <c r="K1573" i="1"/>
  <c r="K1572" i="1"/>
  <c r="K1571" i="1"/>
  <c r="K1570" i="1"/>
  <c r="K6487" i="1"/>
  <c r="K6486" i="1"/>
  <c r="K6485" i="1"/>
  <c r="K6484" i="1"/>
  <c r="K6483" i="1"/>
  <c r="K6482" i="1"/>
  <c r="K6481" i="1"/>
  <c r="K6480" i="1"/>
  <c r="K6479" i="1"/>
  <c r="K6478" i="1"/>
  <c r="K6477" i="1"/>
  <c r="K6476" i="1"/>
  <c r="K6475" i="1"/>
  <c r="K6474" i="1"/>
  <c r="K6473" i="1"/>
  <c r="K6472" i="1"/>
  <c r="K6471" i="1"/>
  <c r="K6470" i="1"/>
  <c r="K7846" i="1"/>
  <c r="M77" i="1" s="1"/>
  <c r="K7845" i="1"/>
  <c r="K7844" i="1"/>
  <c r="K7843" i="1"/>
  <c r="K7842" i="1"/>
  <c r="K7841" i="1"/>
  <c r="K7840" i="1"/>
  <c r="K7839" i="1"/>
  <c r="K7838" i="1"/>
  <c r="K7837" i="1"/>
  <c r="K7836" i="1"/>
  <c r="K7835" i="1"/>
  <c r="K7834" i="1"/>
  <c r="K7833" i="1"/>
  <c r="K7832" i="1"/>
  <c r="K7831" i="1"/>
  <c r="K7830" i="1"/>
  <c r="M7830" i="1" s="1"/>
  <c r="K7829" i="1"/>
  <c r="K7828" i="1"/>
  <c r="K7827" i="1"/>
  <c r="K7826" i="1"/>
  <c r="K7825" i="1"/>
  <c r="K7824" i="1"/>
  <c r="K7823" i="1"/>
  <c r="K7822" i="1"/>
  <c r="K7821" i="1"/>
  <c r="K7820" i="1"/>
  <c r="K7819" i="1"/>
  <c r="K7818" i="1"/>
  <c r="K7817" i="1"/>
  <c r="K7816" i="1"/>
  <c r="K7815" i="1"/>
  <c r="K7814" i="1"/>
  <c r="M7814" i="1" s="1"/>
  <c r="K7813" i="1"/>
  <c r="M7813" i="1" s="1"/>
  <c r="K7812" i="1"/>
  <c r="M7812" i="1" s="1"/>
  <c r="K7811" i="1"/>
  <c r="M7811" i="1" s="1"/>
  <c r="K7810" i="1"/>
  <c r="M7810" i="1" s="1"/>
  <c r="K7809" i="1"/>
  <c r="M7809" i="1" s="1"/>
  <c r="K7808" i="1"/>
  <c r="M7808" i="1" s="1"/>
  <c r="K7807" i="1"/>
  <c r="M7807" i="1" s="1"/>
  <c r="K5664" i="1"/>
  <c r="M5664" i="1" s="1"/>
  <c r="K5663" i="1"/>
  <c r="K5662" i="1"/>
  <c r="M5662" i="1" s="1"/>
  <c r="K5661" i="1"/>
  <c r="M5661" i="1" s="1"/>
  <c r="K5660" i="1"/>
  <c r="M5660" i="1" s="1"/>
  <c r="K5659" i="1"/>
  <c r="M5659" i="1" s="1"/>
  <c r="K5658" i="1"/>
  <c r="M5658" i="1" s="1"/>
  <c r="K5656" i="1"/>
  <c r="M5656" i="1" s="1"/>
  <c r="K5657" i="1"/>
  <c r="M5657" i="1" s="1"/>
  <c r="K5655" i="1"/>
  <c r="K5654" i="1"/>
  <c r="K5653" i="1"/>
  <c r="K5652" i="1"/>
  <c r="K5651" i="1"/>
  <c r="K4353" i="1"/>
  <c r="K4352" i="1"/>
  <c r="K4351" i="1"/>
  <c r="K4350" i="1"/>
  <c r="K5650" i="1"/>
  <c r="K5649" i="1"/>
  <c r="K5648" i="1"/>
  <c r="K5647" i="1"/>
  <c r="K5646" i="1"/>
  <c r="K5645" i="1"/>
  <c r="K5644" i="1"/>
  <c r="K5643" i="1"/>
  <c r="K5642" i="1"/>
  <c r="K5641" i="1"/>
  <c r="K5640" i="1"/>
  <c r="K5639" i="1"/>
  <c r="K5638" i="1"/>
  <c r="K5637" i="1"/>
  <c r="K5636" i="1"/>
  <c r="K5635" i="1"/>
  <c r="K8078" i="1"/>
  <c r="K8077" i="1"/>
  <c r="K8076" i="1"/>
  <c r="K8075" i="1"/>
  <c r="K8074" i="1"/>
  <c r="K8073" i="1"/>
  <c r="K8072" i="1"/>
  <c r="K8071" i="1"/>
  <c r="K8070" i="1"/>
  <c r="K8069" i="1"/>
  <c r="K8068" i="1"/>
  <c r="K8066" i="1"/>
  <c r="K8067" i="1"/>
  <c r="K8065" i="1"/>
  <c r="K8064" i="1"/>
  <c r="K8063" i="1"/>
  <c r="K8062" i="1"/>
  <c r="K8061" i="1"/>
  <c r="K8060" i="1"/>
  <c r="K8059" i="1"/>
  <c r="K8058" i="1"/>
  <c r="K8057" i="1"/>
  <c r="K8056" i="1"/>
  <c r="K8055" i="1"/>
  <c r="K8054" i="1"/>
  <c r="K8053" i="1"/>
  <c r="K8052" i="1"/>
  <c r="K8051" i="1"/>
  <c r="K8050" i="1"/>
  <c r="K804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4" i="1"/>
  <c r="K2845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117" i="1"/>
  <c r="K2116" i="1"/>
  <c r="K2115" i="1"/>
  <c r="K2114" i="1"/>
  <c r="K2113" i="1"/>
  <c r="K2110" i="1"/>
  <c r="K2111" i="1"/>
  <c r="K2112" i="1"/>
  <c r="K2109" i="1"/>
  <c r="K2108" i="1"/>
  <c r="K2107" i="1"/>
  <c r="K2106" i="1"/>
  <c r="K2104" i="1"/>
  <c r="K2105" i="1"/>
  <c r="K2102" i="1"/>
  <c r="K2103" i="1"/>
  <c r="K2101" i="1"/>
  <c r="K2100" i="1"/>
  <c r="K2099" i="1"/>
  <c r="K2098" i="1"/>
  <c r="K2096" i="1"/>
  <c r="K2097" i="1"/>
  <c r="K2095" i="1"/>
  <c r="K2094" i="1"/>
  <c r="K2093" i="1"/>
  <c r="K2092" i="1"/>
  <c r="K2091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4622" i="1"/>
  <c r="K4621" i="1"/>
  <c r="K4620" i="1"/>
  <c r="K716" i="1"/>
  <c r="K714" i="1"/>
  <c r="K715" i="1"/>
  <c r="K1569" i="1"/>
  <c r="K1568" i="1"/>
  <c r="K1566" i="1"/>
  <c r="K1567" i="1"/>
  <c r="K1565" i="1"/>
  <c r="K1564" i="1"/>
  <c r="M5712" i="1" s="1"/>
  <c r="K1563" i="1"/>
  <c r="K1562" i="1"/>
  <c r="K1561" i="1"/>
  <c r="K1560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M1544" i="1" s="1"/>
  <c r="K1543" i="1"/>
  <c r="M1543" i="1" s="1"/>
  <c r="K8286" i="1"/>
  <c r="K8285" i="1"/>
  <c r="M8285" i="1" s="1"/>
  <c r="K8284" i="1"/>
  <c r="M8284" i="1" s="1"/>
  <c r="K8283" i="1"/>
  <c r="M8283" i="1" s="1"/>
  <c r="K8282" i="1"/>
  <c r="M8282" i="1" s="1"/>
  <c r="K8281" i="1"/>
  <c r="M8281" i="1" s="1"/>
  <c r="K8280" i="1"/>
  <c r="M8280" i="1" s="1"/>
  <c r="K8279" i="1"/>
  <c r="M8279" i="1" s="1"/>
  <c r="K8278" i="1"/>
  <c r="M8278" i="1" s="1"/>
  <c r="K8277" i="1"/>
  <c r="M8277" i="1" s="1"/>
  <c r="K8276" i="1"/>
  <c r="M8276" i="1" s="1"/>
  <c r="K8274" i="1"/>
  <c r="K8275" i="1"/>
  <c r="K8273" i="1"/>
  <c r="M5716" i="1" s="1"/>
  <c r="K8272" i="1"/>
  <c r="K8270" i="1"/>
  <c r="K8271" i="1"/>
  <c r="K8269" i="1"/>
  <c r="K8268" i="1"/>
  <c r="M8268" i="1" s="1"/>
  <c r="K8267" i="1"/>
  <c r="M8267" i="1" s="1"/>
  <c r="K8266" i="1"/>
  <c r="K8265" i="1"/>
  <c r="K8264" i="1"/>
  <c r="K8263" i="1"/>
  <c r="K8262" i="1"/>
  <c r="K8261" i="1"/>
  <c r="K8260" i="1"/>
  <c r="K8259" i="1"/>
  <c r="K8258" i="1"/>
  <c r="K3144" i="1"/>
  <c r="K3143" i="1"/>
  <c r="K3142" i="1"/>
  <c r="K3141" i="1"/>
  <c r="K3140" i="1"/>
  <c r="K3139" i="1"/>
  <c r="K3137" i="1"/>
  <c r="K3138" i="1"/>
  <c r="K3136" i="1"/>
  <c r="K3135" i="1"/>
  <c r="K3134" i="1"/>
  <c r="K3133" i="1"/>
  <c r="K3132" i="1"/>
  <c r="K3131" i="1"/>
  <c r="K3130" i="1"/>
  <c r="K3129" i="1"/>
  <c r="K3127" i="1"/>
  <c r="K3128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1866" i="1"/>
  <c r="K1865" i="1"/>
  <c r="K1864" i="1"/>
  <c r="K1863" i="1"/>
  <c r="K1862" i="1"/>
  <c r="K1860" i="1"/>
  <c r="K1861" i="1"/>
  <c r="K1859" i="1"/>
  <c r="K1858" i="1"/>
  <c r="K1857" i="1"/>
  <c r="K1856" i="1"/>
  <c r="K1855" i="1"/>
  <c r="K1853" i="1"/>
  <c r="K1854" i="1"/>
  <c r="K1852" i="1"/>
  <c r="K1851" i="1"/>
  <c r="K1850" i="1"/>
  <c r="K1849" i="1"/>
  <c r="K1848" i="1"/>
  <c r="K1847" i="1"/>
  <c r="K1846" i="1"/>
  <c r="M1846" i="1" s="1"/>
  <c r="K1845" i="1"/>
  <c r="K1844" i="1"/>
  <c r="K1843" i="1"/>
  <c r="K1842" i="1"/>
  <c r="K704" i="1"/>
  <c r="K1841" i="1"/>
  <c r="K1840" i="1"/>
  <c r="K1839" i="1"/>
  <c r="K1838" i="1"/>
  <c r="K1837" i="1"/>
  <c r="K1836" i="1"/>
  <c r="K1835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550" i="1"/>
  <c r="K549" i="1"/>
  <c r="K548" i="1"/>
  <c r="K547" i="1"/>
  <c r="K546" i="1"/>
  <c r="K545" i="1"/>
  <c r="K544" i="1"/>
  <c r="K543" i="1"/>
  <c r="K542" i="1"/>
  <c r="K541" i="1"/>
  <c r="K540" i="1"/>
  <c r="K538" i="1"/>
  <c r="K539" i="1"/>
  <c r="K537" i="1"/>
  <c r="K536" i="1"/>
  <c r="K4954" i="1"/>
  <c r="K4953" i="1"/>
  <c r="K4952" i="1"/>
  <c r="K4951" i="1"/>
  <c r="M4951" i="1" s="1"/>
  <c r="K4950" i="1"/>
  <c r="M4950" i="1" s="1"/>
  <c r="K4949" i="1"/>
  <c r="M4949" i="1" s="1"/>
  <c r="K4948" i="1"/>
  <c r="M4948" i="1" s="1"/>
  <c r="K4947" i="1"/>
  <c r="M4947" i="1" s="1"/>
  <c r="K4946" i="1"/>
  <c r="M4946" i="1" s="1"/>
  <c r="K4929" i="1"/>
  <c r="K4928" i="1"/>
  <c r="K4927" i="1"/>
  <c r="K4926" i="1"/>
  <c r="K4925" i="1"/>
  <c r="K4924" i="1"/>
  <c r="K4923" i="1"/>
  <c r="K4922" i="1"/>
  <c r="K4921" i="1"/>
  <c r="K4920" i="1"/>
  <c r="K4919" i="1"/>
  <c r="K4918" i="1"/>
  <c r="K4917" i="1"/>
  <c r="K4916" i="1"/>
  <c r="K1460" i="1"/>
  <c r="K4915" i="1"/>
  <c r="K4914" i="1"/>
  <c r="K4913" i="1"/>
  <c r="K4912" i="1"/>
  <c r="K5501" i="1"/>
  <c r="M5501" i="1" s="1"/>
  <c r="K5500" i="1"/>
  <c r="M5500" i="1" s="1"/>
  <c r="K5499" i="1"/>
  <c r="K5497" i="1"/>
  <c r="K5498" i="1"/>
  <c r="K5495" i="1"/>
  <c r="K5496" i="1"/>
  <c r="K5493" i="1"/>
  <c r="K5494" i="1"/>
  <c r="K5491" i="1"/>
  <c r="K5492" i="1"/>
  <c r="K5490" i="1"/>
  <c r="K5489" i="1"/>
  <c r="K5487" i="1"/>
  <c r="K5488" i="1"/>
  <c r="K5486" i="1"/>
  <c r="K5485" i="1"/>
  <c r="K5484" i="1"/>
  <c r="K5483" i="1"/>
  <c r="K5482" i="1"/>
  <c r="K5481" i="1"/>
  <c r="K5480" i="1"/>
  <c r="K5479" i="1"/>
  <c r="K5478" i="1"/>
  <c r="K5477" i="1"/>
  <c r="K5476" i="1"/>
  <c r="K5475" i="1"/>
  <c r="K5474" i="1"/>
  <c r="K5473" i="1"/>
  <c r="K5472" i="1"/>
  <c r="K5471" i="1"/>
  <c r="K5470" i="1"/>
  <c r="K5469" i="1"/>
  <c r="K5468" i="1"/>
  <c r="K5467" i="1"/>
  <c r="K5466" i="1"/>
  <c r="K5465" i="1"/>
  <c r="K5464" i="1"/>
  <c r="K5463" i="1"/>
  <c r="K5462" i="1"/>
  <c r="K5461" i="1"/>
  <c r="K5460" i="1"/>
  <c r="K5459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1" i="1"/>
  <c r="K373" i="1"/>
  <c r="K372" i="1"/>
  <c r="K370" i="1"/>
  <c r="K368" i="1"/>
  <c r="K369" i="1"/>
  <c r="M7970" i="1" s="1"/>
  <c r="K367" i="1"/>
  <c r="K366" i="1"/>
  <c r="K365" i="1"/>
  <c r="M365" i="1" s="1"/>
  <c r="K364" i="1"/>
  <c r="K363" i="1"/>
  <c r="M363" i="1" s="1"/>
  <c r="K362" i="1"/>
  <c r="K361" i="1"/>
  <c r="M361" i="1" s="1"/>
  <c r="K360" i="1"/>
  <c r="M360" i="1" s="1"/>
  <c r="K359" i="1"/>
  <c r="M359" i="1" s="1"/>
  <c r="K358" i="1"/>
  <c r="M358" i="1" s="1"/>
  <c r="K357" i="1"/>
  <c r="K356" i="1"/>
  <c r="K355" i="1"/>
  <c r="K354" i="1"/>
  <c r="K353" i="1"/>
  <c r="K352" i="1"/>
  <c r="K351" i="1"/>
  <c r="K350" i="1"/>
  <c r="K349" i="1"/>
  <c r="K348" i="1"/>
  <c r="K4144" i="1"/>
  <c r="K4143" i="1"/>
  <c r="K4142" i="1"/>
  <c r="K4141" i="1"/>
  <c r="K4139" i="1"/>
  <c r="K4140" i="1"/>
  <c r="K4138" i="1"/>
  <c r="K4137" i="1"/>
  <c r="K4136" i="1"/>
  <c r="K4135" i="1"/>
  <c r="K4134" i="1"/>
  <c r="K4133" i="1"/>
  <c r="M2953" i="1" s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8174" i="1"/>
  <c r="M3985" i="1" s="1"/>
  <c r="K8173" i="1"/>
  <c r="K8172" i="1"/>
  <c r="K8171" i="1"/>
  <c r="K8170" i="1"/>
  <c r="K8169" i="1"/>
  <c r="K8168" i="1"/>
  <c r="M8168" i="1" s="1"/>
  <c r="K8167" i="1"/>
  <c r="M8167" i="1" s="1"/>
  <c r="K8166" i="1"/>
  <c r="K8165" i="1"/>
  <c r="M8165" i="1" s="1"/>
  <c r="K7375" i="1"/>
  <c r="M7375" i="1" s="1"/>
  <c r="K7373" i="1"/>
  <c r="M7373" i="1" s="1"/>
  <c r="K7374" i="1"/>
  <c r="M7374" i="1" s="1"/>
  <c r="K7372" i="1"/>
  <c r="M7372" i="1" s="1"/>
  <c r="K7371" i="1"/>
  <c r="K7370" i="1"/>
  <c r="K7369" i="1"/>
  <c r="K7368" i="1"/>
  <c r="K7367" i="1"/>
  <c r="K7366" i="1"/>
  <c r="K7365" i="1"/>
  <c r="K7364" i="1"/>
  <c r="K7363" i="1"/>
  <c r="K7362" i="1"/>
  <c r="K7361" i="1"/>
  <c r="K7360" i="1"/>
  <c r="K7359" i="1"/>
  <c r="K2238" i="1"/>
  <c r="M2238" i="1" s="1"/>
  <c r="K2237" i="1"/>
  <c r="K2236" i="1"/>
  <c r="K2235" i="1"/>
  <c r="K2234" i="1"/>
  <c r="K2233" i="1"/>
  <c r="K2232" i="1"/>
  <c r="K2231" i="1"/>
  <c r="K2230" i="1"/>
  <c r="K2229" i="1"/>
  <c r="K2227" i="1"/>
  <c r="K2228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6410" i="1"/>
  <c r="K6409" i="1"/>
  <c r="K6408" i="1"/>
  <c r="K6407" i="1"/>
  <c r="K6406" i="1"/>
  <c r="K6405" i="1"/>
  <c r="K6404" i="1"/>
  <c r="K6403" i="1"/>
  <c r="K6402" i="1"/>
  <c r="K6401" i="1"/>
  <c r="K6400" i="1"/>
  <c r="K6399" i="1"/>
  <c r="K6398" i="1"/>
  <c r="K6397" i="1"/>
  <c r="K6396" i="1"/>
  <c r="K6395" i="1"/>
  <c r="K6394" i="1"/>
  <c r="K6393" i="1"/>
  <c r="K6392" i="1"/>
  <c r="K6391" i="1"/>
  <c r="K6390" i="1"/>
  <c r="K6389" i="1"/>
  <c r="K6388" i="1"/>
  <c r="K6387" i="1"/>
  <c r="K6386" i="1"/>
  <c r="K6385" i="1"/>
  <c r="M6385" i="1" s="1"/>
  <c r="K6384" i="1"/>
  <c r="K6383" i="1"/>
  <c r="M6383" i="1" s="1"/>
  <c r="K6382" i="1"/>
  <c r="M6382" i="1" s="1"/>
  <c r="K6381" i="1"/>
  <c r="K535" i="1"/>
  <c r="M535" i="1" s="1"/>
  <c r="K534" i="1"/>
  <c r="K533" i="1"/>
  <c r="M533" i="1" s="1"/>
  <c r="K532" i="1"/>
  <c r="M532" i="1" s="1"/>
  <c r="K531" i="1"/>
  <c r="M531" i="1" s="1"/>
  <c r="K530" i="1"/>
  <c r="M530" i="1" s="1"/>
  <c r="K529" i="1"/>
  <c r="M529" i="1" s="1"/>
  <c r="K528" i="1"/>
  <c r="M528" i="1" s="1"/>
  <c r="K527" i="1"/>
  <c r="M527" i="1" s="1"/>
  <c r="K526" i="1"/>
  <c r="M526" i="1" s="1"/>
  <c r="K525" i="1"/>
  <c r="K524" i="1"/>
  <c r="K523" i="1"/>
  <c r="K522" i="1"/>
  <c r="K521" i="1"/>
  <c r="K520" i="1"/>
  <c r="K519" i="1"/>
  <c r="K1478" i="1"/>
  <c r="K1477" i="1"/>
  <c r="K1476" i="1"/>
  <c r="K1475" i="1"/>
  <c r="K1474" i="1"/>
  <c r="K1473" i="1"/>
  <c r="K1472" i="1"/>
  <c r="K1470" i="1"/>
  <c r="K1471" i="1"/>
  <c r="K1469" i="1"/>
  <c r="K1467" i="1"/>
  <c r="K1468" i="1"/>
  <c r="K1466" i="1"/>
  <c r="K1465" i="1"/>
  <c r="K1464" i="1"/>
  <c r="K1463" i="1"/>
  <c r="K1462" i="1"/>
  <c r="K1461" i="1"/>
  <c r="K1459" i="1"/>
  <c r="K1458" i="1"/>
  <c r="K1457" i="1"/>
  <c r="K1456" i="1"/>
  <c r="K1455" i="1"/>
  <c r="K1454" i="1"/>
  <c r="K1453" i="1"/>
  <c r="K1452" i="1"/>
  <c r="K1451" i="1"/>
  <c r="K1450" i="1"/>
  <c r="K6929" i="1"/>
  <c r="K6927" i="1"/>
  <c r="K6926" i="1"/>
  <c r="K6925" i="1"/>
  <c r="K6924" i="1"/>
  <c r="K6923" i="1"/>
  <c r="K6922" i="1"/>
  <c r="M6922" i="1" s="1"/>
  <c r="K6920" i="1"/>
  <c r="M6920" i="1" s="1"/>
  <c r="K6921" i="1"/>
  <c r="M6921" i="1" s="1"/>
  <c r="K6919" i="1"/>
  <c r="M6919" i="1" s="1"/>
  <c r="K6918" i="1"/>
  <c r="M6918" i="1" s="1"/>
  <c r="K3461" i="1"/>
  <c r="K3460" i="1"/>
  <c r="K3459" i="1"/>
  <c r="K6917" i="1"/>
  <c r="K6916" i="1"/>
  <c r="K6915" i="1"/>
  <c r="K6914" i="1"/>
  <c r="K6913" i="1"/>
  <c r="K6912" i="1"/>
  <c r="K6911" i="1"/>
  <c r="K6910" i="1"/>
  <c r="K6909" i="1"/>
  <c r="K6908" i="1"/>
  <c r="K6907" i="1"/>
  <c r="K6906" i="1"/>
  <c r="K6905" i="1"/>
  <c r="K6904" i="1"/>
  <c r="K6903" i="1"/>
  <c r="K6902" i="1"/>
  <c r="K6901" i="1"/>
  <c r="K6900" i="1"/>
  <c r="K6899" i="1"/>
  <c r="K6898" i="1"/>
  <c r="K2541" i="1"/>
  <c r="M2541" i="1" s="1"/>
  <c r="K2540" i="1"/>
  <c r="K2539" i="1"/>
  <c r="K2538" i="1"/>
  <c r="K2537" i="1"/>
  <c r="K2536" i="1"/>
  <c r="K2535" i="1"/>
  <c r="K2534" i="1"/>
  <c r="K2533" i="1"/>
  <c r="K2532" i="1"/>
  <c r="K2530" i="1"/>
  <c r="K2529" i="1"/>
  <c r="K2528" i="1"/>
  <c r="K2527" i="1"/>
  <c r="K2526" i="1"/>
  <c r="K2525" i="1"/>
  <c r="K2524" i="1"/>
  <c r="K2523" i="1"/>
  <c r="K2522" i="1"/>
  <c r="K2521" i="1"/>
  <c r="M2521" i="1" s="1"/>
  <c r="K2520" i="1"/>
  <c r="M2520" i="1" s="1"/>
  <c r="K3857" i="1"/>
  <c r="K5570" i="1"/>
  <c r="K4813" i="1"/>
  <c r="K4812" i="1"/>
  <c r="K4809" i="1"/>
  <c r="K4811" i="1"/>
  <c r="K4810" i="1"/>
  <c r="K4808" i="1"/>
  <c r="K4807" i="1"/>
  <c r="K4806" i="1"/>
  <c r="K4805" i="1"/>
  <c r="K4804" i="1"/>
  <c r="K4803" i="1"/>
  <c r="K4802" i="1"/>
  <c r="K4801" i="1"/>
  <c r="K4800" i="1"/>
  <c r="K4799" i="1"/>
  <c r="K4788" i="1"/>
  <c r="K4787" i="1"/>
  <c r="M4787" i="1" s="1"/>
  <c r="K4786" i="1"/>
  <c r="M4786" i="1" s="1"/>
  <c r="K4785" i="1"/>
  <c r="M4785" i="1" s="1"/>
  <c r="K4784" i="1"/>
  <c r="M4784" i="1" s="1"/>
  <c r="K4783" i="1"/>
  <c r="M4783" i="1" s="1"/>
  <c r="K5151" i="1"/>
  <c r="M5151" i="1" s="1"/>
  <c r="K4782" i="1"/>
  <c r="M4782" i="1" s="1"/>
  <c r="K4781" i="1"/>
  <c r="M4781" i="1" s="1"/>
  <c r="K4780" i="1"/>
  <c r="K4779" i="1"/>
  <c r="K4778" i="1"/>
  <c r="K4777" i="1"/>
  <c r="K4776" i="1"/>
  <c r="K4775" i="1"/>
  <c r="K4774" i="1"/>
  <c r="K4773" i="1"/>
  <c r="K4772" i="1"/>
  <c r="K4771" i="1"/>
  <c r="K4770" i="1"/>
  <c r="K4769" i="1"/>
  <c r="K4768" i="1"/>
  <c r="K4767" i="1"/>
  <c r="K4766" i="1"/>
  <c r="K1380" i="1"/>
  <c r="K1379" i="1"/>
  <c r="K1378" i="1"/>
  <c r="K4367" i="1"/>
  <c r="K4366" i="1"/>
  <c r="K4365" i="1"/>
  <c r="K4364" i="1"/>
  <c r="K4362" i="1"/>
  <c r="K4363" i="1"/>
  <c r="K4361" i="1"/>
  <c r="K4360" i="1"/>
  <c r="K4359" i="1"/>
  <c r="K4358" i="1"/>
  <c r="K4357" i="1"/>
  <c r="K4356" i="1"/>
  <c r="K6140" i="1"/>
  <c r="K6139" i="1"/>
  <c r="K6138" i="1"/>
  <c r="K6137" i="1"/>
  <c r="K6136" i="1"/>
  <c r="K6135" i="1"/>
  <c r="K6134" i="1"/>
  <c r="K7909" i="1"/>
  <c r="K5183" i="1"/>
  <c r="K5182" i="1"/>
  <c r="K5181" i="1"/>
  <c r="K5180" i="1"/>
  <c r="K5179" i="1"/>
  <c r="K5178" i="1"/>
  <c r="K5177" i="1"/>
  <c r="K5176" i="1"/>
  <c r="K5175" i="1"/>
  <c r="K5173" i="1"/>
  <c r="K5174" i="1"/>
  <c r="K5171" i="1"/>
  <c r="K5172" i="1"/>
  <c r="K5170" i="1"/>
  <c r="K5168" i="1"/>
  <c r="K5169" i="1"/>
  <c r="K5167" i="1"/>
  <c r="K5166" i="1"/>
  <c r="K5165" i="1"/>
  <c r="K5163" i="1"/>
  <c r="K5164" i="1"/>
  <c r="K5162" i="1"/>
  <c r="K5159" i="1"/>
  <c r="K5161" i="1"/>
  <c r="K5160" i="1"/>
  <c r="K5158" i="1"/>
  <c r="K5157" i="1"/>
  <c r="K5156" i="1"/>
  <c r="K5155" i="1"/>
  <c r="M6664" i="1" s="1"/>
  <c r="K5154" i="1"/>
  <c r="M5154" i="1" s="1"/>
  <c r="K5153" i="1"/>
  <c r="M5153" i="1" s="1"/>
  <c r="K5152" i="1"/>
  <c r="K5150" i="1"/>
  <c r="K5149" i="1"/>
  <c r="K5148" i="1"/>
  <c r="K4765" i="1"/>
  <c r="K4764" i="1"/>
  <c r="K5147" i="1"/>
  <c r="K5146" i="1"/>
  <c r="K5145" i="1"/>
  <c r="K5144" i="1"/>
  <c r="K5143" i="1"/>
  <c r="K5142" i="1"/>
  <c r="K5141" i="1"/>
  <c r="K5140" i="1"/>
  <c r="K5139" i="1"/>
  <c r="K5138" i="1"/>
  <c r="K5137" i="1"/>
  <c r="K5136" i="1"/>
  <c r="K5135" i="1"/>
  <c r="K5276" i="1"/>
  <c r="M5276" i="1" s="1"/>
  <c r="K5275" i="1"/>
  <c r="M5275" i="1" s="1"/>
  <c r="K5273" i="1"/>
  <c r="M5273" i="1" s="1"/>
  <c r="K5274" i="1"/>
  <c r="K5272" i="1"/>
  <c r="M5272" i="1" s="1"/>
  <c r="K5271" i="1"/>
  <c r="M5271" i="1" s="1"/>
  <c r="K5270" i="1"/>
  <c r="M5270" i="1" s="1"/>
  <c r="K5269" i="1"/>
  <c r="M5269" i="1" s="1"/>
  <c r="K5267" i="1"/>
  <c r="K5268" i="1"/>
  <c r="K5266" i="1"/>
  <c r="K5265" i="1"/>
  <c r="K5264" i="1"/>
  <c r="K5262" i="1"/>
  <c r="K5263" i="1"/>
  <c r="K5261" i="1"/>
  <c r="K5260" i="1"/>
  <c r="K5259" i="1"/>
  <c r="K5258" i="1"/>
  <c r="M5258" i="1" s="1"/>
  <c r="K2214" i="1"/>
  <c r="M2214" i="1" s="1"/>
  <c r="K2213" i="1"/>
  <c r="M2213" i="1" s="1"/>
  <c r="K2212" i="1"/>
  <c r="M2212" i="1" s="1"/>
  <c r="K2211" i="1"/>
  <c r="M2211" i="1" s="1"/>
  <c r="K2210" i="1"/>
  <c r="M2210" i="1" s="1"/>
  <c r="K2209" i="1"/>
  <c r="K2208" i="1"/>
  <c r="K2207" i="1"/>
  <c r="K2206" i="1"/>
  <c r="K2205" i="1"/>
  <c r="K2204" i="1"/>
  <c r="K2203" i="1"/>
  <c r="K6299" i="1"/>
  <c r="K6298" i="1"/>
  <c r="K6297" i="1"/>
  <c r="K1796" i="1"/>
  <c r="K1795" i="1"/>
  <c r="K1794" i="1"/>
  <c r="K1793" i="1"/>
  <c r="K1792" i="1"/>
  <c r="K1791" i="1"/>
  <c r="K1790" i="1"/>
  <c r="K1788" i="1"/>
  <c r="K1789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6819" i="1"/>
  <c r="K6818" i="1"/>
  <c r="K6817" i="1"/>
  <c r="K6816" i="1"/>
  <c r="K6815" i="1"/>
  <c r="K7031" i="1"/>
  <c r="K7030" i="1"/>
  <c r="K618" i="1"/>
  <c r="K617" i="1"/>
  <c r="K616" i="1"/>
  <c r="K615" i="1"/>
  <c r="K614" i="1"/>
  <c r="K613" i="1"/>
  <c r="K612" i="1"/>
  <c r="K611" i="1"/>
  <c r="K610" i="1"/>
  <c r="K609" i="1"/>
  <c r="K608" i="1"/>
  <c r="K605" i="1"/>
  <c r="K607" i="1"/>
  <c r="K606" i="1"/>
  <c r="K604" i="1"/>
  <c r="K603" i="1"/>
  <c r="K601" i="1"/>
  <c r="K602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7" i="1"/>
  <c r="K3478" i="1"/>
  <c r="K3477" i="1"/>
  <c r="K3476" i="1"/>
  <c r="K3475" i="1"/>
  <c r="K3473" i="1"/>
  <c r="K3474" i="1"/>
  <c r="K3472" i="1"/>
  <c r="K3470" i="1"/>
  <c r="K3471" i="1"/>
  <c r="K3469" i="1"/>
  <c r="K3468" i="1"/>
  <c r="K3467" i="1"/>
  <c r="K3466" i="1"/>
  <c r="K3465" i="1"/>
  <c r="K3464" i="1"/>
  <c r="K3462" i="1"/>
  <c r="K3463" i="1"/>
  <c r="K178" i="1"/>
  <c r="K177" i="1"/>
  <c r="K176" i="1"/>
  <c r="K175" i="1"/>
  <c r="K174" i="1"/>
  <c r="K173" i="1"/>
  <c r="K172" i="1"/>
  <c r="K5375" i="1"/>
  <c r="K5374" i="1"/>
  <c r="K5373" i="1"/>
  <c r="K5372" i="1"/>
  <c r="K5371" i="1"/>
  <c r="K5370" i="1"/>
  <c r="K5369" i="1"/>
  <c r="K5367" i="1"/>
  <c r="K5368" i="1"/>
  <c r="K5366" i="1"/>
  <c r="K5365" i="1"/>
  <c r="K5364" i="1"/>
  <c r="K5362" i="1"/>
  <c r="K5363" i="1"/>
  <c r="K5361" i="1"/>
  <c r="K5360" i="1"/>
  <c r="K5359" i="1"/>
  <c r="K5358" i="1"/>
  <c r="K5357" i="1"/>
  <c r="K5356" i="1"/>
  <c r="K5355" i="1"/>
  <c r="K5353" i="1"/>
  <c r="K5354" i="1"/>
  <c r="K5352" i="1"/>
  <c r="K5351" i="1"/>
  <c r="K5350" i="1"/>
  <c r="K5349" i="1"/>
  <c r="K5348" i="1"/>
  <c r="K5347" i="1"/>
  <c r="K5346" i="1"/>
  <c r="K5345" i="1"/>
  <c r="K5344" i="1"/>
  <c r="K5343" i="1"/>
  <c r="K2031" i="1"/>
  <c r="K2030" i="1"/>
  <c r="K2029" i="1"/>
  <c r="M2029" i="1" s="1"/>
  <c r="K2028" i="1"/>
  <c r="M2028" i="1" s="1"/>
  <c r="K2027" i="1"/>
  <c r="M2027" i="1" s="1"/>
  <c r="K2026" i="1"/>
  <c r="K2025" i="1"/>
  <c r="K2024" i="1"/>
  <c r="K2023" i="1"/>
  <c r="K2022" i="1"/>
  <c r="K2021" i="1"/>
  <c r="K2020" i="1"/>
  <c r="K2019" i="1"/>
  <c r="K2018" i="1"/>
  <c r="K2017" i="1"/>
  <c r="K2015" i="1"/>
  <c r="K2016" i="1"/>
  <c r="K2014" i="1"/>
  <c r="K2013" i="1"/>
  <c r="K2012" i="1"/>
  <c r="K2011" i="1"/>
  <c r="K7578" i="1"/>
  <c r="K7577" i="1"/>
  <c r="K7576" i="1"/>
  <c r="K7575" i="1"/>
  <c r="K7574" i="1"/>
  <c r="K7573" i="1"/>
  <c r="M7573" i="1" s="1"/>
  <c r="K7572" i="1"/>
  <c r="M7572" i="1" s="1"/>
  <c r="K7571" i="1"/>
  <c r="M7571" i="1" s="1"/>
  <c r="K7570" i="1"/>
  <c r="M7570" i="1" s="1"/>
  <c r="K7569" i="1"/>
  <c r="K7568" i="1"/>
  <c r="M7568" i="1" s="1"/>
  <c r="K7567" i="1"/>
  <c r="M7567" i="1" s="1"/>
  <c r="K7566" i="1"/>
  <c r="M7566" i="1" s="1"/>
  <c r="K7565" i="1"/>
  <c r="M7565" i="1" s="1"/>
  <c r="K7564" i="1"/>
  <c r="M7564" i="1" s="1"/>
  <c r="K7563" i="1"/>
  <c r="M7563" i="1" s="1"/>
  <c r="K7562" i="1"/>
  <c r="M7562" i="1" s="1"/>
  <c r="K7561" i="1"/>
  <c r="M7561" i="1" s="1"/>
  <c r="K7560" i="1"/>
  <c r="M7560" i="1" s="1"/>
  <c r="K7559" i="1"/>
  <c r="M7559" i="1" s="1"/>
  <c r="K7558" i="1"/>
  <c r="M7558" i="1" s="1"/>
  <c r="K7557" i="1"/>
  <c r="M7557" i="1" s="1"/>
  <c r="K7556" i="1"/>
  <c r="M7556" i="1" s="1"/>
  <c r="K7555" i="1"/>
  <c r="K7554" i="1"/>
  <c r="K7553" i="1"/>
  <c r="K7552" i="1"/>
  <c r="K7551" i="1"/>
  <c r="K7550" i="1"/>
  <c r="K4057" i="1"/>
  <c r="K2313" i="1"/>
  <c r="K2312" i="1"/>
  <c r="K2311" i="1"/>
  <c r="K2310" i="1"/>
  <c r="K2309" i="1"/>
  <c r="K2307" i="1"/>
  <c r="K2308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167" i="1"/>
  <c r="K1166" i="1"/>
  <c r="K1165" i="1"/>
  <c r="K1164" i="1"/>
  <c r="K1162" i="1"/>
  <c r="K1163" i="1"/>
  <c r="K1161" i="1"/>
  <c r="K1160" i="1"/>
  <c r="K1158" i="1"/>
  <c r="K1159" i="1"/>
  <c r="K1157" i="1"/>
  <c r="K4070" i="1"/>
  <c r="K4069" i="1"/>
  <c r="K4068" i="1"/>
  <c r="K4067" i="1"/>
  <c r="K4066" i="1"/>
  <c r="K4065" i="1"/>
  <c r="K4064" i="1"/>
  <c r="K4063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2497" i="1"/>
  <c r="K7908" i="1"/>
  <c r="K3574" i="1"/>
  <c r="K3573" i="1"/>
  <c r="K3571" i="1"/>
  <c r="K3570" i="1"/>
  <c r="K3569" i="1"/>
  <c r="K3568" i="1"/>
  <c r="K3567" i="1"/>
  <c r="K3566" i="1"/>
  <c r="K3565" i="1"/>
  <c r="K3563" i="1"/>
  <c r="K3564" i="1"/>
  <c r="K3562" i="1"/>
  <c r="K3561" i="1"/>
  <c r="K3558" i="1"/>
  <c r="K3560" i="1"/>
  <c r="K3559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M3543" i="1" s="1"/>
  <c r="K3542" i="1"/>
  <c r="M3542" i="1" s="1"/>
  <c r="K3541" i="1"/>
  <c r="M3541" i="1" s="1"/>
  <c r="K3540" i="1"/>
  <c r="M3540" i="1" s="1"/>
  <c r="K3539" i="1"/>
  <c r="M3539" i="1" s="1"/>
  <c r="K3538" i="1"/>
  <c r="M3538" i="1" s="1"/>
  <c r="K3537" i="1"/>
  <c r="M3537" i="1" s="1"/>
  <c r="K3536" i="1"/>
  <c r="M3536" i="1" s="1"/>
  <c r="K3535" i="1"/>
  <c r="M3535" i="1" s="1"/>
  <c r="K3534" i="1"/>
  <c r="M3534" i="1" s="1"/>
  <c r="K3533" i="1"/>
  <c r="M3533" i="1" s="1"/>
  <c r="K3532" i="1"/>
  <c r="M3532" i="1" s="1"/>
  <c r="K6986" i="1"/>
  <c r="M6986" i="1" s="1"/>
  <c r="K5419" i="1"/>
  <c r="M5419" i="1" s="1"/>
  <c r="K5418" i="1"/>
  <c r="M5418" i="1" s="1"/>
  <c r="K3039" i="1"/>
  <c r="K1732" i="1"/>
  <c r="K3038" i="1"/>
  <c r="K3037" i="1"/>
  <c r="K3036" i="1"/>
  <c r="K3035" i="1"/>
  <c r="K1731" i="1"/>
  <c r="K1730" i="1"/>
  <c r="K1729" i="1"/>
  <c r="K3034" i="1"/>
  <c r="M3034" i="1" s="1"/>
  <c r="K1728" i="1"/>
  <c r="M1728" i="1" s="1"/>
  <c r="K1727" i="1"/>
  <c r="M1727" i="1" s="1"/>
  <c r="K3018" i="1"/>
  <c r="M3018" i="1" s="1"/>
  <c r="K2304" i="1"/>
  <c r="M2304" i="1" s="1"/>
  <c r="K2303" i="1"/>
  <c r="M2303" i="1" s="1"/>
  <c r="K1726" i="1"/>
  <c r="M1726" i="1" s="1"/>
  <c r="K4062" i="1"/>
  <c r="K4061" i="1"/>
  <c r="K4060" i="1"/>
  <c r="K4059" i="1"/>
  <c r="K4058" i="1"/>
  <c r="K3020" i="1"/>
  <c r="K3019" i="1"/>
  <c r="K5422" i="1"/>
  <c r="K5421" i="1"/>
  <c r="K5420" i="1"/>
  <c r="K5417" i="1"/>
  <c r="M5417" i="1" s="1"/>
  <c r="K3017" i="1"/>
  <c r="K4056" i="1"/>
  <c r="K4055" i="1"/>
  <c r="K4054" i="1"/>
  <c r="K4053" i="1"/>
  <c r="K4052" i="1"/>
  <c r="K4051" i="1"/>
  <c r="K4050" i="1"/>
  <c r="K4049" i="1"/>
  <c r="K4048" i="1"/>
  <c r="K4047" i="1"/>
  <c r="K1725" i="1"/>
  <c r="K6749" i="1"/>
  <c r="K6748" i="1"/>
  <c r="K4945" i="1"/>
  <c r="K4944" i="1"/>
  <c r="K4943" i="1"/>
  <c r="K4942" i="1"/>
  <c r="K4941" i="1"/>
  <c r="K4940" i="1"/>
  <c r="K4939" i="1"/>
  <c r="K4938" i="1"/>
  <c r="K4937" i="1"/>
  <c r="K4936" i="1"/>
  <c r="K4935" i="1"/>
  <c r="K4934" i="1"/>
  <c r="M4934" i="1" s="1"/>
  <c r="K4933" i="1"/>
  <c r="M4933" i="1" s="1"/>
  <c r="K4932" i="1"/>
  <c r="M4932" i="1" s="1"/>
  <c r="K4931" i="1"/>
  <c r="M4931" i="1" s="1"/>
  <c r="K4930" i="1"/>
  <c r="M4930" i="1" s="1"/>
  <c r="K1559" i="1"/>
  <c r="M1559" i="1" s="1"/>
  <c r="K171" i="1"/>
  <c r="K836" i="1"/>
  <c r="M836" i="1" s="1"/>
  <c r="K835" i="1"/>
  <c r="M835" i="1" s="1"/>
  <c r="K834" i="1"/>
  <c r="M834" i="1" s="1"/>
  <c r="K833" i="1"/>
  <c r="M833" i="1" s="1"/>
  <c r="K832" i="1"/>
  <c r="M832" i="1" s="1"/>
  <c r="K831" i="1"/>
  <c r="M831" i="1" s="1"/>
  <c r="K830" i="1"/>
  <c r="M830" i="1" s="1"/>
  <c r="K829" i="1"/>
  <c r="K826" i="1"/>
  <c r="K828" i="1"/>
  <c r="K827" i="1"/>
  <c r="K825" i="1"/>
  <c r="K824" i="1"/>
  <c r="K823" i="1"/>
  <c r="K821" i="1"/>
  <c r="K822" i="1"/>
  <c r="K820" i="1"/>
  <c r="K819" i="1"/>
  <c r="K818" i="1"/>
  <c r="K817" i="1"/>
  <c r="K816" i="1"/>
  <c r="K815" i="1"/>
  <c r="K814" i="1"/>
  <c r="K813" i="1"/>
  <c r="K812" i="1"/>
  <c r="K811" i="1"/>
  <c r="K809" i="1"/>
  <c r="K810" i="1"/>
  <c r="K791" i="1"/>
  <c r="K6571" i="1"/>
  <c r="K6570" i="1"/>
  <c r="K6569" i="1"/>
  <c r="K6568" i="1"/>
  <c r="K6566" i="1"/>
  <c r="K6567" i="1"/>
  <c r="K6565" i="1"/>
  <c r="K6564" i="1"/>
  <c r="K6563" i="1"/>
  <c r="K6562" i="1"/>
  <c r="K3986" i="1"/>
  <c r="K1303" i="1"/>
  <c r="K1302" i="1"/>
  <c r="K1301" i="1"/>
  <c r="K1300" i="1"/>
  <c r="K1299" i="1"/>
  <c r="K1297" i="1"/>
  <c r="K1298" i="1"/>
  <c r="K1296" i="1"/>
  <c r="K1295" i="1"/>
  <c r="K1294" i="1"/>
  <c r="K1293" i="1"/>
  <c r="K1292" i="1"/>
  <c r="K1291" i="1"/>
  <c r="K1290" i="1"/>
  <c r="K1289" i="1"/>
  <c r="K1288" i="1"/>
  <c r="K1287" i="1"/>
  <c r="K1286" i="1"/>
  <c r="K1284" i="1"/>
  <c r="K1285" i="1"/>
  <c r="K1283" i="1"/>
  <c r="K1282" i="1"/>
  <c r="K1281" i="1"/>
  <c r="K1280" i="1"/>
  <c r="K1279" i="1"/>
  <c r="K1278" i="1"/>
  <c r="K1275" i="1"/>
  <c r="K1277" i="1"/>
  <c r="K1276" i="1"/>
  <c r="K1274" i="1"/>
  <c r="K1273" i="1"/>
  <c r="K1271" i="1"/>
  <c r="K1272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2445" i="1"/>
  <c r="K2444" i="1"/>
  <c r="K2443" i="1"/>
  <c r="K2442" i="1"/>
  <c r="K2441" i="1"/>
  <c r="K2440" i="1"/>
  <c r="K2439" i="1"/>
  <c r="K2438" i="1"/>
  <c r="K2437" i="1"/>
  <c r="M2437" i="1" s="1"/>
  <c r="K2436" i="1"/>
  <c r="M2436" i="1" s="1"/>
  <c r="K2435" i="1"/>
  <c r="M2435" i="1" s="1"/>
  <c r="K2434" i="1"/>
  <c r="M2434" i="1" s="1"/>
  <c r="K2433" i="1"/>
  <c r="M2433" i="1" s="1"/>
  <c r="K2432" i="1"/>
  <c r="M2432" i="1" s="1"/>
  <c r="K2431" i="1"/>
  <c r="M2431" i="1" s="1"/>
  <c r="K2430" i="1"/>
  <c r="K2429" i="1"/>
  <c r="K2427" i="1"/>
  <c r="K2428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3" i="1"/>
  <c r="K3234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M3215" i="1" s="1"/>
  <c r="K3214" i="1"/>
  <c r="M3214" i="1" s="1"/>
  <c r="K3213" i="1"/>
  <c r="K3212" i="1"/>
  <c r="M3212" i="1" s="1"/>
  <c r="K7637" i="1"/>
  <c r="K7635" i="1"/>
  <c r="K7634" i="1"/>
  <c r="K7633" i="1"/>
  <c r="K7632" i="1"/>
  <c r="K7631" i="1"/>
  <c r="K7630" i="1"/>
  <c r="K7629" i="1"/>
  <c r="K7628" i="1"/>
  <c r="K7627" i="1"/>
  <c r="K7626" i="1"/>
  <c r="K7625" i="1"/>
  <c r="K7624" i="1"/>
  <c r="K7623" i="1"/>
  <c r="K7622" i="1"/>
  <c r="K7621" i="1"/>
  <c r="K7620" i="1"/>
  <c r="K7619" i="1"/>
  <c r="K7618" i="1"/>
  <c r="K7617" i="1"/>
  <c r="K7616" i="1"/>
  <c r="K7615" i="1"/>
  <c r="M7615" i="1" s="1"/>
  <c r="K7614" i="1"/>
  <c r="M7614" i="1" s="1"/>
  <c r="K7613" i="1"/>
  <c r="M7613" i="1" s="1"/>
  <c r="K7612" i="1"/>
  <c r="M7612" i="1" s="1"/>
  <c r="K7611" i="1"/>
  <c r="M7611" i="1" s="1"/>
  <c r="K7610" i="1"/>
  <c r="M7610" i="1" s="1"/>
  <c r="K7609" i="1"/>
  <c r="M7609" i="1" s="1"/>
  <c r="K7608" i="1"/>
  <c r="M7608" i="1" s="1"/>
  <c r="K7607" i="1"/>
  <c r="K7606" i="1"/>
  <c r="K7605" i="1"/>
  <c r="K7604" i="1"/>
  <c r="K7603" i="1"/>
  <c r="K7602" i="1"/>
  <c r="K7601" i="1"/>
  <c r="K7600" i="1"/>
  <c r="K7599" i="1"/>
  <c r="K7598" i="1"/>
  <c r="K7047" i="1"/>
  <c r="K7046" i="1"/>
  <c r="K7045" i="1"/>
  <c r="K7044" i="1"/>
  <c r="K7042" i="1"/>
  <c r="K7043" i="1"/>
  <c r="K7041" i="1"/>
  <c r="K7040" i="1"/>
  <c r="K7038" i="1"/>
  <c r="K7039" i="1"/>
  <c r="K7037" i="1"/>
  <c r="K7035" i="1"/>
  <c r="K7036" i="1"/>
  <c r="K7034" i="1"/>
  <c r="K7033" i="1"/>
  <c r="K7032" i="1"/>
  <c r="K7029" i="1"/>
  <c r="K7028" i="1"/>
  <c r="K7027" i="1"/>
  <c r="K7026" i="1"/>
  <c r="K7025" i="1"/>
  <c r="K7024" i="1"/>
  <c r="K7023" i="1"/>
  <c r="K7022" i="1"/>
  <c r="K7021" i="1"/>
  <c r="K7020" i="1"/>
  <c r="K7019" i="1"/>
  <c r="K7018" i="1"/>
  <c r="K7017" i="1"/>
  <c r="K7016" i="1"/>
  <c r="K7015" i="1"/>
  <c r="K4460" i="1"/>
  <c r="K4459" i="1"/>
  <c r="K4458" i="1"/>
  <c r="K4456" i="1"/>
  <c r="K4457" i="1"/>
  <c r="K4455" i="1"/>
  <c r="K4454" i="1"/>
  <c r="K4453" i="1"/>
  <c r="K4452" i="1"/>
  <c r="K4451" i="1"/>
  <c r="K4450" i="1"/>
  <c r="K4449" i="1"/>
  <c r="K4447" i="1"/>
  <c r="M4447" i="1" s="1"/>
  <c r="K4448" i="1"/>
  <c r="K4446" i="1"/>
  <c r="M4446" i="1" s="1"/>
  <c r="K4445" i="1"/>
  <c r="M4445" i="1" s="1"/>
  <c r="K4444" i="1"/>
  <c r="K4443" i="1"/>
  <c r="K4442" i="1"/>
  <c r="K4441" i="1"/>
  <c r="K4440" i="1"/>
  <c r="K4439" i="1"/>
  <c r="K4438" i="1"/>
  <c r="K4437" i="1"/>
  <c r="K4436" i="1"/>
  <c r="K4435" i="1"/>
  <c r="K4434" i="1"/>
  <c r="K7294" i="1"/>
  <c r="K7293" i="1"/>
  <c r="K7292" i="1"/>
  <c r="K7291" i="1"/>
  <c r="K7290" i="1"/>
  <c r="K7289" i="1"/>
  <c r="K7288" i="1"/>
  <c r="K7287" i="1"/>
  <c r="K7286" i="1"/>
  <c r="K7285" i="1"/>
  <c r="K7284" i="1"/>
  <c r="K7283" i="1"/>
  <c r="K7282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5701" i="1"/>
  <c r="K5700" i="1"/>
  <c r="K5699" i="1"/>
  <c r="M5699" i="1" s="1"/>
  <c r="K5698" i="1"/>
  <c r="M5698" i="1" s="1"/>
  <c r="K5820" i="1"/>
  <c r="M5820" i="1" s="1"/>
  <c r="K5819" i="1"/>
  <c r="M5819" i="1" s="1"/>
  <c r="K5818" i="1"/>
  <c r="M5818" i="1" s="1"/>
  <c r="K5817" i="1"/>
  <c r="M5817" i="1" s="1"/>
  <c r="K5816" i="1"/>
  <c r="K5815" i="1"/>
  <c r="K5814" i="1"/>
  <c r="K5813" i="1"/>
  <c r="K5812" i="1"/>
  <c r="K5811" i="1"/>
  <c r="K5810" i="1"/>
  <c r="K5809" i="1"/>
  <c r="K5808" i="1"/>
  <c r="K5807" i="1"/>
  <c r="K5806" i="1"/>
  <c r="K6556" i="1"/>
  <c r="K6555" i="1"/>
  <c r="K6554" i="1"/>
  <c r="K6553" i="1"/>
  <c r="K6552" i="1"/>
  <c r="K6551" i="1"/>
  <c r="K6550" i="1"/>
  <c r="K6549" i="1"/>
  <c r="K6548" i="1"/>
  <c r="K6547" i="1"/>
  <c r="K6546" i="1"/>
  <c r="K6545" i="1"/>
  <c r="K6544" i="1"/>
  <c r="K6543" i="1"/>
  <c r="K5067" i="1"/>
  <c r="K5066" i="1"/>
  <c r="K5065" i="1"/>
  <c r="K5064" i="1"/>
  <c r="K5063" i="1"/>
  <c r="K5062" i="1"/>
  <c r="K5061" i="1"/>
  <c r="K5060" i="1"/>
  <c r="K5059" i="1"/>
  <c r="K5058" i="1"/>
  <c r="K5057" i="1"/>
  <c r="K5056" i="1"/>
  <c r="K5055" i="1"/>
  <c r="K5054" i="1"/>
  <c r="K5053" i="1"/>
  <c r="K5052" i="1"/>
  <c r="K5697" i="1"/>
  <c r="K5696" i="1"/>
  <c r="K5695" i="1"/>
  <c r="K5694" i="1"/>
  <c r="K5693" i="1"/>
  <c r="K5692" i="1"/>
  <c r="K5691" i="1"/>
  <c r="K5690" i="1"/>
  <c r="K5689" i="1"/>
  <c r="K5688" i="1"/>
  <c r="K5687" i="1"/>
  <c r="K3333" i="1"/>
  <c r="M3333" i="1" s="1"/>
  <c r="K3332" i="1"/>
  <c r="M3332" i="1" s="1"/>
  <c r="K3331" i="1"/>
  <c r="M3331" i="1" s="1"/>
  <c r="K3330" i="1"/>
  <c r="K3329" i="1"/>
  <c r="M3329" i="1" s="1"/>
  <c r="K3966" i="1"/>
  <c r="M3966" i="1" s="1"/>
  <c r="K3965" i="1"/>
  <c r="M3965" i="1" s="1"/>
  <c r="K3964" i="1"/>
  <c r="M3964" i="1" s="1"/>
  <c r="K3963" i="1"/>
  <c r="M3963" i="1" s="1"/>
  <c r="K3962" i="1"/>
  <c r="M3962" i="1" s="1"/>
  <c r="K3961" i="1"/>
  <c r="M3961" i="1" s="1"/>
  <c r="K3960" i="1"/>
  <c r="M3960" i="1" s="1"/>
  <c r="K3959" i="1"/>
  <c r="K3958" i="1"/>
  <c r="K3957" i="1"/>
  <c r="K3956" i="1"/>
  <c r="K3955" i="1"/>
  <c r="K3954" i="1"/>
  <c r="K3953" i="1"/>
  <c r="K3952" i="1"/>
  <c r="K3951" i="1"/>
  <c r="K3950" i="1"/>
  <c r="K394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/>
  <c r="K4216" i="1"/>
  <c r="K4215" i="1"/>
  <c r="K4214" i="1"/>
  <c r="K4213" i="1"/>
  <c r="K4212" i="1"/>
  <c r="K4211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M3370" i="1" s="1"/>
  <c r="K3369" i="1"/>
  <c r="M3369" i="1" s="1"/>
  <c r="K3368" i="1"/>
  <c r="M3368" i="1" s="1"/>
  <c r="K7498" i="1"/>
  <c r="M7498" i="1" s="1"/>
  <c r="K7497" i="1"/>
  <c r="M7497" i="1" s="1"/>
  <c r="K7496" i="1"/>
  <c r="K7495" i="1"/>
  <c r="M7495" i="1" s="1"/>
  <c r="K7494" i="1"/>
  <c r="M7494" i="1" s="1"/>
  <c r="K7493" i="1"/>
  <c r="M7493" i="1" s="1"/>
  <c r="K7492" i="1"/>
  <c r="M7492" i="1" s="1"/>
  <c r="K7491" i="1"/>
  <c r="K7490" i="1"/>
  <c r="K7489" i="1"/>
  <c r="K7488" i="1"/>
  <c r="K7487" i="1"/>
  <c r="K2090" i="1"/>
  <c r="K452" i="1"/>
  <c r="K6093" i="1"/>
  <c r="K6092" i="1"/>
  <c r="K6091" i="1"/>
  <c r="K6090" i="1"/>
  <c r="K6089" i="1"/>
  <c r="K6088" i="1"/>
  <c r="K6087" i="1"/>
  <c r="K6086" i="1"/>
  <c r="K6085" i="1"/>
  <c r="K6084" i="1"/>
  <c r="K6083" i="1"/>
  <c r="K6082" i="1"/>
  <c r="K6081" i="1"/>
  <c r="K6663" i="1"/>
  <c r="K6662" i="1"/>
  <c r="K6661" i="1"/>
  <c r="K6660" i="1"/>
  <c r="K6659" i="1"/>
  <c r="K6658" i="1"/>
  <c r="K6657" i="1"/>
  <c r="K6656" i="1"/>
  <c r="K6655" i="1"/>
  <c r="K6654" i="1"/>
  <c r="K6653" i="1"/>
  <c r="K6652" i="1"/>
  <c r="K6651" i="1"/>
  <c r="K6650" i="1"/>
  <c r="K6649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7423" i="1"/>
  <c r="K7422" i="1"/>
  <c r="K7421" i="1"/>
  <c r="K7420" i="1"/>
  <c r="K7419" i="1"/>
  <c r="K7418" i="1"/>
  <c r="K7417" i="1"/>
  <c r="K7416" i="1"/>
  <c r="M7416" i="1" s="1"/>
  <c r="K7415" i="1"/>
  <c r="K7414" i="1"/>
  <c r="K7413" i="1"/>
  <c r="K7412" i="1"/>
  <c r="K7411" i="1"/>
  <c r="K7410" i="1"/>
  <c r="K7409" i="1"/>
  <c r="K7408" i="1"/>
  <c r="K7407" i="1"/>
  <c r="K7406" i="1"/>
  <c r="K1067" i="1"/>
  <c r="K1066" i="1"/>
  <c r="K1065" i="1"/>
  <c r="K1064" i="1"/>
  <c r="K1063" i="1"/>
  <c r="K1062" i="1"/>
  <c r="K1061" i="1"/>
  <c r="K1060" i="1"/>
  <c r="K1059" i="1"/>
  <c r="K1058" i="1"/>
  <c r="K1057" i="1"/>
  <c r="M1057" i="1" s="1"/>
  <c r="K1056" i="1"/>
  <c r="M1056" i="1" s="1"/>
  <c r="K1055" i="1"/>
  <c r="K1054" i="1"/>
  <c r="K1053" i="1"/>
  <c r="K1052" i="1"/>
  <c r="K1051" i="1"/>
  <c r="K5956" i="1"/>
  <c r="K5955" i="1"/>
  <c r="K5954" i="1"/>
  <c r="K5953" i="1"/>
  <c r="K5952" i="1"/>
  <c r="K5951" i="1"/>
  <c r="K5950" i="1"/>
  <c r="K5949" i="1"/>
  <c r="K5948" i="1"/>
  <c r="K5947" i="1"/>
  <c r="K5946" i="1"/>
  <c r="K5945" i="1"/>
  <c r="K5944" i="1"/>
  <c r="K5943" i="1"/>
  <c r="K5942" i="1"/>
  <c r="K5941" i="1"/>
  <c r="K5940" i="1"/>
  <c r="K5939" i="1"/>
  <c r="K5938" i="1"/>
  <c r="K6234" i="1"/>
  <c r="K6233" i="1"/>
  <c r="K6232" i="1"/>
  <c r="K6231" i="1"/>
  <c r="K6230" i="1"/>
  <c r="K6229" i="1"/>
  <c r="K6228" i="1"/>
  <c r="K6227" i="1"/>
  <c r="K6226" i="1"/>
  <c r="M6226" i="1" s="1"/>
  <c r="K6225" i="1"/>
  <c r="M6225" i="1" s="1"/>
  <c r="K6224" i="1"/>
  <c r="M6224" i="1" s="1"/>
  <c r="K6223" i="1"/>
  <c r="M6223" i="1" s="1"/>
  <c r="K6222" i="1"/>
  <c r="M6222" i="1" s="1"/>
  <c r="K6221" i="1"/>
  <c r="M6221" i="1" s="1"/>
  <c r="K6220" i="1"/>
  <c r="M6220" i="1" s="1"/>
  <c r="K6219" i="1"/>
  <c r="M6219" i="1" s="1"/>
  <c r="K6218" i="1"/>
  <c r="K6217" i="1"/>
  <c r="K7957" i="1"/>
  <c r="K7955" i="1"/>
  <c r="K5257" i="1"/>
  <c r="K5256" i="1"/>
  <c r="K7954" i="1"/>
  <c r="K7953" i="1"/>
  <c r="K7952" i="1"/>
  <c r="K7951" i="1"/>
  <c r="K7950" i="1"/>
  <c r="K7949" i="1"/>
  <c r="K7948" i="1"/>
  <c r="K7947" i="1"/>
  <c r="K7946" i="1"/>
  <c r="K7945" i="1"/>
  <c r="K7944" i="1"/>
  <c r="K7943" i="1"/>
  <c r="K7942" i="1"/>
  <c r="K7731" i="1"/>
  <c r="K7730" i="1"/>
  <c r="K7729" i="1"/>
  <c r="K7728" i="1"/>
  <c r="K7727" i="1"/>
  <c r="K7726" i="1"/>
  <c r="K7725" i="1"/>
  <c r="K7724" i="1"/>
  <c r="K7723" i="1"/>
  <c r="K2089" i="1"/>
  <c r="K2088" i="1"/>
  <c r="K2087" i="1"/>
  <c r="K7722" i="1"/>
  <c r="K7721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7" i="1"/>
  <c r="K3668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6145" i="1"/>
  <c r="M6145" i="1" s="1"/>
  <c r="K6144" i="1"/>
  <c r="M6144" i="1" s="1"/>
  <c r="K6143" i="1"/>
  <c r="M6143" i="1" s="1"/>
  <c r="K6141" i="1"/>
  <c r="M6141" i="1" s="1"/>
  <c r="K6142" i="1"/>
  <c r="M6142" i="1" s="1"/>
  <c r="K1988" i="1"/>
  <c r="M1988" i="1" s="1"/>
  <c r="K6133" i="1"/>
  <c r="M6133" i="1" s="1"/>
  <c r="K6132" i="1"/>
  <c r="K6131" i="1"/>
  <c r="K6130" i="1"/>
  <c r="M6130" i="1" s="1"/>
  <c r="K6129" i="1"/>
  <c r="M6129" i="1" s="1"/>
  <c r="K6128" i="1"/>
  <c r="M6128" i="1" s="1"/>
  <c r="K4347" i="1"/>
  <c r="M4347" i="1" s="1"/>
  <c r="K4346" i="1"/>
  <c r="M4346" i="1" s="1"/>
  <c r="K4345" i="1"/>
  <c r="M4345" i="1" s="1"/>
  <c r="K4344" i="1"/>
  <c r="M4344" i="1" s="1"/>
  <c r="K4343" i="1"/>
  <c r="M4343" i="1" s="1"/>
  <c r="K4342" i="1"/>
  <c r="M4342" i="1" s="1"/>
  <c r="K4341" i="1"/>
  <c r="M4341" i="1" s="1"/>
  <c r="K185" i="1"/>
  <c r="K184" i="1"/>
  <c r="K183" i="1"/>
  <c r="K182" i="1"/>
  <c r="K181" i="1"/>
  <c r="K180" i="1"/>
  <c r="K179" i="1"/>
  <c r="K170" i="1"/>
  <c r="K169" i="1"/>
  <c r="K168" i="1"/>
  <c r="K167" i="1"/>
  <c r="K166" i="1"/>
  <c r="K165" i="1"/>
  <c r="K164" i="1"/>
  <c r="K261" i="1"/>
  <c r="K260" i="1"/>
  <c r="K259" i="1"/>
  <c r="K258" i="1"/>
  <c r="K257" i="1"/>
  <c r="K703" i="1"/>
  <c r="K702" i="1"/>
  <c r="K701" i="1"/>
  <c r="K709" i="1"/>
  <c r="K708" i="1"/>
  <c r="K707" i="1"/>
  <c r="K706" i="1"/>
  <c r="K705" i="1"/>
  <c r="K8164" i="1"/>
  <c r="K8162" i="1"/>
  <c r="K8163" i="1"/>
  <c r="K8161" i="1"/>
  <c r="K8160" i="1"/>
  <c r="K8159" i="1"/>
  <c r="K8158" i="1"/>
  <c r="K8157" i="1"/>
  <c r="M8157" i="1" s="1"/>
  <c r="K8156" i="1"/>
  <c r="K8155" i="1"/>
  <c r="M8155" i="1" s="1"/>
  <c r="K8154" i="1"/>
  <c r="M8154" i="1" s="1"/>
  <c r="K8153" i="1"/>
  <c r="K8152" i="1"/>
  <c r="M8152" i="1" s="1"/>
  <c r="K8151" i="1"/>
  <c r="K8150" i="1"/>
  <c r="K8149" i="1"/>
  <c r="K8148" i="1"/>
  <c r="K8147" i="1"/>
  <c r="K8146" i="1"/>
  <c r="M443" i="1"/>
  <c r="K7162" i="1"/>
  <c r="K7161" i="1"/>
  <c r="K7160" i="1"/>
  <c r="K7159" i="1"/>
  <c r="K7158" i="1"/>
  <c r="K7157" i="1"/>
  <c r="K7156" i="1"/>
  <c r="K7155" i="1"/>
  <c r="K7153" i="1"/>
  <c r="K7154" i="1"/>
  <c r="K7152" i="1"/>
  <c r="K7151" i="1"/>
  <c r="K7150" i="1"/>
  <c r="K7149" i="1"/>
  <c r="M4231" i="1" s="1"/>
  <c r="K7148" i="1"/>
  <c r="K7147" i="1"/>
  <c r="K7146" i="1"/>
  <c r="K7145" i="1"/>
  <c r="K7144" i="1"/>
  <c r="K7143" i="1"/>
  <c r="K7142" i="1"/>
  <c r="K7141" i="1"/>
  <c r="K7140" i="1"/>
  <c r="K7139" i="1"/>
  <c r="K7138" i="1"/>
  <c r="K7137" i="1"/>
  <c r="K7136" i="1"/>
  <c r="K7135" i="1"/>
  <c r="K501" i="1"/>
  <c r="K490" i="1"/>
  <c r="K491" i="1"/>
  <c r="K492" i="1"/>
  <c r="K493" i="1"/>
  <c r="K494" i="1"/>
  <c r="K495" i="1"/>
  <c r="K496" i="1"/>
  <c r="K497" i="1"/>
  <c r="K498" i="1"/>
  <c r="K499" i="1"/>
  <c r="K500" i="1"/>
  <c r="M2656" i="1"/>
  <c r="M1929" i="1"/>
  <c r="M5290" i="1"/>
  <c r="M5289" i="1"/>
  <c r="M628" i="1"/>
  <c r="M627" i="1"/>
  <c r="M3493" i="1"/>
  <c r="M3492" i="1"/>
  <c r="M5403" i="1"/>
  <c r="M1211" i="1"/>
  <c r="M2048" i="1"/>
  <c r="M2047" i="1"/>
  <c r="M2046" i="1"/>
  <c r="M1184" i="1"/>
  <c r="M1183" i="1"/>
  <c r="M1182" i="1"/>
  <c r="M3589" i="1"/>
  <c r="M3022" i="1"/>
  <c r="M4975" i="1"/>
  <c r="M4974" i="1"/>
  <c r="M4973" i="1"/>
  <c r="M853" i="1"/>
  <c r="M850" i="1"/>
  <c r="M852" i="1"/>
  <c r="M851" i="1"/>
  <c r="M6587" i="1"/>
  <c r="M6586" i="1"/>
  <c r="M6585" i="1"/>
  <c r="M1316" i="1"/>
  <c r="M1315" i="1"/>
  <c r="M2459" i="1"/>
  <c r="M3261" i="1"/>
  <c r="M7644" i="1"/>
  <c r="M7059" i="1"/>
  <c r="M7315" i="1"/>
  <c r="M5845" i="1"/>
  <c r="M3779" i="1"/>
  <c r="M3778" i="1"/>
  <c r="M3775" i="1"/>
  <c r="M3777" i="1"/>
  <c r="M3776" i="1"/>
  <c r="M7522" i="1"/>
  <c r="M7521" i="1"/>
  <c r="M7520" i="1"/>
  <c r="M6158" i="1"/>
  <c r="M6157" i="1"/>
  <c r="M6156" i="1"/>
  <c r="M6155" i="1"/>
  <c r="M83" i="1"/>
  <c r="M1713" i="1"/>
  <c r="M1712" i="1"/>
  <c r="M2739" i="1"/>
  <c r="M2738" i="1"/>
  <c r="M2737" i="1"/>
  <c r="M1091" i="1"/>
  <c r="M5986" i="1"/>
  <c r="M6254" i="1"/>
  <c r="M7985" i="1"/>
  <c r="M7984" i="1"/>
  <c r="M3697" i="1"/>
  <c r="M3696" i="1"/>
  <c r="M3695" i="1"/>
  <c r="M4380" i="1"/>
  <c r="M202" i="1"/>
  <c r="M731" i="1"/>
  <c r="M730" i="1"/>
  <c r="M959" i="1"/>
  <c r="M2655" i="1"/>
  <c r="M2654" i="1"/>
  <c r="M6866" i="1"/>
  <c r="M6865" i="1"/>
  <c r="M6864" i="1"/>
  <c r="M4579" i="1"/>
  <c r="M4578" i="1"/>
  <c r="M4577" i="1"/>
  <c r="M6697" i="1"/>
  <c r="M6696" i="1"/>
  <c r="M6695" i="1"/>
  <c r="M6694" i="1"/>
  <c r="M6693" i="1"/>
  <c r="M6690" i="1"/>
  <c r="M6692" i="1"/>
  <c r="M6691" i="1"/>
  <c r="M6689" i="1"/>
  <c r="M1597" i="1"/>
  <c r="M1596" i="1"/>
  <c r="M1595" i="1"/>
  <c r="M1594" i="1"/>
  <c r="M1593" i="1"/>
  <c r="M1592" i="1"/>
  <c r="M7857" i="1"/>
  <c r="M7856" i="1"/>
  <c r="M5673" i="1"/>
  <c r="M5672" i="1"/>
  <c r="M5671" i="1"/>
  <c r="M2869" i="1"/>
  <c r="M2868" i="1"/>
  <c r="M2867" i="1"/>
  <c r="M2866" i="1"/>
  <c r="M2126" i="1"/>
  <c r="M2125" i="1"/>
  <c r="M4633" i="1"/>
  <c r="M4632" i="1"/>
  <c r="M4631" i="1"/>
  <c r="M4630" i="1"/>
  <c r="M8294" i="1"/>
  <c r="M8295" i="1"/>
  <c r="M1881" i="1"/>
  <c r="M1880" i="1"/>
  <c r="M1879" i="1"/>
  <c r="M1877" i="1"/>
  <c r="M1878" i="1"/>
  <c r="M4674" i="1"/>
  <c r="M4673" i="1"/>
  <c r="M4672" i="1"/>
  <c r="M4669" i="1"/>
  <c r="M4671" i="1"/>
  <c r="M4670" i="1"/>
  <c r="M399" i="1"/>
  <c r="M398" i="1"/>
  <c r="M397" i="1"/>
  <c r="M395" i="1"/>
  <c r="M396" i="1"/>
  <c r="M394" i="1"/>
  <c r="M393" i="1"/>
  <c r="M392" i="1"/>
  <c r="M8190" i="1"/>
  <c r="M8189" i="1"/>
  <c r="M8188" i="1"/>
  <c r="M8186" i="1"/>
  <c r="M8187" i="1"/>
  <c r="M8185" i="1"/>
  <c r="M2250" i="1"/>
  <c r="M2249" i="1"/>
  <c r="M2248" i="1"/>
  <c r="M2246" i="1"/>
  <c r="M2247" i="1"/>
  <c r="M2245" i="1"/>
  <c r="M6418" i="1"/>
  <c r="M1487" i="1"/>
  <c r="M1486" i="1"/>
  <c r="M1488" i="1"/>
  <c r="M1485" i="1"/>
  <c r="M1484" i="1"/>
  <c r="M6933" i="1"/>
  <c r="M6932" i="1"/>
  <c r="M2550" i="1"/>
  <c r="M2549" i="1"/>
  <c r="M2548" i="1"/>
  <c r="M3881" i="1"/>
  <c r="M3879" i="1"/>
  <c r="M3880" i="1"/>
  <c r="M3878" i="1"/>
  <c r="M3877" i="1"/>
  <c r="M2965" i="1"/>
  <c r="M2963" i="1"/>
  <c r="M2964" i="1"/>
  <c r="M2962" i="1"/>
  <c r="M1383" i="1"/>
  <c r="M1927" i="1"/>
  <c r="M1928" i="1"/>
  <c r="M1926" i="1"/>
  <c r="M5288" i="1"/>
  <c r="M5286" i="1"/>
  <c r="M5287" i="1"/>
  <c r="M5285" i="1"/>
  <c r="M6314" i="1"/>
  <c r="M626" i="1"/>
  <c r="M625" i="1"/>
  <c r="M624" i="1"/>
  <c r="M623" i="1"/>
  <c r="M5402" i="1"/>
  <c r="M5401" i="1"/>
  <c r="M5400" i="1"/>
  <c r="M5399" i="1"/>
  <c r="M5398" i="1"/>
  <c r="M5397" i="1"/>
  <c r="M5396" i="1"/>
  <c r="M5395" i="1"/>
  <c r="M2045" i="1"/>
  <c r="M2044" i="1"/>
  <c r="M2043" i="1"/>
  <c r="M2042" i="1"/>
  <c r="M2041" i="1"/>
  <c r="M2322" i="1"/>
  <c r="M2321" i="1"/>
  <c r="M1181" i="1"/>
  <c r="M1180" i="1"/>
  <c r="M1179" i="1"/>
  <c r="M1178" i="1"/>
  <c r="M3588" i="1"/>
  <c r="M3587" i="1"/>
  <c r="M3586" i="1"/>
  <c r="M3585" i="1"/>
  <c r="M3021" i="1"/>
  <c r="M5424" i="1"/>
  <c r="M4972" i="1"/>
  <c r="M4971" i="1"/>
  <c r="M4970" i="1"/>
  <c r="M4969" i="1"/>
  <c r="M4967" i="1"/>
  <c r="M4968" i="1"/>
  <c r="M4966" i="1"/>
  <c r="M849" i="1"/>
  <c r="M848" i="1"/>
  <c r="M847" i="1"/>
  <c r="M846" i="1"/>
  <c r="M845" i="1"/>
  <c r="M844" i="1"/>
  <c r="M4822" i="1"/>
  <c r="M4821" i="1"/>
  <c r="M6584" i="1"/>
  <c r="M6583" i="1"/>
  <c r="M6582" i="1"/>
  <c r="M1314" i="1"/>
  <c r="M1312" i="1"/>
  <c r="M1311" i="1"/>
  <c r="M1313" i="1"/>
  <c r="M1310" i="1"/>
  <c r="M2458" i="1"/>
  <c r="M2457" i="1"/>
  <c r="M2456" i="1"/>
  <c r="M3260" i="1"/>
  <c r="M3259" i="1"/>
  <c r="M3258" i="1"/>
  <c r="M3257" i="1"/>
  <c r="M3256" i="1"/>
  <c r="M7058" i="1"/>
  <c r="M7057" i="1"/>
  <c r="M7056" i="1"/>
  <c r="M7055" i="1"/>
  <c r="M5844" i="1"/>
  <c r="M5843" i="1"/>
  <c r="M5842" i="1"/>
  <c r="M5841" i="1"/>
  <c r="M5198" i="1"/>
  <c r="M5197" i="1"/>
  <c r="M5196" i="1"/>
  <c r="M5195" i="1"/>
  <c r="M5093" i="1"/>
  <c r="M5092" i="1"/>
  <c r="M5091" i="1"/>
  <c r="M5089" i="1"/>
  <c r="M5090" i="1"/>
  <c r="M5732" i="1"/>
  <c r="M5731" i="1"/>
  <c r="M5730" i="1"/>
  <c r="M4257" i="1"/>
  <c r="M3773" i="1"/>
  <c r="M3774" i="1"/>
  <c r="M3772" i="1"/>
  <c r="M3770" i="1"/>
  <c r="M3771" i="1"/>
  <c r="M3403" i="1"/>
  <c r="M7519" i="1"/>
  <c r="M7518" i="1"/>
  <c r="M7517" i="1"/>
  <c r="M6154" i="1"/>
  <c r="M6153" i="1"/>
  <c r="M6152" i="1"/>
  <c r="M82" i="1"/>
  <c r="M81" i="1"/>
  <c r="M80" i="1"/>
  <c r="M79" i="1"/>
  <c r="M1711" i="1"/>
  <c r="M1710" i="1"/>
  <c r="M1709" i="1"/>
  <c r="M2736" i="1"/>
  <c r="M2735" i="1"/>
  <c r="M2734" i="1"/>
  <c r="M2733" i="1"/>
  <c r="M1090" i="1"/>
  <c r="M1089" i="1"/>
  <c r="M1088" i="1"/>
  <c r="M1087" i="1"/>
  <c r="M5985" i="1"/>
  <c r="M5984" i="1"/>
  <c r="M5983" i="1"/>
  <c r="M6253" i="1"/>
  <c r="M6252" i="1"/>
  <c r="M6251" i="1"/>
  <c r="M6250" i="1"/>
  <c r="M7983" i="1"/>
  <c r="M7982" i="1"/>
  <c r="M7981" i="1"/>
  <c r="M7980" i="1"/>
  <c r="M7754" i="1"/>
  <c r="M7753" i="1"/>
  <c r="M3693" i="1"/>
  <c r="M3694" i="1"/>
  <c r="M3691" i="1"/>
  <c r="M3692" i="1"/>
  <c r="M3690" i="1"/>
  <c r="M3689" i="1"/>
  <c r="M4379" i="1"/>
  <c r="M4378" i="1"/>
  <c r="M4376" i="1"/>
  <c r="M4377" i="1"/>
  <c r="M4375" i="1"/>
  <c r="M4374" i="1"/>
  <c r="M201" i="1"/>
  <c r="M199" i="1"/>
  <c r="M200" i="1"/>
  <c r="M198" i="1"/>
  <c r="M729" i="1"/>
  <c r="M728" i="1"/>
  <c r="M727" i="1"/>
  <c r="M7175" i="1"/>
  <c r="M7174" i="1"/>
  <c r="M957" i="1"/>
  <c r="M1482" i="1"/>
  <c r="M1481" i="1"/>
  <c r="M1480" i="1"/>
  <c r="M5390" i="1"/>
  <c r="M5389" i="1"/>
  <c r="M842" i="1"/>
  <c r="M841" i="1"/>
  <c r="M840" i="1"/>
  <c r="M7312" i="1"/>
  <c r="M7311" i="1"/>
  <c r="M7310" i="1"/>
  <c r="M7309" i="1"/>
  <c r="M6151" i="1"/>
  <c r="M7170" i="1"/>
  <c r="M4232" i="1"/>
  <c r="M6670" i="1"/>
  <c r="M7972" i="1"/>
  <c r="M118" i="1"/>
  <c r="M756" i="1"/>
  <c r="M5" i="1"/>
  <c r="M1479" i="1"/>
  <c r="M5388" i="1"/>
  <c r="M6150" i="1"/>
  <c r="M5715" i="1"/>
  <c r="M5714" i="1"/>
  <c r="M4230" i="1"/>
  <c r="M4229" i="1"/>
  <c r="M6669" i="1"/>
  <c r="M7971" i="1"/>
  <c r="M956" i="1"/>
  <c r="M2120" i="1"/>
  <c r="M6931" i="1"/>
  <c r="M6930" i="1"/>
  <c r="M2547" i="1"/>
  <c r="M2546" i="1"/>
  <c r="M2545" i="1"/>
  <c r="M5387" i="1"/>
  <c r="M5386" i="1"/>
  <c r="M839" i="1"/>
  <c r="M838" i="1"/>
  <c r="M837" i="1"/>
  <c r="M4820" i="1"/>
  <c r="M5840" i="1"/>
  <c r="M5839" i="1"/>
  <c r="M5838" i="1"/>
  <c r="M5194" i="1"/>
  <c r="M5193" i="1"/>
  <c r="M5192" i="1"/>
  <c r="M6149" i="1"/>
  <c r="M6148" i="1"/>
  <c r="M1652" i="1"/>
  <c r="M7169" i="1"/>
  <c r="M7168" i="1"/>
  <c r="M5713" i="1"/>
  <c r="M5711" i="1"/>
  <c r="M2952" i="1"/>
  <c r="M6668" i="1"/>
  <c r="M6667" i="1"/>
  <c r="M6666" i="1"/>
  <c r="M6665" i="1"/>
  <c r="M7969" i="1"/>
  <c r="M8123" i="1"/>
  <c r="M1918" i="1"/>
  <c r="M1917" i="1"/>
  <c r="M1217" i="1"/>
  <c r="M1428" i="1"/>
  <c r="M2119" i="1"/>
  <c r="M2544" i="1"/>
  <c r="M2543" i="1"/>
  <c r="M4819" i="1"/>
  <c r="M1651" i="1"/>
  <c r="M1650" i="1"/>
  <c r="M7167" i="1"/>
  <c r="M7166" i="1"/>
  <c r="M7165" i="1"/>
  <c r="M1213" i="1"/>
  <c r="M5710" i="1"/>
  <c r="M2951" i="1"/>
  <c r="M7968" i="1"/>
  <c r="M4349" i="1"/>
  <c r="M4348" i="1"/>
  <c r="M755" i="1"/>
  <c r="M1016" i="1"/>
  <c r="M955" i="1"/>
  <c r="M954" i="1"/>
  <c r="M2118" i="1"/>
  <c r="M4629" i="1"/>
  <c r="M4818" i="1"/>
  <c r="M1649" i="1"/>
  <c r="M7308" i="1"/>
  <c r="M5709" i="1"/>
  <c r="M5708" i="1"/>
  <c r="M2653" i="1"/>
  <c r="M4817" i="1"/>
  <c r="M1648" i="1"/>
  <c r="M7307" i="1"/>
  <c r="M5707" i="1"/>
  <c r="M234" i="1"/>
  <c r="M4628" i="1"/>
  <c r="M4627" i="1"/>
  <c r="M5385" i="1"/>
  <c r="M4816" i="1"/>
  <c r="M4815" i="1"/>
  <c r="M1647" i="1"/>
  <c r="M78" i="1"/>
  <c r="M7306" i="1"/>
  <c r="M7305" i="1"/>
  <c r="M5706" i="1"/>
  <c r="M1703" i="1"/>
  <c r="M1702" i="1"/>
  <c r="M1374" i="1"/>
  <c r="M1359" i="1"/>
  <c r="M2652" i="1"/>
  <c r="M2650" i="1"/>
  <c r="M2209" i="1" l="1"/>
  <c r="M3330" i="1"/>
  <c r="M5663" i="1"/>
  <c r="M534" i="1"/>
  <c r="M4780" i="1"/>
  <c r="M5155" i="1"/>
  <c r="M7616" i="1"/>
  <c r="M5701" i="1"/>
  <c r="M2353" i="1"/>
  <c r="M6381" i="1"/>
  <c r="M3544" i="1"/>
  <c r="M7815" i="1"/>
  <c r="M3213" i="1"/>
  <c r="M5498" i="1"/>
  <c r="M8275" i="1"/>
  <c r="M5655" i="1"/>
  <c r="M5700" i="1"/>
  <c r="M2430" i="1"/>
  <c r="M2026" i="1"/>
  <c r="M5268" i="1"/>
  <c r="M362" i="1"/>
  <c r="M6386" i="1"/>
  <c r="M7496" i="1"/>
  <c r="M8166" i="1"/>
  <c r="M5152" i="1"/>
  <c r="M5705" i="1"/>
  <c r="M8153" i="1"/>
  <c r="M4788" i="1"/>
  <c r="M6384" i="1"/>
  <c r="M6923" i="1"/>
  <c r="M6843" i="1"/>
  <c r="M8156" i="1"/>
  <c r="M1055" i="1"/>
  <c r="M6131" i="1"/>
  <c r="M2610" i="1"/>
  <c r="M6132" i="1"/>
  <c r="M2365" i="1"/>
  <c r="M2025" i="1"/>
  <c r="M366" i="1"/>
  <c r="M364" i="1"/>
  <c r="M7569" i="1"/>
  <c r="M5274" i="1"/>
  <c r="M6218" i="1"/>
  <c r="M3959" i="1"/>
  <c r="M7607" i="1"/>
  <c r="M1843" i="1"/>
  <c r="M1845" i="1"/>
  <c r="M170" i="1"/>
  <c r="M6217" i="1"/>
  <c r="M5816" i="1"/>
  <c r="M7555" i="1"/>
  <c r="M1844" i="1"/>
  <c r="M5653" i="1"/>
  <c r="M7304" i="1"/>
  <c r="M2237" i="1"/>
  <c r="M5499" i="1"/>
  <c r="I5375" i="1"/>
  <c r="M3017" i="1" s="1"/>
  <c r="M4625" i="1" l="1"/>
  <c r="M5383" i="1"/>
  <c r="M5654" i="1"/>
  <c r="M8274" i="1"/>
  <c r="M5497" i="1"/>
  <c r="M2236" i="1"/>
  <c r="M2538" i="1"/>
  <c r="M5267" i="1"/>
  <c r="M829" i="1"/>
  <c r="M2429" i="1"/>
  <c r="M3984" i="1"/>
  <c r="M1701" i="1"/>
  <c r="M6835" i="1"/>
  <c r="M1842" i="1"/>
  <c r="M2208" i="1"/>
  <c r="M2207" i="1"/>
  <c r="M7606" i="1"/>
  <c r="M5815" i="1"/>
  <c r="M5814" i="1"/>
  <c r="M1054" i="1"/>
  <c r="M169" i="1"/>
  <c r="M1361" i="1"/>
  <c r="M446" i="1"/>
  <c r="M2651" i="1"/>
  <c r="M6863" i="1"/>
  <c r="M6862" i="1"/>
  <c r="M7849" i="1"/>
  <c r="M4623" i="1"/>
  <c r="M2542" i="1"/>
  <c r="M3876" i="1"/>
  <c r="M5382" i="1"/>
  <c r="M5381" i="1"/>
  <c r="M6842" i="1"/>
  <c r="M6841" i="1"/>
  <c r="M8079" i="1"/>
  <c r="M8273" i="1"/>
  <c r="M8272" i="1"/>
  <c r="M2235" i="1"/>
  <c r="M2234" i="1"/>
  <c r="M2537" i="1"/>
  <c r="M5266" i="1"/>
  <c r="M5265" i="1"/>
  <c r="M2024" i="1"/>
  <c r="M2023" i="1"/>
  <c r="M828" i="1"/>
  <c r="M2428" i="1"/>
  <c r="M7303" i="1"/>
  <c r="M7302" i="1"/>
  <c r="M3983" i="1"/>
  <c r="M2950" i="1"/>
  <c r="M1700" i="1"/>
  <c r="M1699" i="1"/>
  <c r="M185" i="1"/>
  <c r="M6486" i="1"/>
  <c r="M704" i="1"/>
  <c r="M1841" i="1"/>
  <c r="M1840" i="1"/>
  <c r="M524" i="1"/>
  <c r="M4779" i="1"/>
  <c r="M4056" i="1"/>
  <c r="M7605" i="1"/>
  <c r="M7604" i="1"/>
  <c r="M7603" i="1"/>
  <c r="M5813" i="1"/>
  <c r="M3958" i="1"/>
  <c r="M7491" i="1"/>
  <c r="M1053" i="1"/>
  <c r="M3651" i="1"/>
  <c r="M168" i="1"/>
  <c r="M167" i="1"/>
  <c r="M166" i="1"/>
  <c r="M8151" i="1"/>
  <c r="M8150" i="1"/>
  <c r="M445" i="1"/>
  <c r="M1643" i="1"/>
  <c r="M7490" i="1"/>
  <c r="M6861" i="1"/>
  <c r="M6860" i="1"/>
  <c r="M6859" i="1"/>
  <c r="M6858" i="1"/>
  <c r="M6857" i="1"/>
  <c r="M6856" i="1"/>
  <c r="M6855" i="1"/>
  <c r="M6854" i="1"/>
  <c r="M4576" i="1"/>
  <c r="M4575" i="1"/>
  <c r="M4574" i="1"/>
  <c r="M4573" i="1"/>
  <c r="M4572" i="1"/>
  <c r="M6688" i="1"/>
  <c r="M6687" i="1"/>
  <c r="M6686" i="1"/>
  <c r="M7848" i="1"/>
  <c r="M7847" i="1"/>
  <c r="M5670" i="1"/>
  <c r="M5669" i="1"/>
  <c r="M5668" i="1"/>
  <c r="M5667" i="1"/>
  <c r="M5666" i="1"/>
  <c r="M5665" i="1"/>
  <c r="M8083" i="1"/>
  <c r="M8293" i="1"/>
  <c r="M8292" i="1"/>
  <c r="M8291" i="1"/>
  <c r="M8290" i="1"/>
  <c r="M8289" i="1"/>
  <c r="M8288" i="1"/>
  <c r="M8287" i="1"/>
  <c r="M3153" i="1"/>
  <c r="M3152" i="1"/>
  <c r="M3151" i="1"/>
  <c r="M3150" i="1"/>
  <c r="M3149" i="1"/>
  <c r="M3148" i="1"/>
  <c r="M3147" i="1"/>
  <c r="M3146" i="1"/>
  <c r="M3145" i="1"/>
  <c r="M1876" i="1"/>
  <c r="M1874" i="1"/>
  <c r="M3875" i="1"/>
  <c r="M3874" i="1"/>
  <c r="M3873" i="1"/>
  <c r="M3872" i="1"/>
  <c r="M3871" i="1"/>
  <c r="M3870" i="1"/>
  <c r="M3869" i="1"/>
  <c r="M2961" i="1"/>
  <c r="M2960" i="1"/>
  <c r="M2959" i="1"/>
  <c r="M2958" i="1"/>
  <c r="M2957" i="1"/>
  <c r="M2956" i="1"/>
  <c r="M2955" i="1"/>
  <c r="M2954" i="1"/>
  <c r="M1382" i="1"/>
  <c r="M1381" i="1"/>
  <c r="M5284" i="1"/>
  <c r="M5380" i="1"/>
  <c r="M5379" i="1"/>
  <c r="M5378" i="1"/>
  <c r="M5377" i="1"/>
  <c r="M5376" i="1"/>
  <c r="M2040" i="1"/>
  <c r="M2039" i="1"/>
  <c r="M2038" i="1"/>
  <c r="M2037" i="1"/>
  <c r="M2036" i="1"/>
  <c r="M2035" i="1"/>
  <c r="M2034" i="1"/>
  <c r="M4814" i="1"/>
  <c r="M6581" i="1"/>
  <c r="M6580" i="1"/>
  <c r="M6579" i="1"/>
  <c r="M6578" i="1"/>
  <c r="M6577" i="1"/>
  <c r="M6576" i="1"/>
  <c r="M6574" i="1"/>
  <c r="M5190" i="1"/>
  <c r="M5189" i="1"/>
  <c r="M5188" i="1"/>
  <c r="M5187" i="1"/>
  <c r="M5186" i="1"/>
  <c r="M5184" i="1"/>
  <c r="M5185" i="1"/>
  <c r="M5088" i="1"/>
  <c r="M5087" i="1"/>
  <c r="M5086" i="1"/>
  <c r="M5085" i="1"/>
  <c r="M5084" i="1"/>
  <c r="M75" i="1"/>
  <c r="M74" i="1"/>
  <c r="M1708" i="1"/>
  <c r="M1707" i="1"/>
  <c r="M1705" i="1"/>
  <c r="M1704" i="1"/>
  <c r="M2732" i="1"/>
  <c r="M2731" i="1"/>
  <c r="M2730" i="1"/>
  <c r="M2729" i="1"/>
  <c r="M2728" i="1"/>
  <c r="M2727" i="1"/>
  <c r="M2726" i="1"/>
  <c r="M1086" i="1"/>
  <c r="M7164" i="1"/>
  <c r="M953" i="1"/>
  <c r="M952" i="1"/>
  <c r="M951" i="1"/>
  <c r="M950" i="1"/>
  <c r="M949" i="1"/>
  <c r="M948" i="1"/>
  <c r="M947" i="1"/>
  <c r="M946" i="1"/>
  <c r="M945" i="1"/>
  <c r="M944" i="1"/>
  <c r="M6840" i="1"/>
  <c r="M6839" i="1"/>
  <c r="M6838" i="1"/>
  <c r="M6837" i="1"/>
  <c r="M6836" i="1"/>
  <c r="M191" i="1"/>
  <c r="M190" i="1"/>
  <c r="M189" i="1"/>
  <c r="M4571" i="1"/>
  <c r="M4570" i="1"/>
  <c r="M4569" i="1"/>
  <c r="M4568" i="1"/>
  <c r="M4567" i="1"/>
  <c r="M4566" i="1"/>
  <c r="M8078" i="1"/>
  <c r="M8077" i="1"/>
  <c r="M8076" i="1"/>
  <c r="M8075" i="1"/>
  <c r="M8074" i="1"/>
  <c r="M8073" i="1"/>
  <c r="M8072" i="1"/>
  <c r="M8071" i="1"/>
  <c r="M8070" i="1"/>
  <c r="M8069" i="1"/>
  <c r="M8068" i="1"/>
  <c r="M8067" i="1"/>
  <c r="M8271" i="1"/>
  <c r="M8270" i="1"/>
  <c r="M8269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5496" i="1"/>
  <c r="M5495" i="1"/>
  <c r="M5494" i="1"/>
  <c r="M5493" i="1"/>
  <c r="M5492" i="1"/>
  <c r="M5491" i="1"/>
  <c r="M5490" i="1"/>
  <c r="M5489" i="1"/>
  <c r="M5488" i="1"/>
  <c r="M5487" i="1"/>
  <c r="M5486" i="1"/>
  <c r="M5485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536" i="1"/>
  <c r="M2535" i="1"/>
  <c r="M2534" i="1"/>
  <c r="M2533" i="1"/>
  <c r="M2532" i="1"/>
  <c r="M2531" i="1"/>
  <c r="M3868" i="1"/>
  <c r="M3867" i="1"/>
  <c r="M3866" i="1"/>
  <c r="M3865" i="1"/>
  <c r="M3864" i="1"/>
  <c r="M3863" i="1"/>
  <c r="M3862" i="1"/>
  <c r="M3861" i="1"/>
  <c r="M3860" i="1"/>
  <c r="M3859" i="1"/>
  <c r="M3858" i="1"/>
  <c r="M5264" i="1"/>
  <c r="M5263" i="1"/>
  <c r="M5262" i="1"/>
  <c r="M5261" i="1"/>
  <c r="M6298" i="1"/>
  <c r="M6297" i="1"/>
  <c r="M1796" i="1"/>
  <c r="M1795" i="1"/>
  <c r="M1794" i="1"/>
  <c r="M1793" i="1"/>
  <c r="M1792" i="1"/>
  <c r="M1791" i="1"/>
  <c r="M2022" i="1"/>
  <c r="M2021" i="1"/>
  <c r="M2020" i="1"/>
  <c r="M2018" i="1"/>
  <c r="M2017" i="1"/>
  <c r="M2016" i="1"/>
  <c r="M2015" i="1"/>
  <c r="M2013" i="1"/>
  <c r="M2012" i="1"/>
  <c r="M2011" i="1"/>
  <c r="M7578" i="1"/>
  <c r="M7576" i="1"/>
  <c r="M7575" i="1"/>
  <c r="M2313" i="1"/>
  <c r="M2312" i="1"/>
  <c r="M2311" i="1"/>
  <c r="M2310" i="1"/>
  <c r="M827" i="1"/>
  <c r="M826" i="1"/>
  <c r="M825" i="1"/>
  <c r="M824" i="1"/>
  <c r="M823" i="1"/>
  <c r="M822" i="1"/>
  <c r="M821" i="1"/>
  <c r="M819" i="1"/>
  <c r="M818" i="1"/>
  <c r="M817" i="1"/>
  <c r="M816" i="1"/>
  <c r="M815" i="1"/>
  <c r="M814" i="1"/>
  <c r="M813" i="1"/>
  <c r="M2427" i="1"/>
  <c r="M3250" i="1"/>
  <c r="M3249" i="1"/>
  <c r="M3248" i="1"/>
  <c r="M3247" i="1"/>
  <c r="M3246" i="1"/>
  <c r="M3245" i="1"/>
  <c r="M3244" i="1"/>
  <c r="M3243" i="1"/>
  <c r="M3242" i="1"/>
  <c r="M3240" i="1"/>
  <c r="M3239" i="1"/>
  <c r="M3238" i="1"/>
  <c r="M3237" i="1"/>
  <c r="M3236" i="1"/>
  <c r="M3235" i="1"/>
  <c r="M7300" i="1"/>
  <c r="M7299" i="1"/>
  <c r="M7298" i="1"/>
  <c r="M7297" i="1"/>
  <c r="M7296" i="1"/>
  <c r="M7295" i="1"/>
  <c r="M5837" i="1"/>
  <c r="M5836" i="1"/>
  <c r="M5835" i="1"/>
  <c r="M3982" i="1"/>
  <c r="M3981" i="1"/>
  <c r="M3980" i="1"/>
  <c r="M3979" i="1"/>
  <c r="M3978" i="1"/>
  <c r="M3977" i="1"/>
  <c r="M3976" i="1"/>
  <c r="M3975" i="1"/>
  <c r="M3974" i="1"/>
  <c r="M3973" i="1"/>
  <c r="M3972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3393" i="1"/>
  <c r="M3392" i="1"/>
  <c r="M3391" i="1"/>
  <c r="M3390" i="1"/>
  <c r="M7512" i="1"/>
  <c r="M7511" i="1"/>
  <c r="M1698" i="1"/>
  <c r="M1697" i="1"/>
  <c r="M1696" i="1"/>
  <c r="M1695" i="1"/>
  <c r="M1694" i="1"/>
  <c r="M1693" i="1"/>
  <c r="M1692" i="1"/>
  <c r="M1691" i="1"/>
  <c r="M1690" i="1"/>
  <c r="M1689" i="1"/>
  <c r="M188" i="1"/>
  <c r="M187" i="1"/>
  <c r="M7967" i="1"/>
  <c r="M7966" i="1"/>
  <c r="M7965" i="1"/>
  <c r="M7964" i="1"/>
  <c r="M7963" i="1"/>
  <c r="M7962" i="1"/>
  <c r="M7961" i="1"/>
  <c r="M7958" i="1"/>
  <c r="M7957" i="1"/>
  <c r="M7956" i="1"/>
  <c r="M7744" i="1"/>
  <c r="M7743" i="1"/>
  <c r="M7741" i="1"/>
  <c r="M7740" i="1"/>
  <c r="M183" i="1"/>
  <c r="M182" i="1"/>
  <c r="M181" i="1"/>
  <c r="M180" i="1"/>
  <c r="M179" i="1"/>
  <c r="M710" i="1"/>
  <c r="M709" i="1"/>
  <c r="M708" i="1"/>
  <c r="M707" i="1"/>
  <c r="M706" i="1"/>
  <c r="M6832" i="1"/>
  <c r="M6831" i="1"/>
  <c r="M6829" i="1"/>
  <c r="M6828" i="1"/>
  <c r="M6827" i="1"/>
  <c r="M6826" i="1"/>
  <c r="M6825" i="1"/>
  <c r="M6485" i="1"/>
  <c r="M6484" i="1"/>
  <c r="M6483" i="1"/>
  <c r="M6482" i="1"/>
  <c r="M6481" i="1"/>
  <c r="M6480" i="1"/>
  <c r="M6479" i="1"/>
  <c r="M6478" i="1"/>
  <c r="M6477" i="1"/>
  <c r="M5652" i="1"/>
  <c r="M5651" i="1"/>
  <c r="M4353" i="1"/>
  <c r="M4352" i="1"/>
  <c r="M4351" i="1"/>
  <c r="M4350" i="1"/>
  <c r="M5650" i="1"/>
  <c r="M5649" i="1"/>
  <c r="M5648" i="1"/>
  <c r="M5647" i="1"/>
  <c r="M5646" i="1"/>
  <c r="M5645" i="1"/>
  <c r="M5644" i="1"/>
  <c r="M5643" i="1"/>
  <c r="M5642" i="1"/>
  <c r="M8266" i="1"/>
  <c r="M8265" i="1"/>
  <c r="M8264" i="1"/>
  <c r="M8263" i="1"/>
  <c r="M8262" i="1"/>
  <c r="M8261" i="1"/>
  <c r="M8260" i="1"/>
  <c r="M8259" i="1"/>
  <c r="M8258" i="1"/>
  <c r="M3125" i="1"/>
  <c r="M3124" i="1"/>
  <c r="M3123" i="1"/>
  <c r="M3122" i="1"/>
  <c r="M3121" i="1"/>
  <c r="M3120" i="1"/>
  <c r="M1839" i="1"/>
  <c r="M1838" i="1"/>
  <c r="M1837" i="1"/>
  <c r="M1836" i="1"/>
  <c r="M1835" i="1"/>
  <c r="M3856" i="1"/>
  <c r="M3855" i="1"/>
  <c r="M3854" i="1"/>
  <c r="M3853" i="1"/>
  <c r="M3852" i="1"/>
  <c r="M3851" i="1"/>
  <c r="M3850" i="1"/>
  <c r="M3849" i="1"/>
  <c r="M3848" i="1"/>
  <c r="M3847" i="1"/>
  <c r="M3846" i="1"/>
  <c r="M3845" i="1"/>
  <c r="M3844" i="1"/>
  <c r="M4929" i="1"/>
  <c r="M4928" i="1"/>
  <c r="M4927" i="1"/>
  <c r="M4926" i="1"/>
  <c r="M4925" i="1"/>
  <c r="M4924" i="1"/>
  <c r="M4923" i="1"/>
  <c r="M357" i="1"/>
  <c r="M356" i="1"/>
  <c r="M355" i="1"/>
  <c r="M354" i="1"/>
  <c r="M353" i="1"/>
  <c r="M352" i="1"/>
  <c r="M351" i="1"/>
  <c r="M350" i="1"/>
  <c r="M349" i="1"/>
  <c r="M348" i="1"/>
  <c r="M4131" i="1"/>
  <c r="M4130" i="1"/>
  <c r="M4129" i="1"/>
  <c r="M4128" i="1"/>
  <c r="M4127" i="1"/>
  <c r="M4126" i="1"/>
  <c r="M523" i="1"/>
  <c r="M522" i="1"/>
  <c r="M521" i="1"/>
  <c r="M520" i="1"/>
  <c r="M519" i="1"/>
  <c r="M1459" i="1"/>
  <c r="M1458" i="1"/>
  <c r="M1457" i="1"/>
  <c r="M1456" i="1"/>
  <c r="M1455" i="1"/>
  <c r="M1454" i="1"/>
  <c r="M1453" i="1"/>
  <c r="M1452" i="1"/>
  <c r="M1451" i="1"/>
  <c r="M4778" i="1"/>
  <c r="M4777" i="1"/>
  <c r="M4776" i="1"/>
  <c r="M4775" i="1"/>
  <c r="M4774" i="1"/>
  <c r="M4773" i="1"/>
  <c r="M4772" i="1"/>
  <c r="M4771" i="1"/>
  <c r="M4770" i="1"/>
  <c r="M2206" i="1"/>
  <c r="M2205" i="1"/>
  <c r="M2204" i="1"/>
  <c r="M2203" i="1"/>
  <c r="M1783" i="1"/>
  <c r="M1781" i="1"/>
  <c r="M1780" i="1"/>
  <c r="M1778" i="1"/>
  <c r="M1776" i="1"/>
  <c r="M1775" i="1"/>
  <c r="M1774" i="1"/>
  <c r="M1773" i="1"/>
  <c r="M7554" i="1"/>
  <c r="M7553" i="1"/>
  <c r="M7552" i="1"/>
  <c r="M7551" i="1"/>
  <c r="M7550" i="1"/>
  <c r="M4057" i="1"/>
  <c r="M2008" i="1"/>
  <c r="M2007" i="1"/>
  <c r="M2006" i="1"/>
  <c r="M2005" i="1"/>
  <c r="M2004" i="1"/>
  <c r="M2003" i="1"/>
  <c r="M2002" i="1"/>
  <c r="M2001" i="1"/>
  <c r="M2000" i="1"/>
  <c r="M1999" i="1"/>
  <c r="M4055" i="1"/>
  <c r="M4054" i="1"/>
  <c r="M4053" i="1"/>
  <c r="M4052" i="1"/>
  <c r="M4051" i="1"/>
  <c r="M4050" i="1"/>
  <c r="M4049" i="1"/>
  <c r="M4048" i="1"/>
  <c r="M4047" i="1"/>
  <c r="M1725" i="1"/>
  <c r="M171" i="1"/>
  <c r="M791" i="1"/>
  <c r="M1270" i="1"/>
  <c r="M1269" i="1"/>
  <c r="M1268" i="1"/>
  <c r="M1267" i="1"/>
  <c r="M1266" i="1"/>
  <c r="M1265" i="1"/>
  <c r="M1264" i="1"/>
  <c r="M1263" i="1"/>
  <c r="M1262" i="1"/>
  <c r="M1261" i="1"/>
  <c r="M7602" i="1"/>
  <c r="M7601" i="1"/>
  <c r="M7600" i="1"/>
  <c r="M7599" i="1"/>
  <c r="M7598" i="1"/>
  <c r="M7029" i="1"/>
  <c r="M7028" i="1"/>
  <c r="M7026" i="1"/>
  <c r="M7025" i="1"/>
  <c r="M7024" i="1"/>
  <c r="M7023" i="1"/>
  <c r="M7021" i="1"/>
  <c r="M7020" i="1"/>
  <c r="M7019" i="1"/>
  <c r="M7018" i="1"/>
  <c r="M7017" i="1"/>
  <c r="M7016" i="1"/>
  <c r="M7015" i="1"/>
  <c r="M5812" i="1"/>
  <c r="M5811" i="1"/>
  <c r="M5810" i="1"/>
  <c r="M5809" i="1"/>
  <c r="M5808" i="1"/>
  <c r="M3956" i="1"/>
  <c r="M3955" i="1"/>
  <c r="M3954" i="1"/>
  <c r="M3953" i="1"/>
  <c r="M3952" i="1"/>
  <c r="M3951" i="1"/>
  <c r="M3950" i="1"/>
  <c r="M3949" i="1"/>
  <c r="M4228" i="1"/>
  <c r="M4227" i="1"/>
  <c r="M4226" i="1"/>
  <c r="M4225" i="1"/>
  <c r="M4224" i="1"/>
  <c r="M4223" i="1"/>
  <c r="M4222" i="1"/>
  <c r="M4221" i="1"/>
  <c r="M3372" i="1"/>
  <c r="M7489" i="1"/>
  <c r="M7488" i="1"/>
  <c r="M7487" i="1"/>
  <c r="M2090" i="1"/>
  <c r="M452" i="1"/>
  <c r="M6092" i="1"/>
  <c r="M6091" i="1"/>
  <c r="M6090" i="1"/>
  <c r="M6089" i="1"/>
  <c r="M6088" i="1"/>
  <c r="M6087" i="1"/>
  <c r="M6086" i="1"/>
  <c r="M6085" i="1"/>
  <c r="M6084" i="1"/>
  <c r="M1052" i="1"/>
  <c r="M1051" i="1"/>
  <c r="M5956" i="1"/>
  <c r="M5955" i="1"/>
  <c r="M5954" i="1"/>
  <c r="M5953" i="1"/>
  <c r="M5952" i="1"/>
  <c r="M7955" i="1"/>
  <c r="M5257" i="1"/>
  <c r="M5256" i="1"/>
  <c r="M7954" i="1"/>
  <c r="M7953" i="1"/>
  <c r="M7952" i="1"/>
  <c r="M7951" i="1"/>
  <c r="M7950" i="1"/>
  <c r="M3650" i="1"/>
  <c r="M165" i="1"/>
  <c r="M164" i="1"/>
  <c r="M261" i="1"/>
  <c r="M260" i="1"/>
  <c r="M259" i="1"/>
  <c r="M258" i="1"/>
  <c r="M257" i="1"/>
  <c r="M703" i="1"/>
  <c r="M702" i="1"/>
  <c r="M701" i="1"/>
  <c r="M8161" i="1"/>
  <c r="M8160" i="1"/>
  <c r="M8149" i="1"/>
  <c r="M8148" i="1"/>
  <c r="M8147" i="1"/>
  <c r="M8146" i="1"/>
  <c r="M7145" i="1"/>
  <c r="M7144" i="1"/>
  <c r="M7143" i="1"/>
  <c r="M7142" i="1"/>
  <c r="M7141" i="1"/>
  <c r="M7140" i="1"/>
  <c r="M7139" i="1"/>
  <c r="M7138" i="1"/>
  <c r="M7137" i="1"/>
  <c r="M7136" i="1"/>
  <c r="M501" i="1"/>
  <c r="M499" i="1"/>
  <c r="M498" i="1"/>
  <c r="M497" i="1"/>
  <c r="M496" i="1"/>
  <c r="M495" i="1"/>
  <c r="M494" i="1"/>
  <c r="M493" i="1"/>
  <c r="M492" i="1"/>
  <c r="M491" i="1"/>
  <c r="M7120" i="1"/>
  <c r="M120" i="1"/>
  <c r="M1012" i="1"/>
  <c r="M124" i="1"/>
  <c r="M312" i="1"/>
  <c r="M898" i="1"/>
  <c r="M117" i="1"/>
  <c r="M239" i="1"/>
  <c r="M1123" i="1"/>
  <c r="M240" i="1"/>
  <c r="M1920" i="1"/>
  <c r="M1358" i="1"/>
  <c r="M754" i="1"/>
  <c r="M6685" i="1"/>
  <c r="M6684" i="1"/>
  <c r="M6683" i="1"/>
  <c r="M6682" i="1"/>
  <c r="M6681" i="1"/>
  <c r="M6680" i="1"/>
  <c r="M6679" i="1"/>
  <c r="M6678" i="1"/>
  <c r="M1591" i="1"/>
  <c r="M8082" i="1"/>
  <c r="M8081" i="1"/>
  <c r="M8080" i="1"/>
  <c r="M1873" i="1"/>
  <c r="M1872" i="1"/>
  <c r="M1871" i="1"/>
  <c r="M1870" i="1"/>
  <c r="M1869" i="1"/>
  <c r="M1868" i="1"/>
  <c r="M1867" i="1"/>
  <c r="M4668" i="1"/>
  <c r="M5511" i="1"/>
  <c r="M5510" i="1"/>
  <c r="M5509" i="1"/>
  <c r="M5508" i="1"/>
  <c r="M5507" i="1"/>
  <c r="M5505" i="1"/>
  <c r="M5504" i="1"/>
  <c r="M5503" i="1"/>
  <c r="M5502" i="1"/>
  <c r="M391" i="1"/>
  <c r="M390" i="1"/>
  <c r="M389" i="1"/>
  <c r="M388" i="1"/>
  <c r="M387" i="1"/>
  <c r="M4150" i="1"/>
  <c r="M5283" i="1"/>
  <c r="M5282" i="1"/>
  <c r="M5281" i="1"/>
  <c r="M5279" i="1"/>
  <c r="M5278" i="1"/>
  <c r="M6312" i="1"/>
  <c r="M6311" i="1"/>
  <c r="M6310" i="1"/>
  <c r="M6309" i="1"/>
  <c r="M6308" i="1"/>
  <c r="M6307" i="1"/>
  <c r="M6306" i="1"/>
  <c r="M6305" i="1"/>
  <c r="M6304" i="1"/>
  <c r="M6301" i="1"/>
  <c r="M2033" i="1"/>
  <c r="M2032" i="1"/>
  <c r="M2320" i="1"/>
  <c r="M2319" i="1"/>
  <c r="M2318" i="1"/>
  <c r="M2317" i="1"/>
  <c r="M2316" i="1"/>
  <c r="M2315" i="1"/>
  <c r="M1177" i="1"/>
  <c r="M1176" i="1"/>
  <c r="M1175" i="1"/>
  <c r="M1174" i="1"/>
  <c r="M1173" i="1"/>
  <c r="M1172" i="1"/>
  <c r="M1171" i="1"/>
  <c r="M6573" i="1"/>
  <c r="M6572" i="1"/>
  <c r="M1309" i="1"/>
  <c r="M1308" i="1"/>
  <c r="M1307" i="1"/>
  <c r="M1306" i="1"/>
  <c r="M1304" i="1"/>
  <c r="M2455" i="1"/>
  <c r="M2454" i="1"/>
  <c r="M2453" i="1"/>
  <c r="M2452" i="1"/>
  <c r="M2451" i="1"/>
  <c r="M2450" i="1"/>
  <c r="M2448" i="1"/>
  <c r="M2446" i="1"/>
  <c r="M2447" i="1"/>
  <c r="M3255" i="1"/>
  <c r="M3253" i="1"/>
  <c r="M3254" i="1"/>
  <c r="M3252" i="1"/>
  <c r="M5729" i="1"/>
  <c r="M5728" i="1"/>
  <c r="M5727" i="1"/>
  <c r="M5726" i="1"/>
  <c r="M5725" i="1"/>
  <c r="M5724" i="1"/>
  <c r="M5723" i="1"/>
  <c r="M5722" i="1"/>
  <c r="M3996" i="1"/>
  <c r="M3995" i="1"/>
  <c r="M3994" i="1"/>
  <c r="M3993" i="1"/>
  <c r="M3992" i="1"/>
  <c r="M3991" i="1"/>
  <c r="M3990" i="1"/>
  <c r="M3989" i="1"/>
  <c r="M3988" i="1"/>
  <c r="M1085" i="1"/>
  <c r="M1084" i="1"/>
  <c r="M1083" i="1"/>
  <c r="M1082" i="1"/>
  <c r="M1081" i="1"/>
  <c r="M1080" i="1"/>
  <c r="M1079" i="1"/>
  <c r="M5982" i="1"/>
  <c r="M5981" i="1"/>
  <c r="M5980" i="1"/>
  <c r="M6249" i="1"/>
  <c r="M6248" i="1"/>
  <c r="M5280" i="1"/>
  <c r="M7979" i="1"/>
  <c r="M7978" i="1"/>
  <c r="M7752" i="1"/>
  <c r="M7751" i="1"/>
  <c r="M7750" i="1"/>
  <c r="M7749" i="1"/>
  <c r="M7748" i="1"/>
  <c r="M943" i="1"/>
  <c r="M942" i="1"/>
  <c r="M941" i="1"/>
  <c r="M940" i="1"/>
  <c r="M939" i="1"/>
  <c r="M938" i="1"/>
  <c r="M937" i="1"/>
  <c r="M936" i="1"/>
  <c r="M935" i="1"/>
  <c r="M934" i="1"/>
  <c r="M933" i="1"/>
  <c r="M2314" i="1"/>
  <c r="M5580" i="1"/>
  <c r="M5579" i="1"/>
  <c r="M5578" i="1"/>
  <c r="M5577" i="1"/>
  <c r="M5576" i="1"/>
  <c r="M5575" i="1"/>
  <c r="M5574" i="1"/>
  <c r="M5573" i="1"/>
  <c r="M5572" i="1"/>
  <c r="M5571" i="1"/>
  <c r="M2649" i="1"/>
  <c r="M4565" i="1"/>
  <c r="M4564" i="1"/>
  <c r="M4563" i="1"/>
  <c r="M4562" i="1"/>
  <c r="M4561" i="1"/>
  <c r="M4560" i="1"/>
  <c r="M4559" i="1"/>
  <c r="M4558" i="1"/>
  <c r="M4557" i="1"/>
  <c r="M4556" i="1"/>
  <c r="M6677" i="1"/>
  <c r="M6676" i="1"/>
  <c r="M6675" i="1"/>
  <c r="M6674" i="1"/>
  <c r="M8066" i="1"/>
  <c r="M8065" i="1"/>
  <c r="M8064" i="1"/>
  <c r="M8063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3129" i="1"/>
  <c r="M3128" i="1"/>
  <c r="M3127" i="1"/>
  <c r="M3126" i="1"/>
  <c r="M1866" i="1"/>
  <c r="M1864" i="1"/>
  <c r="M1863" i="1"/>
  <c r="M1862" i="1"/>
  <c r="M1861" i="1"/>
  <c r="M1860" i="1"/>
  <c r="M1859" i="1"/>
  <c r="M1858" i="1"/>
  <c r="M1857" i="1"/>
  <c r="M1856" i="1"/>
  <c r="M1855" i="1"/>
  <c r="M1854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0" i="1"/>
  <c r="M2219" i="1"/>
  <c r="M2218" i="1"/>
  <c r="M2217" i="1"/>
  <c r="M6410" i="1"/>
  <c r="M6409" i="1"/>
  <c r="M6408" i="1"/>
  <c r="M6407" i="1"/>
  <c r="M6406" i="1"/>
  <c r="M6405" i="1"/>
  <c r="M6404" i="1"/>
  <c r="M6403" i="1"/>
  <c r="M3857" i="1"/>
  <c r="M5570" i="1"/>
  <c r="M4813" i="1"/>
  <c r="M4812" i="1"/>
  <c r="M4811" i="1"/>
  <c r="M4810" i="1"/>
  <c r="M4809" i="1"/>
  <c r="M4808" i="1"/>
  <c r="M4807" i="1"/>
  <c r="M4806" i="1"/>
  <c r="M4805" i="1"/>
  <c r="M4804" i="1"/>
  <c r="M4802" i="1"/>
  <c r="M4801" i="1"/>
  <c r="M4800" i="1"/>
  <c r="M4799" i="1"/>
  <c r="M1380" i="1"/>
  <c r="M1379" i="1"/>
  <c r="M1378" i="1"/>
  <c r="M4367" i="1"/>
  <c r="M1790" i="1"/>
  <c r="M1789" i="1"/>
  <c r="M1788" i="1"/>
  <c r="M1787" i="1"/>
  <c r="M1786" i="1"/>
  <c r="M1785" i="1"/>
  <c r="M1784" i="1"/>
  <c r="M276" i="1"/>
  <c r="M275" i="1"/>
  <c r="M274" i="1"/>
  <c r="M273" i="1"/>
  <c r="M272" i="1"/>
  <c r="M271" i="1"/>
  <c r="M270" i="1"/>
  <c r="M269" i="1"/>
  <c r="M268" i="1"/>
  <c r="M3464" i="1"/>
  <c r="M3463" i="1"/>
  <c r="M3462" i="1"/>
  <c r="M5375" i="1"/>
  <c r="M5374" i="1"/>
  <c r="M5373" i="1"/>
  <c r="M5372" i="1"/>
  <c r="M5371" i="1"/>
  <c r="M5370" i="1"/>
  <c r="M5369" i="1"/>
  <c r="M5368" i="1"/>
  <c r="M5367" i="1"/>
  <c r="M5366" i="1"/>
  <c r="M2309" i="1"/>
  <c r="M2308" i="1"/>
  <c r="M2307" i="1"/>
  <c r="M2010" i="1"/>
  <c r="M2009" i="1"/>
  <c r="M1167" i="1"/>
  <c r="M1166" i="1"/>
  <c r="M1164" i="1"/>
  <c r="M1163" i="1"/>
  <c r="M1161" i="1"/>
  <c r="M1160" i="1"/>
  <c r="M1159" i="1"/>
  <c r="M1158" i="1"/>
  <c r="M4070" i="1"/>
  <c r="M4069" i="1"/>
  <c r="M4068" i="1"/>
  <c r="M812" i="1"/>
  <c r="M811" i="1"/>
  <c r="M810" i="1"/>
  <c r="M809" i="1"/>
  <c r="M6571" i="1"/>
  <c r="M6570" i="1"/>
  <c r="M6569" i="1"/>
  <c r="M6568" i="1"/>
  <c r="M6567" i="1"/>
  <c r="M6566" i="1"/>
  <c r="M6565" i="1"/>
  <c r="M6564" i="1"/>
  <c r="M6563" i="1"/>
  <c r="M6562" i="1"/>
  <c r="M3986" i="1"/>
  <c r="M1302" i="1"/>
  <c r="M1301" i="1"/>
  <c r="M1300" i="1"/>
  <c r="M1299" i="1"/>
  <c r="M1298" i="1"/>
  <c r="M1297" i="1"/>
  <c r="M1296" i="1"/>
  <c r="M1295" i="1"/>
  <c r="M1294" i="1"/>
  <c r="M1293" i="1"/>
  <c r="M3234" i="1"/>
  <c r="M3233" i="1"/>
  <c r="M3232" i="1"/>
  <c r="M3231" i="1"/>
  <c r="M3230" i="1"/>
  <c r="M7637" i="1"/>
  <c r="M7636" i="1"/>
  <c r="M7635" i="1"/>
  <c r="M7634" i="1"/>
  <c r="M7633" i="1"/>
  <c r="M7632" i="1"/>
  <c r="M7631" i="1"/>
  <c r="M7630" i="1"/>
  <c r="M7629" i="1"/>
  <c r="M7628" i="1"/>
  <c r="M7627" i="1"/>
  <c r="M7626" i="1"/>
  <c r="M7625" i="1"/>
  <c r="M7624" i="1"/>
  <c r="M5834" i="1"/>
  <c r="M5833" i="1"/>
  <c r="M5832" i="1"/>
  <c r="M5831" i="1"/>
  <c r="M5830" i="1"/>
  <c r="M5829" i="1"/>
  <c r="M5828" i="1"/>
  <c r="M5827" i="1"/>
  <c r="M5826" i="1"/>
  <c r="M5825" i="1"/>
  <c r="M5824" i="1"/>
  <c r="M5823" i="1"/>
  <c r="M5822" i="1"/>
  <c r="M5821" i="1"/>
  <c r="M4798" i="1"/>
  <c r="M4797" i="1"/>
  <c r="M4796" i="1"/>
  <c r="M4795" i="1"/>
  <c r="M3971" i="1"/>
  <c r="M3970" i="1"/>
  <c r="M3969" i="1"/>
  <c r="M3968" i="1"/>
  <c r="M3967" i="1"/>
  <c r="M7089" i="1"/>
  <c r="M4247" i="1"/>
  <c r="M4246" i="1"/>
  <c r="M4245" i="1"/>
  <c r="M4244" i="1"/>
  <c r="M4243" i="1"/>
  <c r="M4242" i="1"/>
  <c r="M4241" i="1"/>
  <c r="M7510" i="1"/>
  <c r="M7509" i="1"/>
  <c r="M7508" i="1"/>
  <c r="M7507" i="1"/>
  <c r="M7505" i="1"/>
  <c r="M7504" i="1"/>
  <c r="M7503" i="1"/>
  <c r="M7502" i="1"/>
  <c r="M7501" i="1"/>
  <c r="M7500" i="1"/>
  <c r="M7499" i="1"/>
  <c r="M6147" i="1"/>
  <c r="M6146" i="1"/>
  <c r="M3389" i="1"/>
  <c r="M3388" i="1"/>
  <c r="M3387" i="1"/>
  <c r="M3386" i="1"/>
  <c r="M3385" i="1"/>
  <c r="M186" i="1"/>
  <c r="M1688" i="1"/>
  <c r="M2725" i="1"/>
  <c r="M2724" i="1"/>
  <c r="M2722" i="1"/>
  <c r="M2721" i="1"/>
  <c r="M2720" i="1"/>
  <c r="M2719" i="1"/>
  <c r="M2718" i="1"/>
  <c r="M2717" i="1"/>
  <c r="M2716" i="1"/>
  <c r="M7430" i="1"/>
  <c r="M7429" i="1"/>
  <c r="M7428" i="1"/>
  <c r="M5970" i="1"/>
  <c r="M5969" i="1"/>
  <c r="M5967" i="1"/>
  <c r="M5966" i="1"/>
  <c r="M5965" i="1"/>
  <c r="M5964" i="1"/>
  <c r="M5963" i="1"/>
  <c r="M5962" i="1"/>
  <c r="M5961" i="1"/>
  <c r="M5960" i="1"/>
  <c r="M5959" i="1"/>
  <c r="M5958" i="1"/>
  <c r="M5957" i="1"/>
  <c r="M6247" i="1"/>
  <c r="M6246" i="1"/>
  <c r="M6245" i="1"/>
  <c r="M7738" i="1"/>
  <c r="M7735" i="1"/>
  <c r="M7734" i="1"/>
  <c r="M7732" i="1"/>
  <c r="M7731" i="1"/>
  <c r="M3684" i="1"/>
  <c r="M3683" i="1"/>
  <c r="M705" i="1"/>
  <c r="M8164" i="1"/>
  <c r="M8163" i="1"/>
  <c r="M7163" i="1"/>
  <c r="M7162" i="1"/>
  <c r="M7161" i="1"/>
  <c r="M7160" i="1"/>
  <c r="M7159" i="1"/>
  <c r="M7157" i="1"/>
  <c r="M7156" i="1"/>
  <c r="M7155" i="1"/>
  <c r="M7154" i="1"/>
  <c r="M7153" i="1"/>
  <c r="M7152" i="1"/>
  <c r="M7151" i="1"/>
  <c r="M7149" i="1"/>
  <c r="M7148" i="1"/>
  <c r="M7147" i="1"/>
  <c r="M7146" i="1"/>
  <c r="M2306" i="1"/>
  <c r="M6824" i="1"/>
  <c r="M6823" i="1"/>
  <c r="M6822" i="1"/>
  <c r="M6821" i="1"/>
  <c r="M6820" i="1"/>
  <c r="M4555" i="1"/>
  <c r="M4554" i="1"/>
  <c r="M4553" i="1"/>
  <c r="M4552" i="1"/>
  <c r="M4551" i="1"/>
  <c r="M4550" i="1"/>
  <c r="M5641" i="1"/>
  <c r="M5640" i="1"/>
  <c r="M5639" i="1"/>
  <c r="M5638" i="1"/>
  <c r="M5637" i="1"/>
  <c r="M5636" i="1"/>
  <c r="M5635" i="1"/>
  <c r="M8062" i="1"/>
  <c r="M8061" i="1"/>
  <c r="M8060" i="1"/>
  <c r="M8059" i="1"/>
  <c r="M8058" i="1"/>
  <c r="M8057" i="1"/>
  <c r="M8056" i="1"/>
  <c r="M8055" i="1"/>
  <c r="M8054" i="1"/>
  <c r="M8053" i="1"/>
  <c r="M8052" i="1"/>
  <c r="M8051" i="1"/>
  <c r="M8050" i="1"/>
  <c r="M8049" i="1"/>
  <c r="M2843" i="1"/>
  <c r="M2842" i="1"/>
  <c r="M2841" i="1"/>
  <c r="M3119" i="1"/>
  <c r="M3118" i="1"/>
  <c r="M3117" i="1"/>
  <c r="M3116" i="1"/>
  <c r="M3115" i="1"/>
  <c r="M3114" i="1"/>
  <c r="M3112" i="1"/>
  <c r="M4922" i="1"/>
  <c r="M4921" i="1"/>
  <c r="M4920" i="1"/>
  <c r="M4918" i="1"/>
  <c r="M4917" i="1"/>
  <c r="M4916" i="1"/>
  <c r="M1460" i="1"/>
  <c r="M4914" i="1"/>
  <c r="M4913" i="1"/>
  <c r="M4912" i="1"/>
  <c r="M5484" i="1"/>
  <c r="M5483" i="1"/>
  <c r="M5482" i="1"/>
  <c r="M5481" i="1"/>
  <c r="M5480" i="1"/>
  <c r="M5479" i="1"/>
  <c r="M4125" i="1"/>
  <c r="M4124" i="1"/>
  <c r="M4123" i="1"/>
  <c r="M4122" i="1"/>
  <c r="M4121" i="1"/>
  <c r="M4120" i="1"/>
  <c r="M4119" i="1"/>
  <c r="M4118" i="1"/>
  <c r="M4117" i="1"/>
  <c r="M4116" i="1"/>
  <c r="M4115" i="1"/>
  <c r="M4114" i="1"/>
  <c r="M7371" i="1"/>
  <c r="M7370" i="1"/>
  <c r="M7369" i="1"/>
  <c r="M1450" i="1"/>
  <c r="M3460" i="1"/>
  <c r="M3459" i="1"/>
  <c r="M6917" i="1"/>
  <c r="M6916" i="1"/>
  <c r="M6914" i="1"/>
  <c r="M6913" i="1"/>
  <c r="M6912" i="1"/>
  <c r="M6910" i="1"/>
  <c r="M6909" i="1"/>
  <c r="M6908" i="1"/>
  <c r="M6907" i="1"/>
  <c r="M4769" i="1"/>
  <c r="M4768" i="1"/>
  <c r="M4767" i="1"/>
  <c r="M4766" i="1"/>
  <c r="M6140" i="1"/>
  <c r="M6139" i="1"/>
  <c r="M6138" i="1"/>
  <c r="M6137" i="1"/>
  <c r="M6136" i="1"/>
  <c r="M6134" i="1"/>
  <c r="M7909" i="1"/>
  <c r="M1772" i="1"/>
  <c r="M1771" i="1"/>
  <c r="M1770" i="1"/>
  <c r="M1769" i="1"/>
  <c r="M266" i="1"/>
  <c r="M265" i="1"/>
  <c r="M264" i="1"/>
  <c r="M263" i="1"/>
  <c r="M262" i="1"/>
  <c r="M6819" i="1"/>
  <c r="M6818" i="1"/>
  <c r="M6817" i="1"/>
  <c r="M1998" i="1"/>
  <c r="M1997" i="1"/>
  <c r="M1996" i="1"/>
  <c r="M1995" i="1"/>
  <c r="M1994" i="1"/>
  <c r="M1993" i="1"/>
  <c r="M1992" i="1"/>
  <c r="M1260" i="1"/>
  <c r="M1259" i="1"/>
  <c r="M1258" i="1"/>
  <c r="M1257" i="1"/>
  <c r="M1256" i="1"/>
  <c r="M1255" i="1"/>
  <c r="M1254" i="1"/>
  <c r="M1253" i="1"/>
  <c r="M2426" i="1"/>
  <c r="M4444" i="1"/>
  <c r="M4443" i="1"/>
  <c r="M4442" i="1"/>
  <c r="M4441" i="1"/>
  <c r="M4440" i="1"/>
  <c r="M4439" i="1"/>
  <c r="M4438" i="1"/>
  <c r="M4437" i="1"/>
  <c r="M4436" i="1"/>
  <c r="M4435" i="1"/>
  <c r="M4434" i="1"/>
  <c r="M7294" i="1"/>
  <c r="M7293" i="1"/>
  <c r="M7292" i="1"/>
  <c r="M7291" i="1"/>
  <c r="M7290" i="1"/>
  <c r="M7288" i="1"/>
  <c r="M7287" i="1"/>
  <c r="M7286" i="1"/>
  <c r="M7285" i="1"/>
  <c r="M7284" i="1"/>
  <c r="M7283" i="1"/>
  <c r="M7282" i="1"/>
  <c r="M58" i="1"/>
  <c r="M37" i="1"/>
  <c r="M5807" i="1"/>
  <c r="M5806" i="1"/>
  <c r="M6556" i="1"/>
  <c r="M6555" i="1"/>
  <c r="M6554" i="1"/>
  <c r="M6553" i="1"/>
  <c r="M6552" i="1"/>
  <c r="M6551" i="1"/>
  <c r="M6550" i="1"/>
  <c r="M6549" i="1"/>
  <c r="M6548" i="1"/>
  <c r="M6547" i="1"/>
  <c r="M6546" i="1"/>
  <c r="M6545" i="1"/>
  <c r="M6544" i="1"/>
  <c r="M6543" i="1"/>
  <c r="M5067" i="1"/>
  <c r="M5066" i="1"/>
  <c r="M5065" i="1"/>
  <c r="M5064" i="1"/>
  <c r="M4220" i="1"/>
  <c r="M4219" i="1"/>
  <c r="M4218" i="1"/>
  <c r="M4217" i="1"/>
  <c r="M4216" i="1"/>
  <c r="M4215" i="1"/>
  <c r="M4214" i="1"/>
  <c r="M4213" i="1"/>
  <c r="M4211" i="1"/>
  <c r="M2934" i="1"/>
  <c r="M2933" i="1"/>
  <c r="M2932" i="1"/>
  <c r="M2931" i="1"/>
  <c r="M2930" i="1"/>
  <c r="M2929" i="1"/>
  <c r="M2928" i="1"/>
  <c r="M2927" i="1"/>
  <c r="M3371" i="1"/>
  <c r="M6082" i="1"/>
  <c r="M6663" i="1"/>
  <c r="M6662" i="1"/>
  <c r="M6660" i="1"/>
  <c r="M6659" i="1"/>
  <c r="M6658" i="1"/>
  <c r="M6657" i="1"/>
  <c r="M6656" i="1"/>
  <c r="M6655" i="1"/>
  <c r="M6654" i="1"/>
  <c r="M6653" i="1"/>
  <c r="M6652" i="1"/>
  <c r="M6651" i="1"/>
  <c r="M6650" i="1"/>
  <c r="M6649" i="1"/>
  <c r="M1687" i="1"/>
  <c r="M1686" i="1"/>
  <c r="M1685" i="1"/>
  <c r="M1684" i="1"/>
  <c r="M1683" i="1"/>
  <c r="M1682" i="1"/>
  <c r="M1681" i="1"/>
  <c r="M1680" i="1"/>
  <c r="M7415" i="1"/>
  <c r="M7414" i="1"/>
  <c r="M7413" i="1"/>
  <c r="M5951" i="1"/>
  <c r="M5950" i="1"/>
  <c r="M5949" i="1"/>
  <c r="M5948" i="1"/>
  <c r="M5947" i="1"/>
  <c r="M5946" i="1"/>
  <c r="M5945" i="1"/>
  <c r="M7949" i="1"/>
  <c r="M7948" i="1"/>
  <c r="M7947" i="1"/>
  <c r="M7946" i="1"/>
  <c r="M7945" i="1"/>
  <c r="M7944" i="1"/>
  <c r="M7943" i="1"/>
  <c r="M7942" i="1"/>
  <c r="M7730" i="1"/>
  <c r="M7729" i="1"/>
  <c r="M7728" i="1"/>
  <c r="M7727" i="1"/>
  <c r="M7726" i="1"/>
  <c r="M8159" i="1"/>
  <c r="M490" i="1"/>
  <c r="M4" i="1"/>
  <c r="M1429" i="1"/>
  <c r="M757" i="1"/>
  <c r="M1801" i="1"/>
  <c r="M1800" i="1"/>
  <c r="M1009" i="1"/>
  <c r="M1010" i="1"/>
  <c r="M122" i="1"/>
  <c r="M1916" i="1"/>
  <c r="M1915" i="1"/>
  <c r="M1216" i="1"/>
  <c r="M1365" i="1"/>
  <c r="M1914" i="1"/>
  <c r="M1122" i="1"/>
  <c r="M1919" i="1"/>
  <c r="M1218" i="1"/>
  <c r="M1014" i="1"/>
  <c r="M1013" i="1"/>
  <c r="M125" i="1"/>
  <c r="M1798" i="1"/>
  <c r="M1007" i="1"/>
  <c r="M969" i="1"/>
  <c r="K489" i="1"/>
  <c r="K3328" i="1"/>
  <c r="K925" i="1"/>
  <c r="K924" i="1"/>
  <c r="K7358" i="1"/>
  <c r="K3065" i="1"/>
  <c r="K3064" i="1"/>
  <c r="M1586" i="1" s="1"/>
  <c r="K5566" i="1"/>
  <c r="K5565" i="1"/>
  <c r="K5564" i="1"/>
  <c r="K5563" i="1"/>
  <c r="M2862" i="1" s="1"/>
  <c r="K5562" i="1"/>
  <c r="K5561" i="1"/>
  <c r="K5560" i="1"/>
  <c r="K5559" i="1"/>
  <c r="M2859" i="1" s="1"/>
  <c r="K5558" i="1"/>
  <c r="K5557" i="1"/>
  <c r="K5556" i="1"/>
  <c r="K2606" i="1"/>
  <c r="K2605" i="1"/>
  <c r="K2604" i="1"/>
  <c r="K2603" i="1"/>
  <c r="K2602" i="1"/>
  <c r="K2601" i="1"/>
  <c r="K2600" i="1"/>
  <c r="K2599" i="1"/>
  <c r="K2598" i="1"/>
  <c r="M8181" i="1" s="1"/>
  <c r="K2597" i="1"/>
  <c r="M8180" i="1" s="1"/>
  <c r="K2596" i="1"/>
  <c r="M8179" i="1" s="1"/>
  <c r="K2595" i="1"/>
  <c r="K2594" i="1"/>
  <c r="M8177" i="1" s="1"/>
  <c r="K2593" i="1"/>
  <c r="M8176" i="1" s="1"/>
  <c r="K6814" i="1"/>
  <c r="K6813" i="1"/>
  <c r="K6812" i="1"/>
  <c r="K6811" i="1"/>
  <c r="K6810" i="1"/>
  <c r="K6809" i="1"/>
  <c r="K6808" i="1"/>
  <c r="K6807" i="1"/>
  <c r="K6806" i="1"/>
  <c r="K6805" i="1"/>
  <c r="M280" i="1" s="1"/>
  <c r="K6804" i="1"/>
  <c r="K6803" i="1"/>
  <c r="M278" i="1" s="1"/>
  <c r="K6802" i="1"/>
  <c r="K6801" i="1"/>
  <c r="K6800" i="1"/>
  <c r="M621" i="1" s="1"/>
  <c r="K6799" i="1"/>
  <c r="M620" i="1" s="1"/>
  <c r="K6798" i="1"/>
  <c r="K6797" i="1"/>
  <c r="M3491" i="1" s="1"/>
  <c r="K4540" i="1"/>
  <c r="K4539" i="1"/>
  <c r="K4538" i="1"/>
  <c r="K4537" i="1"/>
  <c r="M3584" i="1" s="1"/>
  <c r="K4536" i="1"/>
  <c r="M3583" i="1" s="1"/>
  <c r="K4535" i="1"/>
  <c r="K4534" i="1"/>
  <c r="M3581" i="1" s="1"/>
  <c r="K4533" i="1"/>
  <c r="K4532" i="1"/>
  <c r="K4531" i="1"/>
  <c r="M3578" i="1" s="1"/>
  <c r="K4530" i="1"/>
  <c r="K4529" i="1"/>
  <c r="K4528" i="1"/>
  <c r="K4527" i="1"/>
  <c r="M6987" i="1" s="1"/>
  <c r="K2352" i="1"/>
  <c r="M3251" i="1" s="1"/>
  <c r="K2351" i="1"/>
  <c r="M7643" i="1" s="1"/>
  <c r="K2350" i="1"/>
  <c r="M7642" i="1" s="1"/>
  <c r="K2349" i="1"/>
  <c r="M7641" i="1" s="1"/>
  <c r="K6469" i="1"/>
  <c r="K6468" i="1"/>
  <c r="K6467" i="1"/>
  <c r="K6466" i="1"/>
  <c r="M4254" i="1" s="1"/>
  <c r="K6465" i="1"/>
  <c r="K6464" i="1"/>
  <c r="K6463" i="1"/>
  <c r="K6462" i="1"/>
  <c r="K6461" i="1"/>
  <c r="K6460" i="1"/>
  <c r="M4248" i="1" s="1"/>
  <c r="K6459" i="1"/>
  <c r="K6458" i="1"/>
  <c r="K6457" i="1"/>
  <c r="K6456" i="1"/>
  <c r="M3766" i="1" s="1"/>
  <c r="K6455" i="1"/>
  <c r="M3765" i="1" s="1"/>
  <c r="K6454" i="1"/>
  <c r="K6453" i="1"/>
  <c r="M3763" i="1" s="1"/>
  <c r="K7806" i="1"/>
  <c r="K7805" i="1"/>
  <c r="K7804" i="1"/>
  <c r="K7803" i="1"/>
  <c r="M7745" i="1" s="1"/>
  <c r="K7802" i="1"/>
  <c r="M3688" i="1" s="1"/>
  <c r="K7801" i="1"/>
  <c r="M3687" i="1" s="1"/>
  <c r="K7800" i="1"/>
  <c r="K7799" i="1"/>
  <c r="K7798" i="1"/>
  <c r="M4373" i="1" s="1"/>
  <c r="K7797" i="1"/>
  <c r="M4372" i="1" s="1"/>
  <c r="K7796" i="1"/>
  <c r="K7795" i="1"/>
  <c r="M4370" i="1" s="1"/>
  <c r="K7794" i="1"/>
  <c r="M4369" i="1" s="1"/>
  <c r="K7793" i="1"/>
  <c r="K7792" i="1"/>
  <c r="M197" i="1" s="1"/>
  <c r="K7791" i="1"/>
  <c r="M196" i="1" s="1"/>
  <c r="K3104" i="1"/>
  <c r="K3103" i="1"/>
  <c r="M194" i="1" s="1"/>
  <c r="K3102" i="1"/>
  <c r="M193" i="1" s="1"/>
  <c r="K5634" i="1"/>
  <c r="K5633" i="1"/>
  <c r="K5632" i="1"/>
  <c r="K5631" i="1"/>
  <c r="M2645" i="1" s="1"/>
  <c r="K5630" i="1"/>
  <c r="M2644" i="1" s="1"/>
  <c r="K5629" i="1"/>
  <c r="K5628" i="1"/>
  <c r="M2642" i="1" s="1"/>
  <c r="K5627" i="1"/>
  <c r="M2641" i="1" s="1"/>
  <c r="K5626" i="1"/>
  <c r="K5625" i="1"/>
  <c r="K5624" i="1"/>
  <c r="M2638" i="1" s="1"/>
  <c r="K5623" i="1"/>
  <c r="M2637" i="1" s="1"/>
  <c r="K5622" i="1"/>
  <c r="M2636" i="1" s="1"/>
  <c r="K5621" i="1"/>
  <c r="M2635" i="1" s="1"/>
  <c r="K8048" i="1"/>
  <c r="M2379" i="1" s="1"/>
  <c r="K8047" i="1"/>
  <c r="M2378" i="1" s="1"/>
  <c r="K8046" i="1"/>
  <c r="K8045" i="1"/>
  <c r="K8044" i="1"/>
  <c r="K8043" i="1"/>
  <c r="K8042" i="1"/>
  <c r="M1579" i="1" s="1"/>
  <c r="K8041" i="1"/>
  <c r="K8040" i="1"/>
  <c r="M1577" i="1" s="1"/>
  <c r="K8039" i="1"/>
  <c r="K8038" i="1"/>
  <c r="M1575" i="1" s="1"/>
  <c r="K8037" i="1"/>
  <c r="K8036" i="1"/>
  <c r="K8035" i="1"/>
  <c r="M1572" i="1" s="1"/>
  <c r="K8034" i="1"/>
  <c r="M1571" i="1" s="1"/>
  <c r="K2826" i="1"/>
  <c r="K2825" i="1"/>
  <c r="K2824" i="1"/>
  <c r="K2823" i="1"/>
  <c r="K2822" i="1"/>
  <c r="K2821" i="1"/>
  <c r="K2820" i="1"/>
  <c r="K2819" i="1"/>
  <c r="K2818" i="1"/>
  <c r="M2111" i="1" s="1"/>
  <c r="K2817" i="1"/>
  <c r="K2816" i="1"/>
  <c r="M2109" i="1" s="1"/>
  <c r="K2815" i="1"/>
  <c r="K2814" i="1"/>
  <c r="M2107" i="1" s="1"/>
  <c r="K2808" i="1"/>
  <c r="K2813" i="1"/>
  <c r="K2812" i="1"/>
  <c r="K2811" i="1"/>
  <c r="M2103" i="1" s="1"/>
  <c r="K2810" i="1"/>
  <c r="M2102" i="1" s="1"/>
  <c r="K2809" i="1"/>
  <c r="M2101" i="1" s="1"/>
  <c r="K3747" i="1"/>
  <c r="K3746" i="1"/>
  <c r="K3745" i="1"/>
  <c r="K3744" i="1"/>
  <c r="K3743" i="1"/>
  <c r="K3742" i="1"/>
  <c r="K3741" i="1"/>
  <c r="K3740" i="1"/>
  <c r="K3739" i="1"/>
  <c r="M546" i="1" s="1"/>
  <c r="K1542" i="1"/>
  <c r="M369" i="1" s="1"/>
  <c r="K1541" i="1"/>
  <c r="M368" i="1" s="1"/>
  <c r="K1540" i="1"/>
  <c r="K1539" i="1"/>
  <c r="M4144" i="1" s="1"/>
  <c r="K1538" i="1"/>
  <c r="K1537" i="1"/>
  <c r="M4142" i="1" s="1"/>
  <c r="K1536" i="1"/>
  <c r="K1535" i="1"/>
  <c r="M4140" i="1" s="1"/>
  <c r="K1534" i="1"/>
  <c r="M4139" i="1" s="1"/>
  <c r="K1533" i="1"/>
  <c r="K1532" i="1"/>
  <c r="K8257" i="1"/>
  <c r="K8256" i="1"/>
  <c r="K8255" i="1"/>
  <c r="M6400" i="1" s="1"/>
  <c r="K8254" i="1"/>
  <c r="K8253" i="1"/>
  <c r="K8252" i="1"/>
  <c r="M6397" i="1" s="1"/>
  <c r="K8251" i="1"/>
  <c r="K8250" i="1"/>
  <c r="K8249" i="1"/>
  <c r="K8248" i="1"/>
  <c r="K8247" i="1"/>
  <c r="M1475" i="1" s="1"/>
  <c r="K8246" i="1"/>
  <c r="K8245" i="1"/>
  <c r="M1473" i="1" s="1"/>
  <c r="K8244" i="1"/>
  <c r="K8243" i="1"/>
  <c r="K8242" i="1"/>
  <c r="K8241" i="1"/>
  <c r="K8240" i="1"/>
  <c r="M1468" i="1" s="1"/>
  <c r="K8239" i="1"/>
  <c r="M1467" i="1" s="1"/>
  <c r="K3101" i="1"/>
  <c r="M4366" i="1" s="1"/>
  <c r="K3100" i="1"/>
  <c r="M4365" i="1" s="1"/>
  <c r="K3099" i="1"/>
  <c r="M4364" i="1" s="1"/>
  <c r="K3098" i="1"/>
  <c r="K3097" i="1"/>
  <c r="K3096" i="1"/>
  <c r="K3095" i="1"/>
  <c r="K3094" i="1"/>
  <c r="K3093" i="1"/>
  <c r="K3092" i="1"/>
  <c r="K3091" i="1"/>
  <c r="K3090" i="1"/>
  <c r="M5183" i="1" s="1"/>
  <c r="K3089" i="1"/>
  <c r="M5182" i="1" s="1"/>
  <c r="K3088" i="1"/>
  <c r="M5181" i="1" s="1"/>
  <c r="K1252" i="1"/>
  <c r="K1251" i="1"/>
  <c r="M5179" i="1" s="1"/>
  <c r="K1250" i="1"/>
  <c r="M5178" i="1" s="1"/>
  <c r="K1249" i="1"/>
  <c r="K1248" i="1"/>
  <c r="M5176" i="1" s="1"/>
  <c r="K1247" i="1"/>
  <c r="M5175" i="1" s="1"/>
  <c r="K1834" i="1"/>
  <c r="K1833" i="1"/>
  <c r="K1832" i="1"/>
  <c r="K1831" i="1"/>
  <c r="K1830" i="1"/>
  <c r="K1829" i="1"/>
  <c r="K1828" i="1"/>
  <c r="M613" i="1" s="1"/>
  <c r="K3063" i="1"/>
  <c r="K3062" i="1"/>
  <c r="M611" i="1" s="1"/>
  <c r="K3061" i="1"/>
  <c r="K3060" i="1"/>
  <c r="K3059" i="1"/>
  <c r="K3058" i="1"/>
  <c r="M607" i="1" s="1"/>
  <c r="K5686" i="1"/>
  <c r="M5365" i="1" s="1"/>
  <c r="K1210" i="1"/>
  <c r="K1209" i="1"/>
  <c r="K7790" i="1"/>
  <c r="K4911" i="1"/>
  <c r="K4910" i="1"/>
  <c r="K4909" i="1"/>
  <c r="K4908" i="1"/>
  <c r="K4907" i="1"/>
  <c r="K4906" i="1"/>
  <c r="M2497" i="1" s="1"/>
  <c r="K4905" i="1"/>
  <c r="K4904" i="1"/>
  <c r="M3573" i="1" s="1"/>
  <c r="K4903" i="1"/>
  <c r="K4902" i="1"/>
  <c r="K4901" i="1"/>
  <c r="K4900" i="1"/>
  <c r="K4899" i="1"/>
  <c r="K4898" i="1"/>
  <c r="M3567" i="1" s="1"/>
  <c r="K4897" i="1"/>
  <c r="K4896" i="1"/>
  <c r="M3565" i="1" s="1"/>
  <c r="K4895" i="1"/>
  <c r="K4894" i="1"/>
  <c r="M3563" i="1" s="1"/>
  <c r="K4893" i="1"/>
  <c r="K4892" i="1"/>
  <c r="M3561" i="1" s="1"/>
  <c r="K4891" i="1"/>
  <c r="K4890" i="1"/>
  <c r="M3559" i="1" s="1"/>
  <c r="K4889" i="1"/>
  <c r="M3558" i="1" s="1"/>
  <c r="K4888" i="1"/>
  <c r="K4887" i="1"/>
  <c r="M3039" i="1" s="1"/>
  <c r="K4886" i="1"/>
  <c r="K4885" i="1"/>
  <c r="K4884" i="1"/>
  <c r="M3037" i="1" s="1"/>
  <c r="K4883" i="1"/>
  <c r="K4882" i="1"/>
  <c r="M3035" i="1" s="1"/>
  <c r="K5458" i="1"/>
  <c r="K5457" i="1"/>
  <c r="K5456" i="1"/>
  <c r="K5455" i="1"/>
  <c r="K5454" i="1"/>
  <c r="K5453" i="1"/>
  <c r="K5452" i="1"/>
  <c r="K5451" i="1"/>
  <c r="K5450" i="1"/>
  <c r="M1284" i="1" s="1"/>
  <c r="K5449" i="1"/>
  <c r="M1283" i="1" s="1"/>
  <c r="K5448" i="1"/>
  <c r="K5447" i="1"/>
  <c r="M1281" i="1" s="1"/>
  <c r="K5446" i="1"/>
  <c r="K5445" i="1"/>
  <c r="K5444" i="1"/>
  <c r="M1278" i="1" s="1"/>
  <c r="K5443" i="1"/>
  <c r="K5442" i="1"/>
  <c r="M1276" i="1" s="1"/>
  <c r="K347" i="1"/>
  <c r="K346" i="1"/>
  <c r="K345" i="1"/>
  <c r="K344" i="1"/>
  <c r="K343" i="1"/>
  <c r="K342" i="1"/>
  <c r="K341" i="1"/>
  <c r="K340" i="1"/>
  <c r="K339" i="1"/>
  <c r="K338" i="1"/>
  <c r="K337" i="1"/>
  <c r="M7044" i="1" s="1"/>
  <c r="K336" i="1"/>
  <c r="K335" i="1"/>
  <c r="K334" i="1"/>
  <c r="M7041" i="1" s="1"/>
  <c r="K333" i="1"/>
  <c r="K332" i="1"/>
  <c r="K331" i="1"/>
  <c r="M7038" i="1" s="1"/>
  <c r="K330" i="1"/>
  <c r="K4113" i="1"/>
  <c r="K4112" i="1"/>
  <c r="K4111" i="1"/>
  <c r="K4110" i="1"/>
  <c r="M4791" i="1" s="1"/>
  <c r="K4109" i="1"/>
  <c r="K4108" i="1"/>
  <c r="K4107" i="1"/>
  <c r="K4106" i="1"/>
  <c r="M6560" i="1" s="1"/>
  <c r="K4105" i="1"/>
  <c r="M6559" i="1" s="1"/>
  <c r="K4104" i="1"/>
  <c r="K4103" i="1"/>
  <c r="M6557" i="1" s="1"/>
  <c r="K4102" i="1"/>
  <c r="K4101" i="1"/>
  <c r="K4100" i="1"/>
  <c r="M5081" i="1" s="1"/>
  <c r="K4099" i="1"/>
  <c r="M5080" i="1" s="1"/>
  <c r="K7357" i="1"/>
  <c r="K7356" i="1"/>
  <c r="K7355" i="1"/>
  <c r="K7354" i="1"/>
  <c r="K7353" i="1"/>
  <c r="K7352" i="1"/>
  <c r="K7351" i="1"/>
  <c r="K7350" i="1"/>
  <c r="K790" i="1"/>
  <c r="K789" i="1"/>
  <c r="M3383" i="1" s="1"/>
  <c r="K788" i="1"/>
  <c r="K787" i="1"/>
  <c r="M4355" i="1" s="1"/>
  <c r="K786" i="1"/>
  <c r="M4354" i="1" s="1"/>
  <c r="K785" i="1"/>
  <c r="K784" i="1"/>
  <c r="M460" i="1" s="1"/>
  <c r="K783" i="1"/>
  <c r="K782" i="1"/>
  <c r="K781" i="1"/>
  <c r="K780" i="1"/>
  <c r="K779" i="1"/>
  <c r="M455" i="1" s="1"/>
  <c r="K778" i="1"/>
  <c r="K777" i="1"/>
  <c r="M453" i="1" s="1"/>
  <c r="K776" i="1"/>
  <c r="K775" i="1"/>
  <c r="M72" i="1" s="1"/>
  <c r="K774" i="1"/>
  <c r="K6380" i="1"/>
  <c r="M7427" i="1" s="1"/>
  <c r="K6379" i="1"/>
  <c r="K6378" i="1"/>
  <c r="M7425" i="1" s="1"/>
  <c r="K6377" i="1"/>
  <c r="K6376" i="1"/>
  <c r="M1078" i="1" s="1"/>
  <c r="K6375" i="1"/>
  <c r="K6374" i="1"/>
  <c r="K6373" i="1"/>
  <c r="M1075" i="1" s="1"/>
  <c r="K6372" i="1"/>
  <c r="K6371" i="1"/>
  <c r="M1073" i="1" s="1"/>
  <c r="K6370" i="1"/>
  <c r="M1072" i="1" s="1"/>
  <c r="K518" i="1"/>
  <c r="M6244" i="1" s="1"/>
  <c r="K517" i="1"/>
  <c r="M6243" i="1" s="1"/>
  <c r="K516" i="1"/>
  <c r="M6242" i="1" s="1"/>
  <c r="K515" i="1"/>
  <c r="M6241" i="1" s="1"/>
  <c r="K514" i="1"/>
  <c r="K513" i="1"/>
  <c r="K512" i="1"/>
  <c r="K511" i="1"/>
  <c r="K510" i="1"/>
  <c r="K509" i="1"/>
  <c r="M6235" i="1" s="1"/>
  <c r="K508" i="1"/>
  <c r="M7977" i="1" s="1"/>
  <c r="K507" i="1"/>
  <c r="M7976" i="1" s="1"/>
  <c r="K1449" i="1"/>
  <c r="M3682" i="1" s="1"/>
  <c r="K1448" i="1"/>
  <c r="M3681" i="1" s="1"/>
  <c r="K1447" i="1"/>
  <c r="M3680" i="1" s="1"/>
  <c r="K1446" i="1"/>
  <c r="M3679" i="1" s="1"/>
  <c r="K1445" i="1"/>
  <c r="K1444" i="1"/>
  <c r="K1443" i="1"/>
  <c r="M3676" i="1" s="1"/>
  <c r="K1442" i="1"/>
  <c r="K1441" i="1"/>
  <c r="M3674" i="1" s="1"/>
  <c r="K1440" i="1"/>
  <c r="K6897" i="1"/>
  <c r="K6896" i="1"/>
  <c r="K6895" i="1"/>
  <c r="K6894" i="1"/>
  <c r="M930" i="1" s="1"/>
  <c r="K6893" i="1"/>
  <c r="M929" i="1" s="1"/>
  <c r="K6892" i="1"/>
  <c r="K6891" i="1"/>
  <c r="K3087" i="1"/>
  <c r="K3086" i="1"/>
  <c r="M5569" i="1" s="1"/>
  <c r="K3085" i="1"/>
  <c r="M5568" i="1" s="1"/>
  <c r="K6890" i="1"/>
  <c r="K6889" i="1"/>
  <c r="M2626" i="1" s="1"/>
  <c r="K2519" i="1"/>
  <c r="K2518" i="1"/>
  <c r="K2517" i="1"/>
  <c r="K2516" i="1"/>
  <c r="K2515" i="1"/>
  <c r="M4545" i="1" s="1"/>
  <c r="K2514" i="1"/>
  <c r="K2513" i="1"/>
  <c r="M4543" i="1" s="1"/>
  <c r="K2512" i="1"/>
  <c r="M4542" i="1" s="1"/>
  <c r="K2511" i="1"/>
  <c r="M4541" i="1" s="1"/>
  <c r="K2510" i="1"/>
  <c r="M2374" i="1" s="1"/>
  <c r="K3843" i="1"/>
  <c r="M6476" i="1" s="1"/>
  <c r="K3842" i="1"/>
  <c r="K3841" i="1"/>
  <c r="M6474" i="1" s="1"/>
  <c r="K3840" i="1"/>
  <c r="K3839" i="1"/>
  <c r="K3838" i="1"/>
  <c r="M6471" i="1" s="1"/>
  <c r="K3837" i="1"/>
  <c r="M6470" i="1" s="1"/>
  <c r="K3836" i="1"/>
  <c r="K3835" i="1"/>
  <c r="M7828" i="1" s="1"/>
  <c r="K3834" i="1"/>
  <c r="M7827" i="1" s="1"/>
  <c r="K4763" i="1"/>
  <c r="K4762" i="1"/>
  <c r="K4761" i="1"/>
  <c r="M2838" i="1" s="1"/>
  <c r="K4760" i="1"/>
  <c r="K4759" i="1"/>
  <c r="K4758" i="1"/>
  <c r="K4757" i="1"/>
  <c r="K4756" i="1"/>
  <c r="K4755" i="1"/>
  <c r="K4754" i="1"/>
  <c r="K4753" i="1"/>
  <c r="K4752" i="1"/>
  <c r="M2829" i="1" s="1"/>
  <c r="K4751" i="1"/>
  <c r="K4750" i="1"/>
  <c r="M2827" i="1" s="1"/>
  <c r="K4749" i="1"/>
  <c r="M2095" i="1" s="1"/>
  <c r="K4748" i="1"/>
  <c r="M2094" i="1" s="1"/>
  <c r="K4747" i="1"/>
  <c r="M2093" i="1" s="1"/>
  <c r="K4746" i="1"/>
  <c r="M2092" i="1" s="1"/>
  <c r="K7907" i="1"/>
  <c r="M3111" i="1" s="1"/>
  <c r="K7906" i="1"/>
  <c r="M3110" i="1" s="1"/>
  <c r="K7905" i="1"/>
  <c r="M3109" i="1" s="1"/>
  <c r="K7904" i="1"/>
  <c r="M3108" i="1" s="1"/>
  <c r="K5134" i="1"/>
  <c r="M5134" i="1" s="1"/>
  <c r="K5133" i="1"/>
  <c r="K5132" i="1"/>
  <c r="M5132" i="1" s="1"/>
  <c r="K1138" i="1"/>
  <c r="M5475" i="1" s="1"/>
  <c r="K1137" i="1"/>
  <c r="K1136" i="1"/>
  <c r="M5473" i="1" s="1"/>
  <c r="K1135" i="1"/>
  <c r="M5472" i="1" s="1"/>
  <c r="K2202" i="1"/>
  <c r="K2201" i="1"/>
  <c r="K2200" i="1"/>
  <c r="M7366" i="1" s="1"/>
  <c r="K2199" i="1"/>
  <c r="K2198" i="1"/>
  <c r="M7364" i="1" s="1"/>
  <c r="K2197" i="1"/>
  <c r="M7363" i="1" s="1"/>
  <c r="K2196" i="1"/>
  <c r="K2195" i="1"/>
  <c r="K2194" i="1"/>
  <c r="K2193" i="1"/>
  <c r="K2192" i="1"/>
  <c r="M2216" i="1" s="1"/>
  <c r="K2191" i="1"/>
  <c r="M2215" i="1" s="1"/>
  <c r="K2190" i="1"/>
  <c r="M808" i="1" s="1"/>
  <c r="K2189" i="1"/>
  <c r="M807" i="1" s="1"/>
  <c r="K2188" i="1"/>
  <c r="K2187" i="1"/>
  <c r="M805" i="1" s="1"/>
  <c r="K2186" i="1"/>
  <c r="K2185" i="1"/>
  <c r="M803" i="1" s="1"/>
  <c r="K2184" i="1"/>
  <c r="K2183" i="1"/>
  <c r="K1768" i="1"/>
  <c r="K1767" i="1"/>
  <c r="K1766" i="1"/>
  <c r="K1765" i="1"/>
  <c r="K1827" i="1"/>
  <c r="M6902" i="1" s="1"/>
  <c r="K1826" i="1"/>
  <c r="K1825" i="1"/>
  <c r="K1824" i="1"/>
  <c r="K1823" i="1"/>
  <c r="K7014" i="1"/>
  <c r="K7013" i="1"/>
  <c r="K7012" i="1"/>
  <c r="M5146" i="1" s="1"/>
  <c r="K7011" i="1"/>
  <c r="K7010" i="1"/>
  <c r="M5144" i="1" s="1"/>
  <c r="K7009" i="1"/>
  <c r="K7008" i="1"/>
  <c r="K7007" i="1"/>
  <c r="M5141" i="1" s="1"/>
  <c r="K7006" i="1"/>
  <c r="M5140" i="1" s="1"/>
  <c r="K586" i="1"/>
  <c r="K585" i="1"/>
  <c r="K584" i="1"/>
  <c r="K583" i="1"/>
  <c r="K582" i="1"/>
  <c r="K581" i="1"/>
  <c r="K580" i="1"/>
  <c r="M596" i="1" s="1"/>
  <c r="K579" i="1"/>
  <c r="K578" i="1"/>
  <c r="K577" i="1"/>
  <c r="K576" i="1"/>
  <c r="M592" i="1" s="1"/>
  <c r="K575" i="1"/>
  <c r="K574" i="1"/>
  <c r="M590" i="1" s="1"/>
  <c r="K573" i="1"/>
  <c r="K163" i="1"/>
  <c r="K162" i="1"/>
  <c r="K161" i="1"/>
  <c r="K160" i="1"/>
  <c r="K159" i="1"/>
  <c r="K158" i="1"/>
  <c r="M1154" i="1" s="1"/>
  <c r="K157" i="1"/>
  <c r="M1153" i="1" s="1"/>
  <c r="K156" i="1"/>
  <c r="K155" i="1"/>
  <c r="K154" i="1"/>
  <c r="M1150" i="1" s="1"/>
  <c r="K153" i="1"/>
  <c r="M1149" i="1" s="1"/>
  <c r="K152" i="1"/>
  <c r="K151" i="1"/>
  <c r="M1147" i="1" s="1"/>
  <c r="K150" i="1"/>
  <c r="M1146" i="1" s="1"/>
  <c r="K149" i="1"/>
  <c r="M1145" i="1" s="1"/>
  <c r="K148" i="1"/>
  <c r="K147" i="1"/>
  <c r="M1143" i="1" s="1"/>
  <c r="K5342" i="1"/>
  <c r="K5341" i="1"/>
  <c r="K5340" i="1"/>
  <c r="K5339" i="1"/>
  <c r="K5338" i="1"/>
  <c r="K5337" i="1"/>
  <c r="M2420" i="1" s="1"/>
  <c r="K5336" i="1"/>
  <c r="K5335" i="1"/>
  <c r="M2418" i="1" s="1"/>
  <c r="K5334" i="1"/>
  <c r="K5333" i="1"/>
  <c r="K5332" i="1"/>
  <c r="M2415" i="1" s="1"/>
  <c r="K5331" i="1"/>
  <c r="M2414" i="1" s="1"/>
  <c r="K5555" i="1"/>
  <c r="K5554" i="1"/>
  <c r="K5553" i="1"/>
  <c r="M3228" i="1" s="1"/>
  <c r="K923" i="1"/>
  <c r="M57" i="1" s="1"/>
  <c r="K922" i="1"/>
  <c r="M56" i="1" s="1"/>
  <c r="K7549" i="1"/>
  <c r="M55" i="1" s="1"/>
  <c r="K7548" i="1"/>
  <c r="K7547" i="1"/>
  <c r="K7546" i="1"/>
  <c r="K7545" i="1"/>
  <c r="M5061" i="1" s="1"/>
  <c r="K1987" i="1"/>
  <c r="M5060" i="1" s="1"/>
  <c r="K1986" i="1"/>
  <c r="M5059" i="1" s="1"/>
  <c r="K1134" i="1"/>
  <c r="K1133" i="1"/>
  <c r="K1132" i="1"/>
  <c r="K1131" i="1"/>
  <c r="M2923" i="1" s="1"/>
  <c r="K1130" i="1"/>
  <c r="K1129" i="1"/>
  <c r="K1128" i="1"/>
  <c r="M2920" i="1" s="1"/>
  <c r="K1127" i="1"/>
  <c r="K1126" i="1"/>
  <c r="K1125" i="1"/>
  <c r="K921" i="1"/>
  <c r="K920" i="1"/>
  <c r="K3531" i="1"/>
  <c r="K3530" i="1"/>
  <c r="K3529" i="1"/>
  <c r="K3528" i="1"/>
  <c r="K3527" i="1"/>
  <c r="K3526" i="1"/>
  <c r="K3525" i="1"/>
  <c r="K3524" i="1"/>
  <c r="K4195" i="1"/>
  <c r="K4194" i="1"/>
  <c r="K4193" i="1"/>
  <c r="M1669" i="1" s="1"/>
  <c r="K4192" i="1"/>
  <c r="M7423" i="1" s="1"/>
  <c r="K2302" i="1"/>
  <c r="K2301" i="1"/>
  <c r="K2300" i="1"/>
  <c r="K5774" i="1"/>
  <c r="M7409" i="1" s="1"/>
  <c r="K5416" i="1"/>
  <c r="M7408" i="1" s="1"/>
  <c r="K5415" i="1"/>
  <c r="M7407" i="1" s="1"/>
  <c r="K5773" i="1"/>
  <c r="M7406" i="1" s="1"/>
  <c r="K5414" i="1"/>
  <c r="K3033" i="1"/>
  <c r="K3032" i="1"/>
  <c r="K2299" i="1"/>
  <c r="M5942" i="1" s="1"/>
  <c r="K2298" i="1"/>
  <c r="K3031" i="1"/>
  <c r="K3030" i="1"/>
  <c r="M5939" i="1" s="1"/>
  <c r="K3029" i="1"/>
  <c r="K1985" i="1"/>
  <c r="K1984" i="1"/>
  <c r="K1983" i="1"/>
  <c r="M7723" i="1" s="1"/>
  <c r="K5772" i="1"/>
  <c r="K5413" i="1"/>
  <c r="M2088" i="1" s="1"/>
  <c r="K4046" i="1"/>
  <c r="M2087" i="1" s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2412" i="1"/>
  <c r="K2411" i="1"/>
  <c r="K2410" i="1"/>
  <c r="M3088" i="1" s="1"/>
  <c r="K2409" i="1"/>
  <c r="K2408" i="1"/>
  <c r="K2407" i="1"/>
  <c r="K2406" i="1"/>
  <c r="K2405" i="1"/>
  <c r="K2404" i="1"/>
  <c r="K2403" i="1"/>
  <c r="K2402" i="1"/>
  <c r="K2401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7597" i="1"/>
  <c r="K7596" i="1"/>
  <c r="K7595" i="1"/>
  <c r="K7594" i="1"/>
  <c r="K7593" i="1"/>
  <c r="K7592" i="1"/>
  <c r="K7591" i="1"/>
  <c r="K7590" i="1"/>
  <c r="K7589" i="1"/>
  <c r="K7588" i="1"/>
  <c r="K7587" i="1"/>
  <c r="K7586" i="1"/>
  <c r="K7585" i="1"/>
  <c r="K7584" i="1"/>
  <c r="K7583" i="1"/>
  <c r="K7005" i="1"/>
  <c r="K7004" i="1"/>
  <c r="K7003" i="1"/>
  <c r="K7002" i="1"/>
  <c r="K7001" i="1"/>
  <c r="K7000" i="1"/>
  <c r="K7349" i="1"/>
  <c r="K7348" i="1"/>
  <c r="K7347" i="1"/>
  <c r="K7346" i="1"/>
  <c r="K4433" i="1"/>
  <c r="K4432" i="1"/>
  <c r="K4431" i="1"/>
  <c r="K4430" i="1"/>
  <c r="K4429" i="1"/>
  <c r="K4428" i="1"/>
  <c r="K4427" i="1"/>
  <c r="K4426" i="1"/>
  <c r="K4425" i="1"/>
  <c r="K7281" i="1"/>
  <c r="K7280" i="1"/>
  <c r="K7279" i="1"/>
  <c r="K7278" i="1"/>
  <c r="K7277" i="1"/>
  <c r="K7276" i="1"/>
  <c r="K7275" i="1"/>
  <c r="K7274" i="1"/>
  <c r="K7273" i="1"/>
  <c r="K7272" i="1"/>
  <c r="K7271" i="1"/>
  <c r="K7270" i="1"/>
  <c r="K7269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5805" i="1"/>
  <c r="K5804" i="1"/>
  <c r="K5803" i="1"/>
  <c r="K5802" i="1"/>
  <c r="K5801" i="1"/>
  <c r="K5800" i="1"/>
  <c r="K5799" i="1"/>
  <c r="K5798" i="1"/>
  <c r="K5797" i="1"/>
  <c r="K5796" i="1"/>
  <c r="K5795" i="1"/>
  <c r="K5794" i="1"/>
  <c r="K5793" i="1"/>
  <c r="K6542" i="1"/>
  <c r="K6541" i="1"/>
  <c r="K6540" i="1"/>
  <c r="K6539" i="1"/>
  <c r="K6538" i="1"/>
  <c r="K6537" i="1"/>
  <c r="K6536" i="1"/>
  <c r="K6535" i="1"/>
  <c r="K6534" i="1"/>
  <c r="K6533" i="1"/>
  <c r="K6532" i="1"/>
  <c r="K6531" i="1"/>
  <c r="K6530" i="1"/>
  <c r="K6529" i="1"/>
  <c r="K6528" i="1"/>
  <c r="K6527" i="1"/>
  <c r="K6526" i="1"/>
  <c r="K5051" i="1"/>
  <c r="K5050" i="1"/>
  <c r="K5049" i="1"/>
  <c r="K5048" i="1"/>
  <c r="K5047" i="1"/>
  <c r="K5046" i="1"/>
  <c r="K5045" i="1"/>
  <c r="K5044" i="1"/>
  <c r="K5043" i="1"/>
  <c r="K5042" i="1"/>
  <c r="K5041" i="1"/>
  <c r="K5040" i="1"/>
  <c r="K5039" i="1"/>
  <c r="K5038" i="1"/>
  <c r="K5037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4210" i="1"/>
  <c r="K4209" i="1"/>
  <c r="K4208" i="1"/>
  <c r="K4207" i="1"/>
  <c r="K4206" i="1"/>
  <c r="K4205" i="1"/>
  <c r="K4204" i="1"/>
  <c r="K4203" i="1"/>
  <c r="K1764" i="1"/>
  <c r="K1763" i="1"/>
  <c r="K1762" i="1"/>
  <c r="K1761" i="1"/>
  <c r="K1760" i="1"/>
  <c r="K1759" i="1"/>
  <c r="K1758" i="1"/>
  <c r="K1757" i="1"/>
  <c r="K6080" i="1"/>
  <c r="K6079" i="1"/>
  <c r="K6078" i="1"/>
  <c r="K6077" i="1"/>
  <c r="K2914" i="1"/>
  <c r="K2913" i="1"/>
  <c r="K2912" i="1"/>
  <c r="K7345" i="1"/>
  <c r="K7344" i="1"/>
  <c r="K7343" i="1"/>
  <c r="K6127" i="1"/>
  <c r="K6126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7486" i="1"/>
  <c r="K7485" i="1"/>
  <c r="K7484" i="1"/>
  <c r="K7483" i="1"/>
  <c r="K7482" i="1"/>
  <c r="K7481" i="1"/>
  <c r="K7480" i="1"/>
  <c r="K7479" i="1"/>
  <c r="K7478" i="1"/>
  <c r="K7477" i="1"/>
  <c r="K7476" i="1"/>
  <c r="K7475" i="1"/>
  <c r="K7474" i="1"/>
  <c r="K7473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6076" i="1"/>
  <c r="K6075" i="1"/>
  <c r="K6074" i="1"/>
  <c r="K6073" i="1"/>
  <c r="K6072" i="1"/>
  <c r="K6071" i="1"/>
  <c r="K6070" i="1"/>
  <c r="K6069" i="1"/>
  <c r="K6068" i="1"/>
  <c r="K6067" i="1"/>
  <c r="K6066" i="1"/>
  <c r="K6065" i="1"/>
  <c r="K6064" i="1"/>
  <c r="K6063" i="1"/>
  <c r="K6062" i="1"/>
  <c r="K6061" i="1"/>
  <c r="K6060" i="1"/>
  <c r="K6059" i="1"/>
  <c r="K6058" i="1"/>
  <c r="K6057" i="1"/>
  <c r="K1756" i="1"/>
  <c r="K1755" i="1"/>
  <c r="K1754" i="1"/>
  <c r="K6648" i="1"/>
  <c r="K6647" i="1"/>
  <c r="K6646" i="1"/>
  <c r="K6645" i="1"/>
  <c r="K6644" i="1"/>
  <c r="K6643" i="1"/>
  <c r="K6642" i="1"/>
  <c r="K6641" i="1"/>
  <c r="K6640" i="1"/>
  <c r="K6639" i="1"/>
  <c r="K6638" i="1"/>
  <c r="K6637" i="1"/>
  <c r="K6636" i="1"/>
  <c r="K6635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7405" i="1"/>
  <c r="K7404" i="1"/>
  <c r="K7403" i="1"/>
  <c r="K7402" i="1"/>
  <c r="K7401" i="1"/>
  <c r="K7400" i="1"/>
  <c r="K7399" i="1"/>
  <c r="K7398" i="1"/>
  <c r="K7397" i="1"/>
  <c r="K7396" i="1"/>
  <c r="K7395" i="1"/>
  <c r="K7394" i="1"/>
  <c r="K7393" i="1"/>
  <c r="K7392" i="1"/>
  <c r="K7391" i="1"/>
  <c r="K7390" i="1"/>
  <c r="K7389" i="1"/>
  <c r="K7388" i="1"/>
  <c r="K7387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5937" i="1"/>
  <c r="K5936" i="1"/>
  <c r="K5935" i="1"/>
  <c r="K5934" i="1"/>
  <c r="K5933" i="1"/>
  <c r="K5932" i="1"/>
  <c r="K5931" i="1"/>
  <c r="K5930" i="1"/>
  <c r="K5929" i="1"/>
  <c r="K5928" i="1"/>
  <c r="K5927" i="1"/>
  <c r="K5926" i="1"/>
  <c r="K5925" i="1"/>
  <c r="K5924" i="1"/>
  <c r="K6216" i="1"/>
  <c r="K6215" i="1"/>
  <c r="K6214" i="1"/>
  <c r="K6213" i="1"/>
  <c r="K6212" i="1"/>
  <c r="K6211" i="1"/>
  <c r="K6210" i="1"/>
  <c r="K6209" i="1"/>
  <c r="K6208" i="1"/>
  <c r="K6207" i="1"/>
  <c r="K6206" i="1"/>
  <c r="K6205" i="1"/>
  <c r="K6204" i="1"/>
  <c r="K6203" i="1"/>
  <c r="K6202" i="1"/>
  <c r="K7941" i="1"/>
  <c r="K7940" i="1"/>
  <c r="K7939" i="1"/>
  <c r="K7938" i="1"/>
  <c r="K7937" i="1"/>
  <c r="K7936" i="1"/>
  <c r="K7935" i="1"/>
  <c r="K7934" i="1"/>
  <c r="K7933" i="1"/>
  <c r="K7932" i="1"/>
  <c r="K7931" i="1"/>
  <c r="K7930" i="1"/>
  <c r="K7929" i="1"/>
  <c r="K7928" i="1"/>
  <c r="K7927" i="1"/>
  <c r="K7720" i="1"/>
  <c r="K7719" i="1"/>
  <c r="K7718" i="1"/>
  <c r="K7717" i="1"/>
  <c r="K7716" i="1"/>
  <c r="K7715" i="1"/>
  <c r="K7714" i="1"/>
  <c r="K7713" i="1"/>
  <c r="K7712" i="1"/>
  <c r="K7711" i="1"/>
  <c r="K7710" i="1"/>
  <c r="K7709" i="1"/>
  <c r="K7708" i="1"/>
  <c r="K7707" i="1"/>
  <c r="K7706" i="1"/>
  <c r="K7705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6125" i="1"/>
  <c r="K6124" i="1"/>
  <c r="K6123" i="1"/>
  <c r="K6122" i="1"/>
  <c r="K6121" i="1"/>
  <c r="K6120" i="1"/>
  <c r="K6119" i="1"/>
  <c r="K6118" i="1"/>
  <c r="K6117" i="1"/>
  <c r="K6116" i="1"/>
  <c r="K4202" i="1"/>
  <c r="K4201" i="1"/>
  <c r="K4200" i="1"/>
  <c r="K4199" i="1"/>
  <c r="K4198" i="1"/>
  <c r="K6115" i="1"/>
  <c r="K6114" i="1"/>
  <c r="K4340" i="1"/>
  <c r="K4339" i="1"/>
  <c r="K4338" i="1"/>
  <c r="K4337" i="1"/>
  <c r="K4336" i="1"/>
  <c r="K4335" i="1"/>
  <c r="K4334" i="1"/>
  <c r="K4333" i="1"/>
  <c r="K4332" i="1"/>
  <c r="K4331" i="1"/>
  <c r="K4330" i="1"/>
  <c r="K4329" i="1"/>
  <c r="K4328" i="1"/>
  <c r="K4327" i="1"/>
  <c r="K4326" i="1"/>
  <c r="K4325" i="1"/>
  <c r="K4324" i="1"/>
  <c r="K4323" i="1"/>
  <c r="K4322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6503" i="1"/>
  <c r="K6502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8145" i="1"/>
  <c r="K8144" i="1"/>
  <c r="K8143" i="1"/>
  <c r="K8142" i="1"/>
  <c r="K8141" i="1"/>
  <c r="K8140" i="1"/>
  <c r="K8139" i="1"/>
  <c r="K8138" i="1"/>
  <c r="K8137" i="1"/>
  <c r="K8136" i="1"/>
  <c r="K8135" i="1"/>
  <c r="K8134" i="1"/>
  <c r="K8133" i="1"/>
  <c r="K8132" i="1"/>
  <c r="K8131" i="1"/>
  <c r="K8130" i="1"/>
  <c r="K8129" i="1"/>
  <c r="K8128" i="1"/>
  <c r="K8127" i="1"/>
  <c r="K7134" i="1"/>
  <c r="K7133" i="1"/>
  <c r="K7132" i="1"/>
  <c r="M1431" i="1" s="1"/>
  <c r="K7131" i="1"/>
  <c r="K7130" i="1"/>
  <c r="K7129" i="1"/>
  <c r="K7128" i="1"/>
  <c r="K7127" i="1"/>
  <c r="K7126" i="1"/>
  <c r="K7125" i="1"/>
  <c r="K7124" i="1"/>
  <c r="M1802" i="1" s="1"/>
  <c r="K7123" i="1"/>
  <c r="M1015" i="1" s="1"/>
  <c r="K7122" i="1"/>
  <c r="M1913" i="1" s="1"/>
  <c r="K7121" i="1"/>
  <c r="K488" i="1"/>
  <c r="K487" i="1"/>
  <c r="K486" i="1"/>
  <c r="M313" i="1" s="1"/>
  <c r="K485" i="1"/>
  <c r="K484" i="1"/>
  <c r="K483" i="1"/>
  <c r="K482" i="1"/>
  <c r="K481" i="1"/>
  <c r="K480" i="1"/>
  <c r="M2" i="1" s="1"/>
  <c r="K479" i="1"/>
  <c r="K478" i="1"/>
  <c r="M1721" i="1" s="1"/>
  <c r="K477" i="1"/>
  <c r="M907" i="1" s="1"/>
  <c r="K476" i="1"/>
  <c r="K475" i="1"/>
  <c r="K3057" i="1"/>
  <c r="M3057" i="1" s="1"/>
  <c r="K3056" i="1"/>
  <c r="K3055" i="1"/>
  <c r="K3054" i="1"/>
  <c r="M1582" i="1" s="1"/>
  <c r="K3053" i="1"/>
  <c r="M1581" i="1" s="1"/>
  <c r="K3052" i="1"/>
  <c r="M7855" i="1" s="1"/>
  <c r="K3051" i="1"/>
  <c r="M7854" i="1" s="1"/>
  <c r="K3050" i="1"/>
  <c r="M7853" i="1" s="1"/>
  <c r="K3049" i="1"/>
  <c r="M7852" i="1" s="1"/>
  <c r="K3048" i="1"/>
  <c r="M7851" i="1" s="1"/>
  <c r="K3047" i="1"/>
  <c r="M3047" i="1" s="1"/>
  <c r="K6113" i="1"/>
  <c r="K2592" i="1"/>
  <c r="M8175" i="1" s="1"/>
  <c r="K2591" i="1"/>
  <c r="K2590" i="1"/>
  <c r="K2589" i="1"/>
  <c r="M2242" i="1" s="1"/>
  <c r="K2588" i="1"/>
  <c r="K2587" i="1"/>
  <c r="M2241" i="1" s="1"/>
  <c r="K2586" i="1"/>
  <c r="M2240" i="1" s="1"/>
  <c r="K2585" i="1"/>
  <c r="K2584" i="1"/>
  <c r="K2583" i="1"/>
  <c r="M6416" i="1" s="1"/>
  <c r="K2582" i="1"/>
  <c r="K2581" i="1"/>
  <c r="M6414" i="1" s="1"/>
  <c r="K2580" i="1"/>
  <c r="M6413" i="1" s="1"/>
  <c r="K2579" i="1"/>
  <c r="M6412" i="1" s="1"/>
  <c r="K2578" i="1"/>
  <c r="M6411" i="1" s="1"/>
  <c r="K2577" i="1"/>
  <c r="M1483" i="1" s="1"/>
  <c r="K6796" i="1"/>
  <c r="K6795" i="1"/>
  <c r="M3489" i="1" s="1"/>
  <c r="K6794" i="1"/>
  <c r="M3488" i="1" s="1"/>
  <c r="K6793" i="1"/>
  <c r="K6792" i="1"/>
  <c r="M3486" i="1" s="1"/>
  <c r="K6791" i="1"/>
  <c r="K6790" i="1"/>
  <c r="M3484" i="1" s="1"/>
  <c r="K6789" i="1"/>
  <c r="K6788" i="1"/>
  <c r="M3482" i="1" s="1"/>
  <c r="K6787" i="1"/>
  <c r="M3481" i="1" s="1"/>
  <c r="K6786" i="1"/>
  <c r="M3480" i="1" s="1"/>
  <c r="K6785" i="1"/>
  <c r="K6784" i="1"/>
  <c r="M5394" i="1" s="1"/>
  <c r="K6783" i="1"/>
  <c r="K6782" i="1"/>
  <c r="M5392" i="1" s="1"/>
  <c r="K6781" i="1"/>
  <c r="M5391" i="1" s="1"/>
  <c r="K4526" i="1"/>
  <c r="M3041" i="1" s="1"/>
  <c r="K4525" i="1"/>
  <c r="M3040" i="1" s="1"/>
  <c r="K4524" i="1"/>
  <c r="K4523" i="1"/>
  <c r="M5423" i="1" s="1"/>
  <c r="K4522" i="1"/>
  <c r="M4075" i="1" s="1"/>
  <c r="K4521" i="1"/>
  <c r="M4074" i="1" s="1"/>
  <c r="K4520" i="1"/>
  <c r="M4073" i="1" s="1"/>
  <c r="K4519" i="1"/>
  <c r="M4072" i="1" s="1"/>
  <c r="K4518" i="1"/>
  <c r="M4071" i="1" s="1"/>
  <c r="K4517" i="1"/>
  <c r="M4965" i="1" s="1"/>
  <c r="K4516" i="1"/>
  <c r="M4964" i="1" s="1"/>
  <c r="K4515" i="1"/>
  <c r="K4514" i="1"/>
  <c r="M4961" i="1" s="1"/>
  <c r="K4513" i="1"/>
  <c r="M4962" i="1" s="1"/>
  <c r="K4512" i="1"/>
  <c r="K4511" i="1"/>
  <c r="M4959" i="1" s="1"/>
  <c r="K4510" i="1"/>
  <c r="K4509" i="1"/>
  <c r="M4956" i="1" s="1"/>
  <c r="K4508" i="1"/>
  <c r="M4957" i="1" s="1"/>
  <c r="K4507" i="1"/>
  <c r="M4955" i="1" s="1"/>
  <c r="K4506" i="1"/>
  <c r="M843" i="1" s="1"/>
  <c r="K2348" i="1"/>
  <c r="M7640" i="1" s="1"/>
  <c r="K2347" i="1"/>
  <c r="K2346" i="1"/>
  <c r="M7638" i="1" s="1"/>
  <c r="K2345" i="1"/>
  <c r="M7054" i="1" s="1"/>
  <c r="K2344" i="1"/>
  <c r="M7053" i="1" s="1"/>
  <c r="K2343" i="1"/>
  <c r="K2342" i="1"/>
  <c r="K2341" i="1"/>
  <c r="M2341" i="1" s="1"/>
  <c r="K2340" i="1"/>
  <c r="M7049" i="1" s="1"/>
  <c r="K2339" i="1"/>
  <c r="M7048" i="1" s="1"/>
  <c r="K2338" i="1"/>
  <c r="M4466" i="1" s="1"/>
  <c r="K2337" i="1"/>
  <c r="M4465" i="1" s="1"/>
  <c r="K2336" i="1"/>
  <c r="M4464" i="1" s="1"/>
  <c r="K2335" i="1"/>
  <c r="M4462" i="1" s="1"/>
  <c r="K2334" i="1"/>
  <c r="M4463" i="1" s="1"/>
  <c r="K2333" i="1"/>
  <c r="M4461" i="1" s="1"/>
  <c r="K5913" i="1"/>
  <c r="M1214" i="1" s="1"/>
  <c r="K5912" i="1"/>
  <c r="M7314" i="1" s="1"/>
  <c r="K5911" i="1"/>
  <c r="M7313" i="1" s="1"/>
  <c r="K6452" i="1"/>
  <c r="M3402" i="1" s="1"/>
  <c r="K6451" i="1"/>
  <c r="K6450" i="1"/>
  <c r="M3400" i="1" s="1"/>
  <c r="K6449" i="1"/>
  <c r="M3399" i="1" s="1"/>
  <c r="K6448" i="1"/>
  <c r="M3398" i="1" s="1"/>
  <c r="K6447" i="1"/>
  <c r="M3397" i="1" s="1"/>
  <c r="K6446" i="1"/>
  <c r="K6445" i="1"/>
  <c r="K6444" i="1"/>
  <c r="M3394" i="1" s="1"/>
  <c r="K6443" i="1"/>
  <c r="M7516" i="1" s="1"/>
  <c r="K6442" i="1"/>
  <c r="M7515" i="1" s="1"/>
  <c r="K6441" i="1"/>
  <c r="M7514" i="1" s="1"/>
  <c r="K6440" i="1"/>
  <c r="M7513" i="1" s="1"/>
  <c r="K6439" i="1"/>
  <c r="K6438" i="1"/>
  <c r="M4666" i="1" s="1"/>
  <c r="K6437" i="1"/>
  <c r="M2330" i="1" s="1"/>
  <c r="K3084" i="1"/>
  <c r="M192" i="1" s="1"/>
  <c r="K3083" i="1"/>
  <c r="M726" i="1" s="1"/>
  <c r="K3082" i="1"/>
  <c r="K3081" i="1"/>
  <c r="M724" i="1" s="1"/>
  <c r="K3080" i="1"/>
  <c r="M723" i="1" s="1"/>
  <c r="K3079" i="1"/>
  <c r="K3078" i="1"/>
  <c r="K146" i="1"/>
  <c r="K145" i="1"/>
  <c r="M719" i="1" s="1"/>
  <c r="K144" i="1"/>
  <c r="M718" i="1" s="1"/>
  <c r="K143" i="1"/>
  <c r="M717" i="1" s="1"/>
  <c r="K142" i="1"/>
  <c r="M7173" i="1" s="1"/>
  <c r="K141" i="1"/>
  <c r="M7172" i="1" s="1"/>
  <c r="K140" i="1"/>
  <c r="M7171" i="1" s="1"/>
  <c r="K5620" i="1"/>
  <c r="M2634" i="1" s="1"/>
  <c r="K5619" i="1"/>
  <c r="M2633" i="1" s="1"/>
  <c r="K5618" i="1"/>
  <c r="K5617" i="1"/>
  <c r="M2631" i="1" s="1"/>
  <c r="K5616" i="1"/>
  <c r="K5615" i="1"/>
  <c r="M2629" i="1" s="1"/>
  <c r="K5614" i="1"/>
  <c r="K5613" i="1"/>
  <c r="K5612" i="1"/>
  <c r="M6853" i="1" s="1"/>
  <c r="K5611" i="1"/>
  <c r="M6852" i="1" s="1"/>
  <c r="K5610" i="1"/>
  <c r="M6851" i="1" s="1"/>
  <c r="K5609" i="1"/>
  <c r="K5608" i="1"/>
  <c r="M6849" i="1" s="1"/>
  <c r="K5251" i="1"/>
  <c r="M1570" i="1" s="1"/>
  <c r="K5250" i="1"/>
  <c r="K5249" i="1"/>
  <c r="M7846" i="1" s="1"/>
  <c r="K5248" i="1"/>
  <c r="K5247" i="1"/>
  <c r="M7844" i="1" s="1"/>
  <c r="K5246" i="1"/>
  <c r="K5245" i="1"/>
  <c r="M7842" i="1" s="1"/>
  <c r="K5244" i="1"/>
  <c r="K5243" i="1"/>
  <c r="K5242" i="1"/>
  <c r="M7839" i="1" s="1"/>
  <c r="K5241" i="1"/>
  <c r="K5240" i="1"/>
  <c r="K5239" i="1"/>
  <c r="M7836" i="1" s="1"/>
  <c r="K5238" i="1"/>
  <c r="M7835" i="1" s="1"/>
  <c r="K5237" i="1"/>
  <c r="M7834" i="1" s="1"/>
  <c r="K5236" i="1"/>
  <c r="M7833" i="1" s="1"/>
  <c r="K5235" i="1"/>
  <c r="K5234" i="1"/>
  <c r="M7831" i="1" s="1"/>
  <c r="K2807" i="1"/>
  <c r="M2100" i="1" s="1"/>
  <c r="K2806" i="1"/>
  <c r="K2805" i="1"/>
  <c r="M2098" i="1" s="1"/>
  <c r="K2804" i="1"/>
  <c r="M2097" i="1" s="1"/>
  <c r="K2803" i="1"/>
  <c r="K2802" i="1"/>
  <c r="M4622" i="1" s="1"/>
  <c r="K2801" i="1"/>
  <c r="K2800" i="1"/>
  <c r="M4620" i="1" s="1"/>
  <c r="K2799" i="1"/>
  <c r="K2798" i="1"/>
  <c r="M715" i="1" s="1"/>
  <c r="K2797" i="1"/>
  <c r="K2796" i="1"/>
  <c r="M1569" i="1" s="1"/>
  <c r="K1531" i="1"/>
  <c r="K1530" i="1"/>
  <c r="M1567" i="1" s="1"/>
  <c r="K1529" i="1"/>
  <c r="M1566" i="1" s="1"/>
  <c r="K1528" i="1"/>
  <c r="K1527" i="1"/>
  <c r="K1526" i="1"/>
  <c r="M1563" i="1" s="1"/>
  <c r="K1525" i="1"/>
  <c r="K1524" i="1"/>
  <c r="M1561" i="1" s="1"/>
  <c r="K1523" i="1"/>
  <c r="K1522" i="1"/>
  <c r="M8286" i="1" s="1"/>
  <c r="K3738" i="1"/>
  <c r="M545" i="1" s="1"/>
  <c r="K3737" i="1"/>
  <c r="M544" i="1" s="1"/>
  <c r="K3736" i="1"/>
  <c r="M543" i="1" s="1"/>
  <c r="K3735" i="1"/>
  <c r="K3734" i="1"/>
  <c r="M541" i="1" s="1"/>
  <c r="K3733" i="1"/>
  <c r="M540" i="1" s="1"/>
  <c r="K3732" i="1"/>
  <c r="K3731" i="1"/>
  <c r="M538" i="1" s="1"/>
  <c r="K3730" i="1"/>
  <c r="M537" i="1" s="1"/>
  <c r="K3729" i="1"/>
  <c r="M536" i="1" s="1"/>
  <c r="K3728" i="1"/>
  <c r="M4954" i="1" s="1"/>
  <c r="K3727" i="1"/>
  <c r="M4953" i="1" s="1"/>
  <c r="K1521" i="1"/>
  <c r="K1520" i="1"/>
  <c r="M4135" i="1" s="1"/>
  <c r="K1519" i="1"/>
  <c r="M4134" i="1" s="1"/>
  <c r="K1518" i="1"/>
  <c r="M4133" i="1" s="1"/>
  <c r="K1517" i="1"/>
  <c r="K3077" i="1"/>
  <c r="K3076" i="1"/>
  <c r="K3075" i="1"/>
  <c r="M8172" i="1" s="1"/>
  <c r="K3074" i="1"/>
  <c r="M8171" i="1" s="1"/>
  <c r="K3073" i="1"/>
  <c r="M8170" i="1" s="1"/>
  <c r="K3072" i="1"/>
  <c r="M8169" i="1" s="1"/>
  <c r="K8238" i="1"/>
  <c r="M1466" i="1" s="1"/>
  <c r="K8237" i="1"/>
  <c r="K8236" i="1"/>
  <c r="M1464" i="1" s="1"/>
  <c r="K8235" i="1"/>
  <c r="M1463" i="1" s="1"/>
  <c r="K8234" i="1"/>
  <c r="M1462" i="1" s="1"/>
  <c r="K8233" i="1"/>
  <c r="M1461" i="1" s="1"/>
  <c r="K1034" i="1"/>
  <c r="M6929" i="1" s="1"/>
  <c r="K1033" i="1"/>
  <c r="K1032" i="1"/>
  <c r="M6927" i="1" s="1"/>
  <c r="K1031" i="1"/>
  <c r="M6926" i="1" s="1"/>
  <c r="K1030" i="1"/>
  <c r="K1029" i="1"/>
  <c r="M6924" i="1" s="1"/>
  <c r="K1233" i="1"/>
  <c r="K1232" i="1"/>
  <c r="M5173" i="1" s="1"/>
  <c r="K1231" i="1"/>
  <c r="M5172" i="1" s="1"/>
  <c r="K1230" i="1"/>
  <c r="K1229" i="1"/>
  <c r="M5170" i="1" s="1"/>
  <c r="K1228" i="1"/>
  <c r="M5169" i="1" s="1"/>
  <c r="K1227" i="1"/>
  <c r="K1226" i="1"/>
  <c r="M5167" i="1" s="1"/>
  <c r="K1225" i="1"/>
  <c r="M5166" i="1" s="1"/>
  <c r="K1224" i="1"/>
  <c r="M5165" i="1" s="1"/>
  <c r="K1223" i="1"/>
  <c r="K1222" i="1"/>
  <c r="M5163" i="1" s="1"/>
  <c r="K1221" i="1"/>
  <c r="M5162" i="1" s="1"/>
  <c r="K2795" i="1"/>
  <c r="K2794" i="1"/>
  <c r="K2793" i="1"/>
  <c r="M5159" i="1" s="1"/>
  <c r="K2792" i="1"/>
  <c r="K2791" i="1"/>
  <c r="M5157" i="1" s="1"/>
  <c r="K2790" i="1"/>
  <c r="M5156" i="1" s="1"/>
  <c r="K1822" i="1"/>
  <c r="M606" i="1" s="1"/>
  <c r="K1821" i="1"/>
  <c r="K1820" i="1"/>
  <c r="K1819" i="1"/>
  <c r="M603" i="1" s="1"/>
  <c r="K1818" i="1"/>
  <c r="K1817" i="1"/>
  <c r="M601" i="1" s="1"/>
  <c r="K1816" i="1"/>
  <c r="M3478" i="1" s="1"/>
  <c r="K1815" i="1"/>
  <c r="M3477" i="1" s="1"/>
  <c r="K1814" i="1"/>
  <c r="K1813" i="1"/>
  <c r="M3475" i="1" s="1"/>
  <c r="K1812" i="1"/>
  <c r="M3474" i="1" s="1"/>
  <c r="K1811" i="1"/>
  <c r="K1810" i="1"/>
  <c r="M3472" i="1" s="1"/>
  <c r="K1809" i="1"/>
  <c r="M3471" i="1" s="1"/>
  <c r="K1808" i="1"/>
  <c r="M3470" i="1" s="1"/>
  <c r="K1807" i="1"/>
  <c r="M3469" i="1" s="1"/>
  <c r="K1806" i="1"/>
  <c r="M3468" i="1" s="1"/>
  <c r="K1805" i="1"/>
  <c r="K1804" i="1"/>
  <c r="M3466" i="1" s="1"/>
  <c r="K1803" i="1"/>
  <c r="M3465" i="1" s="1"/>
  <c r="K1208" i="1"/>
  <c r="M5361" i="1" s="1"/>
  <c r="K1207" i="1"/>
  <c r="K1206" i="1"/>
  <c r="K1205" i="1"/>
  <c r="M5358" i="1" s="1"/>
  <c r="K1204" i="1"/>
  <c r="K1203" i="1"/>
  <c r="M5356" i="1" s="1"/>
  <c r="K1202" i="1"/>
  <c r="M5355" i="1" s="1"/>
  <c r="K1201" i="1"/>
  <c r="M5354" i="1" s="1"/>
  <c r="K1200" i="1"/>
  <c r="K1199" i="1"/>
  <c r="M5352" i="1" s="1"/>
  <c r="K1198" i="1"/>
  <c r="M2031" i="1" s="1"/>
  <c r="K1197" i="1"/>
  <c r="M2030" i="1" s="1"/>
  <c r="K4881" i="1"/>
  <c r="K4880" i="1"/>
  <c r="M1730" i="1" s="1"/>
  <c r="K4879" i="1"/>
  <c r="K4878" i="1"/>
  <c r="M4062" i="1" s="1"/>
  <c r="K4877" i="1"/>
  <c r="M4061" i="1" s="1"/>
  <c r="K4876" i="1"/>
  <c r="M4060" i="1" s="1"/>
  <c r="K4875" i="1"/>
  <c r="M4059" i="1" s="1"/>
  <c r="K4874" i="1"/>
  <c r="K4873" i="1"/>
  <c r="M3020" i="1" s="1"/>
  <c r="K4872" i="1"/>
  <c r="M3019" i="1" s="1"/>
  <c r="K4871" i="1"/>
  <c r="M5422" i="1" s="1"/>
  <c r="K4870" i="1"/>
  <c r="K4869" i="1"/>
  <c r="M5420" i="1" s="1"/>
  <c r="K4868" i="1"/>
  <c r="K4867" i="1"/>
  <c r="M6748" i="1" s="1"/>
  <c r="K4866" i="1"/>
  <c r="K4865" i="1"/>
  <c r="K4864" i="1"/>
  <c r="M4943" i="1" s="1"/>
  <c r="K4863" i="1"/>
  <c r="M4942" i="1" s="1"/>
  <c r="K4862" i="1"/>
  <c r="M4941" i="1" s="1"/>
  <c r="K4861" i="1"/>
  <c r="M4940" i="1" s="1"/>
  <c r="K4860" i="1"/>
  <c r="M4939" i="1" s="1"/>
  <c r="K4859" i="1"/>
  <c r="M4938" i="1" s="1"/>
  <c r="K4858" i="1"/>
  <c r="K4857" i="1"/>
  <c r="M4936" i="1" s="1"/>
  <c r="K4856" i="1"/>
  <c r="M4935" i="1" s="1"/>
  <c r="K5441" i="1"/>
  <c r="M1275" i="1" s="1"/>
  <c r="K5440" i="1"/>
  <c r="M1274" i="1" s="1"/>
  <c r="K5439" i="1"/>
  <c r="M1273" i="1" s="1"/>
  <c r="K5438" i="1"/>
  <c r="M1272" i="1" s="1"/>
  <c r="K5437" i="1"/>
  <c r="K5436" i="1"/>
  <c r="M2445" i="1" s="1"/>
  <c r="K5435" i="1"/>
  <c r="K5434" i="1"/>
  <c r="M2443" i="1" s="1"/>
  <c r="K5433" i="1"/>
  <c r="K5432" i="1"/>
  <c r="M2441" i="1" s="1"/>
  <c r="K5431" i="1"/>
  <c r="M2440" i="1" s="1"/>
  <c r="K5430" i="1"/>
  <c r="M2439" i="1" s="1"/>
  <c r="K5429" i="1"/>
  <c r="M2438" i="1" s="1"/>
  <c r="K329" i="1"/>
  <c r="M7036" i="1" s="1"/>
  <c r="K328" i="1"/>
  <c r="K327" i="1"/>
  <c r="K326" i="1"/>
  <c r="M7033" i="1" s="1"/>
  <c r="K325" i="1"/>
  <c r="K324" i="1"/>
  <c r="M4460" i="1" s="1"/>
  <c r="K323" i="1"/>
  <c r="M4459" i="1" s="1"/>
  <c r="K322" i="1"/>
  <c r="M4458" i="1" s="1"/>
  <c r="K321" i="1"/>
  <c r="K320" i="1"/>
  <c r="M4456" i="1" s="1"/>
  <c r="K319" i="1"/>
  <c r="M4455" i="1" s="1"/>
  <c r="K318" i="1"/>
  <c r="K317" i="1"/>
  <c r="K316" i="1"/>
  <c r="M4452" i="1" s="1"/>
  <c r="K315" i="1"/>
  <c r="M4451" i="1" s="1"/>
  <c r="K314" i="1"/>
  <c r="M4450" i="1" s="1"/>
  <c r="K2381" i="1"/>
  <c r="M4449" i="1" s="1"/>
  <c r="K2380" i="1"/>
  <c r="M4448" i="1" s="1"/>
  <c r="K4098" i="1"/>
  <c r="M5079" i="1" s="1"/>
  <c r="K4097" i="1"/>
  <c r="K4096" i="1"/>
  <c r="M5077" i="1" s="1"/>
  <c r="K4095" i="1"/>
  <c r="M5076" i="1" s="1"/>
  <c r="K4094" i="1"/>
  <c r="M5075" i="1" s="1"/>
  <c r="K4093" i="1"/>
  <c r="K4092" i="1"/>
  <c r="M5073" i="1" s="1"/>
  <c r="K4091" i="1"/>
  <c r="K4090" i="1"/>
  <c r="M5071" i="1" s="1"/>
  <c r="K4089" i="1"/>
  <c r="M5070" i="1" s="1"/>
  <c r="K4088" i="1"/>
  <c r="M5069" i="1" s="1"/>
  <c r="K4087" i="1"/>
  <c r="M5068" i="1" s="1"/>
  <c r="K4086" i="1"/>
  <c r="M5721" i="1" s="1"/>
  <c r="K4085" i="1"/>
  <c r="M5720" i="1" s="1"/>
  <c r="K4084" i="1"/>
  <c r="M5719" i="1" s="1"/>
  <c r="K4083" i="1"/>
  <c r="M5718" i="1" s="1"/>
  <c r="K4082" i="1"/>
  <c r="M5717" i="1" s="1"/>
  <c r="K773" i="1"/>
  <c r="M70" i="1" s="1"/>
  <c r="K772" i="1"/>
  <c r="K771" i="1"/>
  <c r="M68" i="1" s="1"/>
  <c r="K770" i="1"/>
  <c r="K769" i="1"/>
  <c r="K768" i="1"/>
  <c r="M65" i="1" s="1"/>
  <c r="K767" i="1"/>
  <c r="M64" i="1" s="1"/>
  <c r="K766" i="1"/>
  <c r="M63" i="1" s="1"/>
  <c r="K765" i="1"/>
  <c r="K764" i="1"/>
  <c r="K763" i="1"/>
  <c r="M763" i="1" s="1"/>
  <c r="K762" i="1"/>
  <c r="M59" i="1" s="1"/>
  <c r="K761" i="1"/>
  <c r="M6673" i="1" s="1"/>
  <c r="K760" i="1"/>
  <c r="M6672" i="1" s="1"/>
  <c r="K759" i="1"/>
  <c r="K6369" i="1"/>
  <c r="M1377" i="1" s="1"/>
  <c r="K6368" i="1"/>
  <c r="M1376" i="1" s="1"/>
  <c r="K6367" i="1"/>
  <c r="M1375" i="1" s="1"/>
  <c r="K6366" i="1"/>
  <c r="K6365" i="1"/>
  <c r="M712" i="1" s="1"/>
  <c r="K6364" i="1"/>
  <c r="M711" i="1" s="1"/>
  <c r="K6363" i="1"/>
  <c r="K6362" i="1"/>
  <c r="M1070" i="1" s="1"/>
  <c r="K6361" i="1"/>
  <c r="M1069" i="1" s="1"/>
  <c r="K6360" i="1"/>
  <c r="K6359" i="1"/>
  <c r="M5979" i="1" s="1"/>
  <c r="K6358" i="1"/>
  <c r="M5978" i="1" s="1"/>
  <c r="K6357" i="1"/>
  <c r="K6356" i="1"/>
  <c r="K6355" i="1"/>
  <c r="M5975" i="1" s="1"/>
  <c r="K6354" i="1"/>
  <c r="K6353" i="1"/>
  <c r="M5973" i="1" s="1"/>
  <c r="K6352" i="1"/>
  <c r="M5972" i="1" s="1"/>
  <c r="K6351" i="1"/>
  <c r="M5971" i="1" s="1"/>
  <c r="K506" i="1"/>
  <c r="M7975" i="1" s="1"/>
  <c r="K505" i="1"/>
  <c r="K504" i="1"/>
  <c r="M7973" i="1" s="1"/>
  <c r="K1439" i="1"/>
  <c r="M3672" i="1" s="1"/>
  <c r="K7903" i="1"/>
  <c r="M3671" i="1" s="1"/>
  <c r="K7902" i="1"/>
  <c r="K1438" i="1"/>
  <c r="M3669" i="1" s="1"/>
  <c r="K1437" i="1"/>
  <c r="M3668" i="1" s="1"/>
  <c r="K1436" i="1"/>
  <c r="M3667" i="1" s="1"/>
  <c r="K1435" i="1"/>
  <c r="M3666" i="1" s="1"/>
  <c r="K6888" i="1"/>
  <c r="M2625" i="1" s="1"/>
  <c r="K6887" i="1"/>
  <c r="K6886" i="1"/>
  <c r="M2623" i="1" s="1"/>
  <c r="K6885" i="1"/>
  <c r="M2622" i="1" s="1"/>
  <c r="K6884" i="1"/>
  <c r="M2621" i="1" s="1"/>
  <c r="K6883" i="1"/>
  <c r="K6882" i="1"/>
  <c r="M6882" i="1" s="1"/>
  <c r="K6881" i="1"/>
  <c r="K6880" i="1"/>
  <c r="K6879" i="1"/>
  <c r="K6878" i="1"/>
  <c r="K6877" i="1"/>
  <c r="M2614" i="1" s="1"/>
  <c r="K6876" i="1"/>
  <c r="K6875" i="1"/>
  <c r="M2612" i="1" s="1"/>
  <c r="K6874" i="1"/>
  <c r="M2611" i="1" s="1"/>
  <c r="K2509" i="1"/>
  <c r="M2373" i="1" s="1"/>
  <c r="K2508" i="1"/>
  <c r="M2372" i="1" s="1"/>
  <c r="K2507" i="1"/>
  <c r="M2371" i="1" s="1"/>
  <c r="K2506" i="1"/>
  <c r="K2505" i="1"/>
  <c r="K2504" i="1"/>
  <c r="K2503" i="1"/>
  <c r="M2367" i="1" s="1"/>
  <c r="K2502" i="1"/>
  <c r="M2366" i="1" s="1"/>
  <c r="K3833" i="1"/>
  <c r="K3832" i="1"/>
  <c r="M7825" i="1" s="1"/>
  <c r="K3831" i="1"/>
  <c r="M7824" i="1" s="1"/>
  <c r="K3830" i="1"/>
  <c r="K3829" i="1"/>
  <c r="K3828" i="1"/>
  <c r="K3827" i="1"/>
  <c r="K3826" i="1"/>
  <c r="K3825" i="1"/>
  <c r="M7818" i="1" s="1"/>
  <c r="K3824" i="1"/>
  <c r="K3823" i="1"/>
  <c r="K4745" i="1"/>
  <c r="K4744" i="1"/>
  <c r="K4743" i="1"/>
  <c r="K4742" i="1"/>
  <c r="M3757" i="1" s="1"/>
  <c r="K4741" i="1"/>
  <c r="M3756" i="1" s="1"/>
  <c r="K4740" i="1"/>
  <c r="M3755" i="1" s="1"/>
  <c r="K4739" i="1"/>
  <c r="M3754" i="1" s="1"/>
  <c r="K4738" i="1"/>
  <c r="M3753" i="1" s="1"/>
  <c r="K4737" i="1"/>
  <c r="K4736" i="1"/>
  <c r="M3751" i="1" s="1"/>
  <c r="K4735" i="1"/>
  <c r="M4735" i="1" s="1"/>
  <c r="K4734" i="1"/>
  <c r="K4733" i="1"/>
  <c r="K4732" i="1"/>
  <c r="M1558" i="1" s="1"/>
  <c r="K4731" i="1"/>
  <c r="K4730" i="1"/>
  <c r="M4730" i="1" s="1"/>
  <c r="K4729" i="1"/>
  <c r="M1555" i="1" s="1"/>
  <c r="K4728" i="1"/>
  <c r="M1554" i="1" s="1"/>
  <c r="K4727" i="1"/>
  <c r="M1553" i="1" s="1"/>
  <c r="K4726" i="1"/>
  <c r="M1552" i="1" s="1"/>
  <c r="K4725" i="1"/>
  <c r="K4724" i="1"/>
  <c r="M1550" i="1" s="1"/>
  <c r="K4723" i="1"/>
  <c r="M1549" i="1" s="1"/>
  <c r="K4722" i="1"/>
  <c r="M1548" i="1" s="1"/>
  <c r="K4721" i="1"/>
  <c r="M1547" i="1" s="1"/>
  <c r="K4720" i="1"/>
  <c r="M1546" i="1" s="1"/>
  <c r="K4719" i="1"/>
  <c r="M1545" i="1" s="1"/>
  <c r="K7901" i="1"/>
  <c r="K7900" i="1"/>
  <c r="M3106" i="1" s="1"/>
  <c r="K7899" i="1"/>
  <c r="M3105" i="1" s="1"/>
  <c r="K7898" i="1"/>
  <c r="M1849" i="1" s="1"/>
  <c r="K7897" i="1"/>
  <c r="M1848" i="1" s="1"/>
  <c r="K7896" i="1"/>
  <c r="M1847" i="1" s="1"/>
  <c r="K1124" i="1"/>
  <c r="K919" i="1"/>
  <c r="M5470" i="1" s="1"/>
  <c r="K918" i="1"/>
  <c r="K917" i="1"/>
  <c r="K916" i="1"/>
  <c r="M5467" i="1" s="1"/>
  <c r="K915" i="1"/>
  <c r="K914" i="1"/>
  <c r="M5465" i="1" s="1"/>
  <c r="K913" i="1"/>
  <c r="M5464" i="1" s="1"/>
  <c r="K912" i="1"/>
  <c r="M5463" i="1" s="1"/>
  <c r="K911" i="1"/>
  <c r="M5462" i="1" s="1"/>
  <c r="K910" i="1"/>
  <c r="K909" i="1"/>
  <c r="K908" i="1"/>
  <c r="M5459" i="1" s="1"/>
  <c r="K2182" i="1"/>
  <c r="K2181" i="1"/>
  <c r="M799" i="1" s="1"/>
  <c r="K2180" i="1"/>
  <c r="M798" i="1" s="1"/>
  <c r="K2179" i="1"/>
  <c r="M2179" i="1" s="1"/>
  <c r="K2178" i="1"/>
  <c r="M796" i="1" s="1"/>
  <c r="K2177" i="1"/>
  <c r="M795" i="1" s="1"/>
  <c r="K2176" i="1"/>
  <c r="K2175" i="1"/>
  <c r="M793" i="1" s="1"/>
  <c r="K2174" i="1"/>
  <c r="M792" i="1" s="1"/>
  <c r="K2173" i="1"/>
  <c r="M6395" i="1" s="1"/>
  <c r="K2172" i="1"/>
  <c r="K2171" i="1"/>
  <c r="K2170" i="1"/>
  <c r="M6392" i="1" s="1"/>
  <c r="K2169" i="1"/>
  <c r="K2168" i="1"/>
  <c r="M6390" i="1" s="1"/>
  <c r="K2167" i="1"/>
  <c r="M6389" i="1" s="1"/>
  <c r="K2166" i="1"/>
  <c r="M6388" i="1" s="1"/>
  <c r="K2165" i="1"/>
  <c r="M6387" i="1" s="1"/>
  <c r="K1753" i="1"/>
  <c r="M6901" i="1" s="1"/>
  <c r="K1752" i="1"/>
  <c r="K1751" i="1"/>
  <c r="M6899" i="1" s="1"/>
  <c r="K1750" i="1"/>
  <c r="M6898" i="1" s="1"/>
  <c r="K1749" i="1"/>
  <c r="K1748" i="1"/>
  <c r="K1747" i="1"/>
  <c r="M2528" i="1" s="1"/>
  <c r="K1746" i="1"/>
  <c r="M2527" i="1" s="1"/>
  <c r="K1745" i="1"/>
  <c r="K1744" i="1"/>
  <c r="M2525" i="1" s="1"/>
  <c r="K1743" i="1"/>
  <c r="M2524" i="1" s="1"/>
  <c r="K1742" i="1"/>
  <c r="M2523" i="1" s="1"/>
  <c r="K1741" i="1"/>
  <c r="M2522" i="1" s="1"/>
  <c r="K6999" i="1"/>
  <c r="K6998" i="1"/>
  <c r="M5138" i="1" s="1"/>
  <c r="K6997" i="1"/>
  <c r="K6996" i="1"/>
  <c r="M5136" i="1" s="1"/>
  <c r="K6995" i="1"/>
  <c r="M5135" i="1" s="1"/>
  <c r="K6994" i="1"/>
  <c r="M5260" i="1" s="1"/>
  <c r="K6993" i="1"/>
  <c r="M5259" i="1" s="1"/>
  <c r="K572" i="1"/>
  <c r="K571" i="1"/>
  <c r="M587" i="1" s="1"/>
  <c r="K570" i="1"/>
  <c r="M178" i="1" s="1"/>
  <c r="K569" i="1"/>
  <c r="M177" i="1" s="1"/>
  <c r="K568" i="1"/>
  <c r="M176" i="1" s="1"/>
  <c r="K567" i="1"/>
  <c r="K566" i="1"/>
  <c r="M174" i="1" s="1"/>
  <c r="K565" i="1"/>
  <c r="K564" i="1"/>
  <c r="M172" i="1" s="1"/>
  <c r="K563" i="1"/>
  <c r="M5351" i="1" s="1"/>
  <c r="K562" i="1"/>
  <c r="M5350" i="1" s="1"/>
  <c r="K561" i="1"/>
  <c r="K560" i="1"/>
  <c r="M5348" i="1" s="1"/>
  <c r="K559" i="1"/>
  <c r="M5347" i="1" s="1"/>
  <c r="K558" i="1"/>
  <c r="M5346" i="1" s="1"/>
  <c r="K557" i="1"/>
  <c r="K556" i="1"/>
  <c r="K555" i="1"/>
  <c r="M5343" i="1" s="1"/>
  <c r="K554" i="1"/>
  <c r="M7574" i="1" s="1"/>
  <c r="K139" i="1"/>
  <c r="M1142" i="1" s="1"/>
  <c r="K138" i="1"/>
  <c r="K137" i="1"/>
  <c r="K136" i="1"/>
  <c r="K135" i="1"/>
  <c r="M7908" i="1" s="1"/>
  <c r="K134" i="1"/>
  <c r="K133" i="1"/>
  <c r="K132" i="1"/>
  <c r="M3554" i="1" s="1"/>
  <c r="K131" i="1"/>
  <c r="M3553" i="1" s="1"/>
  <c r="K130" i="1"/>
  <c r="M3552" i="1" s="1"/>
  <c r="K129" i="1"/>
  <c r="K128" i="1"/>
  <c r="M3550" i="1" s="1"/>
  <c r="K127" i="1"/>
  <c r="M3549" i="1" s="1"/>
  <c r="K126" i="1"/>
  <c r="K680" i="1"/>
  <c r="M3547" i="1" s="1"/>
  <c r="K679" i="1"/>
  <c r="M3546" i="1" s="1"/>
  <c r="K678" i="1"/>
  <c r="M3545" i="1" s="1"/>
  <c r="K5552" i="1"/>
  <c r="M3227" i="1" s="1"/>
  <c r="K5551" i="1"/>
  <c r="K5550" i="1"/>
  <c r="M3225" i="1" s="1"/>
  <c r="K5549" i="1"/>
  <c r="K2297" i="1"/>
  <c r="K2296" i="1"/>
  <c r="M3222" i="1" s="1"/>
  <c r="K5330" i="1"/>
  <c r="M3221" i="1" s="1"/>
  <c r="K5329" i="1"/>
  <c r="M3220" i="1" s="1"/>
  <c r="K5328" i="1"/>
  <c r="M3219" i="1" s="1"/>
  <c r="K5327" i="1"/>
  <c r="K5326" i="1"/>
  <c r="M3217" i="1" s="1"/>
  <c r="K5325" i="1"/>
  <c r="M3216" i="1" s="1"/>
  <c r="K7544" i="1"/>
  <c r="M53" i="1" s="1"/>
  <c r="K7543" i="1"/>
  <c r="M7543" i="1" s="1"/>
  <c r="K7542" i="1"/>
  <c r="M51" i="1" s="1"/>
  <c r="K7541" i="1"/>
  <c r="M50" i="1" s="1"/>
  <c r="K7540" i="1"/>
  <c r="M49" i="1" s="1"/>
  <c r="K7539" i="1"/>
  <c r="K7538" i="1"/>
  <c r="M47" i="1" s="1"/>
  <c r="K7537" i="1"/>
  <c r="M46" i="1" s="1"/>
  <c r="K7536" i="1"/>
  <c r="M45" i="1" s="1"/>
  <c r="K7535" i="1"/>
  <c r="K7534" i="1"/>
  <c r="M43" i="1" s="1"/>
  <c r="K7533" i="1"/>
  <c r="M42" i="1" s="1"/>
  <c r="K7532" i="1"/>
  <c r="M41" i="1" s="1"/>
  <c r="K7531" i="1"/>
  <c r="K7530" i="1"/>
  <c r="M39" i="1" s="1"/>
  <c r="K7529" i="1"/>
  <c r="K1982" i="1"/>
  <c r="M5058" i="1" s="1"/>
  <c r="K1981" i="1"/>
  <c r="K1980" i="1"/>
  <c r="M5056" i="1" s="1"/>
  <c r="K1979" i="1"/>
  <c r="M5055" i="1" s="1"/>
  <c r="K1978" i="1"/>
  <c r="M5054" i="1" s="1"/>
  <c r="K1977" i="1"/>
  <c r="M1977" i="1" s="1"/>
  <c r="K1976" i="1"/>
  <c r="M5052" i="1" s="1"/>
  <c r="K1975" i="1"/>
  <c r="M5697" i="1" s="1"/>
  <c r="K1974" i="1"/>
  <c r="M5696" i="1" s="1"/>
  <c r="K1973" i="1"/>
  <c r="M5695" i="1" s="1"/>
  <c r="K1972" i="1"/>
  <c r="K1971" i="1"/>
  <c r="M5693" i="1" s="1"/>
  <c r="K1970" i="1"/>
  <c r="M5692" i="1" s="1"/>
  <c r="K1969" i="1"/>
  <c r="M5691" i="1" s="1"/>
  <c r="K1968" i="1"/>
  <c r="M5690" i="1" s="1"/>
  <c r="K1967" i="1"/>
  <c r="K1966" i="1"/>
  <c r="M5688" i="1" s="1"/>
  <c r="K1965" i="1"/>
  <c r="M5687" i="1" s="1"/>
  <c r="K2295" i="1"/>
  <c r="M3381" i="1" s="1"/>
  <c r="K2294" i="1"/>
  <c r="M3380" i="1" s="1"/>
  <c r="K2293" i="1"/>
  <c r="M3379" i="1" s="1"/>
  <c r="K2292" i="1"/>
  <c r="M3378" i="1" s="1"/>
  <c r="K2291" i="1"/>
  <c r="M3377" i="1" s="1"/>
  <c r="K2290" i="1"/>
  <c r="M3376" i="1" s="1"/>
  <c r="K2289" i="1"/>
  <c r="K2288" i="1"/>
  <c r="M3374" i="1" s="1"/>
  <c r="K2287" i="1"/>
  <c r="M3373" i="1" s="1"/>
  <c r="K4191" i="1"/>
  <c r="K4190" i="1"/>
  <c r="M7421" i="1" s="1"/>
  <c r="K4189" i="1"/>
  <c r="M7420" i="1" s="1"/>
  <c r="K4188" i="1"/>
  <c r="M7419" i="1" s="1"/>
  <c r="K4187" i="1"/>
  <c r="M7418" i="1" s="1"/>
  <c r="K4186" i="1"/>
  <c r="M7417" i="1" s="1"/>
  <c r="K3016" i="1"/>
  <c r="K3015" i="1"/>
  <c r="M1065" i="1" s="1"/>
  <c r="K5412" i="1"/>
  <c r="M1064" i="1" s="1"/>
  <c r="K3014" i="1"/>
  <c r="M1063" i="1" s="1"/>
  <c r="K5771" i="1"/>
  <c r="M1062" i="1" s="1"/>
  <c r="K3013" i="1"/>
  <c r="M1061" i="1" s="1"/>
  <c r="K3012" i="1"/>
  <c r="K1654" i="1"/>
  <c r="K3011" i="1"/>
  <c r="M1058" i="1" s="1"/>
  <c r="K1724" i="1"/>
  <c r="K1653" i="1"/>
  <c r="K3028" i="1"/>
  <c r="K1723" i="1"/>
  <c r="M6231" i="1" s="1"/>
  <c r="K1722" i="1"/>
  <c r="K3027" i="1"/>
  <c r="K3026" i="1"/>
  <c r="M6228" i="1" s="1"/>
  <c r="K3025" i="1"/>
  <c r="M6227" i="1" s="1"/>
  <c r="K4045" i="1"/>
  <c r="K4044" i="1"/>
  <c r="K4043" i="1"/>
  <c r="M3665" i="1" s="1"/>
  <c r="K4042" i="1"/>
  <c r="M3664" i="1" s="1"/>
  <c r="K4041" i="1"/>
  <c r="M3663" i="1" s="1"/>
  <c r="K4040" i="1"/>
  <c r="M3662" i="1" s="1"/>
  <c r="K4039" i="1"/>
  <c r="M3661" i="1" s="1"/>
  <c r="K4038" i="1"/>
  <c r="M3660" i="1" s="1"/>
  <c r="K4037" i="1"/>
  <c r="M3659" i="1" s="1"/>
  <c r="K4036" i="1"/>
  <c r="M3658" i="1" s="1"/>
  <c r="K4035" i="1"/>
  <c r="M3657" i="1" s="1"/>
  <c r="K4034" i="1"/>
  <c r="M3656" i="1" s="1"/>
  <c r="K4033" i="1"/>
  <c r="K4032" i="1"/>
  <c r="M3654" i="1" s="1"/>
  <c r="K4031" i="1"/>
  <c r="M3653" i="1" s="1"/>
  <c r="K4030" i="1"/>
  <c r="K7268" i="1"/>
  <c r="M2198" i="1" s="1"/>
  <c r="K7267" i="1"/>
  <c r="K7266" i="1"/>
  <c r="K7265" i="1"/>
  <c r="K7264" i="1"/>
  <c r="K7263" i="1"/>
  <c r="K7262" i="1"/>
  <c r="K7261" i="1"/>
  <c r="K7260" i="1"/>
  <c r="M2190" i="1" s="1"/>
  <c r="K7259" i="1"/>
  <c r="M2189" i="1" s="1"/>
  <c r="K7258" i="1"/>
  <c r="K7257" i="1"/>
  <c r="M2187" i="1" s="1"/>
  <c r="K7256" i="1"/>
  <c r="K7255" i="1"/>
  <c r="M2185" i="1" s="1"/>
  <c r="K7254" i="1"/>
  <c r="K7253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792" i="1"/>
  <c r="K5791" i="1"/>
  <c r="K5790" i="1"/>
  <c r="K5789" i="1"/>
  <c r="K5788" i="1"/>
  <c r="K5787" i="1"/>
  <c r="K5786" i="1"/>
  <c r="K5785" i="1"/>
  <c r="K5784" i="1"/>
  <c r="K5783" i="1"/>
  <c r="K5782" i="1"/>
  <c r="M2407" i="1" s="1"/>
  <c r="K5781" i="1"/>
  <c r="K5780" i="1"/>
  <c r="K5779" i="1"/>
  <c r="K5778" i="1"/>
  <c r="K6525" i="1"/>
  <c r="K6524" i="1"/>
  <c r="K6523" i="1"/>
  <c r="K6522" i="1"/>
  <c r="K6521" i="1"/>
  <c r="K6520" i="1"/>
  <c r="K6519" i="1"/>
  <c r="K6518" i="1"/>
  <c r="K6517" i="1"/>
  <c r="M6517" i="1" s="1"/>
  <c r="K6516" i="1"/>
  <c r="K6515" i="1"/>
  <c r="K6514" i="1"/>
  <c r="K6513" i="1"/>
  <c r="K6512" i="1"/>
  <c r="K6511" i="1"/>
  <c r="K6510" i="1"/>
  <c r="K6509" i="1"/>
  <c r="K2789" i="1"/>
  <c r="K2788" i="1"/>
  <c r="K2787" i="1"/>
  <c r="K2786" i="1"/>
  <c r="K2785" i="1"/>
  <c r="K5036" i="1"/>
  <c r="K5035" i="1"/>
  <c r="K5034" i="1"/>
  <c r="K5033" i="1"/>
  <c r="K5032" i="1"/>
  <c r="K5031" i="1"/>
  <c r="K5030" i="1"/>
  <c r="K5029" i="1"/>
  <c r="K5028" i="1"/>
  <c r="K5027" i="1"/>
  <c r="K5026" i="1"/>
  <c r="K5025" i="1"/>
  <c r="K5024" i="1"/>
  <c r="K4185" i="1"/>
  <c r="K4184" i="1"/>
  <c r="K4183" i="1"/>
  <c r="K4182" i="1"/>
  <c r="K4181" i="1"/>
  <c r="K4180" i="1"/>
  <c r="K3310" i="1"/>
  <c r="M7478" i="1" s="1"/>
  <c r="K3309" i="1"/>
  <c r="M7477" i="1" s="1"/>
  <c r="K3308" i="1"/>
  <c r="K3307" i="1"/>
  <c r="M7475" i="1" s="1"/>
  <c r="K3306" i="1"/>
  <c r="M7474" i="1" s="1"/>
  <c r="K3305" i="1"/>
  <c r="K3304" i="1"/>
  <c r="K3303" i="1"/>
  <c r="M2085" i="1" s="1"/>
  <c r="K3302" i="1"/>
  <c r="M2084" i="1" s="1"/>
  <c r="K3301" i="1"/>
  <c r="M2083" i="1" s="1"/>
  <c r="K3300" i="1"/>
  <c r="K3299" i="1"/>
  <c r="K3298" i="1"/>
  <c r="K3928" i="1"/>
  <c r="K3927" i="1"/>
  <c r="K3926" i="1"/>
  <c r="K3925" i="1"/>
  <c r="K3924" i="1"/>
  <c r="K3923" i="1"/>
  <c r="M7388" i="1" s="1"/>
  <c r="K3922" i="1"/>
  <c r="K3921" i="1"/>
  <c r="K3920" i="1"/>
  <c r="K3919" i="1"/>
  <c r="K3918" i="1"/>
  <c r="K3917" i="1"/>
  <c r="K3071" i="1"/>
  <c r="K3070" i="1"/>
  <c r="K3069" i="1"/>
  <c r="K8033" i="1"/>
  <c r="K451" i="1"/>
  <c r="K450" i="1"/>
  <c r="K449" i="1"/>
  <c r="K448" i="1"/>
  <c r="K447" i="1"/>
  <c r="K5889" i="1"/>
  <c r="K5888" i="1"/>
  <c r="K5887" i="1"/>
  <c r="K5886" i="1"/>
  <c r="K5885" i="1"/>
  <c r="K5884" i="1"/>
  <c r="K5883" i="1"/>
  <c r="K5882" i="1"/>
  <c r="K3351" i="1"/>
  <c r="K3350" i="1"/>
  <c r="M3350" i="1" s="1"/>
  <c r="K3349" i="1"/>
  <c r="K3348" i="1"/>
  <c r="K3347" i="1"/>
  <c r="K3346" i="1"/>
  <c r="K3345" i="1"/>
  <c r="M3345" i="1" s="1"/>
  <c r="K3344" i="1"/>
  <c r="K3343" i="1"/>
  <c r="K3342" i="1"/>
  <c r="K3341" i="1"/>
  <c r="K3340" i="1"/>
  <c r="K3339" i="1"/>
  <c r="K3338" i="1"/>
  <c r="K3337" i="1"/>
  <c r="K3336" i="1"/>
  <c r="M3336" i="1" s="1"/>
  <c r="K7472" i="1"/>
  <c r="K7471" i="1"/>
  <c r="K7470" i="1"/>
  <c r="K7469" i="1"/>
  <c r="K7468" i="1"/>
  <c r="K7467" i="1"/>
  <c r="K7466" i="1"/>
  <c r="K7465" i="1"/>
  <c r="K7464" i="1"/>
  <c r="K7463" i="1"/>
  <c r="K7462" i="1"/>
  <c r="K7461" i="1"/>
  <c r="K7460" i="1"/>
  <c r="K7459" i="1"/>
  <c r="K7458" i="1"/>
  <c r="K7457" i="1"/>
  <c r="K7456" i="1"/>
  <c r="K677" i="1"/>
  <c r="K676" i="1"/>
  <c r="K675" i="1"/>
  <c r="K674" i="1"/>
  <c r="K2072" i="1"/>
  <c r="K2071" i="1"/>
  <c r="K2070" i="1"/>
  <c r="K2069" i="1"/>
  <c r="K2068" i="1"/>
  <c r="K2067" i="1"/>
  <c r="K2066" i="1"/>
  <c r="K2065" i="1"/>
  <c r="K2064" i="1"/>
  <c r="K1740" i="1"/>
  <c r="K6056" i="1"/>
  <c r="K6055" i="1"/>
  <c r="K6054" i="1"/>
  <c r="K6053" i="1"/>
  <c r="K6052" i="1"/>
  <c r="K6051" i="1"/>
  <c r="K6050" i="1"/>
  <c r="K6049" i="1"/>
  <c r="K6634" i="1"/>
  <c r="K6633" i="1"/>
  <c r="K6632" i="1"/>
  <c r="K6631" i="1"/>
  <c r="M6631" i="1" s="1"/>
  <c r="K6630" i="1"/>
  <c r="K6629" i="1"/>
  <c r="K6628" i="1"/>
  <c r="M2792" i="1" s="1"/>
  <c r="K6627" i="1"/>
  <c r="K6626" i="1"/>
  <c r="K6625" i="1"/>
  <c r="K6624" i="1"/>
  <c r="K6623" i="1"/>
  <c r="K6622" i="1"/>
  <c r="K6621" i="1"/>
  <c r="K6620" i="1"/>
  <c r="K8032" i="1"/>
  <c r="K8031" i="1"/>
  <c r="K8030" i="1"/>
  <c r="K8029" i="1"/>
  <c r="K8028" i="1"/>
  <c r="K8027" i="1"/>
  <c r="K8026" i="1"/>
  <c r="K8025" i="1"/>
  <c r="K8024" i="1"/>
  <c r="K8023" i="1"/>
  <c r="K8022" i="1"/>
  <c r="K8021" i="1"/>
  <c r="K8020" i="1"/>
  <c r="K7386" i="1"/>
  <c r="K7385" i="1"/>
  <c r="K7384" i="1"/>
  <c r="K7383" i="1"/>
  <c r="K7382" i="1"/>
  <c r="K7381" i="1"/>
  <c r="K7380" i="1"/>
  <c r="K7379" i="1"/>
  <c r="K7378" i="1"/>
  <c r="K7377" i="1"/>
  <c r="K8232" i="1"/>
  <c r="K8231" i="1"/>
  <c r="K8230" i="1"/>
  <c r="K8229" i="1"/>
  <c r="K8228" i="1"/>
  <c r="K8227" i="1"/>
  <c r="K1028" i="1"/>
  <c r="K1027" i="1"/>
  <c r="K1026" i="1"/>
  <c r="K1025" i="1"/>
  <c r="K1024" i="1"/>
  <c r="K1023" i="1"/>
  <c r="K673" i="1"/>
  <c r="K672" i="1"/>
  <c r="K671" i="1"/>
  <c r="K670" i="1"/>
  <c r="K669" i="1"/>
  <c r="K668" i="1"/>
  <c r="K667" i="1"/>
  <c r="K666" i="1"/>
  <c r="K665" i="1"/>
  <c r="K5923" i="1"/>
  <c r="K5922" i="1"/>
  <c r="K5921" i="1"/>
  <c r="K5920" i="1"/>
  <c r="K5919" i="1"/>
  <c r="K5918" i="1"/>
  <c r="K5917" i="1"/>
  <c r="K5916" i="1"/>
  <c r="K6112" i="1"/>
  <c r="K6111" i="1"/>
  <c r="K6110" i="1"/>
  <c r="K6109" i="1"/>
  <c r="K6108" i="1"/>
  <c r="K6107" i="1"/>
  <c r="K6106" i="1"/>
  <c r="K6105" i="1"/>
  <c r="K6201" i="1"/>
  <c r="K6200" i="1"/>
  <c r="K6199" i="1"/>
  <c r="K6198" i="1"/>
  <c r="K6197" i="1"/>
  <c r="K6196" i="1"/>
  <c r="K6195" i="1"/>
  <c r="K6194" i="1"/>
  <c r="K6193" i="1"/>
  <c r="K6192" i="1"/>
  <c r="K6191" i="1"/>
  <c r="K6190" i="1"/>
  <c r="K6189" i="1"/>
  <c r="K7926" i="1"/>
  <c r="K7925" i="1"/>
  <c r="K7924" i="1"/>
  <c r="K7923" i="1"/>
  <c r="K7922" i="1"/>
  <c r="K7921" i="1"/>
  <c r="K7920" i="1"/>
  <c r="K7919" i="1"/>
  <c r="K7918" i="1"/>
  <c r="K7917" i="1"/>
  <c r="K7916" i="1"/>
  <c r="K7915" i="1"/>
  <c r="K7914" i="1"/>
  <c r="K7913" i="1"/>
  <c r="K7912" i="1"/>
  <c r="K7911" i="1"/>
  <c r="K7704" i="1"/>
  <c r="K7703" i="1"/>
  <c r="K7702" i="1"/>
  <c r="K7701" i="1"/>
  <c r="K7700" i="1"/>
  <c r="K7699" i="1"/>
  <c r="K7698" i="1"/>
  <c r="K7697" i="1"/>
  <c r="K7696" i="1"/>
  <c r="K7695" i="1"/>
  <c r="K7694" i="1"/>
  <c r="K7693" i="1"/>
  <c r="K7692" i="1"/>
  <c r="K7691" i="1"/>
  <c r="K7690" i="1"/>
  <c r="K7689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6104" i="1"/>
  <c r="K6103" i="1"/>
  <c r="K6102" i="1"/>
  <c r="K6101" i="1"/>
  <c r="K6100" i="1"/>
  <c r="K6099" i="1"/>
  <c r="K6098" i="1"/>
  <c r="K6097" i="1"/>
  <c r="K5910" i="1"/>
  <c r="K5909" i="1"/>
  <c r="K5908" i="1"/>
  <c r="K5907" i="1"/>
  <c r="K4321" i="1"/>
  <c r="K4320" i="1"/>
  <c r="K4319" i="1"/>
  <c r="K4318" i="1"/>
  <c r="K4317" i="1"/>
  <c r="K4316" i="1"/>
  <c r="K4315" i="1"/>
  <c r="K4314" i="1"/>
  <c r="K4313" i="1"/>
  <c r="K4312" i="1"/>
  <c r="K4311" i="1"/>
  <c r="K4310" i="1"/>
  <c r="K4309" i="1"/>
  <c r="K4308" i="1"/>
  <c r="K4307" i="1"/>
  <c r="K4306" i="1"/>
  <c r="K4305" i="1"/>
  <c r="K4304" i="1"/>
  <c r="K4303" i="1"/>
  <c r="K4302" i="1"/>
  <c r="K4301" i="1"/>
  <c r="K4300" i="1"/>
  <c r="M1048" i="1" l="1"/>
  <c r="M7392" i="1"/>
  <c r="M2403" i="1"/>
  <c r="M3743" i="1"/>
  <c r="M1820" i="1"/>
  <c r="M2194" i="1"/>
  <c r="M2183" i="1"/>
  <c r="M3739" i="1"/>
  <c r="M2193" i="1"/>
  <c r="M1819" i="1"/>
  <c r="M5477" i="1"/>
  <c r="M5133" i="1"/>
  <c r="M1818" i="1"/>
  <c r="M243" i="1"/>
  <c r="M7389" i="1"/>
  <c r="M7393" i="1"/>
  <c r="M2404" i="1"/>
  <c r="M2412" i="1"/>
  <c r="M1237" i="1"/>
  <c r="M911" i="1"/>
  <c r="M5788" i="1"/>
  <c r="M4188" i="1"/>
  <c r="M2188" i="1"/>
  <c r="M2192" i="1"/>
  <c r="M1740" i="1"/>
  <c r="M1124" i="1"/>
  <c r="M3016" i="1"/>
  <c r="M6050" i="1"/>
  <c r="M6054" i="1"/>
  <c r="M2064" i="1"/>
  <c r="M5781" i="1"/>
  <c r="M6" i="1"/>
  <c r="M8139" i="1"/>
  <c r="M6049" i="1"/>
  <c r="M6052" i="1"/>
  <c r="M6056" i="1"/>
  <c r="M5412" i="1"/>
  <c r="M4187" i="1"/>
  <c r="M4191" i="1"/>
  <c r="M914" i="1"/>
  <c r="M918" i="1"/>
  <c r="M1047" i="1"/>
  <c r="M7387" i="1"/>
  <c r="M2406" i="1"/>
  <c r="M1235" i="1"/>
  <c r="M6633" i="1"/>
  <c r="M5778" i="1"/>
  <c r="M5782" i="1"/>
  <c r="M917" i="1"/>
  <c r="M244" i="1"/>
  <c r="M1046" i="1"/>
  <c r="M2405" i="1"/>
  <c r="M2409" i="1"/>
  <c r="M1238" i="1"/>
  <c r="M6195" i="1"/>
  <c r="M6199" i="1"/>
  <c r="M8229" i="1"/>
  <c r="M7377" i="1"/>
  <c r="M7379" i="1"/>
  <c r="M3921" i="1"/>
  <c r="M3923" i="1"/>
  <c r="M3925" i="1"/>
  <c r="M679" i="1"/>
  <c r="M126" i="1"/>
  <c r="M128" i="1"/>
  <c r="M130" i="1"/>
  <c r="M6884" i="1"/>
  <c r="M6888" i="1"/>
  <c r="M1436" i="1"/>
  <c r="M506" i="1"/>
  <c r="M326" i="1"/>
  <c r="M328" i="1"/>
  <c r="M3738" i="1"/>
  <c r="M1523" i="1"/>
  <c r="M3081" i="1"/>
  <c r="M3083" i="1"/>
  <c r="M4515" i="1"/>
  <c r="M4521" i="1"/>
  <c r="M4523" i="1"/>
  <c r="M4525" i="1"/>
  <c r="M485" i="1"/>
  <c r="M487" i="1"/>
  <c r="M3645" i="1"/>
  <c r="M3647" i="1"/>
  <c r="M7706" i="1"/>
  <c r="M7708" i="1"/>
  <c r="M3936" i="1"/>
  <c r="M3940" i="1"/>
  <c r="M3942" i="1"/>
  <c r="M3944" i="1"/>
  <c r="M3946" i="1"/>
  <c r="M3314" i="1"/>
  <c r="M3316" i="1"/>
  <c r="M5805" i="1"/>
  <c r="M25" i="1"/>
  <c r="M27" i="1"/>
  <c r="M35" i="1"/>
  <c r="M7269" i="1"/>
  <c r="M7271" i="1"/>
  <c r="M7273" i="1"/>
  <c r="M1131" i="1"/>
  <c r="M1986" i="1"/>
  <c r="M7545" i="1"/>
  <c r="M7547" i="1"/>
  <c r="M923" i="1"/>
  <c r="M5554" i="1"/>
  <c r="M1136" i="1"/>
  <c r="M1138" i="1"/>
  <c r="M6380" i="1"/>
  <c r="M777" i="1"/>
  <c r="M781" i="1"/>
  <c r="M3060" i="1"/>
  <c r="M2809" i="1"/>
  <c r="M3104" i="1"/>
  <c r="M7917" i="1"/>
  <c r="M7919" i="1"/>
  <c r="M6191" i="1"/>
  <c r="M1804" i="1"/>
  <c r="M1240" i="1"/>
  <c r="M1242" i="1"/>
  <c r="M5331" i="1"/>
  <c r="M5335" i="1"/>
  <c r="M5337" i="1"/>
  <c r="M5339" i="1"/>
  <c r="M1221" i="1"/>
  <c r="M7920" i="1"/>
  <c r="M7922" i="1"/>
  <c r="M7926" i="1"/>
  <c r="M6190" i="1"/>
  <c r="M6194" i="1"/>
  <c r="M8228" i="1"/>
  <c r="M8232" i="1"/>
  <c r="M7378" i="1"/>
  <c r="M7380" i="1"/>
  <c r="M7382" i="1"/>
  <c r="M451" i="1"/>
  <c r="M3918" i="1"/>
  <c r="M3926" i="1"/>
  <c r="M133" i="1"/>
  <c r="M135" i="1"/>
  <c r="M6883" i="1"/>
  <c r="M1437" i="1"/>
  <c r="M1439" i="1"/>
  <c r="M329" i="1"/>
  <c r="M5430" i="1"/>
  <c r="M5436" i="1"/>
  <c r="M1524" i="1"/>
  <c r="M1526" i="1"/>
  <c r="M3082" i="1"/>
  <c r="M3084" i="1"/>
  <c r="M6438" i="1"/>
  <c r="M6440" i="1"/>
  <c r="M6444" i="1"/>
  <c r="M4518" i="1"/>
  <c r="M4522" i="1"/>
  <c r="M6784" i="1"/>
  <c r="M482" i="1"/>
  <c r="M7124" i="1"/>
  <c r="M7126" i="1"/>
  <c r="M7128" i="1"/>
  <c r="M3937" i="1"/>
  <c r="M3939" i="1"/>
  <c r="M3941" i="1"/>
  <c r="M3943" i="1"/>
  <c r="M3945" i="1"/>
  <c r="M3947" i="1"/>
  <c r="M3311" i="1"/>
  <c r="M3313" i="1"/>
  <c r="M3315" i="1"/>
  <c r="M5804" i="1"/>
  <c r="M22" i="1"/>
  <c r="M24" i="1"/>
  <c r="M26" i="1"/>
  <c r="M28" i="1"/>
  <c r="M34" i="1"/>
  <c r="M36" i="1"/>
  <c r="M7270" i="1"/>
  <c r="M1132" i="1"/>
  <c r="M1134" i="1"/>
  <c r="M1987" i="1"/>
  <c r="M7546" i="1"/>
  <c r="M7548" i="1"/>
  <c r="M922" i="1"/>
  <c r="M5553" i="1"/>
  <c r="M5555" i="1"/>
  <c r="M778" i="1"/>
  <c r="M338" i="1"/>
  <c r="M344" i="1"/>
  <c r="M346" i="1"/>
  <c r="M7793" i="1"/>
  <c r="M7351" i="1"/>
  <c r="M4306" i="1"/>
  <c r="M1654" i="1"/>
  <c r="M1979" i="1"/>
  <c r="M7694" i="1"/>
  <c r="M7899" i="1"/>
  <c r="M6360" i="1"/>
  <c r="M6362" i="1"/>
  <c r="M5237" i="1"/>
  <c r="M5241" i="1"/>
  <c r="M7130" i="1"/>
  <c r="M7134" i="1"/>
  <c r="M8130" i="1"/>
  <c r="M8134" i="1"/>
  <c r="M250" i="1"/>
  <c r="M7710" i="1"/>
  <c r="M7712" i="1"/>
  <c r="M7720" i="1"/>
  <c r="M7401" i="1"/>
  <c r="M1660" i="1"/>
  <c r="M7480" i="1"/>
  <c r="M3317" i="1"/>
  <c r="M3327" i="1"/>
  <c r="M6072" i="1"/>
  <c r="M3633" i="1"/>
  <c r="M4183" i="1"/>
  <c r="M5025" i="1"/>
  <c r="M7263" i="1"/>
  <c r="M7268" i="1"/>
  <c r="M1980" i="1"/>
  <c r="M6995" i="1"/>
  <c r="M8234" i="1"/>
  <c r="M6628" i="1"/>
  <c r="M1519" i="1"/>
  <c r="M140" i="1"/>
  <c r="M245" i="1"/>
  <c r="M5888" i="1"/>
  <c r="M31" i="1"/>
  <c r="M6515" i="1"/>
  <c r="M2618" i="1"/>
  <c r="M6881" i="1"/>
  <c r="M4453" i="1"/>
  <c r="M317" i="1"/>
  <c r="M2065" i="1"/>
  <c r="M8141" i="1"/>
  <c r="M6207" i="1"/>
  <c r="M8127" i="1"/>
  <c r="M8133" i="1"/>
  <c r="M253" i="1"/>
  <c r="M7933" i="1"/>
  <c r="M7394" i="1"/>
  <c r="M7404" i="1"/>
  <c r="M1655" i="1"/>
  <c r="M3352" i="1"/>
  <c r="M3356" i="1"/>
  <c r="M3318" i="1"/>
  <c r="M3324" i="1"/>
  <c r="M1368" i="1"/>
  <c r="M489" i="1"/>
  <c r="M4185" i="1"/>
  <c r="M7259" i="1"/>
  <c r="M7264" i="1"/>
  <c r="M7532" i="1"/>
  <c r="M1743" i="1"/>
  <c r="M4875" i="1"/>
  <c r="M4086" i="1"/>
  <c r="M3730" i="1"/>
  <c r="M7916" i="1"/>
  <c r="M8120" i="1"/>
  <c r="M7918" i="1"/>
  <c r="M447" i="1"/>
  <c r="M7924" i="1"/>
  <c r="M572" i="1"/>
  <c r="M6192" i="1"/>
  <c r="M4082" i="1"/>
  <c r="M6196" i="1"/>
  <c r="M5620" i="1"/>
  <c r="M6198" i="1"/>
  <c r="M2343" i="1"/>
  <c r="M8230" i="1"/>
  <c r="M3028" i="1"/>
  <c r="M6051" i="1"/>
  <c r="M5330" i="1"/>
  <c r="M6053" i="1"/>
  <c r="M2173" i="1"/>
  <c r="M6055" i="1"/>
  <c r="M3832" i="1"/>
  <c r="M3069" i="1"/>
  <c r="M6627" i="1"/>
  <c r="M3071" i="1"/>
  <c r="M5030" i="1"/>
  <c r="M3920" i="1"/>
  <c r="M567" i="1"/>
  <c r="M3922" i="1"/>
  <c r="M4743" i="1"/>
  <c r="M3924" i="1"/>
  <c r="M773" i="1"/>
  <c r="M5780" i="1"/>
  <c r="M5784" i="1"/>
  <c r="M1978" i="1"/>
  <c r="M5786" i="1"/>
  <c r="M2504" i="1"/>
  <c r="M5790" i="1"/>
  <c r="M8237" i="1"/>
  <c r="M5792" i="1"/>
  <c r="M4512" i="1"/>
  <c r="M3014" i="1"/>
  <c r="M8119" i="1"/>
  <c r="M3015" i="1"/>
  <c r="M7913" i="1"/>
  <c r="M4186" i="1"/>
  <c r="M6621" i="1"/>
  <c r="M4190" i="1"/>
  <c r="M1742" i="1"/>
  <c r="M2287" i="1"/>
  <c r="M6876" i="1"/>
  <c r="M2289" i="1"/>
  <c r="M320" i="1"/>
  <c r="M5551" i="1"/>
  <c r="M449" i="1"/>
  <c r="M678" i="1"/>
  <c r="M7256" i="1"/>
  <c r="M680" i="1"/>
  <c r="M7535" i="1"/>
  <c r="M127" i="1"/>
  <c r="M564" i="1"/>
  <c r="M129" i="1"/>
  <c r="M3828" i="1"/>
  <c r="M131" i="1"/>
  <c r="M4091" i="1"/>
  <c r="M2182" i="1"/>
  <c r="M6626" i="1"/>
  <c r="M909" i="1"/>
  <c r="M4184" i="1"/>
  <c r="M913" i="1"/>
  <c r="M565" i="1"/>
  <c r="M915" i="1"/>
  <c r="M322" i="1"/>
  <c r="M919" i="1"/>
  <c r="M5250" i="1"/>
  <c r="M6885" i="1"/>
  <c r="M1027" i="1"/>
  <c r="M6887" i="1"/>
  <c r="M2788" i="1"/>
  <c r="M1435" i="1"/>
  <c r="M7902" i="1"/>
  <c r="M3827" i="1"/>
  <c r="M505" i="1"/>
  <c r="M2345" i="1"/>
  <c r="M325" i="1"/>
  <c r="M8121" i="1"/>
  <c r="M327" i="1"/>
  <c r="M7703" i="1"/>
  <c r="M5432" i="1"/>
  <c r="M4736" i="1"/>
  <c r="M5434" i="1"/>
  <c r="M3080" i="1"/>
  <c r="M1822" i="1"/>
  <c r="M7530" i="1"/>
  <c r="M2791" i="1"/>
  <c r="M4729" i="1"/>
  <c r="M2793" i="1"/>
  <c r="M2795" i="1"/>
  <c r="M1518" i="1"/>
  <c r="M1222" i="1"/>
  <c r="M4510" i="1"/>
  <c r="M3737" i="1"/>
  <c r="M7109" i="1"/>
  <c r="M1522" i="1"/>
  <c r="M1528" i="1"/>
  <c r="M5247" i="1"/>
  <c r="M6442" i="1"/>
  <c r="M1816" i="1"/>
  <c r="M4514" i="1"/>
  <c r="M7115" i="1"/>
  <c r="M4516" i="1"/>
  <c r="M4307" i="1"/>
  <c r="M4520" i="1"/>
  <c r="M3349" i="1"/>
  <c r="M4524" i="1"/>
  <c r="M5329" i="1"/>
  <c r="M4526" i="1"/>
  <c r="M6782" i="1"/>
  <c r="M3076" i="1"/>
  <c r="M484" i="1"/>
  <c r="M3629" i="1"/>
  <c r="M486" i="1"/>
  <c r="M8227" i="1"/>
  <c r="M488" i="1"/>
  <c r="M4030" i="1"/>
  <c r="M7122" i="1"/>
  <c r="M6877" i="1"/>
  <c r="M700" i="1"/>
  <c r="M770" i="1"/>
  <c r="M6503" i="1"/>
  <c r="M1198" i="1"/>
  <c r="M246" i="1"/>
  <c r="M2583" i="1"/>
  <c r="M3646" i="1"/>
  <c r="M7460" i="1"/>
  <c r="M3648" i="1"/>
  <c r="M6522" i="1"/>
  <c r="M7705" i="1"/>
  <c r="M1746" i="1"/>
  <c r="M7707" i="1"/>
  <c r="M2509" i="1"/>
  <c r="M1050" i="1"/>
  <c r="M6519" i="1"/>
  <c r="M7390" i="1"/>
  <c r="M1753" i="1"/>
  <c r="M2080" i="1"/>
  <c r="M7107" i="1"/>
  <c r="M2086" i="1"/>
  <c r="M4044" i="1"/>
  <c r="M7921" i="1"/>
  <c r="M3026" i="1"/>
  <c r="M7923" i="1"/>
  <c r="M7538" i="1"/>
  <c r="M7925" i="1"/>
  <c r="M2169" i="1"/>
  <c r="M6189" i="1"/>
  <c r="M4745" i="1"/>
  <c r="M6193" i="1"/>
  <c r="M4868" i="1"/>
  <c r="M6197" i="1"/>
  <c r="M2337" i="1"/>
  <c r="M8231" i="1"/>
  <c r="M7529" i="1"/>
  <c r="M7381" i="1"/>
  <c r="M3727" i="1"/>
  <c r="M7383" i="1"/>
  <c r="M3049" i="1"/>
  <c r="M6634" i="1"/>
  <c r="M2785" i="1"/>
  <c r="M8033" i="1"/>
  <c r="M3070" i="1"/>
  <c r="M5886" i="1"/>
  <c r="M3917" i="1"/>
  <c r="M7265" i="1"/>
  <c r="M3919" i="1"/>
  <c r="M7537" i="1"/>
  <c r="M3927" i="1"/>
  <c r="M3728" i="1"/>
  <c r="M5779" i="1"/>
  <c r="M7700" i="1"/>
  <c r="M5783" i="1"/>
  <c r="M4031" i="1"/>
  <c r="M5785" i="1"/>
  <c r="M1744" i="1"/>
  <c r="M5787" i="1"/>
  <c r="M759" i="1"/>
  <c r="M5789" i="1"/>
  <c r="M1206" i="1"/>
  <c r="M5791" i="1"/>
  <c r="M143" i="1"/>
  <c r="M4189" i="1"/>
  <c r="M4037" i="1"/>
  <c r="M2288" i="1"/>
  <c r="M765" i="1"/>
  <c r="M5550" i="1"/>
  <c r="M7472" i="1"/>
  <c r="M5552" i="1"/>
  <c r="M6510" i="1"/>
  <c r="M132" i="1"/>
  <c r="M318" i="1"/>
  <c r="M134" i="1"/>
  <c r="M1805" i="1"/>
  <c r="M2181" i="1"/>
  <c r="M908" i="1"/>
  <c r="M3348" i="1"/>
  <c r="M910" i="1"/>
  <c r="M7260" i="1"/>
  <c r="M912" i="1"/>
  <c r="M5549" i="1"/>
  <c r="M916" i="1"/>
  <c r="M4881" i="1"/>
  <c r="M6886" i="1"/>
  <c r="M3347" i="1"/>
  <c r="M1438" i="1"/>
  <c r="M7903" i="1"/>
  <c r="M768" i="1"/>
  <c r="M504" i="1"/>
  <c r="M4872" i="1"/>
  <c r="M5429" i="1"/>
  <c r="M5884" i="1"/>
  <c r="M5431" i="1"/>
  <c r="M5433" i="1"/>
  <c r="M5435" i="1"/>
  <c r="M2340" i="1"/>
  <c r="M1817" i="1"/>
  <c r="M7702" i="1"/>
  <c r="M1821" i="1"/>
  <c r="M4032" i="1"/>
  <c r="M2790" i="1"/>
  <c r="M2170" i="1"/>
  <c r="M2794" i="1"/>
  <c r="M4876" i="1"/>
  <c r="M1223" i="1"/>
  <c r="M1525" i="1"/>
  <c r="M7262" i="1"/>
  <c r="M3823" i="1"/>
  <c r="M6437" i="1"/>
  <c r="M4042" i="1"/>
  <c r="M6439" i="1"/>
  <c r="M2165" i="1"/>
  <c r="M6441" i="1"/>
  <c r="M6880" i="1"/>
  <c r="M6443" i="1"/>
  <c r="M8233" i="1"/>
  <c r="M6445" i="1"/>
  <c r="M146" i="1"/>
  <c r="M4517" i="1"/>
  <c r="M3628" i="1"/>
  <c r="M4519" i="1"/>
  <c r="M1028" i="1"/>
  <c r="M6781" i="1"/>
  <c r="M1199" i="1"/>
  <c r="M6783" i="1"/>
  <c r="M481" i="1"/>
  <c r="M7118" i="1"/>
  <c r="M483" i="1"/>
  <c r="M4308" i="1"/>
  <c r="M7121" i="1"/>
  <c r="M1976" i="1"/>
  <c r="M7123" i="1"/>
  <c r="M764" i="1"/>
  <c r="M7125" i="1"/>
  <c r="M1810" i="1"/>
  <c r="M7127" i="1"/>
  <c r="M5242" i="1"/>
  <c r="M699" i="1"/>
  <c r="M1722" i="1"/>
  <c r="M6502" i="1"/>
  <c r="M324" i="1"/>
  <c r="M3649" i="1"/>
  <c r="M4043" i="1"/>
  <c r="M1049" i="1"/>
  <c r="M3339" i="1"/>
  <c r="M7391" i="1"/>
  <c r="M2081" i="1"/>
  <c r="M7119" i="1"/>
  <c r="M7473" i="1"/>
  <c r="M1748" i="1"/>
  <c r="M7476" i="1"/>
  <c r="M5613" i="1"/>
  <c r="M30" i="1"/>
  <c r="M5325" i="1"/>
  <c r="M32" i="1"/>
  <c r="M2176" i="1"/>
  <c r="M7272" i="1"/>
  <c r="M4513" i="1"/>
  <c r="M2411" i="1"/>
  <c r="M7539" i="1"/>
  <c r="M1234" i="1"/>
  <c r="M3830" i="1"/>
  <c r="M1236" i="1"/>
  <c r="M4094" i="1"/>
  <c r="M2184" i="1"/>
  <c r="M8117" i="1"/>
  <c r="M2186" i="1"/>
  <c r="M7696" i="1"/>
  <c r="M2196" i="1"/>
  <c r="M5619" i="1"/>
  <c r="M7722" i="1"/>
  <c r="M2344" i="1"/>
  <c r="M6230" i="1"/>
  <c r="M6516" i="1"/>
  <c r="M6232" i="1"/>
  <c r="M3825" i="1"/>
  <c r="M3375" i="1"/>
  <c r="M8112" i="1"/>
  <c r="M5694" i="1"/>
  <c r="M3340" i="1"/>
  <c r="M3223" i="1"/>
  <c r="M3548" i="1"/>
  <c r="M3351" i="1"/>
  <c r="M3556" i="1"/>
  <c r="M2502" i="1"/>
  <c r="M1139" i="1"/>
  <c r="M4088" i="1"/>
  <c r="M1141" i="1"/>
  <c r="M4509" i="1"/>
  <c r="M5344" i="1"/>
  <c r="M7697" i="1"/>
  <c r="M3054" i="1"/>
  <c r="M2526" i="1"/>
  <c r="M5034" i="1"/>
  <c r="M2530" i="1"/>
  <c r="M4097" i="1"/>
  <c r="M6394" i="1"/>
  <c r="M4041" i="1"/>
  <c r="M794" i="1"/>
  <c r="M2178" i="1"/>
  <c r="M800" i="1"/>
  <c r="M2592" i="1"/>
  <c r="M5460" i="1"/>
  <c r="M8116" i="1"/>
  <c r="M5466" i="1"/>
  <c r="M3343" i="1"/>
  <c r="M5468" i="1"/>
  <c r="M6523" i="1"/>
  <c r="M1551" i="1"/>
  <c r="M5882" i="1"/>
  <c r="M1557" i="1"/>
  <c r="M2174" i="1"/>
  <c r="M3748" i="1"/>
  <c r="M3824" i="1"/>
  <c r="M3750" i="1"/>
  <c r="M4092" i="1"/>
  <c r="M3752" i="1"/>
  <c r="M1807" i="1"/>
  <c r="M3758" i="1"/>
  <c r="M2347" i="1"/>
  <c r="M2091" i="1"/>
  <c r="M3050" i="1"/>
  <c r="M7817" i="1"/>
  <c r="M7698" i="1"/>
  <c r="M7819" i="1"/>
  <c r="M6509" i="1"/>
  <c r="M7821" i="1"/>
  <c r="M4093" i="1"/>
  <c r="M7823" i="1"/>
  <c r="M3729" i="1"/>
  <c r="M2370" i="1"/>
  <c r="M4095" i="1"/>
  <c r="M2615" i="1"/>
  <c r="M2617" i="1"/>
  <c r="M1750" i="1"/>
  <c r="M2619" i="1"/>
  <c r="M3833" i="1"/>
  <c r="M5976" i="1"/>
  <c r="M5885" i="1"/>
  <c r="M1068" i="1"/>
  <c r="M2296" i="1"/>
  <c r="M713" i="1"/>
  <c r="M3731" i="1"/>
  <c r="M6671" i="1"/>
  <c r="M7701" i="1"/>
  <c r="M60" i="1"/>
  <c r="M5883" i="1"/>
  <c r="M62" i="1"/>
  <c r="M3025" i="1"/>
  <c r="M66" i="1"/>
  <c r="M1811" i="1"/>
  <c r="M5072" i="1"/>
  <c r="M315" i="1"/>
  <c r="M5074" i="1"/>
  <c r="M1803" i="1"/>
  <c r="M5078" i="1"/>
  <c r="M4508" i="1"/>
  <c r="M4454" i="1"/>
  <c r="M448" i="1"/>
  <c r="M7035" i="1"/>
  <c r="M321" i="1"/>
  <c r="M2442" i="1"/>
  <c r="M6514" i="1"/>
  <c r="M2444" i="1"/>
  <c r="M7542" i="1"/>
  <c r="M1271" i="1"/>
  <c r="M2168" i="1"/>
  <c r="M1729" i="1"/>
  <c r="M2342" i="1"/>
  <c r="M1731" i="1"/>
  <c r="M3052" i="1"/>
  <c r="M5353" i="1"/>
  <c r="M3341" i="1"/>
  <c r="M5357" i="1"/>
  <c r="M2180" i="1"/>
  <c r="M5359" i="1"/>
  <c r="M4089" i="1"/>
  <c r="M3476" i="1"/>
  <c r="M7540" i="1"/>
  <c r="M602" i="1"/>
  <c r="M6874" i="1"/>
  <c r="M604" i="1"/>
  <c r="M4085" i="1"/>
  <c r="M5161" i="1"/>
  <c r="M4039" i="1"/>
  <c r="M5171" i="1"/>
  <c r="M5617" i="1"/>
  <c r="M1465" i="1"/>
  <c r="M1520" i="1"/>
  <c r="M8173" i="1"/>
  <c r="M7915" i="1"/>
  <c r="M4132" i="1"/>
  <c r="M1806" i="1"/>
  <c r="M4136" i="1"/>
  <c r="M4506" i="1"/>
  <c r="M539" i="1"/>
  <c r="M3342" i="1"/>
  <c r="M1562" i="1"/>
  <c r="M1024" i="1"/>
  <c r="M1568" i="1"/>
  <c r="M4040" i="1"/>
  <c r="M714" i="1"/>
  <c r="M1747" i="1"/>
  <c r="M716" i="1"/>
  <c r="M4096" i="1"/>
  <c r="M4621" i="1"/>
  <c r="M1208" i="1"/>
  <c r="M2096" i="1"/>
  <c r="M3735" i="1"/>
  <c r="M7832" i="1"/>
  <c r="M8113" i="1"/>
  <c r="M7838" i="1"/>
  <c r="M6512" i="1"/>
  <c r="M6850" i="1"/>
  <c r="M7911" i="1"/>
  <c r="M2627" i="1"/>
  <c r="M6525" i="1"/>
  <c r="M720" i="1"/>
  <c r="M1025" i="1"/>
  <c r="M722" i="1"/>
  <c r="M5033" i="1"/>
  <c r="M3395" i="1"/>
  <c r="M5771" i="1"/>
  <c r="M3401" i="1"/>
  <c r="M4098" i="1"/>
  <c r="M7051" i="1"/>
  <c r="M2381" i="1"/>
  <c r="M4963" i="1"/>
  <c r="M1723" i="1"/>
  <c r="M5393" i="1"/>
  <c r="M7912" i="1"/>
  <c r="M3479" i="1"/>
  <c r="M450" i="1"/>
  <c r="M3483" i="1"/>
  <c r="M5328" i="1"/>
  <c r="M3487" i="1"/>
  <c r="M6875" i="1"/>
  <c r="M2239" i="1"/>
  <c r="M4036" i="1"/>
  <c r="M2348" i="1"/>
  <c r="M1584" i="1"/>
  <c r="M1521" i="1"/>
  <c r="M1739" i="1"/>
  <c r="M752" i="1"/>
  <c r="M584" i="1"/>
  <c r="M1426" i="1"/>
  <c r="M6375" i="1"/>
  <c r="M1017" i="1"/>
  <c r="M4909" i="1"/>
  <c r="M1220" i="1"/>
  <c r="M5628" i="1"/>
  <c r="M1121" i="1"/>
  <c r="M695" i="1"/>
  <c r="M108" i="1"/>
  <c r="M6057" i="1"/>
  <c r="M903" i="1"/>
  <c r="M581" i="1"/>
  <c r="M119" i="1"/>
  <c r="M509" i="1"/>
  <c r="M901" i="1"/>
  <c r="M5452" i="1"/>
  <c r="M242" i="1"/>
  <c r="M6464" i="1"/>
  <c r="M462" i="1"/>
  <c r="M464" i="1"/>
  <c r="M466" i="1"/>
  <c r="M468" i="1"/>
  <c r="M1762" i="1"/>
  <c r="M470" i="1"/>
  <c r="M6529" i="1"/>
  <c r="M472" i="1"/>
  <c r="M7590" i="1"/>
  <c r="M474" i="1"/>
  <c r="M7099" i="1"/>
  <c r="M7101" i="1"/>
  <c r="M518" i="1"/>
  <c r="M7103" i="1"/>
  <c r="M5453" i="1"/>
  <c r="M6489" i="1"/>
  <c r="M6491" i="1"/>
  <c r="M7344" i="1"/>
  <c r="M6493" i="1"/>
  <c r="M6495" i="1"/>
  <c r="M7583" i="1"/>
  <c r="M6497" i="1"/>
  <c r="M6499" i="1"/>
  <c r="M4753" i="1"/>
  <c r="M6501" i="1"/>
  <c r="M7354" i="1"/>
  <c r="M4301" i="1"/>
  <c r="M8257" i="1"/>
  <c r="M4303" i="1"/>
  <c r="M6459" i="1"/>
  <c r="M4305" i="1"/>
  <c r="M7358" i="1"/>
  <c r="M5909" i="1"/>
  <c r="M6097" i="1"/>
  <c r="M5051" i="1"/>
  <c r="M6099" i="1"/>
  <c r="M5416" i="1"/>
  <c r="M6101" i="1"/>
  <c r="M6103" i="1"/>
  <c r="M3622" i="1"/>
  <c r="M5686" i="1"/>
  <c r="M3624" i="1"/>
  <c r="M8041" i="1"/>
  <c r="M3626" i="1"/>
  <c r="M6806" i="1"/>
  <c r="M6201" i="1"/>
  <c r="M6106" i="1"/>
  <c r="M6108" i="1"/>
  <c r="M2402" i="1"/>
  <c r="M6110" i="1"/>
  <c r="M6112" i="1"/>
  <c r="M6893" i="1"/>
  <c r="M5917" i="1"/>
  <c r="M4102" i="1"/>
  <c r="M5919" i="1"/>
  <c r="M3089" i="1"/>
  <c r="M5921" i="1"/>
  <c r="M7800" i="1"/>
  <c r="M5923" i="1"/>
  <c r="M6803" i="1"/>
  <c r="M7384" i="1"/>
  <c r="M692" i="1"/>
  <c r="M7386" i="1"/>
  <c r="M8021" i="1"/>
  <c r="M7002" i="1"/>
  <c r="M8023" i="1"/>
  <c r="M152" i="1"/>
  <c r="M8025" i="1"/>
  <c r="M6377" i="1"/>
  <c r="M8027" i="1"/>
  <c r="M4883" i="1"/>
  <c r="M8029" i="1"/>
  <c r="M8250" i="1"/>
  <c r="M8031" i="1"/>
  <c r="M4533" i="1"/>
  <c r="M6620" i="1"/>
  <c r="M5564" i="1"/>
  <c r="M2066" i="1"/>
  <c r="M693" i="1"/>
  <c r="M2068" i="1"/>
  <c r="M2070" i="1"/>
  <c r="M1663" i="1"/>
  <c r="M2072" i="1"/>
  <c r="M675" i="1"/>
  <c r="M6537" i="1"/>
  <c r="M677" i="1"/>
  <c r="M3209" i="1"/>
  <c r="M7457" i="1"/>
  <c r="M7459" i="1"/>
  <c r="M3843" i="1"/>
  <c r="M3298" i="1"/>
  <c r="M1763" i="1"/>
  <c r="M3302" i="1"/>
  <c r="M3304" i="1"/>
  <c r="M3306" i="1"/>
  <c r="M4761" i="1"/>
  <c r="M3308" i="1"/>
  <c r="M3310" i="1"/>
  <c r="M6461" i="1"/>
  <c r="M4181" i="1"/>
  <c r="M3328" i="1"/>
  <c r="M8" i="1"/>
  <c r="M10" i="1"/>
  <c r="M12" i="1"/>
  <c r="M14" i="1"/>
  <c r="M5041" i="1"/>
  <c r="M16" i="1"/>
  <c r="M3205" i="1"/>
  <c r="M18" i="1"/>
  <c r="M160" i="1"/>
  <c r="M20" i="1"/>
  <c r="M4529" i="1"/>
  <c r="M2290" i="1"/>
  <c r="M2292" i="1"/>
  <c r="M2294" i="1"/>
  <c r="M1965" i="1"/>
  <c r="M6077" i="1"/>
  <c r="M1967" i="1"/>
  <c r="M1969" i="1"/>
  <c r="M1971" i="1"/>
  <c r="M4760" i="1"/>
  <c r="M1973" i="1"/>
  <c r="M335" i="1"/>
  <c r="M137" i="1"/>
  <c r="M139" i="1"/>
  <c r="M6636" i="1"/>
  <c r="M555" i="1"/>
  <c r="M557" i="1"/>
  <c r="M7586" i="1"/>
  <c r="M559" i="1"/>
  <c r="M3093" i="1"/>
  <c r="M561" i="1"/>
  <c r="M7803" i="1"/>
  <c r="M563" i="1"/>
  <c r="M5563" i="1"/>
  <c r="M7897" i="1"/>
  <c r="M6118" i="1"/>
  <c r="M7901" i="1"/>
  <c r="M4720" i="1"/>
  <c r="M4722" i="1"/>
  <c r="M4724" i="1"/>
  <c r="M7907" i="1"/>
  <c r="M4726" i="1"/>
  <c r="M6370" i="1"/>
  <c r="M4728" i="1"/>
  <c r="M5454" i="1"/>
  <c r="M6352" i="1"/>
  <c r="M697" i="1"/>
  <c r="M6354" i="1"/>
  <c r="M6356" i="1"/>
  <c r="M2075" i="1"/>
  <c r="M6358" i="1"/>
  <c r="M6364" i="1"/>
  <c r="M4763" i="1"/>
  <c r="M6366" i="1"/>
  <c r="M1447" i="1"/>
  <c r="M6368" i="1"/>
  <c r="M4528" i="1"/>
  <c r="M5437" i="1"/>
  <c r="M688" i="1"/>
  <c r="M5439" i="1"/>
  <c r="M5441" i="1"/>
  <c r="M1666" i="1"/>
  <c r="M4857" i="1"/>
  <c r="M6079" i="1"/>
  <c r="M4859" i="1"/>
  <c r="M4861" i="1"/>
  <c r="M4193" i="1"/>
  <c r="M4863" i="1"/>
  <c r="M4539" i="1"/>
  <c r="M1224" i="1"/>
  <c r="M698" i="1"/>
  <c r="M1226" i="1"/>
  <c r="M1228" i="1"/>
  <c r="M3200" i="1"/>
  <c r="M1230" i="1"/>
  <c r="M585" i="1"/>
  <c r="M1232" i="1"/>
  <c r="M6374" i="1"/>
  <c r="M1029" i="1"/>
  <c r="M4908" i="1"/>
  <c r="M1031" i="1"/>
  <c r="M5629" i="1"/>
  <c r="M1529" i="1"/>
  <c r="M1531" i="1"/>
  <c r="M2797" i="1"/>
  <c r="M2799" i="1"/>
  <c r="M2801" i="1"/>
  <c r="M2803" i="1"/>
  <c r="M2805" i="1"/>
  <c r="M3528" i="1"/>
  <c r="M2807" i="1"/>
  <c r="M7013" i="1"/>
  <c r="M5235" i="1"/>
  <c r="M6896" i="1"/>
  <c r="M5239" i="1"/>
  <c r="M1250" i="1"/>
  <c r="M6447" i="1"/>
  <c r="M1755" i="1"/>
  <c r="M6449" i="1"/>
  <c r="M4204" i="1"/>
  <c r="M6451" i="1"/>
  <c r="M5911" i="1"/>
  <c r="M2300" i="1"/>
  <c r="M5913" i="1"/>
  <c r="M2334" i="1"/>
  <c r="M511" i="1"/>
  <c r="M2336" i="1"/>
  <c r="M6786" i="1"/>
  <c r="M6788" i="1"/>
  <c r="M6790" i="1"/>
  <c r="M6076" i="1"/>
  <c r="M6792" i="1"/>
  <c r="M6794" i="1"/>
  <c r="M4911" i="1"/>
  <c r="M6796" i="1"/>
  <c r="M2812" i="1"/>
  <c r="M2578" i="1"/>
  <c r="M6800" i="1"/>
  <c r="M7132" i="1"/>
  <c r="M6059" i="1"/>
  <c r="M8128" i="1"/>
  <c r="M3204" i="1"/>
  <c r="M8132" i="1"/>
  <c r="M336" i="1"/>
  <c r="M8136" i="1"/>
  <c r="M6809" i="1"/>
  <c r="M248" i="1"/>
  <c r="M1665" i="1"/>
  <c r="M252" i="1"/>
  <c r="M2820" i="1"/>
  <c r="M254" i="1"/>
  <c r="M5559" i="1"/>
  <c r="M7714" i="1"/>
  <c r="M7716" i="1"/>
  <c r="M3364" i="1"/>
  <c r="M7718" i="1"/>
  <c r="M7928" i="1"/>
  <c r="M784" i="1"/>
  <c r="M7930" i="1"/>
  <c r="M4886" i="1"/>
  <c r="M7932" i="1"/>
  <c r="M8253" i="1"/>
  <c r="M7934" i="1"/>
  <c r="M6801" i="1"/>
  <c r="M7395" i="1"/>
  <c r="M6117" i="1"/>
  <c r="M7397" i="1"/>
  <c r="M5937" i="1"/>
  <c r="M7399" i="1"/>
  <c r="M7403" i="1"/>
  <c r="M7591" i="1"/>
  <c r="M7405" i="1"/>
  <c r="M1656" i="1"/>
  <c r="M3839" i="1"/>
  <c r="M1658" i="1"/>
  <c r="M7353" i="1"/>
  <c r="M1662" i="1"/>
  <c r="M2352" i="1"/>
  <c r="M7482" i="1"/>
  <c r="M5926" i="1"/>
  <c r="M7484" i="1"/>
  <c r="M6645" i="1"/>
  <c r="M7486" i="1"/>
  <c r="M6534" i="1"/>
  <c r="M3353" i="1"/>
  <c r="M515" i="1"/>
  <c r="M3355" i="1"/>
  <c r="M4889" i="1"/>
  <c r="M3357" i="1"/>
  <c r="M1541" i="1"/>
  <c r="M3359" i="1"/>
  <c r="M6466" i="1"/>
  <c r="M3319" i="1"/>
  <c r="M4199" i="1"/>
  <c r="M3321" i="1"/>
  <c r="M2076" i="1"/>
  <c r="M3323" i="1"/>
  <c r="M3325" i="1"/>
  <c r="M3199" i="1"/>
  <c r="M5038" i="1"/>
  <c r="M8043" i="1"/>
  <c r="M5040" i="1"/>
  <c r="M2606" i="1"/>
  <c r="M7275" i="1"/>
  <c r="M1764" i="1"/>
  <c r="M7277" i="1"/>
  <c r="M7279" i="1"/>
  <c r="M5774" i="1"/>
  <c r="M7281" i="1"/>
  <c r="M7012" i="1"/>
  <c r="M4426" i="1"/>
  <c r="M1446" i="1"/>
  <c r="M4428" i="1"/>
  <c r="M4430" i="1"/>
  <c r="M1252" i="1"/>
  <c r="M4432" i="1"/>
  <c r="M6465" i="1"/>
  <c r="M1239" i="1"/>
  <c r="M3363" i="1"/>
  <c r="M1241" i="1"/>
  <c r="M6539" i="1"/>
  <c r="M1243" i="1"/>
  <c r="M1245" i="1"/>
  <c r="M4757" i="1"/>
  <c r="M4046" i="1"/>
  <c r="M330" i="1"/>
  <c r="M5772" i="1"/>
  <c r="M2823" i="1"/>
  <c r="M1984" i="1"/>
  <c r="M4540" i="1"/>
  <c r="M5332" i="1"/>
  <c r="M5334" i="1"/>
  <c r="M3641" i="1"/>
  <c r="M5336" i="1"/>
  <c r="M5338" i="1"/>
  <c r="M4209" i="1"/>
  <c r="M5340" i="1"/>
  <c r="M6530" i="1"/>
  <c r="M5342" i="1"/>
  <c r="M148" i="1"/>
  <c r="M153" i="1"/>
  <c r="M2199" i="1"/>
  <c r="M1039" i="1"/>
  <c r="M2201" i="1"/>
  <c r="M3931" i="1"/>
  <c r="M1135" i="1"/>
  <c r="M1137" i="1"/>
  <c r="M2512" i="1"/>
  <c r="M3092" i="1"/>
  <c r="M7905" i="1"/>
  <c r="M2518" i="1"/>
  <c r="M5415" i="1"/>
  <c r="M6889" i="1"/>
  <c r="M3085" i="1"/>
  <c r="M5457" i="1"/>
  <c r="M3087" i="1"/>
  <c r="M6468" i="1"/>
  <c r="M6379" i="1"/>
  <c r="M5799" i="1"/>
  <c r="M774" i="1"/>
  <c r="M7587" i="1"/>
  <c r="M776" i="1"/>
  <c r="M516" i="1"/>
  <c r="M780" i="1"/>
  <c r="M8245" i="1"/>
  <c r="M342" i="1"/>
  <c r="M5442" i="1"/>
  <c r="M8254" i="1"/>
  <c r="M5444" i="1"/>
  <c r="M8040" i="1"/>
  <c r="M5446" i="1"/>
  <c r="M6805" i="1"/>
  <c r="M3061" i="1"/>
  <c r="M1037" i="1"/>
  <c r="M3063" i="1"/>
  <c r="M1829" i="1"/>
  <c r="M5414" i="1"/>
  <c r="M1831" i="1"/>
  <c r="M3837" i="1"/>
  <c r="M1833" i="1"/>
  <c r="M332" i="1"/>
  <c r="M1247" i="1"/>
  <c r="M2349" i="1"/>
  <c r="M1542" i="1"/>
  <c r="M7343" i="1"/>
  <c r="M3740" i="1"/>
  <c r="M3742" i="1"/>
  <c r="M576" i="1"/>
  <c r="M3744" i="1"/>
  <c r="M507" i="1"/>
  <c r="M3746" i="1"/>
  <c r="M4891" i="1"/>
  <c r="M2808" i="1"/>
  <c r="M2817" i="1"/>
  <c r="M5634" i="1"/>
  <c r="M1756" i="1"/>
  <c r="M3103" i="1"/>
  <c r="M1759" i="1"/>
  <c r="M7791" i="1"/>
  <c r="M7584" i="1"/>
  <c r="M7795" i="1"/>
  <c r="M4755" i="1"/>
  <c r="M7797" i="1"/>
  <c r="M7799" i="1"/>
  <c r="M5450" i="1"/>
  <c r="M7725" i="1"/>
  <c r="M5632" i="1"/>
  <c r="M5941" i="1"/>
  <c r="M5793" i="1"/>
  <c r="M5943" i="1"/>
  <c r="M6372" i="1"/>
  <c r="M1067" i="1"/>
  <c r="M479" i="1"/>
  <c r="M7411" i="1"/>
  <c r="M8242" i="1"/>
  <c r="M1670" i="1"/>
  <c r="M1040" i="1"/>
  <c r="M1672" i="1"/>
  <c r="M4758" i="1"/>
  <c r="M1674" i="1"/>
  <c r="M5447" i="1"/>
  <c r="M1676" i="1"/>
  <c r="M8035" i="1"/>
  <c r="M1678" i="1"/>
  <c r="M6797" i="1"/>
  <c r="M2915" i="1"/>
  <c r="M696" i="1"/>
  <c r="M2917" i="1"/>
  <c r="M5046" i="1"/>
  <c r="M2919" i="1"/>
  <c r="M1125" i="1"/>
  <c r="M2921" i="1"/>
  <c r="M2511" i="1"/>
  <c r="M2925" i="1"/>
  <c r="M1539" i="1"/>
  <c r="M5063" i="1"/>
  <c r="M5630" i="1"/>
  <c r="M3229" i="1"/>
  <c r="M686" i="1"/>
  <c r="M2416" i="1"/>
  <c r="M6535" i="1"/>
  <c r="M2422" i="1"/>
  <c r="M5458" i="1"/>
  <c r="M2424" i="1"/>
  <c r="M3097" i="1"/>
  <c r="M1151" i="1"/>
  <c r="M921" i="1"/>
  <c r="M1989" i="1"/>
  <c r="M7805" i="1"/>
  <c r="M1991" i="1"/>
  <c r="M5557" i="1"/>
  <c r="M594" i="1"/>
  <c r="M7007" i="1"/>
  <c r="M598" i="1"/>
  <c r="M4894" i="1"/>
  <c r="M600" i="1"/>
  <c r="M2811" i="1"/>
  <c r="M7031" i="1"/>
  <c r="M924" i="1"/>
  <c r="M5143" i="1"/>
  <c r="M6641" i="1"/>
  <c r="M5145" i="1"/>
  <c r="M5798" i="1"/>
  <c r="M5147" i="1"/>
  <c r="M3032" i="1"/>
  <c r="M4765" i="1"/>
  <c r="M1445" i="1"/>
  <c r="M5149" i="1"/>
  <c r="M4100" i="1"/>
  <c r="M6904" i="1"/>
  <c r="M8249" i="1"/>
  <c r="M6906" i="1"/>
  <c r="M6811" i="1"/>
  <c r="M802" i="1"/>
  <c r="M689" i="1"/>
  <c r="M804" i="1"/>
  <c r="M3640" i="1"/>
  <c r="M806" i="1"/>
  <c r="M5931" i="1"/>
  <c r="M7360" i="1"/>
  <c r="M3203" i="1"/>
  <c r="M7362" i="1"/>
  <c r="M2298" i="1"/>
  <c r="M7368" i="1"/>
  <c r="M2598" i="1"/>
  <c r="M2831" i="1"/>
  <c r="M4750" i="1"/>
  <c r="M2833" i="1"/>
  <c r="M7355" i="1"/>
  <c r="M2835" i="1"/>
  <c r="M4904" i="1"/>
  <c r="M2837" i="1"/>
  <c r="M5633" i="1"/>
  <c r="M2839" i="1"/>
  <c r="M6462" i="1"/>
  <c r="M7829" i="1"/>
  <c r="M6215" i="1"/>
  <c r="M6473" i="1"/>
  <c r="M7001" i="1"/>
  <c r="M6475" i="1"/>
  <c r="M154" i="1"/>
  <c r="M4544" i="1"/>
  <c r="M6067" i="1"/>
  <c r="M4546" i="1"/>
  <c r="M7000" i="1"/>
  <c r="M4548" i="1"/>
  <c r="M151" i="1"/>
  <c r="M926" i="1"/>
  <c r="M6638" i="1"/>
  <c r="M928" i="1"/>
  <c r="M790" i="1"/>
  <c r="M932" i="1"/>
  <c r="M8046" i="1"/>
  <c r="M3673" i="1"/>
  <c r="M478" i="1"/>
  <c r="M3675" i="1"/>
  <c r="M5935" i="1"/>
  <c r="M3677" i="1"/>
  <c r="M4210" i="1"/>
  <c r="M6237" i="1"/>
  <c r="M6071" i="1"/>
  <c r="M6239" i="1"/>
  <c r="M6532" i="1"/>
  <c r="M6126" i="1"/>
  <c r="M1076" i="1"/>
  <c r="M5796" i="1"/>
  <c r="M457" i="1"/>
  <c r="M3367" i="1"/>
  <c r="M459" i="1"/>
  <c r="M5050" i="1"/>
  <c r="M461" i="1"/>
  <c r="M3207" i="1"/>
  <c r="M4233" i="1"/>
  <c r="M4890" i="1"/>
  <c r="M4235" i="1"/>
  <c r="M4903" i="1"/>
  <c r="M4237" i="1"/>
  <c r="M8247" i="1"/>
  <c r="M4239" i="1"/>
  <c r="M6467" i="1"/>
  <c r="M5082" i="1"/>
  <c r="M1754" i="1"/>
  <c r="M6561" i="1"/>
  <c r="M7595" i="1"/>
  <c r="M4790" i="1"/>
  <c r="M163" i="1"/>
  <c r="M4792" i="1"/>
  <c r="M5456" i="1"/>
  <c r="M4794" i="1"/>
  <c r="M4531" i="1"/>
  <c r="M7040" i="1"/>
  <c r="M5795" i="1"/>
  <c r="M7042" i="1"/>
  <c r="M3202" i="1"/>
  <c r="M7046" i="1"/>
  <c r="M2513" i="1"/>
  <c r="M7617" i="1"/>
  <c r="M7356" i="1"/>
  <c r="M7619" i="1"/>
  <c r="M4907" i="1"/>
  <c r="M7621" i="1"/>
  <c r="M8037" i="1"/>
  <c r="M7623" i="1"/>
  <c r="M6799" i="1"/>
  <c r="M1277" i="1"/>
  <c r="M6114" i="1"/>
  <c r="M1279" i="1"/>
  <c r="M1035" i="1"/>
  <c r="M1285" i="1"/>
  <c r="M7589" i="1"/>
  <c r="M1287" i="1"/>
  <c r="M156" i="1"/>
  <c r="M1289" i="1"/>
  <c r="M8039" i="1"/>
  <c r="M1291" i="1"/>
  <c r="M4538" i="1"/>
  <c r="M1732" i="1"/>
  <c r="M6065" i="1"/>
  <c r="M3557" i="1"/>
  <c r="M6127" i="1"/>
  <c r="M3569" i="1"/>
  <c r="M2514" i="1"/>
  <c r="M3571" i="1"/>
  <c r="M788" i="1"/>
  <c r="M4064" i="1"/>
  <c r="M2813" i="1"/>
  <c r="M4066" i="1"/>
  <c r="M4535" i="1"/>
  <c r="M5362" i="1"/>
  <c r="M694" i="1"/>
  <c r="M5364" i="1"/>
  <c r="M1537" i="1"/>
  <c r="M609" i="1"/>
  <c r="M6526" i="1"/>
  <c r="M615" i="1"/>
  <c r="M2815" i="1"/>
  <c r="M617" i="1"/>
  <c r="M6455" i="1"/>
  <c r="M267" i="1"/>
  <c r="M2597" i="1"/>
  <c r="M5180" i="1"/>
  <c r="M6639" i="1"/>
  <c r="M4356" i="1"/>
  <c r="M1129" i="1"/>
  <c r="M4358" i="1"/>
  <c r="M1768" i="1"/>
  <c r="M4360" i="1"/>
  <c r="M6894" i="1"/>
  <c r="M4362" i="1"/>
  <c r="M4113" i="1"/>
  <c r="M6211" i="1"/>
  <c r="M1472" i="1"/>
  <c r="M1668" i="1"/>
  <c r="M1474" i="1"/>
  <c r="M1757" i="1"/>
  <c r="M1476" i="1"/>
  <c r="M3531" i="1"/>
  <c r="M1478" i="1"/>
  <c r="M3840" i="1"/>
  <c r="M6399" i="1"/>
  <c r="M4885" i="1"/>
  <c r="M6401" i="1"/>
  <c r="M8252" i="1"/>
  <c r="M4137" i="1"/>
  <c r="M477" i="1"/>
  <c r="M4143" i="1"/>
  <c r="M6068" i="1"/>
  <c r="M367" i="1"/>
  <c r="M4206" i="1"/>
  <c r="M547" i="1"/>
  <c r="M6125" i="1"/>
  <c r="M549" i="1"/>
  <c r="M6635" i="1"/>
  <c r="M1850" i="1"/>
  <c r="M5802" i="1"/>
  <c r="M1852" i="1"/>
  <c r="M920" i="1"/>
  <c r="M2105" i="1"/>
  <c r="M2078" i="1"/>
  <c r="M2113" i="1"/>
  <c r="M4759" i="1"/>
  <c r="M2115" i="1"/>
  <c r="M4895" i="1"/>
  <c r="M2117" i="1"/>
  <c r="M2824" i="1"/>
  <c r="M2845" i="1"/>
  <c r="M2602" i="1"/>
  <c r="M1574" i="1"/>
  <c r="M6648" i="1"/>
  <c r="M1576" i="1"/>
  <c r="M1761" i="1"/>
  <c r="M1578" i="1"/>
  <c r="M1580" i="1"/>
  <c r="M6892" i="1"/>
  <c r="M2376" i="1"/>
  <c r="M4112" i="1"/>
  <c r="M2639" i="1"/>
  <c r="M5932" i="1"/>
  <c r="M2643" i="1"/>
  <c r="M6527" i="1"/>
  <c r="M2647" i="1"/>
  <c r="M580" i="1"/>
  <c r="M195" i="1"/>
  <c r="M3642" i="1"/>
  <c r="M4371" i="1"/>
  <c r="M7593" i="1"/>
  <c r="M3686" i="1"/>
  <c r="M7906" i="1"/>
  <c r="M7747" i="1"/>
  <c r="M2351" i="1"/>
  <c r="M3764" i="1"/>
  <c r="M3366" i="1"/>
  <c r="M3768" i="1"/>
  <c r="M2299" i="1"/>
  <c r="M4250" i="1"/>
  <c r="M514" i="1"/>
  <c r="M4252" i="1"/>
  <c r="M5448" i="1"/>
  <c r="M4256" i="1"/>
  <c r="M5627" i="1"/>
  <c r="M3576" i="1"/>
  <c r="M6064" i="1"/>
  <c r="M3580" i="1"/>
  <c r="M5803" i="1"/>
  <c r="M3582" i="1"/>
  <c r="M158" i="1"/>
  <c r="M1169" i="1"/>
  <c r="M5626" i="1"/>
  <c r="M622" i="1"/>
  <c r="M6078" i="1"/>
  <c r="M282" i="1"/>
  <c r="M4749" i="1"/>
  <c r="M284" i="1"/>
  <c r="M1449" i="1"/>
  <c r="M286" i="1"/>
  <c r="M331" i="1"/>
  <c r="M6302" i="1"/>
  <c r="M1251" i="1"/>
  <c r="M8178" i="1"/>
  <c r="M3643" i="1"/>
  <c r="M8183" i="1"/>
  <c r="M4882" i="1"/>
  <c r="M8184" i="1"/>
  <c r="M8240" i="1"/>
  <c r="M4146" i="1"/>
  <c r="M7801" i="1"/>
  <c r="M4148" i="1"/>
  <c r="M6813" i="1"/>
  <c r="M2122" i="1"/>
  <c r="M6070" i="1"/>
  <c r="M7349" i="1"/>
  <c r="M5277" i="1"/>
  <c r="M157" i="1"/>
  <c r="M2861" i="1"/>
  <c r="M1766" i="1"/>
  <c r="M2863" i="1"/>
  <c r="M3836" i="1"/>
  <c r="M2865" i="1"/>
  <c r="M5625" i="1"/>
  <c r="M1587" i="1"/>
  <c r="M6123" i="1"/>
  <c r="M1589" i="1"/>
  <c r="M4888" i="1"/>
  <c r="M958" i="1"/>
  <c r="M2912" i="1"/>
  <c r="M7104" i="1"/>
  <c r="M7106" i="1"/>
  <c r="M7108" i="1"/>
  <c r="M7110" i="1"/>
  <c r="M7112" i="1"/>
  <c r="M7114" i="1"/>
  <c r="M7117" i="1"/>
  <c r="M3627" i="1"/>
  <c r="M3631" i="1"/>
  <c r="M7690" i="1"/>
  <c r="M7692" i="1"/>
  <c r="M667" i="1"/>
  <c r="M669" i="1"/>
  <c r="M671" i="1"/>
  <c r="M673" i="1"/>
  <c r="M6623" i="1"/>
  <c r="M6625" i="1"/>
  <c r="M7461" i="1"/>
  <c r="M7463" i="1"/>
  <c r="M7466" i="1"/>
  <c r="M7468" i="1"/>
  <c r="M7470" i="1"/>
  <c r="M3337" i="1"/>
  <c r="M4182" i="1"/>
  <c r="M5024" i="1"/>
  <c r="M5026" i="1"/>
  <c r="M5028" i="1"/>
  <c r="M7254" i="1"/>
  <c r="M7258" i="1"/>
  <c r="M7266" i="1"/>
  <c r="M1975" i="1"/>
  <c r="M1981" i="1"/>
  <c r="M7531" i="1"/>
  <c r="M7533" i="1"/>
  <c r="M569" i="1"/>
  <c r="M571" i="1"/>
  <c r="M6993" i="1"/>
  <c r="M6999" i="1"/>
  <c r="M4731" i="1"/>
  <c r="M4733" i="1"/>
  <c r="M4739" i="1"/>
  <c r="M4741" i="1"/>
  <c r="M760" i="1"/>
  <c r="M762" i="1"/>
  <c r="M766" i="1"/>
  <c r="M772" i="1"/>
  <c r="M4084" i="1"/>
  <c r="M4866" i="1"/>
  <c r="M4870" i="1"/>
  <c r="M4874" i="1"/>
  <c r="M4878" i="1"/>
  <c r="M4880" i="1"/>
  <c r="M1197" i="1"/>
  <c r="M1033" i="1"/>
  <c r="M8235" i="1"/>
  <c r="M3072" i="1"/>
  <c r="M3074" i="1"/>
  <c r="M1517" i="1"/>
  <c r="M5243" i="1"/>
  <c r="M5246" i="1"/>
  <c r="M5248" i="1"/>
  <c r="M5608" i="1"/>
  <c r="M5611" i="1"/>
  <c r="M2579" i="1"/>
  <c r="M2581" i="1"/>
  <c r="M2585" i="1"/>
  <c r="M2587" i="1"/>
  <c r="M2589" i="1"/>
  <c r="M8137" i="1"/>
  <c r="M8143" i="1"/>
  <c r="M8145" i="1"/>
  <c r="M682" i="1"/>
  <c r="M684" i="1"/>
  <c r="M255" i="1"/>
  <c r="M4322" i="1"/>
  <c r="M4324" i="1"/>
  <c r="M4326" i="1"/>
  <c r="M4330" i="1"/>
  <c r="M4332" i="1"/>
  <c r="M4334" i="1"/>
  <c r="M4336" i="1"/>
  <c r="M4338" i="1"/>
  <c r="M7935" i="1"/>
  <c r="M7937" i="1"/>
  <c r="M7939" i="1"/>
  <c r="M7941" i="1"/>
  <c r="M6203" i="1"/>
  <c r="M6205" i="1"/>
  <c r="M6209" i="1"/>
  <c r="M6212" i="1"/>
  <c r="M3938" i="1"/>
  <c r="M3948" i="1"/>
  <c r="M2507" i="1"/>
  <c r="M23" i="1"/>
  <c r="M8126" i="1"/>
  <c r="M29" i="1"/>
  <c r="M4034" i="1"/>
  <c r="M33" i="1"/>
  <c r="M2505" i="1"/>
  <c r="M2408" i="1"/>
  <c r="M3344" i="1"/>
  <c r="M3011" i="1"/>
  <c r="M1133" i="1"/>
  <c r="M4038" i="1"/>
  <c r="M7549" i="1"/>
  <c r="M1203" i="1"/>
  <c r="M2191" i="1"/>
  <c r="M2506" i="1"/>
  <c r="M2195" i="1"/>
  <c r="M3733" i="1"/>
  <c r="M2197" i="1"/>
  <c r="M4511" i="1"/>
  <c r="M3652" i="1"/>
  <c r="M8115" i="1"/>
  <c r="M7721" i="1"/>
  <c r="M5612" i="1"/>
  <c r="M6233" i="1"/>
  <c r="M1201" i="1"/>
  <c r="M1066" i="1"/>
  <c r="M3079" i="1"/>
  <c r="M7422" i="1"/>
  <c r="M3056" i="1"/>
  <c r="M5689" i="1"/>
  <c r="M8114" i="1"/>
  <c r="M5053" i="1"/>
  <c r="M1751" i="1"/>
  <c r="M5057" i="1"/>
  <c r="M3078" i="1"/>
  <c r="M38" i="1"/>
  <c r="M8110" i="1"/>
  <c r="M40" i="1"/>
  <c r="M7699" i="1"/>
  <c r="M44" i="1"/>
  <c r="M5326" i="1"/>
  <c r="M52" i="1"/>
  <c r="M5615" i="1"/>
  <c r="M3218" i="1"/>
  <c r="M8111" i="1"/>
  <c r="M3224" i="1"/>
  <c r="M2177" i="1"/>
  <c r="M3226" i="1"/>
  <c r="M5616" i="1"/>
  <c r="M3551" i="1"/>
  <c r="M1653" i="1"/>
  <c r="M2171" i="1"/>
  <c r="M1140" i="1"/>
  <c r="M1205" i="1"/>
  <c r="M5345" i="1"/>
  <c r="M4035" i="1"/>
  <c r="M5349" i="1"/>
  <c r="M2175" i="1"/>
  <c r="M173" i="1"/>
  <c r="M314" i="1"/>
  <c r="M175" i="1"/>
  <c r="M1812" i="1"/>
  <c r="M5139" i="1"/>
  <c r="M2591" i="1"/>
  <c r="M2529" i="1"/>
  <c r="M3013" i="1"/>
  <c r="M6900" i="1"/>
  <c r="M1815" i="1"/>
  <c r="M6393" i="1"/>
  <c r="M6521" i="1"/>
  <c r="M797" i="1"/>
  <c r="M5614" i="1"/>
  <c r="M5461" i="1"/>
  <c r="M8125" i="1"/>
  <c r="M3826" i="1"/>
  <c r="M5471" i="1"/>
  <c r="M3048" i="1"/>
  <c r="M3107" i="1"/>
  <c r="M4045" i="1"/>
  <c r="M1556" i="1"/>
  <c r="M1752" i="1"/>
  <c r="M7816" i="1"/>
  <c r="M8124" i="1"/>
  <c r="M7820" i="1"/>
  <c r="M6878" i="1"/>
  <c r="M7822" i="1"/>
  <c r="M1200" i="1"/>
  <c r="M7826" i="1"/>
  <c r="M3055" i="1"/>
  <c r="M2369" i="1"/>
  <c r="M3829" i="1"/>
  <c r="M2616" i="1"/>
  <c r="M7544" i="1"/>
  <c r="M2620" i="1"/>
  <c r="M2380" i="1"/>
  <c r="M2624" i="1"/>
  <c r="M5618" i="1"/>
  <c r="M3670" i="1"/>
  <c r="M1749" i="1"/>
  <c r="M7974" i="1"/>
  <c r="M2338" i="1"/>
  <c r="M5977" i="1"/>
  <c r="M6513" i="1"/>
  <c r="M1071" i="1"/>
  <c r="M323" i="1"/>
  <c r="M61" i="1"/>
  <c r="M6518" i="1"/>
  <c r="M67" i="1"/>
  <c r="M3732" i="1"/>
  <c r="M69" i="1"/>
  <c r="M145" i="1"/>
  <c r="M4457" i="1"/>
  <c r="M3012" i="1"/>
  <c r="M7032" i="1"/>
  <c r="M3831" i="1"/>
  <c r="M7034" i="1"/>
  <c r="M316" i="1"/>
  <c r="M4937" i="1"/>
  <c r="M6632" i="1"/>
  <c r="M4945" i="1"/>
  <c r="M2297" i="1"/>
  <c r="M6749" i="1"/>
  <c r="M2167" i="1"/>
  <c r="M5421" i="1"/>
  <c r="M4090" i="1"/>
  <c r="M4058" i="1"/>
  <c r="M1808" i="1"/>
  <c r="M5360" i="1"/>
  <c r="M1202" i="1"/>
  <c r="M3467" i="1"/>
  <c r="M7695" i="1"/>
  <c r="M3473" i="1"/>
  <c r="M6520" i="1"/>
  <c r="M5158" i="1"/>
  <c r="M6630" i="1"/>
  <c r="M5160" i="1"/>
  <c r="M6524" i="1"/>
  <c r="M5164" i="1"/>
  <c r="M2508" i="1"/>
  <c r="M5168" i="1"/>
  <c r="M1813" i="1"/>
  <c r="M5174" i="1"/>
  <c r="M3053" i="1"/>
  <c r="M6925" i="1"/>
  <c r="M7704" i="1"/>
  <c r="M8174" i="1"/>
  <c r="M1026" i="1"/>
  <c r="M542" i="1"/>
  <c r="M319" i="1"/>
  <c r="M1565" i="1"/>
  <c r="M5887" i="1"/>
  <c r="M2099" i="1"/>
  <c r="M2346" i="1"/>
  <c r="M7837" i="1"/>
  <c r="M5889" i="1"/>
  <c r="M7841" i="1"/>
  <c r="M7541" i="1"/>
  <c r="M7843" i="1"/>
  <c r="M1814" i="1"/>
  <c r="M6487" i="1"/>
  <c r="M2339" i="1"/>
  <c r="M2630" i="1"/>
  <c r="M1745" i="1"/>
  <c r="M2632" i="1"/>
  <c r="M6879" i="1"/>
  <c r="M721" i="1"/>
  <c r="M3346" i="1"/>
  <c r="M725" i="1"/>
  <c r="M3734" i="1"/>
  <c r="M3396" i="1"/>
  <c r="M5327" i="1"/>
  <c r="M7050" i="1"/>
  <c r="M4087" i="1"/>
  <c r="M7052" i="1"/>
  <c r="M1809" i="1"/>
  <c r="M7639" i="1"/>
  <c r="M4507" i="1"/>
  <c r="M4958" i="1"/>
  <c r="M7914" i="1"/>
  <c r="M4960" i="1"/>
  <c r="M6629" i="1"/>
  <c r="M1733" i="1"/>
  <c r="M144" i="1"/>
  <c r="M3490" i="1"/>
  <c r="M1207" i="1"/>
  <c r="M6417" i="1"/>
  <c r="M5036" i="1"/>
  <c r="M2243" i="1"/>
  <c r="M3736" i="1"/>
  <c r="M2244" i="1"/>
  <c r="M141" i="1"/>
  <c r="M7850" i="1"/>
  <c r="M8122" i="1"/>
  <c r="M1583" i="1"/>
  <c r="M1204" i="1"/>
  <c r="M1585" i="1"/>
  <c r="M142" i="1"/>
  <c r="M1430" i="1"/>
  <c r="M6121" i="1"/>
  <c r="M1425" i="1"/>
  <c r="M1442" i="1"/>
  <c r="M235" i="1"/>
  <c r="M4901" i="1"/>
  <c r="M1367" i="1"/>
  <c r="M3064" i="1"/>
  <c r="M107" i="1"/>
  <c r="M1130" i="1"/>
  <c r="M1514" i="1"/>
  <c r="M4748" i="1"/>
  <c r="M900" i="1"/>
  <c r="M786" i="1"/>
  <c r="M311" i="1"/>
  <c r="M5558" i="1"/>
  <c r="M463" i="1"/>
  <c r="M465" i="1"/>
  <c r="M467" i="1"/>
  <c r="M6075" i="1"/>
  <c r="M469" i="1"/>
  <c r="M471" i="1"/>
  <c r="M473" i="1"/>
  <c r="M7098" i="1"/>
  <c r="M7011" i="1"/>
  <c r="M7100" i="1"/>
  <c r="M7102" i="1"/>
  <c r="M4104" i="1"/>
  <c r="M6488" i="1"/>
  <c r="M6214" i="1"/>
  <c r="M6490" i="1"/>
  <c r="M6063" i="1"/>
  <c r="M6492" i="1"/>
  <c r="M6494" i="1"/>
  <c r="M6496" i="1"/>
  <c r="M6498" i="1"/>
  <c r="M579" i="1"/>
  <c r="M6500" i="1"/>
  <c r="M6895" i="1"/>
  <c r="M4300" i="1"/>
  <c r="M4302" i="1"/>
  <c r="M2814" i="1"/>
  <c r="M4304" i="1"/>
  <c r="M4527" i="1"/>
  <c r="M5908" i="1"/>
  <c r="M5910" i="1"/>
  <c r="M3935" i="1"/>
  <c r="M6098" i="1"/>
  <c r="M7588" i="1"/>
  <c r="M6100" i="1"/>
  <c r="M6102" i="1"/>
  <c r="M6104" i="1"/>
  <c r="M3623" i="1"/>
  <c r="M8256" i="1"/>
  <c r="M3625" i="1"/>
  <c r="M6456" i="1"/>
  <c r="M6200" i="1"/>
  <c r="M6105" i="1"/>
  <c r="M6107" i="1"/>
  <c r="M7346" i="1"/>
  <c r="M6109" i="1"/>
  <c r="M3527" i="1"/>
  <c r="M6111" i="1"/>
  <c r="M5916" i="1"/>
  <c r="M6376" i="1"/>
  <c r="M5918" i="1"/>
  <c r="M4884" i="1"/>
  <c r="M5920" i="1"/>
  <c r="M8251" i="1"/>
  <c r="M5922" i="1"/>
  <c r="M4532" i="1"/>
  <c r="M665" i="1"/>
  <c r="M5562" i="1"/>
  <c r="M7385" i="1"/>
  <c r="M4202" i="1"/>
  <c r="M8020" i="1"/>
  <c r="M5794" i="1"/>
  <c r="M8022" i="1"/>
  <c r="M4192" i="1"/>
  <c r="M8024" i="1"/>
  <c r="M8026" i="1"/>
  <c r="M4101" i="1"/>
  <c r="M8028" i="1"/>
  <c r="M3090" i="1"/>
  <c r="M8030" i="1"/>
  <c r="M8032" i="1"/>
  <c r="M6802" i="1"/>
  <c r="M2067" i="1"/>
  <c r="M6119" i="1"/>
  <c r="M2069" i="1"/>
  <c r="M2071" i="1"/>
  <c r="M2073" i="1"/>
  <c r="M674" i="1"/>
  <c r="M3930" i="1"/>
  <c r="M676" i="1"/>
  <c r="M7456" i="1"/>
  <c r="M3526" i="1"/>
  <c r="M7458" i="1"/>
  <c r="M7014" i="1"/>
  <c r="M3928" i="1"/>
  <c r="M1036" i="1"/>
  <c r="M3299" i="1"/>
  <c r="M3301" i="1"/>
  <c r="M5043" i="1"/>
  <c r="M3303" i="1"/>
  <c r="M3305" i="1"/>
  <c r="M3307" i="1"/>
  <c r="M3309" i="1"/>
  <c r="M1535" i="1"/>
  <c r="M4180" i="1"/>
  <c r="M2605" i="1"/>
  <c r="M7" i="1"/>
  <c r="M9" i="1"/>
  <c r="M11" i="1"/>
  <c r="M1667" i="1"/>
  <c r="M13" i="1"/>
  <c r="M3933" i="1"/>
  <c r="M15" i="1"/>
  <c r="M17" i="1"/>
  <c r="M2301" i="1"/>
  <c r="M19" i="1"/>
  <c r="M21" i="1"/>
  <c r="M2596" i="1"/>
  <c r="M2291" i="1"/>
  <c r="M2293" i="1"/>
  <c r="M5928" i="1"/>
  <c r="M2295" i="1"/>
  <c r="M6647" i="1"/>
  <c r="M1966" i="1"/>
  <c r="M5049" i="1"/>
  <c r="M1968" i="1"/>
  <c r="M1970" i="1"/>
  <c r="M1972" i="1"/>
  <c r="M6378" i="1"/>
  <c r="M136" i="1"/>
  <c r="M690" i="1"/>
  <c r="M138" i="1"/>
  <c r="M5924" i="1"/>
  <c r="M554" i="1"/>
  <c r="M556" i="1"/>
  <c r="M558" i="1"/>
  <c r="M560" i="1"/>
  <c r="M562" i="1"/>
  <c r="M4536" i="1"/>
  <c r="M7896" i="1"/>
  <c r="M7898" i="1"/>
  <c r="M7900" i="1"/>
  <c r="M6062" i="1"/>
  <c r="M4719" i="1"/>
  <c r="M6538" i="1"/>
  <c r="M4721" i="1"/>
  <c r="M3211" i="1"/>
  <c r="M4723" i="1"/>
  <c r="M7008" i="1"/>
  <c r="M4725" i="1"/>
  <c r="M4727" i="1"/>
  <c r="M4106" i="1"/>
  <c r="M6351" i="1"/>
  <c r="M6353" i="1"/>
  <c r="M3639" i="1"/>
  <c r="M6355" i="1"/>
  <c r="M6357" i="1"/>
  <c r="M6080" i="1"/>
  <c r="M6359" i="1"/>
  <c r="M5044" i="1"/>
  <c r="M6361" i="1"/>
  <c r="M3030" i="1"/>
  <c r="M6363" i="1"/>
  <c r="M6365" i="1"/>
  <c r="M2515" i="1"/>
  <c r="M6367" i="1"/>
  <c r="M8034" i="1"/>
  <c r="M6369" i="1"/>
  <c r="M5556" i="1"/>
  <c r="M5438" i="1"/>
  <c r="M6122" i="1"/>
  <c r="M5440" i="1"/>
  <c r="M4856" i="1"/>
  <c r="M4858" i="1"/>
  <c r="M4860" i="1"/>
  <c r="M7596" i="1"/>
  <c r="M4862" i="1"/>
  <c r="M6453" i="1"/>
  <c r="M4864" i="1"/>
  <c r="M6807" i="1"/>
  <c r="M1225" i="1"/>
  <c r="M6120" i="1"/>
  <c r="M1227" i="1"/>
  <c r="M1229" i="1"/>
  <c r="M1231" i="1"/>
  <c r="M1443" i="1"/>
  <c r="M1233" i="1"/>
  <c r="M4900" i="1"/>
  <c r="M1030" i="1"/>
  <c r="M1032" i="1"/>
  <c r="M3065" i="1"/>
  <c r="M1530" i="1"/>
  <c r="M2796" i="1"/>
  <c r="M5936" i="1"/>
  <c r="M2798" i="1"/>
  <c r="M6643" i="1"/>
  <c r="M2800" i="1"/>
  <c r="M2802" i="1"/>
  <c r="M5797" i="1"/>
  <c r="M2804" i="1"/>
  <c r="M3210" i="1"/>
  <c r="M2806" i="1"/>
  <c r="M155" i="1"/>
  <c r="M5234" i="1"/>
  <c r="M5236" i="1"/>
  <c r="M4107" i="1"/>
  <c r="M5238" i="1"/>
  <c r="M1210" i="1"/>
  <c r="M5240" i="1"/>
  <c r="M8048" i="1"/>
  <c r="M6446" i="1"/>
  <c r="M5930" i="1"/>
  <c r="M6448" i="1"/>
  <c r="M3362" i="1"/>
  <c r="M6450" i="1"/>
  <c r="M6452" i="1"/>
  <c r="M5912" i="1"/>
  <c r="M577" i="1"/>
  <c r="M2333" i="1"/>
  <c r="M3838" i="1"/>
  <c r="M2335" i="1"/>
  <c r="M4099" i="1"/>
  <c r="M6785" i="1"/>
  <c r="M6787" i="1"/>
  <c r="M3635" i="1"/>
  <c r="M6789" i="1"/>
  <c r="M6791" i="1"/>
  <c r="M3361" i="1"/>
  <c r="M6793" i="1"/>
  <c r="M6795" i="1"/>
  <c r="M3091" i="1"/>
  <c r="M2577" i="1"/>
  <c r="M6463" i="1"/>
  <c r="M7129" i="1"/>
  <c r="M7131" i="1"/>
  <c r="M1043" i="1"/>
  <c r="M7133" i="1"/>
  <c r="M8129" i="1"/>
  <c r="M3031" i="1"/>
  <c r="M8131" i="1"/>
  <c r="M783" i="1"/>
  <c r="M8135" i="1"/>
  <c r="M5631" i="1"/>
  <c r="M247" i="1"/>
  <c r="M5929" i="1"/>
  <c r="M249" i="1"/>
  <c r="M251" i="1"/>
  <c r="M4762" i="1"/>
  <c r="M7709" i="1"/>
  <c r="M7711" i="1"/>
  <c r="M3638" i="1"/>
  <c r="M7713" i="1"/>
  <c r="M5933" i="1"/>
  <c r="M7715" i="1"/>
  <c r="M6061" i="1"/>
  <c r="M7717" i="1"/>
  <c r="M6533" i="1"/>
  <c r="M7719" i="1"/>
  <c r="M7927" i="1"/>
  <c r="M1444" i="1"/>
  <c r="M7929" i="1"/>
  <c r="M4105" i="1"/>
  <c r="M7931" i="1"/>
  <c r="M1249" i="1"/>
  <c r="M7396" i="1"/>
  <c r="M7398" i="1"/>
  <c r="M6644" i="1"/>
  <c r="M7400" i="1"/>
  <c r="M1758" i="1"/>
  <c r="M7402" i="1"/>
  <c r="M1657" i="1"/>
  <c r="M1448" i="1"/>
  <c r="M1659" i="1"/>
  <c r="M4896" i="1"/>
  <c r="M1661" i="1"/>
  <c r="M8044" i="1"/>
  <c r="M7479" i="1"/>
  <c r="M7481" i="1"/>
  <c r="M6124" i="1"/>
  <c r="M7483" i="1"/>
  <c r="M1042" i="1"/>
  <c r="M7485" i="1"/>
  <c r="M3934" i="1"/>
  <c r="M3354" i="1"/>
  <c r="M4111" i="1"/>
  <c r="M3358" i="1"/>
  <c r="M5621" i="1"/>
  <c r="M3360" i="1"/>
  <c r="M2599" i="1"/>
  <c r="M3320" i="1"/>
  <c r="M3322" i="1"/>
  <c r="M7345" i="1"/>
  <c r="M3326" i="1"/>
  <c r="M5451" i="1"/>
  <c r="M5037" i="1"/>
  <c r="M1534" i="1"/>
  <c r="M5039" i="1"/>
  <c r="M6810" i="1"/>
  <c r="M7274" i="1"/>
  <c r="M2077" i="1"/>
  <c r="M7276" i="1"/>
  <c r="M5048" i="1"/>
  <c r="M7278" i="1"/>
  <c r="M7597" i="1"/>
  <c r="M7280" i="1"/>
  <c r="M4425" i="1"/>
  <c r="M3835" i="1"/>
  <c r="M4427" i="1"/>
  <c r="M789" i="1"/>
  <c r="M4429" i="1"/>
  <c r="M4887" i="1"/>
  <c r="M4431" i="1"/>
  <c r="M2822" i="1"/>
  <c r="M4433" i="1"/>
  <c r="M2603" i="1"/>
  <c r="M1244" i="1"/>
  <c r="M1827" i="1"/>
  <c r="M1246" i="1"/>
  <c r="M517" i="1"/>
  <c r="M5413" i="1"/>
  <c r="M3059" i="1"/>
  <c r="M1983" i="1"/>
  <c r="M7802" i="1"/>
  <c r="M5333" i="1"/>
  <c r="M5341" i="1"/>
  <c r="M147" i="1"/>
  <c r="M1128" i="1"/>
  <c r="M149" i="1"/>
  <c r="M1765" i="1"/>
  <c r="M2200" i="1"/>
  <c r="M2074" i="1"/>
  <c r="M2202" i="1"/>
  <c r="M3029" i="1"/>
  <c r="M4902" i="1"/>
  <c r="M7904" i="1"/>
  <c r="M2818" i="1"/>
  <c r="M2517" i="1"/>
  <c r="M7004" i="1"/>
  <c r="M2519" i="1"/>
  <c r="M162" i="1"/>
  <c r="M6890" i="1"/>
  <c r="M508" i="1"/>
  <c r="M3086" i="1"/>
  <c r="M1536" i="1"/>
  <c r="M6891" i="1"/>
  <c r="M6808" i="1"/>
  <c r="M775" i="1"/>
  <c r="M2302" i="1"/>
  <c r="M779" i="1"/>
  <c r="M4897" i="1"/>
  <c r="M339" i="1"/>
  <c r="M1038" i="1"/>
  <c r="M341" i="1"/>
  <c r="M6531" i="1"/>
  <c r="M343" i="1"/>
  <c r="M345" i="1"/>
  <c r="M347" i="1"/>
  <c r="M1209" i="1"/>
  <c r="M5443" i="1"/>
  <c r="M8255" i="1"/>
  <c r="M5445" i="1"/>
  <c r="M4530" i="1"/>
  <c r="M1828" i="1"/>
  <c r="M7003" i="1"/>
  <c r="M1830" i="1"/>
  <c r="M4747" i="1"/>
  <c r="M1832" i="1"/>
  <c r="M7350" i="1"/>
  <c r="M1834" i="1"/>
  <c r="M1248" i="1"/>
  <c r="M2594" i="1"/>
  <c r="M3741" i="1"/>
  <c r="M5773" i="1"/>
  <c r="M3745" i="1"/>
  <c r="M334" i="1"/>
  <c r="M3102" i="1"/>
  <c r="M7792" i="1"/>
  <c r="M7794" i="1"/>
  <c r="M7796" i="1"/>
  <c r="M1441" i="1"/>
  <c r="M7798" i="1"/>
  <c r="M4108" i="1"/>
  <c r="M2089" i="1"/>
  <c r="M4746" i="1"/>
  <c r="M7724" i="1"/>
  <c r="M2810" i="1"/>
  <c r="M5938" i="1"/>
  <c r="M480" i="1"/>
  <c r="M5940" i="1"/>
  <c r="M6066" i="1"/>
  <c r="M5944" i="1"/>
  <c r="M5623" i="1"/>
  <c r="M7410" i="1"/>
  <c r="M8241" i="1"/>
  <c r="M7412" i="1"/>
  <c r="M6814" i="1"/>
  <c r="M1671" i="1"/>
  <c r="M2079" i="1"/>
  <c r="M1673" i="1"/>
  <c r="M6371" i="1"/>
  <c r="M1675" i="1"/>
  <c r="M8243" i="1"/>
  <c r="M1677" i="1"/>
  <c r="M7806" i="1"/>
  <c r="M1679" i="1"/>
  <c r="M5565" i="1"/>
  <c r="M2916" i="1"/>
  <c r="M4198" i="1"/>
  <c r="M2918" i="1"/>
  <c r="M6540" i="1"/>
  <c r="M785" i="1"/>
  <c r="M7790" i="1"/>
  <c r="M2926" i="1"/>
  <c r="M1540" i="1"/>
  <c r="M5062" i="1"/>
  <c r="M2825" i="1"/>
  <c r="M54" i="1"/>
  <c r="M687" i="1"/>
  <c r="M2413" i="1"/>
  <c r="M6115" i="1"/>
  <c r="M2417" i="1"/>
  <c r="M3208" i="1"/>
  <c r="M2419" i="1"/>
  <c r="M575" i="1"/>
  <c r="M2421" i="1"/>
  <c r="M7357" i="1"/>
  <c r="M2423" i="1"/>
  <c r="M3096" i="1"/>
  <c r="M2425" i="1"/>
  <c r="M8038" i="1"/>
  <c r="M1144" i="1"/>
  <c r="M3634" i="1"/>
  <c r="M6060" i="1"/>
  <c r="M1152" i="1"/>
  <c r="M582" i="1"/>
  <c r="M1156" i="1"/>
  <c r="M8045" i="1"/>
  <c r="M1990" i="1"/>
  <c r="M2350" i="1"/>
  <c r="M591" i="1"/>
  <c r="M5925" i="1"/>
  <c r="M593" i="1"/>
  <c r="M3529" i="1"/>
  <c r="M595" i="1"/>
  <c r="M4754" i="1"/>
  <c r="M597" i="1"/>
  <c r="M4110" i="1"/>
  <c r="M599" i="1"/>
  <c r="M3099" i="1"/>
  <c r="M7030" i="1"/>
  <c r="M6460" i="1"/>
  <c r="M5142" i="1"/>
  <c r="M6216" i="1"/>
  <c r="M4764" i="1"/>
  <c r="M150" i="1"/>
  <c r="M5148" i="1"/>
  <c r="M6373" i="1"/>
  <c r="M5150" i="1"/>
  <c r="M337" i="1"/>
  <c r="M6903" i="1"/>
  <c r="M3058" i="1"/>
  <c r="M6905" i="1"/>
  <c r="M8047" i="1"/>
  <c r="M801" i="1"/>
  <c r="M476" i="1"/>
  <c r="M7359" i="1"/>
  <c r="M6528" i="1"/>
  <c r="M7361" i="1"/>
  <c r="M2401" i="1"/>
  <c r="M7365" i="1"/>
  <c r="M3834" i="1"/>
  <c r="M7367" i="1"/>
  <c r="M4537" i="1"/>
  <c r="M5474" i="1"/>
  <c r="M4200" i="1"/>
  <c r="M5476" i="1"/>
  <c r="M2819" i="1"/>
  <c r="M5478" i="1"/>
  <c r="M5561" i="1"/>
  <c r="M2828" i="1"/>
  <c r="M6640" i="1"/>
  <c r="M2830" i="1"/>
  <c r="M583" i="1"/>
  <c r="M2832" i="1"/>
  <c r="M1440" i="1"/>
  <c r="M2834" i="1"/>
  <c r="M5449" i="1"/>
  <c r="M2836" i="1"/>
  <c r="M3094" i="1"/>
  <c r="M2840" i="1"/>
  <c r="M6804" i="1"/>
  <c r="M6472" i="1"/>
  <c r="M4203" i="1"/>
  <c r="M4547" i="1"/>
  <c r="M3033" i="1"/>
  <c r="M4549" i="1"/>
  <c r="M925" i="1"/>
  <c r="M5567" i="1"/>
  <c r="M6116" i="1"/>
  <c r="M927" i="1"/>
  <c r="M513" i="1"/>
  <c r="M931" i="1"/>
  <c r="M8248" i="1"/>
  <c r="M2305" i="1"/>
  <c r="M2604" i="1"/>
  <c r="M3678" i="1"/>
  <c r="M5801" i="1"/>
  <c r="M6236" i="1"/>
  <c r="M5934" i="1"/>
  <c r="M6238" i="1"/>
  <c r="M3929" i="1"/>
  <c r="M6240" i="1"/>
  <c r="M5800" i="1"/>
  <c r="M1077" i="1"/>
  <c r="M7005" i="1"/>
  <c r="M7424" i="1"/>
  <c r="M7426" i="1"/>
  <c r="M2516" i="1"/>
  <c r="M73" i="1"/>
  <c r="M4340" i="1"/>
  <c r="M454" i="1"/>
  <c r="M1044" i="1"/>
  <c r="M456" i="1"/>
  <c r="M6074" i="1"/>
  <c r="M458" i="1"/>
  <c r="M3932" i="1"/>
  <c r="M3382" i="1"/>
  <c r="M1826" i="1"/>
  <c r="M3384" i="1"/>
  <c r="M2510" i="1"/>
  <c r="M4234" i="1"/>
  <c r="M4898" i="1"/>
  <c r="M4236" i="1"/>
  <c r="M8246" i="1"/>
  <c r="M4238" i="1"/>
  <c r="M5622" i="1"/>
  <c r="M4240" i="1"/>
  <c r="M2600" i="1"/>
  <c r="M5083" i="1"/>
  <c r="M6069" i="1"/>
  <c r="M6558" i="1"/>
  <c r="M4207" i="1"/>
  <c r="M4789" i="1"/>
  <c r="M4194" i="1"/>
  <c r="M4793" i="1"/>
  <c r="M6458" i="1"/>
  <c r="M7037" i="1"/>
  <c r="M6058" i="1"/>
  <c r="M7039" i="1"/>
  <c r="M4205" i="1"/>
  <c r="M7043" i="1"/>
  <c r="M3524" i="1"/>
  <c r="M7045" i="1"/>
  <c r="M1824" i="1"/>
  <c r="M7047" i="1"/>
  <c r="M512" i="1"/>
  <c r="M7618" i="1"/>
  <c r="M5455" i="1"/>
  <c r="M7620" i="1"/>
  <c r="M3100" i="1"/>
  <c r="M7622" i="1"/>
  <c r="M6454" i="1"/>
  <c r="M1280" i="1"/>
  <c r="M6646" i="1"/>
  <c r="M1282" i="1"/>
  <c r="M2913" i="1"/>
  <c r="M1286" i="1"/>
  <c r="M1985" i="1"/>
  <c r="M1288" i="1"/>
  <c r="M3101" i="1"/>
  <c r="M1290" i="1"/>
  <c r="M6469" i="1"/>
  <c r="M1292" i="1"/>
  <c r="M2601" i="1"/>
  <c r="M3036" i="1"/>
  <c r="M6213" i="1"/>
  <c r="M3038" i="1"/>
  <c r="M1664" i="1"/>
  <c r="M3560" i="1"/>
  <c r="M6536" i="1"/>
  <c r="M3562" i="1"/>
  <c r="M7348" i="1"/>
  <c r="M3564" i="1"/>
  <c r="M1126" i="1"/>
  <c r="M3566" i="1"/>
  <c r="M1825" i="1"/>
  <c r="M3568" i="1"/>
  <c r="M4756" i="1"/>
  <c r="M3570" i="1"/>
  <c r="M510" i="1"/>
  <c r="M3572" i="1"/>
  <c r="M333" i="1"/>
  <c r="M3574" i="1"/>
  <c r="M4906" i="1"/>
  <c r="M4063" i="1"/>
  <c r="M1538" i="1"/>
  <c r="M4065" i="1"/>
  <c r="M6457" i="1"/>
  <c r="M4067" i="1"/>
  <c r="M2593" i="1"/>
  <c r="M5363" i="1"/>
  <c r="M4905" i="1"/>
  <c r="M608" i="1"/>
  <c r="M2914" i="1"/>
  <c r="M610" i="1"/>
  <c r="M7347" i="1"/>
  <c r="M612" i="1"/>
  <c r="M3525" i="1"/>
  <c r="M614" i="1"/>
  <c r="M1533" i="1"/>
  <c r="M616" i="1"/>
  <c r="M8042" i="1"/>
  <c r="M618" i="1"/>
  <c r="M6798" i="1"/>
  <c r="M5177" i="1"/>
  <c r="M4201" i="1"/>
  <c r="M4357" i="1"/>
  <c r="M578" i="1"/>
  <c r="M4359" i="1"/>
  <c r="M4752" i="1"/>
  <c r="M4361" i="1"/>
  <c r="M787" i="1"/>
  <c r="M4363" i="1"/>
  <c r="M4892" i="1"/>
  <c r="M1469" i="1"/>
  <c r="M3637" i="1"/>
  <c r="M1471" i="1"/>
  <c r="M1041" i="1"/>
  <c r="M1477" i="1"/>
  <c r="M7006" i="1"/>
  <c r="M6396" i="1"/>
  <c r="M6897" i="1"/>
  <c r="M6398" i="1"/>
  <c r="M4103" i="1"/>
  <c r="M6402" i="1"/>
  <c r="M8036" i="1"/>
  <c r="M4138" i="1"/>
  <c r="M691" i="1"/>
  <c r="M548" i="1"/>
  <c r="M1045" i="1"/>
  <c r="M550" i="1"/>
  <c r="M4208" i="1"/>
  <c r="M1851" i="1"/>
  <c r="M3206" i="1"/>
  <c r="M1853" i="1"/>
  <c r="M1767" i="1"/>
  <c r="M2104" i="1"/>
  <c r="M6642" i="1"/>
  <c r="M2106" i="1"/>
  <c r="M2108" i="1"/>
  <c r="M5042" i="1"/>
  <c r="M2110" i="1"/>
  <c r="M3530" i="1"/>
  <c r="M2112" i="1"/>
  <c r="M586" i="1"/>
  <c r="M2114" i="1"/>
  <c r="M4109" i="1"/>
  <c r="M2116" i="1"/>
  <c r="M3095" i="1"/>
  <c r="M2844" i="1"/>
  <c r="M7804" i="1"/>
  <c r="M1573" i="1"/>
  <c r="M3636" i="1"/>
  <c r="M2377" i="1"/>
  <c r="M4893" i="1"/>
  <c r="M2640" i="1"/>
  <c r="M6637" i="1"/>
  <c r="M2646" i="1"/>
  <c r="M1127" i="1"/>
  <c r="M2648" i="1"/>
  <c r="M5560" i="1"/>
  <c r="M4368" i="1"/>
  <c r="M1760" i="1"/>
  <c r="M3685" i="1"/>
  <c r="M7009" i="1"/>
  <c r="M7746" i="1"/>
  <c r="M5624" i="1"/>
  <c r="M3767" i="1"/>
  <c r="M7592" i="1"/>
  <c r="M3769" i="1"/>
  <c r="M161" i="1"/>
  <c r="M4249" i="1"/>
  <c r="M3842" i="1"/>
  <c r="M4251" i="1"/>
  <c r="M7352" i="1"/>
  <c r="M4253" i="1"/>
  <c r="M3098" i="1"/>
  <c r="M4255" i="1"/>
  <c r="M2826" i="1"/>
  <c r="M3987" i="1"/>
  <c r="M2595" i="1"/>
  <c r="M3575" i="1"/>
  <c r="M3644" i="1"/>
  <c r="M3577" i="1"/>
  <c r="M3365" i="1"/>
  <c r="M3579" i="1"/>
  <c r="M5047" i="1"/>
  <c r="M1168" i="1"/>
  <c r="M1532" i="1"/>
  <c r="M1170" i="1"/>
  <c r="M6812" i="1"/>
  <c r="M619" i="1"/>
  <c r="M5927" i="1"/>
  <c r="M277" i="1"/>
  <c r="M5045" i="1"/>
  <c r="M279" i="1"/>
  <c r="M7594" i="1"/>
  <c r="M281" i="1"/>
  <c r="M4195" i="1"/>
  <c r="M283" i="1"/>
  <c r="M3841" i="1"/>
  <c r="M285" i="1"/>
  <c r="M782" i="1"/>
  <c r="M6300" i="1"/>
  <c r="M4910" i="1"/>
  <c r="M6303" i="1"/>
  <c r="M2821" i="1"/>
  <c r="M8182" i="1"/>
  <c r="M8239" i="1"/>
  <c r="M4145" i="1"/>
  <c r="M2816" i="1"/>
  <c r="M4147" i="1"/>
  <c r="M4534" i="1"/>
  <c r="M4149" i="1"/>
  <c r="M5566" i="1"/>
  <c r="M2123" i="1"/>
  <c r="M6542" i="1"/>
  <c r="M2860" i="1"/>
  <c r="M7010" i="1"/>
  <c r="M2864" i="1"/>
  <c r="M4899" i="1"/>
  <c r="M1588" i="1"/>
  <c r="M6541" i="1"/>
  <c r="M1590" i="1"/>
  <c r="M8244" i="1"/>
  <c r="M7105" i="1"/>
  <c r="M7111" i="1"/>
  <c r="M7113" i="1"/>
  <c r="M3630" i="1"/>
  <c r="M3632" i="1"/>
  <c r="M7689" i="1"/>
  <c r="M7691" i="1"/>
  <c r="M7693" i="1"/>
  <c r="M668" i="1"/>
  <c r="M670" i="1"/>
  <c r="M672" i="1"/>
  <c r="M1023" i="1"/>
  <c r="M6622" i="1"/>
  <c r="M6624" i="1"/>
  <c r="M7462" i="1"/>
  <c r="M7464" i="1"/>
  <c r="M7467" i="1"/>
  <c r="M7469" i="1"/>
  <c r="M7471" i="1"/>
  <c r="M3338" i="1"/>
  <c r="M5027" i="1"/>
  <c r="M5029" i="1"/>
  <c r="M5031" i="1"/>
  <c r="M7253" i="1"/>
  <c r="M7255" i="1"/>
  <c r="M7257" i="1"/>
  <c r="M7261" i="1"/>
  <c r="M7267" i="1"/>
  <c r="M1974" i="1"/>
  <c r="M1982" i="1"/>
  <c r="M7534" i="1"/>
  <c r="M7536" i="1"/>
  <c r="M566" i="1"/>
  <c r="M568" i="1"/>
  <c r="M570" i="1"/>
  <c r="M6994" i="1"/>
  <c r="M6996" i="1"/>
  <c r="M6998" i="1"/>
  <c r="M1741" i="1"/>
  <c r="M4732" i="1"/>
  <c r="M4740" i="1"/>
  <c r="M4742" i="1"/>
  <c r="M4744" i="1"/>
  <c r="M761" i="1"/>
  <c r="M767" i="1"/>
  <c r="M769" i="1"/>
  <c r="M771" i="1"/>
  <c r="M4083" i="1"/>
  <c r="M4867" i="1"/>
  <c r="M4869" i="1"/>
  <c r="M4871" i="1"/>
  <c r="M4873" i="1"/>
  <c r="M4877" i="1"/>
  <c r="M4879" i="1"/>
  <c r="M1034" i="1"/>
  <c r="M8236" i="1"/>
  <c r="M8238" i="1"/>
  <c r="M3073" i="1"/>
  <c r="M3075" i="1"/>
  <c r="M3077" i="1"/>
  <c r="M5245" i="1"/>
  <c r="M5249" i="1"/>
  <c r="M5251" i="1"/>
  <c r="M5609" i="1"/>
  <c r="M2580" i="1"/>
  <c r="M2584" i="1"/>
  <c r="M2586" i="1"/>
  <c r="M2588" i="1"/>
  <c r="M2590" i="1"/>
  <c r="M8138" i="1"/>
  <c r="M8140" i="1"/>
  <c r="M8142" i="1"/>
  <c r="M8144" i="1"/>
  <c r="M681" i="1"/>
  <c r="M683" i="1"/>
  <c r="M685" i="1"/>
  <c r="M256" i="1"/>
  <c r="M4323" i="1"/>
  <c r="M4325" i="1"/>
  <c r="M4328" i="1"/>
  <c r="M4331" i="1"/>
  <c r="M4333" i="1"/>
  <c r="M4335" i="1"/>
  <c r="M4337" i="1"/>
  <c r="M4339" i="1"/>
  <c r="M7936" i="1"/>
  <c r="M7938" i="1"/>
  <c r="M7940" i="1"/>
  <c r="M6202" i="1"/>
  <c r="M6204" i="1"/>
  <c r="M6206" i="1"/>
  <c r="M6208" i="1"/>
  <c r="M6210" i="1"/>
  <c r="I2540" i="1"/>
  <c r="I6299" i="1"/>
  <c r="I7742" i="1"/>
  <c r="M525" i="1" l="1"/>
  <c r="M6299" i="1"/>
  <c r="M6511" i="1"/>
  <c r="M7742" i="1"/>
  <c r="M6834" i="1"/>
  <c r="M2540" i="1"/>
  <c r="I7845" i="1"/>
  <c r="I1165" i="1"/>
  <c r="I71" i="1"/>
  <c r="M3957" i="1" l="1"/>
  <c r="M1165" i="1"/>
  <c r="M1823" i="1"/>
  <c r="M71" i="1"/>
  <c r="M76" i="1"/>
  <c r="M7845" i="1"/>
  <c r="M666" i="1"/>
  <c r="M5907" i="1" l="1"/>
  <c r="M4321" i="1"/>
  <c r="M4320" i="1"/>
  <c r="M4319" i="1"/>
  <c r="M4318" i="1"/>
  <c r="M4317" i="1"/>
  <c r="M4316" i="1"/>
  <c r="M4315" i="1"/>
  <c r="M4314" i="1"/>
  <c r="M4313" i="1"/>
  <c r="M4312" i="1"/>
  <c r="M4311" i="1"/>
  <c r="M4310" i="1"/>
  <c r="M4309" i="1"/>
  <c r="M664" i="1"/>
  <c r="M663" i="1"/>
  <c r="M662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906" i="1"/>
  <c r="M905" i="1"/>
  <c r="M1019" i="1"/>
  <c r="M1922" i="1"/>
  <c r="M444" i="1"/>
  <c r="M1370" i="1"/>
  <c r="M552" i="1"/>
  <c r="M658" i="1"/>
  <c r="M967" i="1"/>
  <c r="M1434" i="1"/>
  <c r="M1432" i="1"/>
  <c r="M902" i="1"/>
  <c r="M1020" i="1"/>
  <c r="M1021" i="1"/>
  <c r="M661" i="1"/>
  <c r="M660" i="1"/>
  <c r="M899" i="1"/>
  <c r="M1120" i="1"/>
  <c r="M1119" i="1"/>
  <c r="M238" i="1"/>
  <c r="M1118" i="1"/>
  <c r="M1022" i="1"/>
  <c r="M1921" i="1"/>
  <c r="M1360" i="1"/>
  <c r="M897" i="1"/>
  <c r="M116" i="1"/>
  <c r="M1516" i="1"/>
  <c r="M904" i="1"/>
  <c r="M1799" i="1"/>
  <c r="M1008" i="1"/>
  <c r="M121" i="1"/>
  <c r="M1369" i="1"/>
  <c r="M503" i="1"/>
  <c r="M1362" i="1"/>
  <c r="M502" i="1"/>
  <c r="M1912" i="1"/>
  <c r="M1018" i="1"/>
  <c r="M237" i="1"/>
  <c r="M236" i="1"/>
  <c r="M1366" i="1"/>
  <c r="M101" i="1"/>
  <c r="M442" i="1"/>
  <c r="M1923" i="1"/>
  <c r="M1373" i="1"/>
  <c r="M1372" i="1"/>
  <c r="M553" i="1"/>
  <c r="M1011" i="1"/>
  <c r="M123" i="1"/>
  <c r="M1427" i="1"/>
  <c r="M753" i="1"/>
  <c r="M3" i="1"/>
  <c r="M1364" i="1"/>
  <c r="M1363" i="1"/>
  <c r="I4141" i="1" l="1"/>
  <c r="I6928" i="1"/>
  <c r="I1074" i="1"/>
  <c r="M184" i="1" l="1"/>
  <c r="M6928" i="1"/>
  <c r="M2503" i="1"/>
  <c r="M1074" i="1"/>
  <c r="M7301" i="1"/>
  <c r="M4141" i="1"/>
  <c r="I5974" i="1"/>
  <c r="M2172" i="1" l="1"/>
  <c r="M5974" i="1"/>
  <c r="I7840" i="1"/>
  <c r="I2539" i="1"/>
  <c r="M6833" i="1" l="1"/>
  <c r="M2539" i="1"/>
  <c r="M1706" i="1"/>
  <c r="M7840" i="1"/>
  <c r="I2019" i="1"/>
  <c r="I7506" i="1"/>
  <c r="I7739" i="1"/>
  <c r="I7737" i="1"/>
  <c r="M2787" i="1" l="1"/>
  <c r="M7737" i="1"/>
  <c r="M3051" i="1"/>
  <c r="M7506" i="1"/>
  <c r="M2789" i="1"/>
  <c r="M7739" i="1"/>
  <c r="M7027" i="1"/>
  <c r="M2019" i="1"/>
  <c r="I371" i="1"/>
  <c r="I1470" i="1"/>
  <c r="I820" i="1"/>
  <c r="I5968" i="1"/>
  <c r="I7736" i="1"/>
  <c r="M2166" i="1" l="1"/>
  <c r="M5968" i="1"/>
  <c r="M7960" i="1"/>
  <c r="M1470" i="1"/>
  <c r="M2786" i="1"/>
  <c r="M7736" i="1"/>
  <c r="M7135" i="1"/>
  <c r="M820" i="1"/>
  <c r="M3241" i="1"/>
  <c r="M371" i="1"/>
  <c r="I2014" i="1"/>
  <c r="M7022" i="1" l="1"/>
  <c r="M2014" i="1"/>
  <c r="I7150" i="1"/>
  <c r="M241" i="1" l="1"/>
  <c r="M7150" i="1"/>
  <c r="I4952" i="1"/>
  <c r="I7959" i="1"/>
  <c r="I7733" i="1"/>
  <c r="M5035" i="1" l="1"/>
  <c r="M7733" i="1"/>
  <c r="M4033" i="1"/>
  <c r="M7959" i="1"/>
  <c r="M7577" i="1"/>
  <c r="M4952" i="1"/>
  <c r="I605" i="1"/>
  <c r="M1779" i="1" l="1"/>
  <c r="M605" i="1"/>
  <c r="I2628" i="1"/>
  <c r="I2375" i="1"/>
  <c r="I1560" i="1"/>
  <c r="I8162" i="1"/>
  <c r="M6575" i="1" l="1"/>
  <c r="M2375" i="1"/>
  <c r="M8109" i="1"/>
  <c r="M8162" i="1"/>
  <c r="M386" i="1"/>
  <c r="M1560" i="1"/>
  <c r="M1875" i="1"/>
  <c r="M2628" i="1"/>
  <c r="I3555" i="1"/>
  <c r="I500" i="1"/>
  <c r="M6081" i="1" l="1"/>
  <c r="M3555" i="1"/>
  <c r="M1219" i="1"/>
  <c r="M500" i="1"/>
  <c r="I2368" i="1"/>
  <c r="I6391" i="1"/>
  <c r="I6093" i="1"/>
  <c r="M2723" i="1" l="1"/>
  <c r="M6391" i="1"/>
  <c r="M5610" i="1"/>
  <c r="M6093" i="1"/>
  <c r="M1305" i="1"/>
  <c r="M2368" i="1"/>
  <c r="I6815" i="1"/>
  <c r="M6135" i="1" l="1"/>
  <c r="M6815" i="1"/>
  <c r="I4919" i="1"/>
  <c r="I1060" i="1"/>
  <c r="M4738" i="1" l="1"/>
  <c r="M1060" i="1"/>
  <c r="M1162" i="1"/>
  <c r="M4919" i="1"/>
  <c r="I6830" i="1"/>
  <c r="I3759" i="1"/>
  <c r="I6911" i="1"/>
  <c r="I7289" i="1"/>
  <c r="I48" i="1"/>
  <c r="I1059" i="1"/>
  <c r="I3655" i="1"/>
  <c r="I8158" i="1"/>
  <c r="M4737" i="1" l="1"/>
  <c r="M1059" i="1"/>
  <c r="M1865" i="1"/>
  <c r="M3759" i="1"/>
  <c r="M7116" i="1"/>
  <c r="M8158" i="1"/>
  <c r="M4751" i="1"/>
  <c r="M7289" i="1"/>
  <c r="M7465" i="1"/>
  <c r="M3655" i="1"/>
  <c r="M574" i="1"/>
  <c r="M48" i="1"/>
  <c r="M7158" i="1"/>
  <c r="M6911" i="1"/>
  <c r="M6313" i="1"/>
  <c r="M6830" i="1"/>
  <c r="I2613" i="1"/>
  <c r="I2360" i="1"/>
  <c r="I1782" i="1"/>
  <c r="I1148" i="1"/>
  <c r="M4212" i="1" l="1"/>
  <c r="M1148" i="1"/>
  <c r="M2449" i="1"/>
  <c r="M2360" i="1"/>
  <c r="M3461" i="1"/>
  <c r="M1782" i="1"/>
  <c r="M5506" i="1"/>
  <c r="M2613" i="1"/>
  <c r="L588" i="1"/>
  <c r="K588" i="1" s="1"/>
  <c r="M588" i="1" s="1"/>
  <c r="M6816" i="1" l="1"/>
  <c r="M6661" i="1"/>
  <c r="I5469" i="1"/>
  <c r="M1303" i="1" l="1"/>
  <c r="M5469" i="1"/>
  <c r="I3113" i="1"/>
  <c r="I1777" i="1"/>
  <c r="I2924" i="1"/>
  <c r="I2922" i="1"/>
  <c r="I6083" i="1"/>
  <c r="M4327" i="1" l="1"/>
  <c r="M2922" i="1"/>
  <c r="M6915" i="1"/>
  <c r="M1777" i="1"/>
  <c r="M5244" i="1"/>
  <c r="M6083" i="1"/>
  <c r="M4329" i="1"/>
  <c r="M2924" i="1"/>
  <c r="M4803" i="1"/>
  <c r="M3113" i="1"/>
  <c r="I4915" i="1"/>
  <c r="M1157" i="1" l="1"/>
  <c r="M4915" i="1"/>
  <c r="I159" i="1"/>
  <c r="M1155" i="1" l="1"/>
  <c r="M159" i="1"/>
  <c r="I2410" i="1"/>
  <c r="M3747" i="1" l="1"/>
  <c r="M2410" i="1"/>
  <c r="I3201" i="1"/>
  <c r="I7585" i="1"/>
  <c r="M340" i="1" l="1"/>
  <c r="M7585" i="1"/>
  <c r="M3062" i="1"/>
  <c r="M3201" i="1"/>
  <c r="I475" i="1"/>
  <c r="M758" i="1" l="1"/>
  <c r="M475" i="1"/>
  <c r="I573" i="1"/>
  <c r="M589" i="1" l="1"/>
  <c r="M573" i="1"/>
  <c r="I1724" i="1"/>
  <c r="M6234" i="1" l="1"/>
  <c r="M1724" i="1"/>
  <c r="I5032" i="1"/>
  <c r="M3312" i="1" l="1"/>
  <c r="M5032" i="1"/>
  <c r="I4734" i="1"/>
  <c r="M3749" i="1" l="1"/>
  <c r="M4734" i="1"/>
  <c r="I6997" i="1"/>
  <c r="M5137" i="1" l="1"/>
  <c r="M6997" i="1"/>
  <c r="I4865" i="1"/>
  <c r="I8118" i="1"/>
  <c r="M968" i="1" l="1"/>
  <c r="M8118" i="1"/>
  <c r="M4944" i="1"/>
  <c r="M4865" i="1"/>
  <c r="I2582" i="1"/>
  <c r="M6415" i="1" l="1"/>
  <c r="M2582" i="1"/>
  <c r="I3027" i="1"/>
  <c r="M6229" i="1" l="1"/>
  <c r="M3027" i="1"/>
  <c r="I1527" i="1"/>
  <c r="M1564" i="1" l="1"/>
  <c r="M1527" i="1"/>
  <c r="I6113" i="1"/>
  <c r="M2121" i="1" l="1"/>
  <c r="M6113" i="1"/>
  <c r="I3300" i="1"/>
  <c r="M2082" i="1" l="1"/>
  <c r="M330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FAUSTINO</author>
  </authors>
  <commentList>
    <comment ref="L1988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FAUSTINO:</t>
        </r>
        <r>
          <rPr>
            <sz val="9"/>
            <color indexed="81"/>
            <rFont val="Tahoma"/>
            <family val="2"/>
          </rPr>
          <t xml:space="preserve">
CARGA INICIAL, MOTOR NUEVO. 
</t>
        </r>
      </text>
    </comment>
  </commentList>
</comments>
</file>

<file path=xl/sharedStrings.xml><?xml version="1.0" encoding="utf-8"?>
<sst xmlns="http://schemas.openxmlformats.org/spreadsheetml/2006/main" count="51122" uniqueCount="1219">
  <si>
    <t>Patente</t>
  </si>
  <si>
    <t>Km TOTAL Carga Anterior</t>
  </si>
  <si>
    <t>Prom Consumo Lts/100 Km</t>
  </si>
  <si>
    <t>Chofer</t>
  </si>
  <si>
    <t>DIA</t>
  </si>
  <si>
    <t>MES</t>
  </si>
  <si>
    <t>TOTAL LITROS</t>
  </si>
  <si>
    <t>PNH 467</t>
  </si>
  <si>
    <t>PNH 470</t>
  </si>
  <si>
    <t>AB 475 SX</t>
  </si>
  <si>
    <t>AB 475 SZ</t>
  </si>
  <si>
    <t>AB 475 TG</t>
  </si>
  <si>
    <t>AB 475 TH</t>
  </si>
  <si>
    <t>AB 475 TI</t>
  </si>
  <si>
    <t>AB 475 TJ</t>
  </si>
  <si>
    <t>AC 576 YL</t>
  </si>
  <si>
    <t>AC 576 YK</t>
  </si>
  <si>
    <t>AC 576 ZI</t>
  </si>
  <si>
    <t>AC 576 YO</t>
  </si>
  <si>
    <t>AC 576 YM</t>
  </si>
  <si>
    <t>AC 576 ZN</t>
  </si>
  <si>
    <t>AB 475 SV</t>
  </si>
  <si>
    <t>ESTACION DE CARGA</t>
  </si>
  <si>
    <t>AC 576 YN</t>
  </si>
  <si>
    <t>01_ENERO</t>
  </si>
  <si>
    <t>02_FEBRERO</t>
  </si>
  <si>
    <t>03_MARZO</t>
  </si>
  <si>
    <t>04_ABRIL</t>
  </si>
  <si>
    <t>05_MAYO</t>
  </si>
  <si>
    <t>06_JUNIO</t>
  </si>
  <si>
    <t>07_JULIO</t>
  </si>
  <si>
    <t>08_AGOSTO</t>
  </si>
  <si>
    <t>09_SEPTIEMBRE</t>
  </si>
  <si>
    <t>10_OCTUBRE</t>
  </si>
  <si>
    <t>11_NOVIEMBRE</t>
  </si>
  <si>
    <t>12_DICIEMBRE</t>
  </si>
  <si>
    <t>Rivero</t>
  </si>
  <si>
    <t>YPF HINOJO</t>
  </si>
  <si>
    <t>Bueno Micaela</t>
  </si>
  <si>
    <t>Ortega Felix</t>
  </si>
  <si>
    <t>YPF MACACHIN</t>
  </si>
  <si>
    <t>YPF AÑELO</t>
  </si>
  <si>
    <t>YPF CHIMPAY</t>
  </si>
  <si>
    <t>PADRE BUODO</t>
  </si>
  <si>
    <t>MERCEDES</t>
  </si>
  <si>
    <t>CINCO SALTOS</t>
  </si>
  <si>
    <t>Brunetti Sebastian</t>
  </si>
  <si>
    <t>Delgado Miguel</t>
  </si>
  <si>
    <t xml:space="preserve">Barrios Miguel </t>
  </si>
  <si>
    <t xml:space="preserve">Bianchini German </t>
  </si>
  <si>
    <t>Caceres Ricardo</t>
  </si>
  <si>
    <t xml:space="preserve">Chapartegui Joaquin </t>
  </si>
  <si>
    <t>Espindola Marcelo</t>
  </si>
  <si>
    <t>Fernadez Carlos</t>
  </si>
  <si>
    <t>Fortunato Luciano</t>
  </si>
  <si>
    <t>Jorge Eduardo</t>
  </si>
  <si>
    <t>Panozzo William</t>
  </si>
  <si>
    <t>Uzin, Javier</t>
  </si>
  <si>
    <t>Cejas Hector Hugo</t>
  </si>
  <si>
    <t>Cejas Victor Hugo</t>
  </si>
  <si>
    <t>Flecha Alfonso</t>
  </si>
  <si>
    <t>MAIDANA  PABLO</t>
  </si>
  <si>
    <t>Silva, Luis</t>
  </si>
  <si>
    <t>Figueroa Elias</t>
  </si>
  <si>
    <t>Batet Juan Cruz</t>
  </si>
  <si>
    <t>Ramirez Horacio</t>
  </si>
  <si>
    <t xml:space="preserve">ARNAUDO </t>
  </si>
  <si>
    <t>Gonzales Javier</t>
  </si>
  <si>
    <t>Gorocito Omar</t>
  </si>
  <si>
    <t>Aguilar</t>
  </si>
  <si>
    <t>Conradi Luis</t>
  </si>
  <si>
    <t>LEIVA JAVIER</t>
  </si>
  <si>
    <t>Machuca Raul</t>
  </si>
  <si>
    <t>VILLAGRAS</t>
  </si>
  <si>
    <t>Escobar Victor</t>
  </si>
  <si>
    <t>Rodriguez Antonio</t>
  </si>
  <si>
    <t>Palacios Pablo</t>
  </si>
  <si>
    <t>SANTILLAN</t>
  </si>
  <si>
    <t xml:space="preserve">Gerardo Martin </t>
  </si>
  <si>
    <t>Baudino Daniel</t>
  </si>
  <si>
    <t>Navarro, Lucas</t>
  </si>
  <si>
    <t xml:space="preserve">Barrios Niko </t>
  </si>
  <si>
    <t>Dellavitta Roberto</t>
  </si>
  <si>
    <t>DURAN SERGIO</t>
  </si>
  <si>
    <t>Benitez Omar</t>
  </si>
  <si>
    <t>Gutierrez Alejandro</t>
  </si>
  <si>
    <t>Lapucheski Cristian</t>
  </si>
  <si>
    <t xml:space="preserve">Ocampo Maximiliano </t>
  </si>
  <si>
    <t>OJEDA MATIAS</t>
  </si>
  <si>
    <t>Bonffantino Esteban</t>
  </si>
  <si>
    <t>Nievas Luis</t>
  </si>
  <si>
    <t>BRAVO JOSE</t>
  </si>
  <si>
    <t>Gonzalez Rogelio</t>
  </si>
  <si>
    <t>Kron Andres</t>
  </si>
  <si>
    <t>Roude Fabricio</t>
  </si>
  <si>
    <t>Vidoni, Daniel</t>
  </si>
  <si>
    <t>Escobar Pedro</t>
  </si>
  <si>
    <t>Pini Alberto</t>
  </si>
  <si>
    <t>Galvan Rodolfo</t>
  </si>
  <si>
    <t>Harbertz, Juan</t>
  </si>
  <si>
    <t>Taborda Federico</t>
  </si>
  <si>
    <t>Molina Omar</t>
  </si>
  <si>
    <t>Monteporci</t>
  </si>
  <si>
    <t xml:space="preserve">Morales </t>
  </si>
  <si>
    <t>Quiroga, Alan</t>
  </si>
  <si>
    <t>Scarafia ( Fletero)</t>
  </si>
  <si>
    <t>Valenzuela Ismael</t>
  </si>
  <si>
    <t>LLA 869</t>
  </si>
  <si>
    <t>NMO357</t>
  </si>
  <si>
    <t>LDJ115</t>
  </si>
  <si>
    <t>NZB189</t>
  </si>
  <si>
    <t>OCR981</t>
  </si>
  <si>
    <t>OWG332</t>
  </si>
  <si>
    <t>JSG078</t>
  </si>
  <si>
    <t>OIX566</t>
  </si>
  <si>
    <t>OUS051</t>
  </si>
  <si>
    <t>MRI892</t>
  </si>
  <si>
    <t>OWZ393</t>
  </si>
  <si>
    <t>LLN 463</t>
  </si>
  <si>
    <t>NZB192</t>
  </si>
  <si>
    <t>OIX583</t>
  </si>
  <si>
    <t>LLN461</t>
  </si>
  <si>
    <t>OYD523</t>
  </si>
  <si>
    <t>PCK155</t>
  </si>
  <si>
    <t>MIA865</t>
  </si>
  <si>
    <t>PNH473</t>
  </si>
  <si>
    <t>OYE456</t>
  </si>
  <si>
    <t>LLN 460</t>
  </si>
  <si>
    <t>LTL641</t>
  </si>
  <si>
    <t>NZB193</t>
  </si>
  <si>
    <t>FMO441</t>
  </si>
  <si>
    <t>OIA800</t>
  </si>
  <si>
    <t>OFU770</t>
  </si>
  <si>
    <t>OYE471</t>
  </si>
  <si>
    <t>NVX521</t>
  </si>
  <si>
    <t>PCK145</t>
  </si>
  <si>
    <t>MKQ 926</t>
  </si>
  <si>
    <t>LLA868</t>
  </si>
  <si>
    <t>OYD518</t>
  </si>
  <si>
    <t>PCK169</t>
  </si>
  <si>
    <t>LLN462</t>
  </si>
  <si>
    <t>AA 790 QE</t>
  </si>
  <si>
    <t>AA 790 QD</t>
  </si>
  <si>
    <t>AA 581 DZ</t>
  </si>
  <si>
    <t>AB 398 KI</t>
  </si>
  <si>
    <t>AB 398 KK</t>
  </si>
  <si>
    <t>AB 398 KL</t>
  </si>
  <si>
    <t>AB 471 NT</t>
  </si>
  <si>
    <t>AB 822 NS</t>
  </si>
  <si>
    <t>AB 874 NQ</t>
  </si>
  <si>
    <t>AC 308 BQ</t>
  </si>
  <si>
    <t>AC 308 BP</t>
  </si>
  <si>
    <t>AC 067 WK</t>
  </si>
  <si>
    <t>AC 399 IS</t>
  </si>
  <si>
    <t>AC 399 IT</t>
  </si>
  <si>
    <t>AC 553 WJ</t>
  </si>
  <si>
    <t>YPF ACA ZARATE</t>
  </si>
  <si>
    <t>YPF SAN PEDRO</t>
  </si>
  <si>
    <t>YA</t>
  </si>
  <si>
    <t>YH</t>
  </si>
  <si>
    <t>V</t>
  </si>
  <si>
    <t>MACACHIN</t>
  </si>
  <si>
    <t>HORA</t>
  </si>
  <si>
    <t>AA581DZ</t>
  </si>
  <si>
    <t>LOCALIDAD DE LA ESTACION DE CARGA</t>
  </si>
  <si>
    <t>GLOBAL OIL SRL</t>
  </si>
  <si>
    <t>CASA ALARCIA S A C I F I A G</t>
  </si>
  <si>
    <t>AA790QD</t>
  </si>
  <si>
    <t>GLOBAL OIL S.R.L.</t>
  </si>
  <si>
    <t>ZITO Y PRIOLA SRL</t>
  </si>
  <si>
    <t>HINOJO</t>
  </si>
  <si>
    <t>OPESSA BR ZARATE</t>
  </si>
  <si>
    <t>ZARATE</t>
  </si>
  <si>
    <t>BARRIOS, NICOLAS</t>
  </si>
  <si>
    <t>GOROCITO, OMAR ROLANDO</t>
  </si>
  <si>
    <t>OPESSA ZARATE</t>
  </si>
  <si>
    <t>AA790QE</t>
  </si>
  <si>
    <t>FERNANDEZ, CARLOS</t>
  </si>
  <si>
    <t>AB398KI</t>
  </si>
  <si>
    <t>LAPUCHESKY, CRISTIAN</t>
  </si>
  <si>
    <t>AB398KL</t>
  </si>
  <si>
    <t>Ocampo, Maximiliano</t>
  </si>
  <si>
    <t>AB471NT</t>
  </si>
  <si>
    <t>GONZALEZ, JOSE ROGELIO</t>
  </si>
  <si>
    <t>AB475SV</t>
  </si>
  <si>
    <t>AÑELO</t>
  </si>
  <si>
    <t>NIEVAS, LUIS</t>
  </si>
  <si>
    <t>AB475SX</t>
  </si>
  <si>
    <t>Vidoni, Daniel Eduardo</t>
  </si>
  <si>
    <t>AB475SZ</t>
  </si>
  <si>
    <t>Ortega, Felix</t>
  </si>
  <si>
    <t>AB475TG</t>
  </si>
  <si>
    <t>AB475TH</t>
  </si>
  <si>
    <t>AB475TI</t>
  </si>
  <si>
    <t>SILVA, LUIS</t>
  </si>
  <si>
    <t>AB475TJ</t>
  </si>
  <si>
    <t>LOMA NEGRA</t>
  </si>
  <si>
    <t>EL PARADOR DE MERCEDES SA</t>
  </si>
  <si>
    <t>VILLAGRAS, LUIS ALBERTO</t>
  </si>
  <si>
    <t>AB822NS</t>
  </si>
  <si>
    <t>RAMIREZ, HORACIO</t>
  </si>
  <si>
    <t>AB874NQ</t>
  </si>
  <si>
    <t>NG EL LIBERTADOR SRL</t>
  </si>
  <si>
    <t>GRAL.ALVEAR</t>
  </si>
  <si>
    <t>AC399IS</t>
  </si>
  <si>
    <t>JORGE ALBERTO CASO SA</t>
  </si>
  <si>
    <t>SAN PEDRO</t>
  </si>
  <si>
    <t>AC399IT</t>
  </si>
  <si>
    <t>HARBERTZ, JUAN JOSE</t>
  </si>
  <si>
    <t>AC576YK</t>
  </si>
  <si>
    <t>GRUPO NORTE SRL.</t>
  </si>
  <si>
    <t>PARAJE PADRE BUODO</t>
  </si>
  <si>
    <t>AC576YL</t>
  </si>
  <si>
    <t>MAIDANA, PABLO</t>
  </si>
  <si>
    <t>AC576YM</t>
  </si>
  <si>
    <t>QUIROGA, ALAN</t>
  </si>
  <si>
    <t>AC576YN</t>
  </si>
  <si>
    <t>MORALES, JOSE LUIS</t>
  </si>
  <si>
    <t>AC576YO</t>
  </si>
  <si>
    <t>AGUILAR, FABIAN</t>
  </si>
  <si>
    <t>AC576ZI</t>
  </si>
  <si>
    <t>SANTILLAN, CESAR GUSTAVO</t>
  </si>
  <si>
    <t>AC576ZN</t>
  </si>
  <si>
    <t>HINOJOSA, MIGUEL ALBERTO</t>
  </si>
  <si>
    <t>ECX045</t>
  </si>
  <si>
    <t>GIMENEZ, JUAN</t>
  </si>
  <si>
    <t>R RIETMANN Y CIA S R L</t>
  </si>
  <si>
    <t>SANTO TOME</t>
  </si>
  <si>
    <t>EKK282</t>
  </si>
  <si>
    <t>GODOY, DIEGO OSCAR</t>
  </si>
  <si>
    <t>ELW585</t>
  </si>
  <si>
    <t>KROHN, ENRIQUE ANDRES</t>
  </si>
  <si>
    <t>FQW782</t>
  </si>
  <si>
    <t>GWS453</t>
  </si>
  <si>
    <t>OPESSA SAN FRANCISCO</t>
  </si>
  <si>
    <t>S.FRANCISCO</t>
  </si>
  <si>
    <t>DIANA, ANGELO GERMAN</t>
  </si>
  <si>
    <t>OPESSA FIGHIERA DESCENDENTE</t>
  </si>
  <si>
    <t>FIGHIERA</t>
  </si>
  <si>
    <t>HKG178</t>
  </si>
  <si>
    <t>TIBALDO, DARIO</t>
  </si>
  <si>
    <t>OPESSA COLASTINE</t>
  </si>
  <si>
    <t>AROCENA</t>
  </si>
  <si>
    <t>JDJ074</t>
  </si>
  <si>
    <t>MEDINA, JULIAN CESAR</t>
  </si>
  <si>
    <t>CASA ELICEIRY S.A.</t>
  </si>
  <si>
    <t>CASTELLI</t>
  </si>
  <si>
    <t>JLI103</t>
  </si>
  <si>
    <t>BAUDINO, DANIEL</t>
  </si>
  <si>
    <t>ROUDE, FABRICIO</t>
  </si>
  <si>
    <t>LLA869</t>
  </si>
  <si>
    <t>LLN460</t>
  </si>
  <si>
    <t>Duran, Sergio Martin</t>
  </si>
  <si>
    <t>VELA, CRISTIAN</t>
  </si>
  <si>
    <t>LUIS, CONRADI</t>
  </si>
  <si>
    <t>LLN463</t>
  </si>
  <si>
    <t>GUTIERREZ, ALEJANDRO ERNESTO</t>
  </si>
  <si>
    <t>FLECHA, ALFONSO</t>
  </si>
  <si>
    <t>RODRIGUEZ, ALFREDO</t>
  </si>
  <si>
    <t>MKQ926</t>
  </si>
  <si>
    <t>Cejas, Hector</t>
  </si>
  <si>
    <t>MRI 892</t>
  </si>
  <si>
    <t>SERVILUJAN COMBUSTIBLES SA</t>
  </si>
  <si>
    <t>LUJAN</t>
  </si>
  <si>
    <t>PALACIOS, PABLO</t>
  </si>
  <si>
    <t>BENITEZ, OMAR</t>
  </si>
  <si>
    <t>DELGADO, MIGUEL</t>
  </si>
  <si>
    <t>JOSE, JORGE</t>
  </si>
  <si>
    <t>OPESSA LA RIBERA</t>
  </si>
  <si>
    <t>TIMBUES</t>
  </si>
  <si>
    <t>MOLINA, OMAR</t>
  </si>
  <si>
    <t>MACHUCA, NORBERTO RAUL</t>
  </si>
  <si>
    <t>BRUNETTI, SEBASTIAN</t>
  </si>
  <si>
    <t>DELLAVITTA, ROBERTO</t>
  </si>
  <si>
    <t>ZARATE EDUARDO JOSE</t>
  </si>
  <si>
    <t>BONFFANTINO, ESTEBAN</t>
  </si>
  <si>
    <t>CEJAS, VICTOR</t>
  </si>
  <si>
    <t>CAÑUELAS</t>
  </si>
  <si>
    <t>GEN SOCIEDAD DE RESP. LIMITADA</t>
  </si>
  <si>
    <t>CATRIEL</t>
  </si>
  <si>
    <t>MARTIN, GERARDO</t>
  </si>
  <si>
    <t>Monteporsi, Claudio</t>
  </si>
  <si>
    <t>PCK 169</t>
  </si>
  <si>
    <t>ESCOBAR, VICTOR</t>
  </si>
  <si>
    <t>LEIVA, JAVIER</t>
  </si>
  <si>
    <t>RIVERO, HECTOR</t>
  </si>
  <si>
    <t>GALVAN, RODOLFO</t>
  </si>
  <si>
    <t>PNH 473</t>
  </si>
  <si>
    <t>MOLINARI, OSVALDO RODOLFO</t>
  </si>
  <si>
    <t>SKQ590</t>
  </si>
  <si>
    <t>WUU702</t>
  </si>
  <si>
    <t>LUIS A CARRIZO Y CIA SRL</t>
  </si>
  <si>
    <t>DEAN FUNES</t>
  </si>
  <si>
    <t>HERNANDO HNOS S A</t>
  </si>
  <si>
    <t>LAS SIERRAS SRL</t>
  </si>
  <si>
    <t>RIO CUARTO</t>
  </si>
  <si>
    <t>EST DE SER.YPF SAN CRISTOBAL SRL</t>
  </si>
  <si>
    <t>SAN CRISTOBAL</t>
  </si>
  <si>
    <t>OPESSA DESAGUADERO</t>
  </si>
  <si>
    <t>BELLA VISTA</t>
  </si>
  <si>
    <t>ARNAUDO, GUSTAVO</t>
  </si>
  <si>
    <t>PINI, ALFREDO</t>
  </si>
  <si>
    <t>AB398KK</t>
  </si>
  <si>
    <t>9 DE JULIO</t>
  </si>
  <si>
    <t>ORELLANA, FORTUNATO</t>
  </si>
  <si>
    <t>AC067WK</t>
  </si>
  <si>
    <t>AC308BP</t>
  </si>
  <si>
    <t>BARRIOS, MIGUEL</t>
  </si>
  <si>
    <t>AC553WJ</t>
  </si>
  <si>
    <t>ACA RIO TALA</t>
  </si>
  <si>
    <t>RIO TALA</t>
  </si>
  <si>
    <t>PETROGUAZZ SA</t>
  </si>
  <si>
    <t>SMETANA, JUAN</t>
  </si>
  <si>
    <t>AC308BQ</t>
  </si>
  <si>
    <t>GONZALEZ, BRIAN PATRICIO</t>
  </si>
  <si>
    <t>CORBALAN, MIGUEL VICENTE</t>
  </si>
  <si>
    <t>BIANCHINI, GERMAN</t>
  </si>
  <si>
    <t>CACERES, RICARDO</t>
  </si>
  <si>
    <t>PANOZZO, WILLIAN</t>
  </si>
  <si>
    <t>SUCESORES DE ANTONIO LLADHON SRL</t>
  </si>
  <si>
    <t>COLONIA DORA</t>
  </si>
  <si>
    <t>RIO SALADO SRL</t>
  </si>
  <si>
    <t>GRAL.ACHA</t>
  </si>
  <si>
    <t>UZIN, JAVIER</t>
  </si>
  <si>
    <t>BARBERO HERMANOS SA</t>
  </si>
  <si>
    <t>MONTE</t>
  </si>
  <si>
    <t>ROZA HNOS S A</t>
  </si>
  <si>
    <t>BALCARCE</t>
  </si>
  <si>
    <t>Dias, Ruiz</t>
  </si>
  <si>
    <t>JUTE SRL</t>
  </si>
  <si>
    <t>QUIMILI</t>
  </si>
  <si>
    <t>TIERRA DE OPORTUNIDADES S.A.</t>
  </si>
  <si>
    <t>DISTROLUBE SRL</t>
  </si>
  <si>
    <t>LUZURIAGA</t>
  </si>
  <si>
    <t>GRAL.BELGRANO</t>
  </si>
  <si>
    <t>SANOGUERA ELIDA FRANCISCA</t>
  </si>
  <si>
    <t>MONTE COMAN</t>
  </si>
  <si>
    <t>ALTO VERDE</t>
  </si>
  <si>
    <t>GUADUPE SA</t>
  </si>
  <si>
    <t>OPESSA AUSOL CAMPANA KM 72 DE190</t>
  </si>
  <si>
    <t>GUERRERO ISABEL CHACON DE GUER</t>
  </si>
  <si>
    <t>GIORGI SARTOR Y CIA SRL</t>
  </si>
  <si>
    <t>ESTACION DE SERVICIOS APOLO SRL</t>
  </si>
  <si>
    <t>BERAZA Y CIA S R L</t>
  </si>
  <si>
    <t>ALBERTI</t>
  </si>
  <si>
    <t xml:space="preserve"> </t>
  </si>
  <si>
    <t>RUTA 188 SOCIEDAD ANONIMA</t>
  </si>
  <si>
    <t>GRAL GUEMES</t>
  </si>
  <si>
    <t>GONZALEZ, EDUARDO</t>
  </si>
  <si>
    <t>GATTI, DANIEL</t>
  </si>
  <si>
    <t>ACA CIPOLLETTI</t>
  </si>
  <si>
    <t>CIPOLLETTI</t>
  </si>
  <si>
    <t>GIGENA, RODOLFO</t>
  </si>
  <si>
    <t>FABRICCINI EDUARDO Y ENZO V. SH</t>
  </si>
  <si>
    <t>SAN GENARO</t>
  </si>
  <si>
    <t>ZABALO, CARLOS</t>
  </si>
  <si>
    <t>ANDINO ALDO, ANIBAL</t>
  </si>
  <si>
    <t>RU BO S A</t>
  </si>
  <si>
    <t>CAUCETE</t>
  </si>
  <si>
    <t>SAEZ, SANTIAGO</t>
  </si>
  <si>
    <t>BARBERO HERMANOS S.A.</t>
  </si>
  <si>
    <t>BELLIER, MARIO GABRIEL</t>
  </si>
  <si>
    <t>GOMEZ, DANIEL</t>
  </si>
  <si>
    <t>ACTIS S A</t>
  </si>
  <si>
    <t>GRAL.CABRERA</t>
  </si>
  <si>
    <t>ZAMORA, NAHUEL</t>
  </si>
  <si>
    <t>GALAN MARIA CRISTINA</t>
  </si>
  <si>
    <t>PELLEGRINI</t>
  </si>
  <si>
    <t>FGC FUELS MARKETING SA</t>
  </si>
  <si>
    <t>RAMALLO</t>
  </si>
  <si>
    <t>MONTES, ISMAEL</t>
  </si>
  <si>
    <t>BARALE S.A.</t>
  </si>
  <si>
    <t>RIO TERCERO</t>
  </si>
  <si>
    <t>ELIZALDE , MIGUEL ALBERTO</t>
  </si>
  <si>
    <t>BARALE Y GHIO S A C I F</t>
  </si>
  <si>
    <t>VILLA DE SOTO</t>
  </si>
  <si>
    <t>ABRAHAM HNOS.S.A.</t>
  </si>
  <si>
    <t>PALMIRA</t>
  </si>
  <si>
    <t>ACA CHEPES</t>
  </si>
  <si>
    <t>CHEPES</t>
  </si>
  <si>
    <t>FANTINI Y CIA S.A.</t>
  </si>
  <si>
    <t>LA PUERTA</t>
  </si>
  <si>
    <t>CORBALAN, EXEQUIEL ALEJANDRO</t>
  </si>
  <si>
    <t>ORMACHE, JONATHAN</t>
  </si>
  <si>
    <t>OJEDA, MATIAS</t>
  </si>
  <si>
    <t>ESTRADA MERCEDES</t>
  </si>
  <si>
    <t>SANTO DOMINGO</t>
  </si>
  <si>
    <t>GOMILA SRL</t>
  </si>
  <si>
    <t>SANTA FE</t>
  </si>
  <si>
    <t>LA CUARTA SA</t>
  </si>
  <si>
    <t>PILAR</t>
  </si>
  <si>
    <t>OPESSA AUSOL CAMPANA KM 72 AS189</t>
  </si>
  <si>
    <t>CAMPANA</t>
  </si>
  <si>
    <t>MIEREZ, JOSE ALBERTO</t>
  </si>
  <si>
    <t>EDOSADA S.A..</t>
  </si>
  <si>
    <t>BARADERO</t>
  </si>
  <si>
    <t>ACA COLONIA 25 DE MAYO</t>
  </si>
  <si>
    <t>COLONIA 25 DE MAYO</t>
  </si>
  <si>
    <t>GUIDO COMBUSTIBLES S.A.</t>
  </si>
  <si>
    <t>GRAL.GUIDO</t>
  </si>
  <si>
    <t>BATET, JUAN</t>
  </si>
  <si>
    <t>AGENTES ROMERO SA</t>
  </si>
  <si>
    <t>SALADILLO</t>
  </si>
  <si>
    <t>ALFREDO BRUGNOLI E HIJOS S C C</t>
  </si>
  <si>
    <t>PAMPA DEL INFIERNO (CH)</t>
  </si>
  <si>
    <t>BRAIN, JOSE MARIA</t>
  </si>
  <si>
    <t>FULL SERVICE SRL</t>
  </si>
  <si>
    <t>PACARA PINTADO</t>
  </si>
  <si>
    <t>ROSAR.DE LA FRONT</t>
  </si>
  <si>
    <t>POZO HONDO</t>
  </si>
  <si>
    <t>FAISAL, EDUARDO</t>
  </si>
  <si>
    <t>NZB489</t>
  </si>
  <si>
    <t>LA AGRICOLA REGIONAL COOP LTDA</t>
  </si>
  <si>
    <t>DIAMANTE</t>
  </si>
  <si>
    <t>KEH-COM S.A.</t>
  </si>
  <si>
    <t>ARRECIFES</t>
  </si>
  <si>
    <t>VALENZUELA, ISMAEL</t>
  </si>
  <si>
    <t>FAMAILLA</t>
  </si>
  <si>
    <t>QUILINO</t>
  </si>
  <si>
    <t>OPESSA FIGHIERA ASCENDENTE</t>
  </si>
  <si>
    <t>LUBRE SRL</t>
  </si>
  <si>
    <t>TORRES, JOSE</t>
  </si>
  <si>
    <t>AE418OU</t>
  </si>
  <si>
    <t>GOMEZ, JULIO</t>
  </si>
  <si>
    <t>AE450BO</t>
  </si>
  <si>
    <t>EUGENIO DEFAGO S A C</t>
  </si>
  <si>
    <t>TOSTADO</t>
  </si>
  <si>
    <t>AF086VB</t>
  </si>
  <si>
    <t>PETACCIO ROBERTO LUIS</t>
  </si>
  <si>
    <t>URQUIZA</t>
  </si>
  <si>
    <t>FONTI DE MARTINATTO N.Y OTROS SH</t>
  </si>
  <si>
    <t>EL FUERTECITO</t>
  </si>
  <si>
    <t>FERNANDEZ, JUAN CARLOS</t>
  </si>
  <si>
    <t>AE629VP</t>
  </si>
  <si>
    <t>ARGUELLO, JORGE SEBASTIAN</t>
  </si>
  <si>
    <t>LA ROCA, JUAN</t>
  </si>
  <si>
    <t>CHICHINALES</t>
  </si>
  <si>
    <t>LEDESMA, RUBEN</t>
  </si>
  <si>
    <t>AE304JJ</t>
  </si>
  <si>
    <t>SANTOLI, JUAN</t>
  </si>
  <si>
    <t>AE418OT</t>
  </si>
  <si>
    <t>PETROSERVICE S R L</t>
  </si>
  <si>
    <t>TUSCA POZO</t>
  </si>
  <si>
    <t>MAS SINERGIA S.A.</t>
  </si>
  <si>
    <t>SELVA</t>
  </si>
  <si>
    <t>JOA.V.GONZALEZ</t>
  </si>
  <si>
    <t>OPESSA SALADILLO</t>
  </si>
  <si>
    <t>DON ANTONIO COMBUSTIBLES SRL</t>
  </si>
  <si>
    <t>MACHAGAY</t>
  </si>
  <si>
    <t>PERGAMINO</t>
  </si>
  <si>
    <t>LOLAPALUZA S.A.</t>
  </si>
  <si>
    <t>BECCAR</t>
  </si>
  <si>
    <t>CRIPER S A C I T A F I</t>
  </si>
  <si>
    <t>FACUNDO Y JUAN CRUZ STIZZA SOC</t>
  </si>
  <si>
    <t>EMPAL.V.CONSTIT.</t>
  </si>
  <si>
    <t>GONZALEZ, JESUS</t>
  </si>
  <si>
    <t>NUEVO MADERO S.R.L</t>
  </si>
  <si>
    <t>FRANCISCO MADERO</t>
  </si>
  <si>
    <t>SID607</t>
  </si>
  <si>
    <t>PETROGUAZZ S.A.</t>
  </si>
  <si>
    <t>CHIMPAY</t>
  </si>
  <si>
    <t>PETROSUR SRL</t>
  </si>
  <si>
    <t>GRAL ENRIQUE GODOY</t>
  </si>
  <si>
    <t>D-COM SRL</t>
  </si>
  <si>
    <t>GRAL.DEHEZA</t>
  </si>
  <si>
    <t>MALDONADO, DIEGO</t>
  </si>
  <si>
    <t>MONTERO, ALFREDO</t>
  </si>
  <si>
    <t>LUICO S.A.</t>
  </si>
  <si>
    <t>LAS PEÑAS</t>
  </si>
  <si>
    <t>GATTI, JOSE</t>
  </si>
  <si>
    <t>SAN MONTE GAS SA</t>
  </si>
  <si>
    <t>SAN MIGUEL DEL MONTE</t>
  </si>
  <si>
    <t>CASALE LUIS IVAN</t>
  </si>
  <si>
    <t>FRAGA</t>
  </si>
  <si>
    <t>CARLETTI HERMANOS SRL</t>
  </si>
  <si>
    <t>PETROSAM SRL</t>
  </si>
  <si>
    <t>SAMPACHO</t>
  </si>
  <si>
    <t>OPESSA CA#UELAS</t>
  </si>
  <si>
    <t>GUARESCHI Y ASOCIADOS SRL</t>
  </si>
  <si>
    <t>ALMAFUERTE</t>
  </si>
  <si>
    <t>EST.DE SERV.YPF SUNCHALES SRL</t>
  </si>
  <si>
    <t>SUNCHALES</t>
  </si>
  <si>
    <t>ESTACION DE SERV J V GONZALEZ SA</t>
  </si>
  <si>
    <t>MACHAGAI COMBUSTIBLES S.R.L</t>
  </si>
  <si>
    <t>P.D.LA PLAZA</t>
  </si>
  <si>
    <t>SERVICIOS LOS CARDALES SRL</t>
  </si>
  <si>
    <t>LOS CARDALES</t>
  </si>
  <si>
    <t>SANTA ROSA</t>
  </si>
  <si>
    <t>OPESSA OPELAUQUEN</t>
  </si>
  <si>
    <t>TRENQUE LAUQUEN</t>
  </si>
  <si>
    <t>CARLOS C GADEA E HIJOS SOCIEDA</t>
  </si>
  <si>
    <t>MONTE QUEMADO</t>
  </si>
  <si>
    <t>BERTONE Y COURTADE SRL</t>
  </si>
  <si>
    <t>LA CAMINERA S A</t>
  </si>
  <si>
    <t>MAR DEL PLATA</t>
  </si>
  <si>
    <t>TAPALQUE</t>
  </si>
  <si>
    <t>CUATRO BOCAS SRL</t>
  </si>
  <si>
    <t>SALADAS</t>
  </si>
  <si>
    <t>HPN933</t>
  </si>
  <si>
    <t>SERVICIOS TURISTICOS DE RUTAS S.</t>
  </si>
  <si>
    <t>LA PAZ</t>
  </si>
  <si>
    <t>DUMON Y CIA SRL</t>
  </si>
  <si>
    <t>RAUCH</t>
  </si>
  <si>
    <t>COSTANTINI Y CIA SOCIEDAD ANON</t>
  </si>
  <si>
    <t>IRIARTE</t>
  </si>
  <si>
    <t>ALLUB HERMANOS S R L</t>
  </si>
  <si>
    <t>LA DORMIDA</t>
  </si>
  <si>
    <t>MARTINEZ, CESAR</t>
  </si>
  <si>
    <t>CABO, NICOLAS</t>
  </si>
  <si>
    <t>AD730JQ</t>
  </si>
  <si>
    <t>GONZALEZ, FRANCISCO</t>
  </si>
  <si>
    <t>OLAVARRIA</t>
  </si>
  <si>
    <t>PETROCELA SA</t>
  </si>
  <si>
    <t>ROJAS</t>
  </si>
  <si>
    <t>CORDOBA</t>
  </si>
  <si>
    <t>VILLA DEL TOTORAL</t>
  </si>
  <si>
    <t>ACA ENCON</t>
  </si>
  <si>
    <t>ENCON</t>
  </si>
  <si>
    <t>GRUPO FIP SA</t>
  </si>
  <si>
    <t>AF193HQ</t>
  </si>
  <si>
    <t>GNC ESCOBAR SA</t>
  </si>
  <si>
    <t>ESCOBAR</t>
  </si>
  <si>
    <t>AF241FJ</t>
  </si>
  <si>
    <t>FAVINI S A</t>
  </si>
  <si>
    <t>STRUMIA ARIEL JOSE</t>
  </si>
  <si>
    <t>PIQUILLIN</t>
  </si>
  <si>
    <t>LENARDON SILVINO FELIX</t>
  </si>
  <si>
    <t>S M LASPIUR</t>
  </si>
  <si>
    <t>ROLDAN HORACIO, JESUS</t>
  </si>
  <si>
    <t>FDL392</t>
  </si>
  <si>
    <t>OPESSA ACA TRENQUE LAUQUEN</t>
  </si>
  <si>
    <t>SANTA BARBARA S A</t>
  </si>
  <si>
    <t>NUEVOS RUMBOS SRL</t>
  </si>
  <si>
    <t>SERVICIOS CIPOLLETTI S R L</t>
  </si>
  <si>
    <t>OPESSA AUSOL CAMPANA ESTE</t>
  </si>
  <si>
    <t>LOS POLVORINES</t>
  </si>
  <si>
    <t>ACA ARRECIFES</t>
  </si>
  <si>
    <t>ACA SANTA FE</t>
  </si>
  <si>
    <t>ASENSIO E HIJO Y PULLEY SRL</t>
  </si>
  <si>
    <t>BURZACO</t>
  </si>
  <si>
    <t>AF193HG</t>
  </si>
  <si>
    <t>LA POSTA DE CHIVILCOY S.A</t>
  </si>
  <si>
    <t>CHIVILCOY</t>
  </si>
  <si>
    <t>COMERCIAL DIEGO S R L</t>
  </si>
  <si>
    <t>DIEGO DE ALVEAR</t>
  </si>
  <si>
    <t>COMBUSTIBLES NICOLLS SA</t>
  </si>
  <si>
    <t>CHACABUCO</t>
  </si>
  <si>
    <t>ACA PANAMERICANA ACC 2</t>
  </si>
  <si>
    <t>VICENTE LOPEZ</t>
  </si>
  <si>
    <t>COMBUSTIBLES Y SERV. EL CRUCE SA</t>
  </si>
  <si>
    <t>VILLA MERCEDES</t>
  </si>
  <si>
    <t>CARABAJAL, SANTIAGO</t>
  </si>
  <si>
    <t>GARAZA, RICARDO</t>
  </si>
  <si>
    <t>ECHANIZ HNOS SA.</t>
  </si>
  <si>
    <t>MARCOS JUAREZ</t>
  </si>
  <si>
    <t>ESTACION DE SERVICIO RUTA 34 SRL</t>
  </si>
  <si>
    <t>METAN</t>
  </si>
  <si>
    <t>ROTONDA LINCOLN SA</t>
  </si>
  <si>
    <t>LINCOLN</t>
  </si>
  <si>
    <t>ACA 9 DE JULIO</t>
  </si>
  <si>
    <t>RAMIREZ, SANTIAGO GABRIEL</t>
  </si>
  <si>
    <t>ESTACION DE SERVICIO 25 DE JUN</t>
  </si>
  <si>
    <t>PARANA</t>
  </si>
  <si>
    <t>BSL560</t>
  </si>
  <si>
    <t>FINOS, RAMON ALBERTO</t>
  </si>
  <si>
    <t>GTH461</t>
  </si>
  <si>
    <t>DECAFIP SRL</t>
  </si>
  <si>
    <t>LAS VARILLAS</t>
  </si>
  <si>
    <t>SILVESTRI SERGIO ALBERTO</t>
  </si>
  <si>
    <t>FEDERACION</t>
  </si>
  <si>
    <t>OVIEDO, MIGUEL</t>
  </si>
  <si>
    <t>SAAVEDRA, OSCAR DARIO</t>
  </si>
  <si>
    <t>OPESSA AUSOL CAMPANA OESTE</t>
  </si>
  <si>
    <t>AC556ET</t>
  </si>
  <si>
    <t>ACA TACO POZO</t>
  </si>
  <si>
    <t>TACO POZO</t>
  </si>
  <si>
    <t>LOPEZ, PABLO</t>
  </si>
  <si>
    <t>EST DE SERV LA ESTANCIA SA</t>
  </si>
  <si>
    <t>S.ANDRES DE GILES</t>
  </si>
  <si>
    <t>KM PARCIAL</t>
  </si>
  <si>
    <t/>
  </si>
  <si>
    <t>AF193HH</t>
  </si>
  <si>
    <t>EL JAGUEL S A</t>
  </si>
  <si>
    <t>MARIA M. B. DE SOLDANO Y CIA.</t>
  </si>
  <si>
    <t>ACA CARMEN DE ARECO</t>
  </si>
  <si>
    <t>CARMEN DE ARECO</t>
  </si>
  <si>
    <t>MI DESTINO S R L</t>
  </si>
  <si>
    <t>ANGELA NESCI SRL</t>
  </si>
  <si>
    <t>CENTENARIO</t>
  </si>
  <si>
    <t>COBRADO, JESUS</t>
  </si>
  <si>
    <t>OPESSA LEONES</t>
  </si>
  <si>
    <t>LEONES</t>
  </si>
  <si>
    <t>POSSETTO HERMANOS Y CIA S R L</t>
  </si>
  <si>
    <t>BRINKMANN</t>
  </si>
  <si>
    <t>LAS CAVAS SERVICIO Y AGRO S.A.</t>
  </si>
  <si>
    <t>BOLIVAR</t>
  </si>
  <si>
    <t>ESCOBAR, ADELMAR</t>
  </si>
  <si>
    <t>GOZALBE, JULIO</t>
  </si>
  <si>
    <t>YADON OLGA ESTER</t>
  </si>
  <si>
    <t>LAVALLE</t>
  </si>
  <si>
    <t>SAIFAN SARA ROSA</t>
  </si>
  <si>
    <t>SIMOCA</t>
  </si>
  <si>
    <t>LUCAS, MACHADO</t>
  </si>
  <si>
    <t>PRIMAS GROUP S.A</t>
  </si>
  <si>
    <t>PETRASOL S.R.L.</t>
  </si>
  <si>
    <t>SALTA</t>
  </si>
  <si>
    <t>VILLA ALPINA SRL</t>
  </si>
  <si>
    <t>V.TRINIDAD</t>
  </si>
  <si>
    <t>COMBUSTIBLES MORABITO HNOS SRL</t>
  </si>
  <si>
    <t>OPESSA AUTOPISTA SUR</t>
  </si>
  <si>
    <t>QUILMES</t>
  </si>
  <si>
    <t xml:space="preserve">sin gps </t>
  </si>
  <si>
    <t>MARCOS PAZ GNC S.A</t>
  </si>
  <si>
    <t>MARCOS PAZ</t>
  </si>
  <si>
    <t>DI GIULIO, FRANCISCO</t>
  </si>
  <si>
    <t>SCHLEPPI RENE JORGE</t>
  </si>
  <si>
    <t>HUMBOLDT</t>
  </si>
  <si>
    <t>CABO, MATIAS ARMANDO ANDRES</t>
  </si>
  <si>
    <t>JKQ731</t>
  </si>
  <si>
    <t>OPESSA ACA AZUL</t>
  </si>
  <si>
    <t>AZUL</t>
  </si>
  <si>
    <t>OSCAR LEANDRO S.R.L.</t>
  </si>
  <si>
    <t>CORRIENTES</t>
  </si>
  <si>
    <t>ACA MERCEDES</t>
  </si>
  <si>
    <t>OGP CA#UELAS S.A.</t>
  </si>
  <si>
    <t>BOGADO, DANIEL</t>
  </si>
  <si>
    <t>TWZ852</t>
  </si>
  <si>
    <t>COCEMAR S.R.L</t>
  </si>
  <si>
    <t>VFZ167</t>
  </si>
  <si>
    <t>PETROCA#UELAS SRL</t>
  </si>
  <si>
    <t>SERVICIOS EXALTACION DE LA CRUZ</t>
  </si>
  <si>
    <t>CAPILLA DEL SEÑOR</t>
  </si>
  <si>
    <t>01721 - CASA ALARCIA S A C I F I A G</t>
  </si>
  <si>
    <t>03295 - GRUPO NORTE SRL.</t>
  </si>
  <si>
    <t>01821 - GRUPO NORTE SRL.</t>
  </si>
  <si>
    <t>31207 - GLOBAL OIL SRL</t>
  </si>
  <si>
    <t>SANCHEZ, JAVIER</t>
  </si>
  <si>
    <t>01947 - ZITO Y PRIOLA SRL</t>
  </si>
  <si>
    <t>31243 - SERVILUJAN COMBUSTIBLES SA</t>
  </si>
  <si>
    <t>00680 - EL PARADOR DE MERCEDES SA</t>
  </si>
  <si>
    <t>01456 - GLOBAL OIL SRL</t>
  </si>
  <si>
    <t>02904 - OPESSA BR ZARATE</t>
  </si>
  <si>
    <t>02753 - NG EL LIBERTADOR SRL</t>
  </si>
  <si>
    <t>02769 - RUTA 188 SOCIEDAD ANONIMA</t>
  </si>
  <si>
    <t>01805 - ACA 9 DE JULIO</t>
  </si>
  <si>
    <t>01517 - GEN SOCIEDAD DE RESP. LIMITADA</t>
  </si>
  <si>
    <t>ROJAS, VICTOR</t>
  </si>
  <si>
    <t>00856 - OPESSA COLASTINE</t>
  </si>
  <si>
    <t>HNO082</t>
  </si>
  <si>
    <t>31199 - SERVICIOS TURISTICOS DE RUTAS S.</t>
  </si>
  <si>
    <t>30434 - MARCOS PAZ GNC S.A</t>
  </si>
  <si>
    <t>00421 - OPESSA ZARATE</t>
  </si>
  <si>
    <t>01142 - OPESSA AUSOL CAMPANA ESTE</t>
  </si>
  <si>
    <t>00576 - AGENTES ROMERO SA</t>
  </si>
  <si>
    <t>01806 - PETROGUAZZ SA</t>
  </si>
  <si>
    <t>01657 - ZITO Y PRIOLA SRL</t>
  </si>
  <si>
    <t>01961 - ZARATE EDUARDO JOSE</t>
  </si>
  <si>
    <t>13447 - JORGE ALBERTO CASO SA</t>
  </si>
  <si>
    <t>00604 - ACA RIO TALA</t>
  </si>
  <si>
    <t>01979 - OPESSA ACA TRENQUE LAUQUEN</t>
  </si>
  <si>
    <t>01544 - ACA COLONIA 25 DE MAYO</t>
  </si>
  <si>
    <t>01611 - NUEVO MADERO S.R.L</t>
  </si>
  <si>
    <t>00695 - LA POSTA DE CHIVILCOY S.A</t>
  </si>
  <si>
    <t>03011 - BERAZA Y CIA S R L</t>
  </si>
  <si>
    <t>00862 - GOMILA SRL</t>
  </si>
  <si>
    <t>01643 - RIO NEGRO COMBUSTIBLE SRL</t>
  </si>
  <si>
    <t>GRAL.ROCA</t>
  </si>
  <si>
    <t>00628 - PETACCIO ROBERTO LUIS</t>
  </si>
  <si>
    <t>CORRADO, DANIEL</t>
  </si>
  <si>
    <t>02987 - OPESSA DEBENEDETTI DESCENDENTE</t>
  </si>
  <si>
    <t>OLIVOS</t>
  </si>
  <si>
    <t>AE 598 XI</t>
  </si>
  <si>
    <t>01834 - GALAN MARIA CRISTINA</t>
  </si>
  <si>
    <t>00660 - GRUPO FIP SA</t>
  </si>
  <si>
    <t>01937 - GRUPO NORTE SRL.</t>
  </si>
  <si>
    <t>00854 - R RIETMANN Y CIA S R L</t>
  </si>
  <si>
    <t>31051 - MACO-BAPE SRL</t>
  </si>
  <si>
    <t>02540 - ESTACION DE SERVICIOS APOLO SRL</t>
  </si>
  <si>
    <t>02436 - MAS SINERGIA S.A.</t>
  </si>
  <si>
    <t>03253 - OPESSA AUSOL CAMPANA KM 72 AS189</t>
  </si>
  <si>
    <t>02908 - OPESSA SALADILLO</t>
  </si>
  <si>
    <t>GOMEZ, HORACIO</t>
  </si>
  <si>
    <t>PQY161</t>
  </si>
  <si>
    <t>00659 - SERVICIOS LOS CARDALES SRL</t>
  </si>
  <si>
    <t>01173 - OPESSA ACA AZUL</t>
  </si>
  <si>
    <t>03254 - OPESSA AUSOL CAMPANA KM 72 DE190</t>
  </si>
  <si>
    <t>00848 - COCEMAR S.R.L</t>
  </si>
  <si>
    <t>CHINCHURRETA, ENRIQUE</t>
  </si>
  <si>
    <t>03010 - FONTI DE MARTINATTO N.Y OTROS SH</t>
  </si>
  <si>
    <t>EGU396</t>
  </si>
  <si>
    <t>LITROS</t>
  </si>
  <si>
    <t>KILOMETROS</t>
  </si>
  <si>
    <t>PROMEDIO</t>
  </si>
  <si>
    <t>31246 - TIERRA DE OPORTUNIDADES S.A.</t>
  </si>
  <si>
    <t>01981 - OPESSA OPELAUQUEN</t>
  </si>
  <si>
    <t>03177 - EL EMPALME S R L</t>
  </si>
  <si>
    <t>00322 - GAS IMPULSO S A</t>
  </si>
  <si>
    <t>REDDI, SERGIO</t>
  </si>
  <si>
    <t>00866 - OPESSA PELLEGRINI</t>
  </si>
  <si>
    <t>HNA951</t>
  </si>
  <si>
    <t>00931 - ACA SANTA FE</t>
  </si>
  <si>
    <t>02052 - OPESSA SAN FRANCISCO</t>
  </si>
  <si>
    <t>01530 - JORGE SANTIAGO COGNIGNI</t>
  </si>
  <si>
    <t>CHOELE CHOEL</t>
  </si>
  <si>
    <t>15787 - LOLAPALUZA S.A.</t>
  </si>
  <si>
    <t>01810 - PETROGUAZZ S.A.</t>
  </si>
  <si>
    <t>,</t>
  </si>
  <si>
    <t>01535 - SERVICIOS CIPOLLETTI S R L</t>
  </si>
  <si>
    <t>31201 - OGP CA#UELAS S.A.</t>
  </si>
  <si>
    <t>00674 - BERTONE Y COURTADE SRL</t>
  </si>
  <si>
    <t>01088 - OPESSA ALMAFUERTE</t>
  </si>
  <si>
    <t>01686 - OPESSA LA AGRARIA</t>
  </si>
  <si>
    <t>JUNIN</t>
  </si>
  <si>
    <t>01715 - HERNANDO HNOS S A</t>
  </si>
  <si>
    <t>02773 - SANOGUERA ELIDA FRANCISCA</t>
  </si>
  <si>
    <t>00297 - MARTIN BARROCAS Y CIA SRL</t>
  </si>
  <si>
    <t>RECALDE, ALEJANDRO</t>
  </si>
  <si>
    <t>01933 - CARLOS C GADEA E HIJOS SOCIEDA</t>
  </si>
  <si>
    <t>AF072OO</t>
  </si>
  <si>
    <t>ALMIRON, MATIAS ERCIL</t>
  </si>
  <si>
    <t>AF285JC</t>
  </si>
  <si>
    <t>02401 - PETROSERVICE S R L</t>
  </si>
  <si>
    <t>02530 - LUIS A CARRIZO Y CIA SRL</t>
  </si>
  <si>
    <t>02064 - OPESSA FIGHIERA ASCENDENTE</t>
  </si>
  <si>
    <t>00591 - PETROCA#UELAS SRL</t>
  </si>
  <si>
    <t>BEGLINOMINI, ROBERTO</t>
  </si>
  <si>
    <t>03009 - ESTACION DE SERVICIO 25 DE JUN</t>
  </si>
  <si>
    <t>WKU522</t>
  </si>
  <si>
    <t>01405 - SUCESORES DE ANTONIO LLADHON SRL</t>
  </si>
  <si>
    <t>00977 - OPESSA FIGHIERA DESCENDENTE</t>
  </si>
  <si>
    <t>01641 - OPESSA GENERAL ROCA</t>
  </si>
  <si>
    <t>00282 - GNC ESCOBAR SA</t>
  </si>
  <si>
    <t>03237 - BRAGAS S R L</t>
  </si>
  <si>
    <t>BRAGADO</t>
  </si>
  <si>
    <t>00590 - OPESSA CA#UELAS</t>
  </si>
  <si>
    <t>01132 - RONCHI MARIO CESAR</t>
  </si>
  <si>
    <t>LA PICADA</t>
  </si>
  <si>
    <t>01005 - OPESSA LA RIBERA</t>
  </si>
  <si>
    <t>00855 - AM GAS SA</t>
  </si>
  <si>
    <t>MONTERSINO, GUSTAVO</t>
  </si>
  <si>
    <t>31041 - ZITO Y PRIOLA SRL</t>
  </si>
  <si>
    <t>VAZQUEZ, GUSTAVO</t>
  </si>
  <si>
    <t>00585 - NIETOS SA</t>
  </si>
  <si>
    <t>LOBOS</t>
  </si>
  <si>
    <t>00698 - ACA ARRECIFES</t>
  </si>
  <si>
    <t>00860 - FAVINI S A</t>
  </si>
  <si>
    <t>LUY390</t>
  </si>
  <si>
    <t>00444 - ASENSIO E HIJO Y PULLEY SRL</t>
  </si>
  <si>
    <t>AF369FA</t>
  </si>
  <si>
    <t>00851 - GIORGI SARTOR Y CIA SRL</t>
  </si>
  <si>
    <t>EEI676</t>
  </si>
  <si>
    <t>ALVAREZ, FERNANDO</t>
  </si>
  <si>
    <t>02448 - COMBUSTIBLES MORABITO HNOS SRL</t>
  </si>
  <si>
    <t>00853 - GUADUPE SA</t>
  </si>
  <si>
    <t>AF371QB</t>
  </si>
  <si>
    <t>01274 - ALFREDO BRUGNOLI E HIJOS S C C</t>
  </si>
  <si>
    <t>ALVORNOZ, DIEGO</t>
  </si>
  <si>
    <t>02358 - SABY HERMANOS SRL</t>
  </si>
  <si>
    <t>02833 - GUERRERO ISABEL CHACON DE GUER</t>
  </si>
  <si>
    <t>00298 - MI DESTINO S R L</t>
  </si>
  <si>
    <t>00549 - SAN MONTE GAS SA</t>
  </si>
  <si>
    <t>00722 - KEH-COM S.A.</t>
  </si>
  <si>
    <t>13449 - FGC FUELS MARKETING SA</t>
  </si>
  <si>
    <t>OEV679</t>
  </si>
  <si>
    <t>01647 - EUGENIO DEFAGO S A C</t>
  </si>
  <si>
    <t>00661 - ZARCAM SA</t>
  </si>
  <si>
    <t>30977 - OPESSA DESAGUADERO</t>
  </si>
  <si>
    <t>00550 - BARBERO HERMANOS SA</t>
  </si>
  <si>
    <t>AF304WT</t>
  </si>
  <si>
    <t>MARTIN BARROCAS Y CIA SRL</t>
  </si>
  <si>
    <t>OPESSA AUSOL PILAR SUR</t>
  </si>
  <si>
    <t>KM TOTAL</t>
  </si>
  <si>
    <t>EL PARADOR DE MERCEDES</t>
  </si>
  <si>
    <t>CARLOS C GADEA E HIJOS</t>
  </si>
  <si>
    <t>CASA ALARCIA S A C I F</t>
  </si>
  <si>
    <t>SERVILUJAN COMBUSTIBLE</t>
  </si>
  <si>
    <t>GUERRERO ISABEL CHACON</t>
  </si>
  <si>
    <t>MARTIN BARROCAS Y CIA</t>
  </si>
  <si>
    <t>OPESSA DEBENEDETTI DES</t>
  </si>
  <si>
    <t>SERVICIOS CIPOLLETTI S</t>
  </si>
  <si>
    <t>GEN SOCIEDAD DE RESP.</t>
  </si>
  <si>
    <t>LEURINO NEGRO Y DONNET</t>
  </si>
  <si>
    <t>TIERRA DE OPORTUNIDADE</t>
  </si>
  <si>
    <t>OPESSA AUSOL CAMPANA K</t>
  </si>
  <si>
    <t>OPESSA AUSOL CAMPANA E</t>
  </si>
  <si>
    <t>ESPERANZA</t>
  </si>
  <si>
    <t>462,39</t>
  </si>
  <si>
    <t>431,34</t>
  </si>
  <si>
    <t>338,15</t>
  </si>
  <si>
    <t>99,36</t>
  </si>
  <si>
    <t>134,77</t>
  </si>
  <si>
    <t>159,4</t>
  </si>
  <si>
    <t>208,21</t>
  </si>
  <si>
    <t>200</t>
  </si>
  <si>
    <t>371,83</t>
  </si>
  <si>
    <t>146,85</t>
  </si>
  <si>
    <t>200,53</t>
  </si>
  <si>
    <t>348,51</t>
  </si>
  <si>
    <t>39,66</t>
  </si>
  <si>
    <t>454,13</t>
  </si>
  <si>
    <t>100</t>
  </si>
  <si>
    <t>447,09</t>
  </si>
  <si>
    <t>125,6</t>
  </si>
  <si>
    <t>298,17</t>
  </si>
  <si>
    <t>231,48</t>
  </si>
  <si>
    <t>233,02</t>
  </si>
  <si>
    <t>58,63</t>
  </si>
  <si>
    <t>380,55</t>
  </si>
  <si>
    <t>255,79</t>
  </si>
  <si>
    <t>252,84</t>
  </si>
  <si>
    <t>150,09</t>
  </si>
  <si>
    <t>127,02</t>
  </si>
  <si>
    <t>218,22</t>
  </si>
  <si>
    <t>299,06</t>
  </si>
  <si>
    <t>147,15</t>
  </si>
  <si>
    <t>265</t>
  </si>
  <si>
    <t>231,6</t>
  </si>
  <si>
    <t>165,09</t>
  </si>
  <si>
    <t>255,21</t>
  </si>
  <si>
    <t>67,69</t>
  </si>
  <si>
    <t>532,08</t>
  </si>
  <si>
    <t>232,95</t>
  </si>
  <si>
    <t>105,8</t>
  </si>
  <si>
    <t>240,3</t>
  </si>
  <si>
    <t>65,33</t>
  </si>
  <si>
    <t>133,86</t>
  </si>
  <si>
    <t>459,85</t>
  </si>
  <si>
    <t>330,41</t>
  </si>
  <si>
    <t>420,87</t>
  </si>
  <si>
    <t>30</t>
  </si>
  <si>
    <t>273,21</t>
  </si>
  <si>
    <t>188</t>
  </si>
  <si>
    <t>290,69</t>
  </si>
  <si>
    <t>328,5</t>
  </si>
  <si>
    <t>217,26</t>
  </si>
  <si>
    <t>402,97</t>
  </si>
  <si>
    <t>354,19</t>
  </si>
  <si>
    <t>258,37</t>
  </si>
  <si>
    <t>83,26</t>
  </si>
  <si>
    <t>625</t>
  </si>
  <si>
    <t>263</t>
  </si>
  <si>
    <t>158,66</t>
  </si>
  <si>
    <t>338,06</t>
  </si>
  <si>
    <t>660,12</t>
  </si>
  <si>
    <t>343,92</t>
  </si>
  <si>
    <t>43,44</t>
  </si>
  <si>
    <t>231,59</t>
  </si>
  <si>
    <t>272,5</t>
  </si>
  <si>
    <t>116,31</t>
  </si>
  <si>
    <t>144,73</t>
  </si>
  <si>
    <t>107,82</t>
  </si>
  <si>
    <t>150</t>
  </si>
  <si>
    <t>160,24</t>
  </si>
  <si>
    <t>196,22</t>
  </si>
  <si>
    <t>317,72</t>
  </si>
  <si>
    <t>167,09</t>
  </si>
  <si>
    <t>471,7</t>
  </si>
  <si>
    <t>325,88</t>
  </si>
  <si>
    <t>125,05</t>
  </si>
  <si>
    <t>372,23</t>
  </si>
  <si>
    <t>23,92</t>
  </si>
  <si>
    <t>446,7</t>
  </si>
  <si>
    <t>284,41</t>
  </si>
  <si>
    <t>438,01</t>
  </si>
  <si>
    <t>434,56</t>
  </si>
  <si>
    <t>333,33</t>
  </si>
  <si>
    <t>441,86</t>
  </si>
  <si>
    <t>253,85</t>
  </si>
  <si>
    <t>287,79</t>
  </si>
  <si>
    <t>118,05</t>
  </si>
  <si>
    <t>157,41</t>
  </si>
  <si>
    <t>159,15</t>
  </si>
  <si>
    <t>200,13</t>
  </si>
  <si>
    <t>310,62</t>
  </si>
  <si>
    <t>327,54</t>
  </si>
  <si>
    <t>LEURINO NEGRO Y DONNET S R</t>
  </si>
  <si>
    <t>GEN SOCIEDAD DE RESP. LIMI</t>
  </si>
  <si>
    <t>CASA ALARCIA S A C I F I A</t>
  </si>
  <si>
    <t>OPESSA AUSOL CAMPANA KM 72</t>
  </si>
  <si>
    <t>SERVICIOS TURISTICOS DE RU</t>
  </si>
  <si>
    <t>TIERRA DE OPORTUNIDADES S.</t>
  </si>
  <si>
    <t>(RE) ALONSO HNOS.</t>
  </si>
  <si>
    <t>CAMINO A CASA S.A.</t>
  </si>
  <si>
    <t>SUCESORES DE ANTONIO LLADH</t>
  </si>
  <si>
    <t>ESTACION DE SERVICIO 25 DE</t>
  </si>
  <si>
    <t>BASSI, JAVIER</t>
  </si>
  <si>
    <t>326,36</t>
  </si>
  <si>
    <t>392,86</t>
  </si>
  <si>
    <t>153,65</t>
  </si>
  <si>
    <t>374,24</t>
  </si>
  <si>
    <t>31,75</t>
  </si>
  <si>
    <t>450,22</t>
  </si>
  <si>
    <t>94,66</t>
  </si>
  <si>
    <t>236,4</t>
  </si>
  <si>
    <t>238,04</t>
  </si>
  <si>
    <t>118,21</t>
  </si>
  <si>
    <t>133,39</t>
  </si>
  <si>
    <t>249,48</t>
  </si>
  <si>
    <t>139,5</t>
  </si>
  <si>
    <t>131,46</t>
  </si>
  <si>
    <t>390</t>
  </si>
  <si>
    <t>698,64</t>
  </si>
  <si>
    <t>432,43</t>
  </si>
  <si>
    <t>265,03</t>
  </si>
  <si>
    <t>405,83</t>
  </si>
  <si>
    <t>168,56</t>
  </si>
  <si>
    <t>200,34</t>
  </si>
  <si>
    <t>435,38</t>
  </si>
  <si>
    <t>285,92</t>
  </si>
  <si>
    <t>145,28</t>
  </si>
  <si>
    <t>128,75</t>
  </si>
  <si>
    <t>164,91</t>
  </si>
  <si>
    <t>116,54</t>
  </si>
  <si>
    <t>164,61</t>
  </si>
  <si>
    <t>50</t>
  </si>
  <si>
    <t>622,7</t>
  </si>
  <si>
    <t>297,47</t>
  </si>
  <si>
    <t>418,6</t>
  </si>
  <si>
    <t>266,85</t>
  </si>
  <si>
    <t>312,09</t>
  </si>
  <si>
    <t>120,03</t>
  </si>
  <si>
    <t>195,01</t>
  </si>
  <si>
    <t>217,22</t>
  </si>
  <si>
    <t>187,02</t>
  </si>
  <si>
    <t>24,34</t>
  </si>
  <si>
    <t>323,5</t>
  </si>
  <si>
    <t>178,82</t>
  </si>
  <si>
    <t>194,79</t>
  </si>
  <si>
    <t>131,3</t>
  </si>
  <si>
    <t>144,89</t>
  </si>
  <si>
    <t>107,31</t>
  </si>
  <si>
    <t>250</t>
  </si>
  <si>
    <t>250,01</t>
  </si>
  <si>
    <t>613,21</t>
  </si>
  <si>
    <t>GONZALEZ, ROBERTO PABLO</t>
  </si>
  <si>
    <t>PAZ, JUAN JOSE</t>
  </si>
  <si>
    <t>SILVESTRI SERGIO ALBER</t>
  </si>
  <si>
    <t>SANOGUERA ELIDA FRANCI</t>
  </si>
  <si>
    <t>ACA SAN ANTONIO DE LA</t>
  </si>
  <si>
    <t>LUIS A CARRIZO Y CIA S</t>
  </si>
  <si>
    <t>FONTI DE MARTINATTO N.</t>
  </si>
  <si>
    <t>PETRO BRE#AS SA</t>
  </si>
  <si>
    <t>ESTACION DE SERVICIOS</t>
  </si>
  <si>
    <t>UNITY OIL S.A.</t>
  </si>
  <si>
    <t>ROMA COMBUSTIBLE S.A.</t>
  </si>
  <si>
    <t>DUEL S R L</t>
  </si>
  <si>
    <t>ACA VILLA MERCEDES</t>
  </si>
  <si>
    <t>SUCESORES DE ANTONIO L</t>
  </si>
  <si>
    <t>EST DE SER.YPF SAN CRI</t>
  </si>
  <si>
    <t>OPESSA ACA TRENQUE LAU</t>
  </si>
  <si>
    <t>GIORGI SARTOR Y CIA SR</t>
  </si>
  <si>
    <t>ESTACION DE SERVICIO 2</t>
  </si>
  <si>
    <t>MACOBAPE SRL</t>
  </si>
  <si>
    <t>LA POSTA DE CHIVILCOY</t>
  </si>
  <si>
    <t>SAN ANT.DE LA PAZ</t>
  </si>
  <si>
    <t>LAS BREÑAS</t>
  </si>
  <si>
    <t>VENADO TUERTO</t>
  </si>
  <si>
    <t>LA CARLOTA</t>
  </si>
  <si>
    <t>161,87</t>
  </si>
  <si>
    <t>242,8</t>
  </si>
  <si>
    <t>278,61</t>
  </si>
  <si>
    <t>379,16</t>
  </si>
  <si>
    <t>149,91</t>
  </si>
  <si>
    <t>248,53</t>
  </si>
  <si>
    <t>367,97</t>
  </si>
  <si>
    <t>338,02</t>
  </si>
  <si>
    <t>325,54</t>
  </si>
  <si>
    <t>331,37</t>
  </si>
  <si>
    <t>212,25</t>
  </si>
  <si>
    <t>278,88</t>
  </si>
  <si>
    <t>30,9</t>
  </si>
  <si>
    <t>550,13</t>
  </si>
  <si>
    <t>100,24</t>
  </si>
  <si>
    <t>392,36</t>
  </si>
  <si>
    <t>351,55</t>
  </si>
  <si>
    <t>283,6</t>
  </si>
  <si>
    <t>231,15</t>
  </si>
  <si>
    <t>203,31</t>
  </si>
  <si>
    <t>100,12</t>
  </si>
  <si>
    <t>401,74</t>
  </si>
  <si>
    <t>219,49</t>
  </si>
  <si>
    <t>300,06</t>
  </si>
  <si>
    <t>198,75</t>
  </si>
  <si>
    <t>134,83</t>
  </si>
  <si>
    <t>464,9</t>
  </si>
  <si>
    <t>400,98</t>
  </si>
  <si>
    <t>100,14</t>
  </si>
  <si>
    <t>397,67</t>
  </si>
  <si>
    <t>261,37</t>
  </si>
  <si>
    <t>182,62</t>
  </si>
  <si>
    <t>387,41</t>
  </si>
  <si>
    <t>202,96</t>
  </si>
  <si>
    <t>195,64</t>
  </si>
  <si>
    <t>211,98</t>
  </si>
  <si>
    <t>352,54</t>
  </si>
  <si>
    <t>164,93</t>
  </si>
  <si>
    <t>154,88</t>
  </si>
  <si>
    <t>120,62</t>
  </si>
  <si>
    <t>247,04</t>
  </si>
  <si>
    <t>400,91</t>
  </si>
  <si>
    <t>45,21</t>
  </si>
  <si>
    <t>428,16</t>
  </si>
  <si>
    <t>681,32</t>
  </si>
  <si>
    <t>458,23</t>
  </si>
  <si>
    <t>395,65</t>
  </si>
  <si>
    <t>389,08</t>
  </si>
  <si>
    <t>157,16</t>
  </si>
  <si>
    <t>175,16</t>
  </si>
  <si>
    <t>280,74</t>
  </si>
  <si>
    <t>309,54</t>
  </si>
  <si>
    <t>148,06</t>
  </si>
  <si>
    <t>367,63</t>
  </si>
  <si>
    <t>328,46</t>
  </si>
  <si>
    <t>149,25</t>
  </si>
  <si>
    <t>68,59</t>
  </si>
  <si>
    <t>99,62</t>
  </si>
  <si>
    <t>210,01</t>
  </si>
  <si>
    <t>165,08</t>
  </si>
  <si>
    <t>207,38</t>
  </si>
  <si>
    <t>415,82</t>
  </si>
  <si>
    <t>247,76</t>
  </si>
  <si>
    <t>60,35</t>
  </si>
  <si>
    <t>29,57</t>
  </si>
  <si>
    <t>32,65</t>
  </si>
  <si>
    <t>300,84</t>
  </si>
  <si>
    <t>312,15</t>
  </si>
  <si>
    <t>410,87</t>
  </si>
  <si>
    <t>328,72</t>
  </si>
  <si>
    <t>180,27</t>
  </si>
  <si>
    <t>132,03</t>
  </si>
  <si>
    <t>264,83</t>
  </si>
  <si>
    <t>414,87</t>
  </si>
  <si>
    <t>308,59</t>
  </si>
  <si>
    <t>310,36</t>
  </si>
  <si>
    <t>346,68</t>
  </si>
  <si>
    <t>364,04</t>
  </si>
  <si>
    <t>416,19</t>
  </si>
  <si>
    <t>296,08</t>
  </si>
  <si>
    <t>122,01</t>
  </si>
  <si>
    <t>88</t>
  </si>
  <si>
    <t>100,31</t>
  </si>
  <si>
    <t>184,72</t>
  </si>
  <si>
    <t>418,76</t>
  </si>
  <si>
    <t>245,76</t>
  </si>
  <si>
    <t>446,17</t>
  </si>
  <si>
    <t>364,6</t>
  </si>
  <si>
    <t>197,31</t>
  </si>
  <si>
    <t>32,77</t>
  </si>
  <si>
    <t>51,25</t>
  </si>
  <si>
    <t>57,58</t>
  </si>
  <si>
    <t>68,78</t>
  </si>
  <si>
    <t>106,86</t>
  </si>
  <si>
    <t>119,31</t>
  </si>
  <si>
    <t>143,25</t>
  </si>
  <si>
    <t>503,32</t>
  </si>
  <si>
    <t>100,01</t>
  </si>
  <si>
    <t>249,69</t>
  </si>
  <si>
    <t>378,91</t>
  </si>
  <si>
    <t>154,92</t>
  </si>
  <si>
    <t>292,35</t>
  </si>
  <si>
    <t>288,52</t>
  </si>
  <si>
    <t>286,61</t>
  </si>
  <si>
    <t>262,42</t>
  </si>
  <si>
    <t>146,41</t>
  </si>
  <si>
    <t>411,31</t>
  </si>
  <si>
    <t>434,9</t>
  </si>
  <si>
    <t>151,62</t>
  </si>
  <si>
    <t>159,07</t>
  </si>
  <si>
    <t>320,94</t>
  </si>
  <si>
    <t>112,77</t>
  </si>
  <si>
    <t>90,26</t>
  </si>
  <si>
    <t>99,64</t>
  </si>
  <si>
    <t>333,64</t>
  </si>
  <si>
    <t>307,14</t>
  </si>
  <si>
    <t>SIN GPS</t>
  </si>
  <si>
    <t>ROSSO, ADRIANA</t>
  </si>
  <si>
    <t>EL MASTIL S DE H DE ANASAGASTI</t>
  </si>
  <si>
    <t>CNEL.SUAREZ</t>
  </si>
  <si>
    <t>PETROFRIAS SRL (RE)</t>
  </si>
  <si>
    <t>FRIAS</t>
  </si>
  <si>
    <t>?</t>
  </si>
  <si>
    <t>OPESSA GENERAL ROCA</t>
  </si>
  <si>
    <t>MOLINA, ARIEL</t>
  </si>
  <si>
    <t>SUPER SERVICIOS SA</t>
  </si>
  <si>
    <t>GRAL.PACHECO</t>
  </si>
  <si>
    <t>Etiquetas de fila</t>
  </si>
  <si>
    <t>Total general</t>
  </si>
  <si>
    <t>Suma de TOTAL LITROS TRAMO</t>
  </si>
  <si>
    <t>Suma de TOTAL KM TRAMO</t>
  </si>
  <si>
    <t>Promedio de Prom Consumo Lts/100 Km</t>
  </si>
  <si>
    <t>AF420MJ</t>
  </si>
  <si>
    <t>AF553MI</t>
  </si>
  <si>
    <t>AA129CZ</t>
  </si>
  <si>
    <t>OCTUBRE</t>
  </si>
  <si>
    <t>AE887HK</t>
  </si>
  <si>
    <t>AE887HJ</t>
  </si>
  <si>
    <t>AF639AI</t>
  </si>
  <si>
    <t>IVECO 330</t>
  </si>
  <si>
    <t>VOLVO 330</t>
  </si>
  <si>
    <t>MB 1634 TB</t>
  </si>
  <si>
    <t>MB 1735</t>
  </si>
  <si>
    <t>MB 1634</t>
  </si>
  <si>
    <t>MB 2036</t>
  </si>
  <si>
    <t>MB 1634 (CH)</t>
  </si>
  <si>
    <t>MB 2536</t>
  </si>
  <si>
    <t>MB ATEGO 1729</t>
  </si>
  <si>
    <t>MB 2548</t>
  </si>
  <si>
    <t>MB ATEGO 1726</t>
  </si>
  <si>
    <t>MB 2544</t>
  </si>
  <si>
    <t>RENAULT 440</t>
  </si>
  <si>
    <t>RENAULT 380</t>
  </si>
  <si>
    <t>MB AXOR 1933</t>
  </si>
  <si>
    <t>MB 2041</t>
  </si>
  <si>
    <t>VOLKSWAGEN 250</t>
  </si>
  <si>
    <t>PATENTE</t>
  </si>
  <si>
    <t>PNH470</t>
  </si>
  <si>
    <t>PNH467</t>
  </si>
  <si>
    <t>AF639AJ</t>
  </si>
  <si>
    <t>AF639AH</t>
  </si>
  <si>
    <t>Promedios</t>
  </si>
  <si>
    <t>PROMEDIO GENERAL MES</t>
  </si>
  <si>
    <t>Comp. Mes Anterior</t>
  </si>
  <si>
    <t>Total</t>
  </si>
  <si>
    <t>Unidad</t>
  </si>
  <si>
    <t>Litros</t>
  </si>
  <si>
    <t>Promedio</t>
  </si>
  <si>
    <t>AF839EW</t>
  </si>
  <si>
    <t>EQUIVALENTE A LITROS</t>
  </si>
  <si>
    <t>AG006FV</t>
  </si>
  <si>
    <t>AG006FY</t>
  </si>
  <si>
    <t>AG006FU</t>
  </si>
  <si>
    <t>HEY ROAD</t>
  </si>
  <si>
    <t>Kms</t>
  </si>
  <si>
    <t>AG235ER</t>
  </si>
  <si>
    <t>AG326PH</t>
  </si>
  <si>
    <t>AG326PT</t>
  </si>
  <si>
    <t>AE361CW</t>
  </si>
  <si>
    <t>AE362RY</t>
  </si>
  <si>
    <t>LIQ702</t>
  </si>
  <si>
    <t>AE305CV</t>
  </si>
  <si>
    <t>NNF283</t>
  </si>
  <si>
    <t>AE814AC</t>
  </si>
  <si>
    <t>NNF469</t>
  </si>
  <si>
    <t>AC488KH</t>
  </si>
  <si>
    <t>AF140WW</t>
  </si>
  <si>
    <t>IVECO 360</t>
  </si>
  <si>
    <t>MB 1635</t>
  </si>
  <si>
    <t>VOLKSWAGEN 19360</t>
  </si>
  <si>
    <t>LIQ701</t>
  </si>
  <si>
    <t>VOLVO  370</t>
  </si>
  <si>
    <t>AE379FQ</t>
  </si>
  <si>
    <t>AF427QV</t>
  </si>
  <si>
    <t>AE362RX</t>
  </si>
  <si>
    <t>AG391BC</t>
  </si>
  <si>
    <t>AG391AY</t>
  </si>
  <si>
    <t>KHY272</t>
  </si>
  <si>
    <t>AG391BA</t>
  </si>
  <si>
    <t>AG391BB</t>
  </si>
  <si>
    <t>AA850LE</t>
  </si>
  <si>
    <t>AG391AZ</t>
  </si>
  <si>
    <t>CONSUMO ACTUAL</t>
  </si>
  <si>
    <t>Km</t>
  </si>
  <si>
    <t>Consumo Prom</t>
  </si>
  <si>
    <t>Km Recorrido</t>
  </si>
  <si>
    <t>Lts Consumidos</t>
  </si>
  <si>
    <t>CONSUMO MES ANTERIOR</t>
  </si>
  <si>
    <t>Km Recorrido Act.</t>
  </si>
  <si>
    <t>DIFERENCIA LITROS</t>
  </si>
  <si>
    <t>LITROS MES ANTERIOR</t>
  </si>
  <si>
    <t>LITROS MES ACTUAL</t>
  </si>
  <si>
    <t>DIF</t>
  </si>
  <si>
    <t>Lts</t>
  </si>
  <si>
    <t>patente2</t>
  </si>
  <si>
    <t>AG478GO</t>
  </si>
  <si>
    <t>Consumo Flota Campana MAYO 2024</t>
  </si>
  <si>
    <t>Consumo Flota Campana JUNIO 2024</t>
  </si>
  <si>
    <t>Consumo Flota Campana JULIO 2024</t>
  </si>
  <si>
    <t>Consumo Flota Campana AGOSTO 2024</t>
  </si>
  <si>
    <t>Consumo Flota Campana SEPTIEMBRE 2024</t>
  </si>
  <si>
    <t>AG735JL</t>
  </si>
  <si>
    <t>AG735JK</t>
  </si>
  <si>
    <t>Consumo Flota Campana Octubre 2024</t>
  </si>
  <si>
    <t>Promedio combustible mes Noviembre</t>
  </si>
  <si>
    <t>AG812AM</t>
  </si>
  <si>
    <t>VOLKSWAGEN 25360</t>
  </si>
  <si>
    <t>AG767YX</t>
  </si>
  <si>
    <t>AG920EX</t>
  </si>
  <si>
    <t>AG942BJ</t>
  </si>
  <si>
    <t>Promedio combustible mes Enero 2025</t>
  </si>
  <si>
    <t>AG960XE</t>
  </si>
  <si>
    <t>AG960XF</t>
  </si>
  <si>
    <t>Promedio combustible mes FEBRERO 2025</t>
  </si>
  <si>
    <t>Promedio combustible mes MARZO 2025</t>
  </si>
  <si>
    <t>AH159KE</t>
  </si>
  <si>
    <t>AH159KM</t>
  </si>
  <si>
    <t>AH159KF</t>
  </si>
  <si>
    <t>Promedio combustible mes ABRIL 2025</t>
  </si>
  <si>
    <t>Promedio combustible mes MAYO 2025</t>
  </si>
  <si>
    <t>Promedio combustible mes JUNIO 2025</t>
  </si>
  <si>
    <t>Promedio combustible mes JULIO 2025</t>
  </si>
  <si>
    <t>36 / 37</t>
  </si>
  <si>
    <t>33 / 34</t>
  </si>
  <si>
    <t>35 / 36</t>
  </si>
  <si>
    <t>AH436KM</t>
  </si>
  <si>
    <t>PromediocombustiblemesAGOSTO2025</t>
  </si>
  <si>
    <t>Totalgeneral</t>
  </si>
  <si>
    <t>Promediocombustiblemes Septiembre2025</t>
  </si>
  <si>
    <t>AH436KL</t>
  </si>
  <si>
    <t>AH454NT</t>
  </si>
  <si>
    <t>AH454NU</t>
  </si>
  <si>
    <t>AH601ZF</t>
  </si>
  <si>
    <t>AH601ZJ</t>
  </si>
  <si>
    <t>Promediocombustiblemes Octubre 2025</t>
  </si>
  <si>
    <t>AH601ZE</t>
  </si>
  <si>
    <t>AH601ZG</t>
  </si>
  <si>
    <t>AH601ZH</t>
  </si>
  <si>
    <t>AH601ZI</t>
  </si>
  <si>
    <t>AH601ZK</t>
  </si>
  <si>
    <t>AH601ZL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</si>
</sst>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"/>
    <numFmt numFmtId="165" formatCode="0.000%"/>
    <numFmt numFmtId="166" formatCode="#,##0_ ;\-#,##0\ "/>
    <numFmt numFmtId="167" formatCode="#,##0.00_ ;\-#,##0.00\ "/>
    <numFmt numFmtId="168" formatCode="#,##0.00;[Red]#,##0.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C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C6EFCE"/>
      </patternFill>
    </fill>
    <fill>
      <patternFill patternType="solid">
        <fgColor theme="2"/>
        <bgColor theme="4" tint="0.79998168889431442"/>
      </patternFill>
    </fill>
    <fill>
      <patternFill patternType="solid">
        <fgColor rgb="FFE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rgb="FFFF0000"/>
        <bgColor theme="4" tint="0.79998168889431442"/>
      </patternFill>
    </fill>
  </fills>
  <borders count="6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4">
    <xf numFmtId="0" fontId="0" fillId="0" borderId="0"/>
    <xf numFmtId="0" fontId="5" fillId="0" borderId="0"/>
    <xf numFmtId="43" fontId="9" fillId="0" borderId="0" applyFont="0" applyFill="0" applyBorder="0" applyAlignment="0" applyProtection="0"/>
    <xf numFmtId="0" fontId="19" fillId="21" borderId="0" applyNumberFormat="0" applyBorder="0" applyAlignment="0" applyProtection="0"/>
  </cellStyleXfs>
  <cellXfs count="461">
    <xf numFmtId="0" fontId="0" fillId="0" borderId="0" xfId="0"/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>
      <alignment horizontal="center" vertical="center" wrapText="1"/>
    </xf>
    <xf numFmtId="0" fontId="0" fillId="3" borderId="3" xfId="0" applyFill="1" applyBorder="1" applyAlignment="1" applyProtection="1">
      <alignment horizontal="center"/>
      <protection locked="0"/>
    </xf>
    <xf numFmtId="0" fontId="0" fillId="0" borderId="3" xfId="0" applyBorder="1"/>
    <xf numFmtId="0" fontId="3" fillId="0" borderId="0" xfId="0" applyFont="1" applyProtection="1">
      <protection locked="0"/>
    </xf>
    <xf numFmtId="2" fontId="0" fillId="2" borderId="8" xfId="0" applyNumberFormat="1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/>
    <xf numFmtId="14" fontId="0" fillId="0" borderId="3" xfId="0" applyNumberFormat="1" applyBorder="1"/>
    <xf numFmtId="21" fontId="0" fillId="0" borderId="3" xfId="0" applyNumberFormat="1" applyBorder="1"/>
    <xf numFmtId="0" fontId="0" fillId="0" borderId="3" xfId="0" applyBorder="1" applyAlignment="1" applyProtection="1">
      <alignment horizontal="center"/>
      <protection locked="0"/>
    </xf>
    <xf numFmtId="0" fontId="0" fillId="0" borderId="7" xfId="0" applyBorder="1"/>
    <xf numFmtId="14" fontId="0" fillId="0" borderId="0" xfId="0" applyNumberFormat="1"/>
    <xf numFmtId="21" fontId="0" fillId="0" borderId="0" xfId="0" applyNumberFormat="1"/>
    <xf numFmtId="0" fontId="5" fillId="0" borderId="0" xfId="0" applyFont="1"/>
    <xf numFmtId="0" fontId="0" fillId="3" borderId="14" xfId="0" applyFill="1" applyBorder="1" applyAlignment="1" applyProtection="1">
      <alignment horizontal="center"/>
      <protection locked="0"/>
    </xf>
    <xf numFmtId="0" fontId="0" fillId="3" borderId="13" xfId="0" applyFill="1" applyBorder="1" applyAlignment="1" applyProtection="1">
      <alignment horizontal="center"/>
      <protection locked="0"/>
    </xf>
    <xf numFmtId="0" fontId="0" fillId="3" borderId="17" xfId="0" applyFill="1" applyBorder="1" applyAlignment="1" applyProtection="1">
      <alignment horizontal="center"/>
      <protection locked="0"/>
    </xf>
    <xf numFmtId="0" fontId="0" fillId="3" borderId="15" xfId="0" applyFill="1" applyBorder="1" applyAlignment="1" applyProtection="1">
      <alignment horizontal="center"/>
      <protection locked="0"/>
    </xf>
    <xf numFmtId="0" fontId="0" fillId="3" borderId="3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9" xfId="0" applyFill="1" applyBorder="1" applyAlignment="1" applyProtection="1">
      <alignment horizontal="center"/>
      <protection locked="0"/>
    </xf>
    <xf numFmtId="0" fontId="0" fillId="3" borderId="20" xfId="0" applyFill="1" applyBorder="1" applyAlignment="1" applyProtection="1">
      <alignment horizontal="center"/>
      <protection locked="0"/>
    </xf>
    <xf numFmtId="2" fontId="0" fillId="2" borderId="18" xfId="0" applyNumberFormat="1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21" xfId="0" applyFill="1" applyBorder="1" applyAlignment="1" applyProtection="1">
      <alignment horizontal="center"/>
      <protection locked="0"/>
    </xf>
    <xf numFmtId="0" fontId="0" fillId="3" borderId="7" xfId="0" applyFill="1" applyBorder="1" applyAlignment="1">
      <alignment horizontal="center"/>
    </xf>
    <xf numFmtId="0" fontId="0" fillId="3" borderId="3" xfId="0" applyFill="1" applyBorder="1"/>
    <xf numFmtId="0" fontId="0" fillId="3" borderId="19" xfId="0" applyFill="1" applyBorder="1"/>
    <xf numFmtId="0" fontId="0" fillId="0" borderId="19" xfId="0" applyBorder="1"/>
    <xf numFmtId="0" fontId="0" fillId="0" borderId="20" xfId="0" applyBorder="1"/>
    <xf numFmtId="0" fontId="0" fillId="0" borderId="1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9" xfId="0" applyBorder="1" applyAlignment="1" applyProtection="1">
      <alignment horizontal="center"/>
      <protection locked="0"/>
    </xf>
    <xf numFmtId="0" fontId="0" fillId="3" borderId="24" xfId="0" applyFill="1" applyBorder="1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3" borderId="0" xfId="0" applyFill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15" xfId="0" applyBorder="1"/>
    <xf numFmtId="0" fontId="0" fillId="3" borderId="14" xfId="0" applyFill="1" applyBorder="1" applyAlignment="1">
      <alignment horizontal="center"/>
    </xf>
    <xf numFmtId="0" fontId="0" fillId="0" borderId="14" xfId="0" applyBorder="1"/>
    <xf numFmtId="0" fontId="0" fillId="4" borderId="0" xfId="0" applyFill="1" applyAlignment="1">
      <alignment horizontal="center"/>
    </xf>
    <xf numFmtId="0" fontId="1" fillId="0" borderId="9" xfId="0" applyFont="1" applyBorder="1" applyAlignment="1" applyProtection="1">
      <alignment horizontal="center" vertical="center" wrapText="1"/>
      <protection locked="0"/>
    </xf>
    <xf numFmtId="14" fontId="0" fillId="0" borderId="19" xfId="0" applyNumberFormat="1" applyBorder="1"/>
    <xf numFmtId="21" fontId="0" fillId="0" borderId="19" xfId="0" applyNumberFormat="1" applyBorder="1"/>
    <xf numFmtId="2" fontId="0" fillId="2" borderId="26" xfId="0" applyNumberFormat="1" applyFill="1" applyBorder="1" applyAlignment="1">
      <alignment horizontal="center"/>
    </xf>
    <xf numFmtId="0" fontId="1" fillId="0" borderId="27" xfId="0" applyFont="1" applyBorder="1" applyAlignment="1" applyProtection="1">
      <alignment horizontal="center" vertical="center" wrapText="1"/>
      <protection locked="0"/>
    </xf>
    <xf numFmtId="0" fontId="1" fillId="0" borderId="25" xfId="0" applyFont="1" applyBorder="1" applyAlignment="1" applyProtection="1">
      <alignment horizontal="center" vertical="center" wrapText="1"/>
      <protection locked="0"/>
    </xf>
    <xf numFmtId="0" fontId="1" fillId="0" borderId="28" xfId="0" applyFont="1" applyBorder="1" applyAlignment="1" applyProtection="1">
      <alignment horizontal="center" vertical="center" wrapText="1"/>
      <protection locked="0"/>
    </xf>
    <xf numFmtId="0" fontId="0" fillId="3" borderId="24" xfId="0" applyFill="1" applyBorder="1" applyAlignment="1">
      <alignment horizontal="center"/>
    </xf>
    <xf numFmtId="0" fontId="0" fillId="0" borderId="15" xfId="0" applyBorder="1" applyAlignment="1" applyProtection="1">
      <alignment horizontal="center"/>
      <protection locked="0"/>
    </xf>
    <xf numFmtId="0" fontId="0" fillId="3" borderId="17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15" xfId="0" applyFill="1" applyBorder="1"/>
    <xf numFmtId="0" fontId="0" fillId="3" borderId="23" xfId="0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9" xfId="0" applyFill="1" applyBorder="1" applyAlignment="1" applyProtection="1">
      <alignment horizontal="center"/>
      <protection locked="0"/>
    </xf>
    <xf numFmtId="0" fontId="0" fillId="0" borderId="21" xfId="0" applyBorder="1"/>
    <xf numFmtId="0" fontId="0" fillId="3" borderId="23" xfId="0" applyFill="1" applyBorder="1" applyAlignment="1" applyProtection="1">
      <alignment horizontal="center"/>
      <protection locked="0"/>
    </xf>
    <xf numFmtId="0" fontId="0" fillId="3" borderId="12" xfId="0" applyFill="1" applyBorder="1" applyAlignment="1" applyProtection="1">
      <alignment horizontal="center"/>
      <protection locked="0"/>
    </xf>
    <xf numFmtId="0" fontId="0" fillId="0" borderId="23" xfId="0" applyBorder="1"/>
    <xf numFmtId="0" fontId="0" fillId="0" borderId="23" xfId="0" applyBorder="1" applyAlignment="1" applyProtection="1">
      <alignment horizontal="center"/>
      <protection locked="0"/>
    </xf>
    <xf numFmtId="0" fontId="0" fillId="0" borderId="6" xfId="0" applyBorder="1" applyAlignment="1">
      <alignment horizontal="center"/>
    </xf>
    <xf numFmtId="0" fontId="0" fillId="3" borderId="6" xfId="0" applyFill="1" applyBorder="1"/>
    <xf numFmtId="0" fontId="0" fillId="0" borderId="6" xfId="0" applyBorder="1"/>
    <xf numFmtId="0" fontId="0" fillId="3" borderId="2" xfId="0" applyFill="1" applyBorder="1" applyAlignment="1" applyProtection="1">
      <alignment horizontal="center"/>
      <protection locked="0"/>
    </xf>
    <xf numFmtId="0" fontId="0" fillId="3" borderId="2" xfId="0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5" borderId="0" xfId="0" applyFill="1" applyAlignment="1" applyProtection="1">
      <alignment horizontal="center"/>
      <protection locked="0"/>
    </xf>
    <xf numFmtId="0" fontId="0" fillId="5" borderId="6" xfId="0" applyFill="1" applyBorder="1" applyAlignment="1" applyProtection="1">
      <alignment horizontal="center"/>
      <protection locked="0"/>
    </xf>
    <xf numFmtId="0" fontId="0" fillId="5" borderId="3" xfId="0" applyFill="1" applyBorder="1" applyAlignment="1" applyProtection="1">
      <alignment horizontal="center"/>
      <protection locked="0"/>
    </xf>
    <xf numFmtId="2" fontId="0" fillId="2" borderId="3" xfId="0" applyNumberFormat="1" applyFill="1" applyBorder="1" applyAlignment="1">
      <alignment horizontal="center"/>
    </xf>
    <xf numFmtId="0" fontId="0" fillId="5" borderId="17" xfId="0" applyFill="1" applyBorder="1" applyAlignment="1" applyProtection="1">
      <alignment horizontal="center"/>
      <protection locked="0"/>
    </xf>
    <xf numFmtId="0" fontId="0" fillId="5" borderId="13" xfId="0" applyFill="1" applyBorder="1" applyAlignment="1" applyProtection="1">
      <alignment horizontal="center"/>
      <protection locked="0"/>
    </xf>
    <xf numFmtId="0" fontId="0" fillId="5" borderId="9" xfId="0" applyFill="1" applyBorder="1" applyAlignment="1" applyProtection="1">
      <alignment horizontal="center"/>
      <protection locked="0"/>
    </xf>
    <xf numFmtId="0" fontId="0" fillId="5" borderId="7" xfId="0" applyFill="1" applyBorder="1" applyAlignment="1" applyProtection="1">
      <alignment horizontal="center"/>
      <protection locked="0"/>
    </xf>
    <xf numFmtId="0" fontId="0" fillId="5" borderId="14" xfId="0" applyFill="1" applyBorder="1" applyAlignment="1" applyProtection="1">
      <alignment horizontal="center"/>
      <protection locked="0"/>
    </xf>
    <xf numFmtId="0" fontId="0" fillId="5" borderId="19" xfId="0" applyFill="1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5" borderId="15" xfId="0" applyFill="1" applyBorder="1" applyAlignment="1" applyProtection="1">
      <alignment horizontal="center"/>
      <protection locked="0"/>
    </xf>
    <xf numFmtId="0" fontId="0" fillId="5" borderId="20" xfId="0" applyFill="1" applyBorder="1" applyAlignment="1" applyProtection="1">
      <alignment horizontal="center"/>
      <protection locked="0"/>
    </xf>
    <xf numFmtId="0" fontId="0" fillId="5" borderId="24" xfId="0" applyFill="1" applyBorder="1" applyAlignment="1" applyProtection="1">
      <alignment horizontal="center"/>
      <protection locked="0"/>
    </xf>
    <xf numFmtId="0" fontId="0" fillId="5" borderId="21" xfId="0" applyFill="1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5" borderId="23" xfId="0" applyFill="1" applyBorder="1" applyAlignment="1" applyProtection="1">
      <alignment horizontal="center"/>
      <protection locked="0"/>
    </xf>
    <xf numFmtId="0" fontId="0" fillId="5" borderId="29" xfId="0" applyFill="1" applyBorder="1" applyAlignment="1" applyProtection="1">
      <alignment horizontal="center"/>
      <protection locked="0"/>
    </xf>
    <xf numFmtId="0" fontId="0" fillId="0" borderId="13" xfId="0" applyBorder="1"/>
    <xf numFmtId="0" fontId="2" fillId="3" borderId="6" xfId="0" applyFont="1" applyFill="1" applyBorder="1" applyAlignment="1">
      <alignment horizontal="center"/>
    </xf>
    <xf numFmtId="0" fontId="0" fillId="5" borderId="0" xfId="0" applyFill="1"/>
    <xf numFmtId="2" fontId="0" fillId="5" borderId="8" xfId="0" applyNumberFormat="1" applyFill="1" applyBorder="1" applyAlignment="1">
      <alignment horizontal="center"/>
    </xf>
    <xf numFmtId="0" fontId="0" fillId="5" borderId="0" xfId="0" applyFill="1" applyProtection="1">
      <protection locked="0"/>
    </xf>
    <xf numFmtId="0" fontId="0" fillId="3" borderId="12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1" xfId="0" applyFill="1" applyBorder="1" applyAlignment="1" applyProtection="1">
      <alignment horizontal="center"/>
      <protection locked="0"/>
    </xf>
    <xf numFmtId="0" fontId="0" fillId="3" borderId="14" xfId="0" applyFill="1" applyBorder="1"/>
    <xf numFmtId="0" fontId="0" fillId="3" borderId="1" xfId="0" applyFill="1" applyBorder="1" applyAlignment="1">
      <alignment horizontal="center"/>
    </xf>
    <xf numFmtId="0" fontId="0" fillId="3" borderId="6" xfId="0" quotePrefix="1" applyFill="1" applyBorder="1" applyAlignment="1" applyProtection="1">
      <alignment horizontal="center"/>
      <protection locked="0"/>
    </xf>
    <xf numFmtId="0" fontId="0" fillId="3" borderId="16" xfId="0" applyFill="1" applyBorder="1" applyAlignment="1">
      <alignment horizontal="center"/>
    </xf>
    <xf numFmtId="2" fontId="0" fillId="2" borderId="30" xfId="0" applyNumberFormat="1" applyFill="1" applyBorder="1" applyAlignment="1">
      <alignment horizontal="center"/>
    </xf>
    <xf numFmtId="2" fontId="0" fillId="2" borderId="6" xfId="0" applyNumberFormat="1" applyFill="1" applyBorder="1" applyAlignment="1">
      <alignment horizontal="center"/>
    </xf>
    <xf numFmtId="0" fontId="0" fillId="0" borderId="20" xfId="0" applyBorder="1" applyAlignment="1" applyProtection="1">
      <alignment horizontal="center"/>
      <protection locked="0"/>
    </xf>
    <xf numFmtId="2" fontId="0" fillId="2" borderId="31" xfId="0" applyNumberFormat="1" applyFill="1" applyBorder="1" applyAlignment="1">
      <alignment horizontal="center"/>
    </xf>
    <xf numFmtId="0" fontId="0" fillId="6" borderId="0" xfId="0" applyFill="1"/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19" xfId="0" applyFont="1" applyFill="1" applyBorder="1" applyAlignment="1" applyProtection="1">
      <alignment horizontal="center"/>
      <protection locked="0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applyAlignment="1">
      <alignment horizontal="right"/>
    </xf>
    <xf numFmtId="0" fontId="0" fillId="5" borderId="12" xfId="0" applyFill="1" applyBorder="1" applyAlignment="1" applyProtection="1">
      <alignment horizontal="center"/>
      <protection locked="0"/>
    </xf>
    <xf numFmtId="0" fontId="2" fillId="0" borderId="0" xfId="0" applyFont="1"/>
    <xf numFmtId="2" fontId="0" fillId="2" borderId="33" xfId="0" applyNumberFormat="1" applyFill="1" applyBorder="1" applyAlignment="1">
      <alignment horizontal="center"/>
    </xf>
    <xf numFmtId="2" fontId="0" fillId="2" borderId="19" xfId="0" applyNumberFormat="1" applyFill="1" applyBorder="1" applyAlignment="1">
      <alignment horizontal="center"/>
    </xf>
    <xf numFmtId="2" fontId="0" fillId="2" borderId="17" xfId="0" applyNumberForma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0" fontId="8" fillId="10" borderId="3" xfId="0" applyFont="1" applyFill="1" applyBorder="1" applyAlignment="1">
      <alignment horizontal="center"/>
    </xf>
    <xf numFmtId="0" fontId="8" fillId="10" borderId="6" xfId="0" applyFont="1" applyFill="1" applyBorder="1" applyAlignment="1" applyProtection="1">
      <alignment horizontal="center"/>
      <protection locked="0"/>
    </xf>
    <xf numFmtId="0" fontId="8" fillId="10" borderId="3" xfId="0" applyFont="1" applyFill="1" applyBorder="1" applyAlignment="1" applyProtection="1">
      <alignment horizontal="center"/>
      <protection locked="0"/>
    </xf>
    <xf numFmtId="0" fontId="8" fillId="0" borderId="3" xfId="0" applyFont="1" applyBorder="1" applyAlignment="1" applyProtection="1">
      <alignment horizontal="center"/>
      <protection locked="0"/>
    </xf>
    <xf numFmtId="2" fontId="0" fillId="2" borderId="15" xfId="0" applyNumberFormat="1" applyFill="1" applyBorder="1" applyAlignment="1">
      <alignment horizontal="center"/>
    </xf>
    <xf numFmtId="0" fontId="2" fillId="5" borderId="15" xfId="0" applyFont="1" applyFill="1" applyBorder="1" applyAlignment="1" applyProtection="1">
      <alignment horizontal="center"/>
      <protection locked="0"/>
    </xf>
    <xf numFmtId="0" fontId="2" fillId="5" borderId="3" xfId="0" applyFont="1" applyFill="1" applyBorder="1" applyAlignment="1" applyProtection="1">
      <alignment horizontal="center"/>
      <protection locked="0"/>
    </xf>
    <xf numFmtId="0" fontId="2" fillId="3" borderId="15" xfId="0" applyFont="1" applyFill="1" applyBorder="1" applyAlignment="1" applyProtection="1">
      <alignment horizontal="center"/>
      <protection locked="0"/>
    </xf>
    <xf numFmtId="2" fontId="2" fillId="2" borderId="8" xfId="0" applyNumberFormat="1" applyFont="1" applyFill="1" applyBorder="1" applyAlignment="1">
      <alignment horizontal="center"/>
    </xf>
    <xf numFmtId="0" fontId="2" fillId="5" borderId="19" xfId="0" applyFont="1" applyFill="1" applyBorder="1" applyAlignment="1" applyProtection="1">
      <alignment horizontal="center"/>
      <protection locked="0"/>
    </xf>
    <xf numFmtId="2" fontId="2" fillId="2" borderId="18" xfId="0" applyNumberFormat="1" applyFont="1" applyFill="1" applyBorder="1" applyAlignment="1">
      <alignment horizontal="center"/>
    </xf>
    <xf numFmtId="0" fontId="2" fillId="5" borderId="6" xfId="0" applyFont="1" applyFill="1" applyBorder="1" applyAlignment="1" applyProtection="1">
      <alignment horizontal="center"/>
      <protection locked="0"/>
    </xf>
    <xf numFmtId="0" fontId="2" fillId="3" borderId="19" xfId="0" applyFont="1" applyFill="1" applyBorder="1" applyAlignment="1">
      <alignment horizontal="center"/>
    </xf>
    <xf numFmtId="0" fontId="0" fillId="11" borderId="0" xfId="0" applyFill="1"/>
    <xf numFmtId="2" fontId="0" fillId="11" borderId="3" xfId="0" applyNumberFormat="1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1" borderId="3" xfId="0" applyFill="1" applyBorder="1" applyAlignment="1" applyProtection="1">
      <alignment horizontal="center"/>
      <protection locked="0"/>
    </xf>
    <xf numFmtId="0" fontId="0" fillId="11" borderId="19" xfId="0" applyFill="1" applyBorder="1" applyAlignment="1">
      <alignment horizontal="center"/>
    </xf>
    <xf numFmtId="0" fontId="0" fillId="11" borderId="19" xfId="0" applyFill="1" applyBorder="1" applyAlignment="1" applyProtection="1">
      <alignment horizontal="center"/>
      <protection locked="0"/>
    </xf>
    <xf numFmtId="0" fontId="0" fillId="11" borderId="15" xfId="0" applyFill="1" applyBorder="1" applyAlignment="1" applyProtection="1">
      <alignment horizontal="center"/>
      <protection locked="0"/>
    </xf>
    <xf numFmtId="2" fontId="0" fillId="11" borderId="8" xfId="0" applyNumberFormat="1" applyFill="1" applyBorder="1" applyAlignment="1">
      <alignment horizontal="center"/>
    </xf>
    <xf numFmtId="0" fontId="0" fillId="11" borderId="6" xfId="0" applyFill="1" applyBorder="1" applyAlignment="1" applyProtection="1">
      <alignment horizontal="center"/>
      <protection locked="0"/>
    </xf>
    <xf numFmtId="2" fontId="0" fillId="11" borderId="18" xfId="0" applyNumberForma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1" borderId="0" xfId="0" applyFill="1" applyAlignment="1">
      <alignment horizontal="right"/>
    </xf>
    <xf numFmtId="0" fontId="0" fillId="11" borderId="3" xfId="0" applyFill="1" applyBorder="1"/>
    <xf numFmtId="0" fontId="0" fillId="11" borderId="19" xfId="0" applyFill="1" applyBorder="1"/>
    <xf numFmtId="0" fontId="0" fillId="11" borderId="7" xfId="0" applyFill="1" applyBorder="1"/>
    <xf numFmtId="0" fontId="0" fillId="11" borderId="6" xfId="0" applyFill="1" applyBorder="1"/>
    <xf numFmtId="0" fontId="0" fillId="11" borderId="15" xfId="0" applyFill="1" applyBorder="1"/>
    <xf numFmtId="0" fontId="0" fillId="11" borderId="0" xfId="0" applyFill="1" applyAlignment="1" applyProtection="1">
      <alignment horizontal="center"/>
      <protection locked="0"/>
    </xf>
    <xf numFmtId="0" fontId="2" fillId="5" borderId="0" xfId="0" applyFont="1" applyFill="1" applyAlignment="1" applyProtection="1">
      <alignment horizontal="center"/>
      <protection locked="0"/>
    </xf>
    <xf numFmtId="0" fontId="0" fillId="11" borderId="17" xfId="0" applyFill="1" applyBorder="1" applyAlignment="1" applyProtection="1">
      <alignment horizontal="center"/>
      <protection locked="0"/>
    </xf>
    <xf numFmtId="0" fontId="2" fillId="3" borderId="0" xfId="0" applyFont="1" applyFill="1" applyAlignment="1" applyProtection="1">
      <alignment horizontal="center"/>
      <protection locked="0"/>
    </xf>
    <xf numFmtId="0" fontId="0" fillId="0" borderId="9" xfId="0" applyBorder="1"/>
    <xf numFmtId="0" fontId="8" fillId="10" borderId="19" xfId="0" applyFont="1" applyFill="1" applyBorder="1" applyAlignment="1">
      <alignment horizontal="center"/>
    </xf>
    <xf numFmtId="0" fontId="2" fillId="5" borderId="9" xfId="0" applyFont="1" applyFill="1" applyBorder="1" applyAlignment="1" applyProtection="1">
      <alignment horizontal="center"/>
      <protection locked="0"/>
    </xf>
    <xf numFmtId="0" fontId="8" fillId="10" borderId="19" xfId="0" applyFont="1" applyFill="1" applyBorder="1" applyAlignment="1" applyProtection="1">
      <alignment horizontal="center"/>
      <protection locked="0"/>
    </xf>
    <xf numFmtId="0" fontId="0" fillId="11" borderId="3" xfId="0" applyFill="1" applyBorder="1" applyAlignment="1">
      <alignment horizontal="right"/>
    </xf>
    <xf numFmtId="0" fontId="0" fillId="3" borderId="9" xfId="0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0" fontId="2" fillId="5" borderId="17" xfId="0" applyFont="1" applyFill="1" applyBorder="1" applyAlignment="1" applyProtection="1">
      <alignment horizontal="center"/>
      <protection locked="0"/>
    </xf>
    <xf numFmtId="0" fontId="0" fillId="11" borderId="14" xfId="0" applyFill="1" applyBorder="1"/>
    <xf numFmtId="0" fontId="8" fillId="0" borderId="14" xfId="0" applyFont="1" applyBorder="1" applyAlignment="1" applyProtection="1">
      <alignment horizontal="center"/>
      <protection locked="0"/>
    </xf>
    <xf numFmtId="0" fontId="0" fillId="3" borderId="3" xfId="0" quotePrefix="1" applyFill="1" applyBorder="1" applyAlignment="1" applyProtection="1">
      <alignment horizontal="center"/>
      <protection locked="0"/>
    </xf>
    <xf numFmtId="0" fontId="2" fillId="3" borderId="6" xfId="0" applyFont="1" applyFill="1" applyBorder="1" applyAlignment="1" applyProtection="1">
      <alignment horizontal="center"/>
      <protection locked="0"/>
    </xf>
    <xf numFmtId="0" fontId="8" fillId="10" borderId="17" xfId="0" applyFont="1" applyFill="1" applyBorder="1" applyAlignment="1" applyProtection="1">
      <alignment horizontal="center"/>
      <protection locked="0"/>
    </xf>
    <xf numFmtId="0" fontId="0" fillId="4" borderId="3" xfId="0" applyFill="1" applyBorder="1" applyAlignment="1">
      <alignment horizontal="center"/>
    </xf>
    <xf numFmtId="2" fontId="0" fillId="2" borderId="34" xfId="0" applyNumberFormat="1" applyFill="1" applyBorder="1" applyAlignment="1">
      <alignment horizontal="center"/>
    </xf>
    <xf numFmtId="0" fontId="0" fillId="0" borderId="8" xfId="0" applyBorder="1"/>
    <xf numFmtId="0" fontId="0" fillId="0" borderId="3" xfId="0" applyBorder="1" applyProtection="1">
      <protection locked="0"/>
    </xf>
    <xf numFmtId="0" fontId="0" fillId="0" borderId="5" xfId="0" applyBorder="1"/>
    <xf numFmtId="0" fontId="4" fillId="0" borderId="0" xfId="0" applyFont="1" applyAlignment="1">
      <alignment horizontal="center"/>
    </xf>
    <xf numFmtId="0" fontId="0" fillId="0" borderId="0" xfId="0" applyAlignment="1" applyProtection="1">
      <alignment horizontal="left"/>
      <protection locked="0"/>
    </xf>
    <xf numFmtId="0" fontId="0" fillId="6" borderId="3" xfId="0" applyFill="1" applyBorder="1"/>
    <xf numFmtId="0" fontId="0" fillId="0" borderId="7" xfId="0" applyBorder="1" applyAlignment="1">
      <alignment horizontal="center"/>
    </xf>
    <xf numFmtId="0" fontId="0" fillId="7" borderId="3" xfId="0" applyFill="1" applyBorder="1"/>
    <xf numFmtId="0" fontId="2" fillId="3" borderId="7" xfId="0" applyFont="1" applyFill="1" applyBorder="1" applyAlignment="1">
      <alignment horizontal="center"/>
    </xf>
    <xf numFmtId="0" fontId="0" fillId="11" borderId="20" xfId="0" applyFill="1" applyBorder="1" applyAlignment="1">
      <alignment horizontal="center"/>
    </xf>
    <xf numFmtId="0" fontId="8" fillId="0" borderId="0" xfId="0" applyFont="1" applyAlignment="1" applyProtection="1">
      <alignment horizontal="center"/>
      <protection locked="0"/>
    </xf>
    <xf numFmtId="0" fontId="8" fillId="3" borderId="7" xfId="0" applyFont="1" applyFill="1" applyBorder="1" applyAlignment="1" applyProtection="1">
      <alignment horizontal="center"/>
      <protection locked="0"/>
    </xf>
    <xf numFmtId="0" fontId="8" fillId="10" borderId="7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11" borderId="20" xfId="0" applyFill="1" applyBorder="1" applyAlignment="1" applyProtection="1">
      <alignment horizontal="center"/>
      <protection locked="0"/>
    </xf>
    <xf numFmtId="0" fontId="2" fillId="5" borderId="14" xfId="0" applyFont="1" applyFill="1" applyBorder="1" applyAlignment="1" applyProtection="1">
      <alignment horizontal="center"/>
      <protection locked="0"/>
    </xf>
    <xf numFmtId="0" fontId="8" fillId="5" borderId="6" xfId="0" applyFont="1" applyFill="1" applyBorder="1" applyAlignment="1" applyProtection="1">
      <alignment horizontal="center"/>
      <protection locked="0"/>
    </xf>
    <xf numFmtId="0" fontId="0" fillId="11" borderId="20" xfId="0" applyFill="1" applyBorder="1"/>
    <xf numFmtId="0" fontId="2" fillId="5" borderId="20" xfId="0" applyFont="1" applyFill="1" applyBorder="1" applyAlignment="1" applyProtection="1">
      <alignment horizontal="center"/>
      <protection locked="0"/>
    </xf>
    <xf numFmtId="0" fontId="2" fillId="5" borderId="13" xfId="0" applyFont="1" applyFill="1" applyBorder="1" applyAlignment="1" applyProtection="1">
      <alignment horizontal="center"/>
      <protection locked="0"/>
    </xf>
    <xf numFmtId="0" fontId="2" fillId="3" borderId="17" xfId="0" applyFont="1" applyFill="1" applyBorder="1" applyAlignment="1" applyProtection="1">
      <alignment horizontal="center"/>
      <protection locked="0"/>
    </xf>
    <xf numFmtId="0" fontId="0" fillId="3" borderId="32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8" fillId="3" borderId="6" xfId="0" applyFont="1" applyFill="1" applyBorder="1" applyAlignment="1" applyProtection="1">
      <alignment horizontal="center"/>
      <protection locked="0"/>
    </xf>
    <xf numFmtId="0" fontId="0" fillId="3" borderId="0" xfId="0" applyFill="1"/>
    <xf numFmtId="0" fontId="2" fillId="3" borderId="20" xfId="0" applyFont="1" applyFill="1" applyBorder="1" applyAlignment="1" applyProtection="1">
      <alignment horizontal="center"/>
      <protection locked="0"/>
    </xf>
    <xf numFmtId="0" fontId="2" fillId="11" borderId="19" xfId="0" applyFont="1" applyFill="1" applyBorder="1" applyAlignment="1" applyProtection="1">
      <alignment horizontal="center"/>
      <protection locked="0"/>
    </xf>
    <xf numFmtId="0" fontId="2" fillId="3" borderId="13" xfId="0" applyFont="1" applyFill="1" applyBorder="1" applyAlignment="1" applyProtection="1">
      <alignment horizontal="center"/>
      <protection locked="0"/>
    </xf>
    <xf numFmtId="2" fontId="0" fillId="3" borderId="3" xfId="0" applyNumberFormat="1" applyFill="1" applyBorder="1" applyAlignment="1">
      <alignment horizontal="center"/>
    </xf>
    <xf numFmtId="0" fontId="0" fillId="3" borderId="22" xfId="0" applyFill="1" applyBorder="1" applyAlignment="1" applyProtection="1">
      <alignment horizontal="center"/>
      <protection locked="0"/>
    </xf>
    <xf numFmtId="0" fontId="8" fillId="2" borderId="8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2" fontId="0" fillId="11" borderId="30" xfId="0" applyNumberFormat="1" applyFill="1" applyBorder="1" applyAlignment="1">
      <alignment horizontal="center"/>
    </xf>
    <xf numFmtId="0" fontId="0" fillId="0" borderId="21" xfId="0" applyBorder="1" applyAlignment="1" applyProtection="1">
      <alignment horizontal="center"/>
      <protection locked="0"/>
    </xf>
    <xf numFmtId="0" fontId="0" fillId="0" borderId="12" xfId="0" applyBorder="1"/>
    <xf numFmtId="0" fontId="1" fillId="0" borderId="6" xfId="0" applyFont="1" applyBorder="1"/>
    <xf numFmtId="0" fontId="0" fillId="0" borderId="3" xfId="0" applyBorder="1" applyAlignment="1" applyProtection="1">
      <alignment horizontal="left" vertical="center" wrapText="1"/>
      <protection locked="0"/>
    </xf>
    <xf numFmtId="2" fontId="0" fillId="11" borderId="26" xfId="0" applyNumberFormat="1" applyFill="1" applyBorder="1" applyAlignment="1">
      <alignment horizontal="center"/>
    </xf>
    <xf numFmtId="0" fontId="0" fillId="11" borderId="14" xfId="0" applyFill="1" applyBorder="1" applyAlignment="1" applyProtection="1">
      <alignment horizontal="center"/>
      <protection locked="0"/>
    </xf>
    <xf numFmtId="2" fontId="0" fillId="11" borderId="33" xfId="0" applyNumberFormat="1" applyFill="1" applyBorder="1" applyAlignment="1">
      <alignment horizontal="center"/>
    </xf>
    <xf numFmtId="2" fontId="0" fillId="2" borderId="14" xfId="0" applyNumberFormat="1" applyFill="1" applyBorder="1" applyAlignment="1">
      <alignment horizontal="center"/>
    </xf>
    <xf numFmtId="0" fontId="0" fillId="11" borderId="3" xfId="0" applyFill="1" applyBorder="1" applyAlignment="1" applyProtection="1">
      <alignment horizontal="right"/>
      <protection locked="0"/>
    </xf>
    <xf numFmtId="2" fontId="0" fillId="11" borderId="31" xfId="0" applyNumberFormat="1" applyFill="1" applyBorder="1" applyAlignment="1">
      <alignment horizontal="center"/>
    </xf>
    <xf numFmtId="0" fontId="0" fillId="0" borderId="3" xfId="0" applyBorder="1" applyAlignment="1" applyProtection="1">
      <alignment horizontal="right"/>
      <protection locked="0"/>
    </xf>
    <xf numFmtId="14" fontId="0" fillId="0" borderId="15" xfId="0" applyNumberFormat="1" applyBorder="1"/>
    <xf numFmtId="21" fontId="0" fillId="0" borderId="15" xfId="0" applyNumberFormat="1" applyBorder="1"/>
    <xf numFmtId="0" fontId="0" fillId="0" borderId="3" xfId="0" applyBorder="1" applyAlignment="1">
      <alignment horizontal="right"/>
    </xf>
    <xf numFmtId="2" fontId="0" fillId="11" borderId="15" xfId="0" applyNumberFormat="1" applyFill="1" applyBorder="1" applyAlignment="1">
      <alignment horizontal="center"/>
    </xf>
    <xf numFmtId="2" fontId="0" fillId="11" borderId="19" xfId="0" applyNumberFormat="1" applyFill="1" applyBorder="1" applyAlignment="1">
      <alignment horizontal="center"/>
    </xf>
    <xf numFmtId="2" fontId="0" fillId="2" borderId="35" xfId="0" applyNumberFormat="1" applyFill="1" applyBorder="1" applyAlignment="1">
      <alignment horizontal="center"/>
    </xf>
    <xf numFmtId="0" fontId="0" fillId="11" borderId="21" xfId="0" applyFill="1" applyBorder="1" applyAlignment="1" applyProtection="1">
      <alignment horizontal="center"/>
      <protection locked="0"/>
    </xf>
    <xf numFmtId="0" fontId="2" fillId="11" borderId="21" xfId="0" applyFont="1" applyFill="1" applyBorder="1" applyAlignment="1" applyProtection="1">
      <alignment horizontal="center"/>
      <protection locked="0"/>
    </xf>
    <xf numFmtId="0" fontId="0" fillId="0" borderId="33" xfId="0" applyBorder="1" applyAlignment="1">
      <alignment horizontal="center"/>
    </xf>
    <xf numFmtId="2" fontId="0" fillId="11" borderId="35" xfId="0" applyNumberFormat="1" applyFill="1" applyBorder="1" applyAlignment="1">
      <alignment horizontal="center"/>
    </xf>
    <xf numFmtId="0" fontId="0" fillId="11" borderId="19" xfId="0" applyFill="1" applyBorder="1" applyAlignment="1">
      <alignment horizontal="right"/>
    </xf>
    <xf numFmtId="0" fontId="0" fillId="0" borderId="19" xfId="0" applyBorder="1" applyAlignment="1">
      <alignment horizontal="right"/>
    </xf>
    <xf numFmtId="0" fontId="0" fillId="11" borderId="29" xfId="0" applyFill="1" applyBorder="1" applyAlignment="1">
      <alignment horizontal="center"/>
    </xf>
    <xf numFmtId="0" fontId="0" fillId="11" borderId="15" xfId="0" applyFill="1" applyBorder="1" applyAlignment="1">
      <alignment horizontal="right"/>
    </xf>
    <xf numFmtId="2" fontId="0" fillId="2" borderId="20" xfId="0" applyNumberFormat="1" applyFill="1" applyBorder="1" applyAlignment="1">
      <alignment horizontal="center"/>
    </xf>
    <xf numFmtId="0" fontId="0" fillId="0" borderId="13" xfId="0" applyBorder="1" applyAlignment="1">
      <alignment horizontal="center"/>
    </xf>
    <xf numFmtId="2" fontId="0" fillId="2" borderId="3" xfId="0" applyNumberFormat="1" applyFill="1" applyBorder="1" applyAlignment="1">
      <alignment horizontal="right"/>
    </xf>
    <xf numFmtId="0" fontId="0" fillId="11" borderId="13" xfId="0" applyFill="1" applyBorder="1"/>
    <xf numFmtId="2" fontId="0" fillId="11" borderId="20" xfId="0" applyNumberFormat="1" applyFill="1" applyBorder="1" applyAlignment="1">
      <alignment horizontal="center"/>
    </xf>
    <xf numFmtId="0" fontId="0" fillId="11" borderId="29" xfId="0" applyFill="1" applyBorder="1"/>
    <xf numFmtId="0" fontId="0" fillId="2" borderId="3" xfId="0" applyFill="1" applyBorder="1" applyAlignment="1">
      <alignment horizontal="center"/>
    </xf>
    <xf numFmtId="0" fontId="0" fillId="11" borderId="6" xfId="0" applyFill="1" applyBorder="1" applyAlignment="1" applyProtection="1">
      <alignment horizontal="right"/>
      <protection locked="0"/>
    </xf>
    <xf numFmtId="0" fontId="0" fillId="11" borderId="15" xfId="0" applyFill="1" applyBorder="1" applyAlignment="1" applyProtection="1">
      <alignment horizontal="right"/>
      <protection locked="0"/>
    </xf>
    <xf numFmtId="0" fontId="0" fillId="5" borderId="3" xfId="0" applyFill="1" applyBorder="1"/>
    <xf numFmtId="0" fontId="0" fillId="0" borderId="0" xfId="0" applyAlignment="1" applyProtection="1">
      <alignment horizontal="right"/>
      <protection locked="0"/>
    </xf>
    <xf numFmtId="0" fontId="0" fillId="5" borderId="0" xfId="0" applyFill="1" applyAlignment="1" applyProtection="1">
      <alignment horizontal="right"/>
      <protection locked="0"/>
    </xf>
    <xf numFmtId="0" fontId="0" fillId="5" borderId="3" xfId="0" applyFill="1" applyBorder="1" applyAlignment="1" applyProtection="1">
      <alignment horizontal="right"/>
      <protection locked="0"/>
    </xf>
    <xf numFmtId="0" fontId="0" fillId="11" borderId="3" xfId="0" applyFill="1" applyBorder="1" applyProtection="1">
      <protection locked="0"/>
    </xf>
    <xf numFmtId="2" fontId="0" fillId="2" borderId="13" xfId="0" applyNumberFormat="1" applyFill="1" applyBorder="1" applyAlignment="1">
      <alignment horizontal="center"/>
    </xf>
    <xf numFmtId="2" fontId="0" fillId="12" borderId="3" xfId="0" applyNumberFormat="1" applyFill="1" applyBorder="1" applyAlignment="1">
      <alignment horizontal="center"/>
    </xf>
    <xf numFmtId="0" fontId="0" fillId="11" borderId="13" xfId="0" applyFill="1" applyBorder="1" applyAlignment="1" applyProtection="1">
      <alignment horizontal="center"/>
      <protection locked="0"/>
    </xf>
    <xf numFmtId="2" fontId="0" fillId="11" borderId="34" xfId="0" applyNumberFormat="1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11" borderId="19" xfId="0" applyFill="1" applyBorder="1" applyAlignment="1" applyProtection="1">
      <alignment horizontal="right"/>
      <protection locked="0"/>
    </xf>
    <xf numFmtId="0" fontId="0" fillId="2" borderId="8" xfId="0" applyFill="1" applyBorder="1" applyAlignment="1">
      <alignment horizontal="center"/>
    </xf>
    <xf numFmtId="0" fontId="0" fillId="11" borderId="7" xfId="0" applyFill="1" applyBorder="1" applyAlignment="1" applyProtection="1">
      <alignment horizontal="right"/>
      <protection locked="0"/>
    </xf>
    <xf numFmtId="0" fontId="0" fillId="11" borderId="23" xfId="0" applyFill="1" applyBorder="1" applyAlignment="1" applyProtection="1">
      <alignment horizontal="center"/>
      <protection locked="0"/>
    </xf>
    <xf numFmtId="0" fontId="0" fillId="2" borderId="15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0" borderId="19" xfId="0" applyBorder="1" applyAlignment="1" applyProtection="1">
      <alignment horizontal="right"/>
      <protection locked="0"/>
    </xf>
    <xf numFmtId="0" fontId="0" fillId="11" borderId="17" xfId="0" applyFill="1" applyBorder="1" applyAlignment="1" applyProtection="1">
      <alignment horizontal="right"/>
      <protection locked="0"/>
    </xf>
    <xf numFmtId="0" fontId="0" fillId="11" borderId="21" xfId="0" applyFill="1" applyBorder="1" applyAlignment="1" applyProtection="1">
      <alignment horizontal="right"/>
      <protection locked="0"/>
    </xf>
    <xf numFmtId="0" fontId="0" fillId="0" borderId="15" xfId="0" applyBorder="1" applyAlignment="1" applyProtection="1">
      <alignment horizontal="right"/>
      <protection locked="0"/>
    </xf>
    <xf numFmtId="0" fontId="0" fillId="5" borderId="19" xfId="0" applyFill="1" applyBorder="1" applyAlignment="1" applyProtection="1">
      <alignment horizontal="right"/>
      <protection locked="0"/>
    </xf>
    <xf numFmtId="0" fontId="0" fillId="2" borderId="3" xfId="0" applyFill="1" applyBorder="1"/>
    <xf numFmtId="0" fontId="0" fillId="11" borderId="9" xfId="0" applyFill="1" applyBorder="1" applyAlignment="1" applyProtection="1">
      <alignment horizontal="center"/>
      <protection locked="0"/>
    </xf>
    <xf numFmtId="0" fontId="0" fillId="11" borderId="6" xfId="0" applyFill="1" applyBorder="1" applyAlignment="1">
      <alignment horizontal="center"/>
    </xf>
    <xf numFmtId="0" fontId="1" fillId="0" borderId="28" xfId="0" applyFont="1" applyBorder="1" applyAlignment="1" applyProtection="1">
      <alignment horizontal="right" vertical="center" wrapText="1"/>
      <protection locked="0"/>
    </xf>
    <xf numFmtId="0" fontId="0" fillId="11" borderId="15" xfId="0" applyFill="1" applyBorder="1" applyProtection="1">
      <protection locked="0"/>
    </xf>
    <xf numFmtId="0" fontId="0" fillId="11" borderId="17" xfId="0" applyFill="1" applyBorder="1"/>
    <xf numFmtId="0" fontId="0" fillId="11" borderId="20" xfId="0" applyFill="1" applyBorder="1" applyAlignment="1">
      <alignment horizontal="right"/>
    </xf>
    <xf numFmtId="0" fontId="1" fillId="0" borderId="4" xfId="0" applyFont="1" applyBorder="1" applyAlignment="1" applyProtection="1">
      <alignment horizontal="right" vertical="center" wrapText="1"/>
      <protection locked="0"/>
    </xf>
    <xf numFmtId="0" fontId="0" fillId="11" borderId="0" xfId="0" applyFill="1" applyAlignment="1" applyProtection="1">
      <alignment horizontal="right"/>
      <protection locked="0"/>
    </xf>
    <xf numFmtId="0" fontId="0" fillId="11" borderId="20" xfId="0" applyFill="1" applyBorder="1" applyAlignment="1" applyProtection="1">
      <alignment horizontal="right"/>
      <protection locked="0"/>
    </xf>
    <xf numFmtId="0" fontId="0" fillId="11" borderId="23" xfId="0" applyFill="1" applyBorder="1"/>
    <xf numFmtId="0" fontId="0" fillId="5" borderId="13" xfId="0" applyFill="1" applyBorder="1" applyAlignment="1" applyProtection="1">
      <alignment horizontal="right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right"/>
      <protection locked="0"/>
    </xf>
    <xf numFmtId="0" fontId="0" fillId="0" borderId="7" xfId="0" applyBorder="1" applyAlignment="1">
      <alignment horizontal="right"/>
    </xf>
    <xf numFmtId="0" fontId="0" fillId="11" borderId="29" xfId="0" applyFill="1" applyBorder="1" applyAlignment="1" applyProtection="1">
      <alignment horizontal="right"/>
      <protection locked="0"/>
    </xf>
    <xf numFmtId="0" fontId="0" fillId="11" borderId="19" xfId="0" applyFill="1" applyBorder="1" applyProtection="1">
      <protection locked="0"/>
    </xf>
    <xf numFmtId="0" fontId="0" fillId="0" borderId="15" xfId="0" applyBorder="1" applyProtection="1">
      <protection locked="0"/>
    </xf>
    <xf numFmtId="0" fontId="0" fillId="2" borderId="0" xfId="0" applyFill="1" applyAlignment="1">
      <alignment horizontal="center"/>
    </xf>
    <xf numFmtId="0" fontId="0" fillId="11" borderId="34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11" borderId="26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0" fillId="13" borderId="3" xfId="0" applyFill="1" applyBorder="1"/>
    <xf numFmtId="2" fontId="0" fillId="4" borderId="3" xfId="0" applyNumberFormat="1" applyFill="1" applyBorder="1" applyAlignment="1">
      <alignment horizontal="center"/>
    </xf>
    <xf numFmtId="0" fontId="1" fillId="0" borderId="4" xfId="0" applyFont="1" applyBorder="1" applyAlignment="1" applyProtection="1">
      <alignment vertical="center" wrapText="1"/>
      <protection locked="0"/>
    </xf>
    <xf numFmtId="0" fontId="0" fillId="11" borderId="7" xfId="0" applyFill="1" applyBorder="1" applyAlignment="1">
      <alignment horizontal="right"/>
    </xf>
    <xf numFmtId="0" fontId="0" fillId="11" borderId="6" xfId="0" applyFill="1" applyBorder="1" applyAlignment="1">
      <alignment horizontal="right"/>
    </xf>
    <xf numFmtId="0" fontId="0" fillId="0" borderId="17" xfId="0" applyBorder="1" applyAlignment="1">
      <alignment horizontal="right" vertical="center" wrapText="1"/>
    </xf>
    <xf numFmtId="0" fontId="0" fillId="0" borderId="19" xfId="0" applyBorder="1" applyAlignment="1">
      <alignment horizontal="right" vertical="center" wrapText="1"/>
    </xf>
    <xf numFmtId="2" fontId="0" fillId="0" borderId="21" xfId="0" applyNumberFormat="1" applyBorder="1" applyAlignment="1">
      <alignment horizontal="right" vertical="center" wrapText="1"/>
    </xf>
    <xf numFmtId="0" fontId="0" fillId="0" borderId="6" xfId="0" applyBorder="1" applyAlignment="1">
      <alignment horizontal="right" vertical="center"/>
    </xf>
    <xf numFmtId="2" fontId="0" fillId="0" borderId="3" xfId="0" applyNumberFormat="1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2" fontId="0" fillId="0" borderId="7" xfId="0" applyNumberFormat="1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2" fontId="0" fillId="0" borderId="15" xfId="0" applyNumberFormat="1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2" fontId="0" fillId="0" borderId="23" xfId="0" applyNumberFormat="1" applyBorder="1" applyAlignment="1">
      <alignment horizontal="right" vertical="center"/>
    </xf>
    <xf numFmtId="0" fontId="2" fillId="0" borderId="4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27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43" fontId="1" fillId="0" borderId="45" xfId="2" applyFont="1" applyBorder="1" applyAlignment="1">
      <alignment horizontal="center"/>
    </xf>
    <xf numFmtId="43" fontId="1" fillId="0" borderId="28" xfId="2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46" xfId="0" applyBorder="1"/>
    <xf numFmtId="0" fontId="1" fillId="0" borderId="25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43" fontId="1" fillId="0" borderId="28" xfId="2" applyFont="1" applyFill="1" applyBorder="1" applyAlignment="1">
      <alignment horizontal="center"/>
    </xf>
    <xf numFmtId="4" fontId="1" fillId="14" borderId="28" xfId="0" applyNumberFormat="1" applyFont="1" applyFill="1" applyBorder="1"/>
    <xf numFmtId="0" fontId="13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" fillId="17" borderId="27" xfId="0" applyFont="1" applyFill="1" applyBorder="1" applyAlignment="1">
      <alignment horizontal="center"/>
    </xf>
    <xf numFmtId="17" fontId="10" fillId="16" borderId="38" xfId="2" applyNumberFormat="1" applyFont="1" applyFill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52" xfId="0" applyBorder="1" applyAlignment="1">
      <alignment horizontal="center"/>
    </xf>
    <xf numFmtId="2" fontId="0" fillId="15" borderId="2" xfId="2" applyNumberFormat="1" applyFont="1" applyFill="1" applyBorder="1" applyAlignment="1">
      <alignment horizontal="right"/>
    </xf>
    <xf numFmtId="43" fontId="0" fillId="0" borderId="19" xfId="2" applyFont="1" applyBorder="1" applyAlignment="1">
      <alignment horizontal="center"/>
    </xf>
    <xf numFmtId="43" fontId="0" fillId="18" borderId="32" xfId="2" applyFont="1" applyFill="1" applyBorder="1" applyAlignment="1">
      <alignment horizontal="center"/>
    </xf>
    <xf numFmtId="43" fontId="0" fillId="0" borderId="5" xfId="2" applyFont="1" applyBorder="1" applyAlignment="1">
      <alignment horizontal="center"/>
    </xf>
    <xf numFmtId="43" fontId="0" fillId="14" borderId="5" xfId="2" applyFont="1" applyFill="1" applyBorder="1" applyAlignment="1">
      <alignment horizontal="center"/>
    </xf>
    <xf numFmtId="43" fontId="0" fillId="18" borderId="53" xfId="2" applyFont="1" applyFill="1" applyBorder="1" applyAlignment="1">
      <alignment horizontal="center"/>
    </xf>
    <xf numFmtId="43" fontId="0" fillId="0" borderId="0" xfId="2" applyFont="1" applyAlignment="1">
      <alignment horizontal="center"/>
    </xf>
    <xf numFmtId="43" fontId="0" fillId="0" borderId="32" xfId="2" applyFont="1" applyBorder="1" applyAlignment="1">
      <alignment horizontal="center"/>
    </xf>
    <xf numFmtId="43" fontId="0" fillId="0" borderId="53" xfId="2" applyFont="1" applyBorder="1" applyAlignment="1">
      <alignment horizontal="center"/>
    </xf>
    <xf numFmtId="43" fontId="0" fillId="14" borderId="0" xfId="2" applyFont="1" applyFill="1" applyAlignment="1">
      <alignment horizontal="center"/>
    </xf>
    <xf numFmtId="0" fontId="1" fillId="9" borderId="41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1" fillId="9" borderId="54" xfId="0" applyFon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164" fontId="0" fillId="0" borderId="55" xfId="0" applyNumberFormat="1" applyBorder="1" applyAlignment="1">
      <alignment horizontal="center"/>
    </xf>
    <xf numFmtId="164" fontId="1" fillId="17" borderId="4" xfId="0" applyNumberFormat="1" applyFont="1" applyFill="1" applyBorder="1" applyAlignment="1">
      <alignment horizontal="center"/>
    </xf>
    <xf numFmtId="2" fontId="0" fillId="15" borderId="54" xfId="2" applyNumberFormat="1" applyFont="1" applyFill="1" applyBorder="1" applyAlignment="1">
      <alignment horizontal="right"/>
    </xf>
    <xf numFmtId="2" fontId="0" fillId="15" borderId="53" xfId="2" applyNumberFormat="1" applyFont="1" applyFill="1" applyBorder="1" applyAlignment="1">
      <alignment horizontal="right"/>
    </xf>
    <xf numFmtId="4" fontId="1" fillId="14" borderId="4" xfId="0" applyNumberFormat="1" applyFont="1" applyFill="1" applyBorder="1"/>
    <xf numFmtId="43" fontId="0" fillId="0" borderId="38" xfId="0" applyNumberFormat="1" applyBorder="1"/>
    <xf numFmtId="10" fontId="0" fillId="0" borderId="28" xfId="0" applyNumberFormat="1" applyBorder="1"/>
    <xf numFmtId="165" fontId="0" fillId="0" borderId="0" xfId="2" applyNumberFormat="1" applyFont="1" applyAlignment="1">
      <alignment horizontal="center"/>
    </xf>
    <xf numFmtId="4" fontId="1" fillId="17" borderId="27" xfId="0" applyNumberFormat="1" applyFont="1" applyFill="1" applyBorder="1" applyAlignment="1">
      <alignment horizontal="center"/>
    </xf>
    <xf numFmtId="0" fontId="1" fillId="17" borderId="4" xfId="0" applyFont="1" applyFill="1" applyBorder="1" applyAlignment="1">
      <alignment horizontal="center"/>
    </xf>
    <xf numFmtId="4" fontId="1" fillId="17" borderId="4" xfId="0" applyNumberFormat="1" applyFont="1" applyFill="1" applyBorder="1" applyAlignment="1">
      <alignment horizontal="center"/>
    </xf>
    <xf numFmtId="164" fontId="1" fillId="17" borderId="56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4" fontId="0" fillId="0" borderId="3" xfId="0" applyNumberFormat="1" applyBorder="1" applyAlignment="1">
      <alignment horizontal="center"/>
    </xf>
    <xf numFmtId="0" fontId="1" fillId="19" borderId="27" xfId="0" applyFont="1" applyFill="1" applyBorder="1" applyAlignment="1">
      <alignment horizontal="center"/>
    </xf>
    <xf numFmtId="0" fontId="1" fillId="19" borderId="45" xfId="0" applyFont="1" applyFill="1" applyBorder="1" applyAlignment="1">
      <alignment horizontal="center"/>
    </xf>
    <xf numFmtId="0" fontId="1" fillId="19" borderId="28" xfId="0" applyFont="1" applyFill="1" applyBorder="1" applyAlignment="1">
      <alignment horizontal="center"/>
    </xf>
    <xf numFmtId="0" fontId="0" fillId="0" borderId="48" xfId="0" applyBorder="1"/>
    <xf numFmtId="0" fontId="0" fillId="0" borderId="1" xfId="0" applyBorder="1"/>
    <xf numFmtId="2" fontId="1" fillId="19" borderId="28" xfId="0" applyNumberFormat="1" applyFont="1" applyFill="1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1" fillId="19" borderId="45" xfId="0" applyNumberFormat="1" applyFont="1" applyFill="1" applyBorder="1" applyAlignment="1">
      <alignment horizontal="center"/>
    </xf>
    <xf numFmtId="2" fontId="0" fillId="0" borderId="32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15" borderId="10" xfId="2" applyNumberFormat="1" applyFont="1" applyFill="1" applyBorder="1" applyAlignment="1">
      <alignment horizontal="right"/>
    </xf>
    <xf numFmtId="2" fontId="0" fillId="15" borderId="8" xfId="2" applyNumberFormat="1" applyFont="1" applyFill="1" applyBorder="1" applyAlignment="1">
      <alignment horizontal="right"/>
    </xf>
    <xf numFmtId="2" fontId="0" fillId="15" borderId="57" xfId="2" applyNumberFormat="1" applyFont="1" applyFill="1" applyBorder="1" applyAlignment="1">
      <alignment horizontal="right"/>
    </xf>
    <xf numFmtId="0" fontId="2" fillId="0" borderId="48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2" fontId="0" fillId="15" borderId="32" xfId="2" applyNumberFormat="1" applyFont="1" applyFill="1" applyBorder="1" applyAlignment="1">
      <alignment horizontal="right"/>
    </xf>
    <xf numFmtId="2" fontId="0" fillId="15" borderId="26" xfId="2" applyNumberFormat="1" applyFont="1" applyFill="1" applyBorder="1" applyAlignment="1">
      <alignment horizontal="right"/>
    </xf>
    <xf numFmtId="167" fontId="0" fillId="0" borderId="19" xfId="0" applyNumberFormat="1" applyBorder="1" applyAlignment="1">
      <alignment horizontal="center"/>
    </xf>
    <xf numFmtId="167" fontId="0" fillId="0" borderId="3" xfId="0" applyNumberFormat="1" applyBorder="1" applyAlignment="1">
      <alignment horizontal="center"/>
    </xf>
    <xf numFmtId="167" fontId="1" fillId="19" borderId="45" xfId="0" applyNumberFormat="1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2" fontId="0" fillId="20" borderId="2" xfId="2" applyNumberFormat="1" applyFont="1" applyFill="1" applyBorder="1" applyAlignment="1">
      <alignment horizontal="right"/>
    </xf>
    <xf numFmtId="2" fontId="0" fillId="20" borderId="8" xfId="2" applyNumberFormat="1" applyFont="1" applyFill="1" applyBorder="1" applyAlignment="1">
      <alignment horizontal="right"/>
    </xf>
    <xf numFmtId="43" fontId="0" fillId="18" borderId="48" xfId="2" applyFont="1" applyFill="1" applyBorder="1" applyAlignment="1">
      <alignment horizontal="center"/>
    </xf>
    <xf numFmtId="43" fontId="0" fillId="18" borderId="42" xfId="2" applyFont="1" applyFill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2" fontId="0" fillId="0" borderId="55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167" fontId="1" fillId="19" borderId="58" xfId="0" applyNumberFormat="1" applyFont="1" applyFill="1" applyBorder="1" applyAlignment="1">
      <alignment horizontal="center"/>
    </xf>
    <xf numFmtId="4" fontId="0" fillId="0" borderId="19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166" fontId="1" fillId="19" borderId="58" xfId="0" applyNumberFormat="1" applyFont="1" applyFill="1" applyBorder="1" applyAlignment="1">
      <alignment horizontal="center"/>
    </xf>
    <xf numFmtId="0" fontId="1" fillId="19" borderId="36" xfId="0" applyFont="1" applyFill="1" applyBorder="1" applyAlignment="1">
      <alignment horizontal="center"/>
    </xf>
    <xf numFmtId="0" fontId="1" fillId="19" borderId="3" xfId="0" applyFont="1" applyFill="1" applyBorder="1" applyAlignment="1">
      <alignment horizontal="center"/>
    </xf>
    <xf numFmtId="4" fontId="0" fillId="0" borderId="0" xfId="0" applyNumberFormat="1"/>
    <xf numFmtId="4" fontId="1" fillId="19" borderId="52" xfId="0" applyNumberFormat="1" applyFont="1" applyFill="1" applyBorder="1" applyAlignment="1">
      <alignment horizontal="center"/>
    </xf>
    <xf numFmtId="4" fontId="1" fillId="19" borderId="3" xfId="0" applyNumberFormat="1" applyFont="1" applyFill="1" applyBorder="1" applyAlignment="1">
      <alignment horizontal="center"/>
    </xf>
    <xf numFmtId="168" fontId="0" fillId="0" borderId="0" xfId="0" applyNumberFormat="1"/>
    <xf numFmtId="168" fontId="1" fillId="19" borderId="52" xfId="0" applyNumberFormat="1" applyFont="1" applyFill="1" applyBorder="1" applyAlignment="1">
      <alignment horizontal="center"/>
    </xf>
    <xf numFmtId="168" fontId="0" fillId="0" borderId="3" xfId="0" applyNumberFormat="1" applyBorder="1"/>
    <xf numFmtId="168" fontId="1" fillId="22" borderId="9" xfId="0" applyNumberFormat="1" applyFont="1" applyFill="1" applyBorder="1"/>
    <xf numFmtId="4" fontId="1" fillId="19" borderId="38" xfId="0" applyNumberFormat="1" applyFont="1" applyFill="1" applyBorder="1" applyAlignment="1">
      <alignment horizontal="center"/>
    </xf>
    <xf numFmtId="4" fontId="19" fillId="21" borderId="3" xfId="3" applyNumberFormat="1" applyBorder="1" applyAlignment="1">
      <alignment horizontal="center"/>
    </xf>
    <xf numFmtId="4" fontId="19" fillId="23" borderId="3" xfId="3" applyNumberFormat="1" applyFill="1" applyBorder="1" applyAlignment="1">
      <alignment horizontal="center"/>
    </xf>
    <xf numFmtId="4" fontId="1" fillId="24" borderId="3" xfId="0" applyNumberFormat="1" applyFont="1" applyFill="1" applyBorder="1" applyAlignment="1">
      <alignment horizontal="center"/>
    </xf>
    <xf numFmtId="168" fontId="1" fillId="19" borderId="3" xfId="0" applyNumberFormat="1" applyFont="1" applyFill="1" applyBorder="1" applyAlignment="1">
      <alignment horizontal="center"/>
    </xf>
    <xf numFmtId="0" fontId="1" fillId="25" borderId="3" xfId="0" applyFont="1" applyFill="1" applyBorder="1" applyAlignment="1">
      <alignment horizontal="center"/>
    </xf>
    <xf numFmtId="0" fontId="1" fillId="26" borderId="59" xfId="0" applyFont="1" applyFill="1" applyBorder="1"/>
    <xf numFmtId="2" fontId="8" fillId="27" borderId="2" xfId="2" applyNumberFormat="1" applyFont="1" applyFill="1" applyBorder="1" applyAlignment="1">
      <alignment horizontal="right"/>
    </xf>
    <xf numFmtId="2" fontId="8" fillId="15" borderId="2" xfId="2" applyNumberFormat="1" applyFont="1" applyFill="1" applyBorder="1" applyAlignment="1">
      <alignment horizontal="right"/>
    </xf>
    <xf numFmtId="2" fontId="20" fillId="15" borderId="2" xfId="2" applyNumberFormat="1" applyFont="1" applyFill="1" applyBorder="1" applyAlignment="1">
      <alignment horizontal="right"/>
    </xf>
    <xf numFmtId="0" fontId="1" fillId="15" borderId="3" xfId="0" applyFont="1" applyFill="1" applyBorder="1" applyAlignment="1">
      <alignment horizontal="left"/>
    </xf>
    <xf numFmtId="0" fontId="1" fillId="15" borderId="3" xfId="0" applyFont="1" applyFill="1" applyBorder="1"/>
    <xf numFmtId="2" fontId="2" fillId="27" borderId="2" xfId="2" applyNumberFormat="1" applyFont="1" applyFill="1" applyBorder="1" applyAlignment="1">
      <alignment horizontal="right"/>
    </xf>
    <xf numFmtId="2" fontId="0" fillId="0" borderId="3" xfId="0" applyNumberFormat="1" applyBorder="1" applyAlignment="1">
      <alignment horizontal="center"/>
    </xf>
    <xf numFmtId="4" fontId="1" fillId="15" borderId="3" xfId="0" applyNumberFormat="1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2" fontId="2" fillId="15" borderId="2" xfId="2" applyNumberFormat="1" applyFont="1" applyFill="1" applyBorder="1" applyAlignment="1">
      <alignment horizontal="right"/>
    </xf>
    <xf numFmtId="2" fontId="9" fillId="15" borderId="2" xfId="2" applyNumberFormat="1" applyFont="1" applyFill="1" applyBorder="1" applyAlignment="1">
      <alignment horizontal="right"/>
    </xf>
    <xf numFmtId="0" fontId="14" fillId="9" borderId="39" xfId="0" applyFont="1" applyFill="1" applyBorder="1" applyAlignment="1">
      <alignment horizontal="center" vertical="center"/>
    </xf>
    <xf numFmtId="0" fontId="14" fillId="9" borderId="37" xfId="0" applyFont="1" applyFill="1" applyBorder="1" applyAlignment="1">
      <alignment horizontal="center" vertical="center"/>
    </xf>
    <xf numFmtId="0" fontId="14" fillId="9" borderId="40" xfId="0" applyFont="1" applyFill="1" applyBorder="1" applyAlignment="1">
      <alignment horizontal="center" vertical="center"/>
    </xf>
    <xf numFmtId="0" fontId="14" fillId="9" borderId="49" xfId="0" applyFont="1" applyFill="1" applyBorder="1" applyAlignment="1">
      <alignment horizontal="center" vertical="center"/>
    </xf>
    <xf numFmtId="0" fontId="14" fillId="9" borderId="50" xfId="0" applyFont="1" applyFill="1" applyBorder="1" applyAlignment="1">
      <alignment horizontal="center" vertical="center"/>
    </xf>
    <xf numFmtId="0" fontId="14" fillId="9" borderId="51" xfId="0" applyFont="1" applyFill="1" applyBorder="1" applyAlignment="1">
      <alignment horizontal="center" vertical="center"/>
    </xf>
    <xf numFmtId="0" fontId="17" fillId="19" borderId="46" xfId="0" applyFont="1" applyFill="1" applyBorder="1" applyAlignment="1">
      <alignment horizontal="center"/>
    </xf>
    <xf numFmtId="0" fontId="17" fillId="19" borderId="25" xfId="0" applyFont="1" applyFill="1" applyBorder="1" applyAlignment="1">
      <alignment horizontal="center"/>
    </xf>
    <xf numFmtId="0" fontId="17" fillId="19" borderId="56" xfId="0" applyFont="1" applyFill="1" applyBorder="1" applyAlignment="1">
      <alignment horizontal="center"/>
    </xf>
    <xf numFmtId="43" fontId="0" fillId="2" borderId="27" xfId="2" applyFont="1" applyFill="1" applyBorder="1" applyAlignment="1">
      <alignment horizontal="center"/>
    </xf>
    <xf numFmtId="43" fontId="0" fillId="2" borderId="45" xfId="2" applyFont="1" applyFill="1" applyBorder="1" applyAlignment="1">
      <alignment horizontal="center"/>
    </xf>
    <xf numFmtId="43" fontId="0" fillId="2" borderId="28" xfId="2" applyFont="1" applyFill="1" applyBorder="1" applyAlignment="1">
      <alignment horizontal="center"/>
    </xf>
    <xf numFmtId="43" fontId="0" fillId="18" borderId="48" xfId="2" applyFont="1" applyFill="1" applyBorder="1" applyAlignment="1">
      <alignment horizontal="center"/>
    </xf>
    <xf numFmtId="43" fontId="0" fillId="18" borderId="19" xfId="2" applyFont="1" applyFill="1" applyBorder="1" applyAlignment="1">
      <alignment horizontal="center"/>
    </xf>
    <xf numFmtId="43" fontId="0" fillId="18" borderId="42" xfId="2" applyFont="1" applyFill="1" applyBorder="1" applyAlignment="1">
      <alignment horizontal="center"/>
    </xf>
    <xf numFmtId="43" fontId="0" fillId="18" borderId="5" xfId="2" applyFont="1" applyFill="1" applyBorder="1" applyAlignment="1">
      <alignment horizontal="center"/>
    </xf>
    <xf numFmtId="0" fontId="1" fillId="0" borderId="34" xfId="0" applyFont="1" applyBorder="1" applyAlignment="1">
      <alignment horizontal="center" vertical="center"/>
    </xf>
    <xf numFmtId="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2" fontId="0" fillId="0" borderId="0" xfId="0" applyNumberFormat="1"/>
  </cellXfs>
  <cellStyles count="4">
    <cellStyle name="Bueno" xfId="3" builtinId="26"/>
    <cellStyle name="Millares" xfId="2" builtinId="3"/>
    <cellStyle name="Normal" xfId="0" builtinId="0"/>
    <cellStyle name="Normal 2" xfId="1" xr:uid="{00000000-0005-0000-0000-000003000000}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numFmt numFmtId="2" formatCode="0.0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righ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righ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center" textRotation="0" indent="0" justifyLastLine="0" shrinkToFit="0" readingOrder="0"/>
    </dxf>
    <dxf>
      <border outline="0">
        <bottom style="thin">
          <color indexed="64"/>
        </bottom>
      </border>
    </dxf>
    <dxf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FFFFCC"/>
      <color rgb="FFFFFF99"/>
      <color rgb="FF66FF33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a3" displayName="Tabla3" ref="B2:C133" totalsRowShown="0" headerRowDxfId="31" headerRowBorderDxfId="30">
  <sortState xmlns:xlrd2="http://schemas.microsoft.com/office/spreadsheetml/2017/richdata2" ref="B3:C131">
    <sortCondition ref="C2:C84"/>
  </sortState>
  <tableColumns count="2">
    <tableColumn id="1" xr3:uid="{00000000-0010-0000-0000-000001000000}" name="PATENTE" dataDxfId="29"/>
    <tableColumn id="2" xr3:uid="{00000000-0010-0000-0000-000002000000}" name="patente2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22" displayName="Tabla22" ref="B2:E103" totalsRowShown="0" headerRowDxfId="27" dataDxfId="25" headerRowBorderDxfId="26" tableBorderDxfId="24">
  <autoFilter ref="B2:E103" xr:uid="{00000000-0009-0000-0100-000001000000}"/>
  <sortState xmlns:xlrd2="http://schemas.microsoft.com/office/spreadsheetml/2017/richdata2" ref="B3:E103">
    <sortCondition descending="1" ref="E2:E103"/>
  </sortState>
  <tableColumns count="4">
    <tableColumn id="1" xr3:uid="{00000000-0010-0000-0100-000001000000}" name="Etiquetas de fila" dataDxfId="23"/>
    <tableColumn id="2" xr3:uid="{00000000-0010-0000-0100-000002000000}" name="Suma de TOTAL LITROS TRAMO" dataDxfId="22"/>
    <tableColumn id="3" xr3:uid="{00000000-0010-0000-0100-000003000000}" name="Suma de TOTAL KM TRAMO" dataDxfId="21"/>
    <tableColumn id="4" xr3:uid="{00000000-0010-0000-0100-000004000000}" name="Promedio de Prom Consumo Lts/100 Km" dataDxfId="2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"/>
  <sheetViews>
    <sheetView topLeftCell="A82" workbookViewId="0">
      <selection activeCell="D57" sqref="D57"/>
    </sheetView>
  </sheetViews>
  <sheetFormatPr baseColWidth="10" defaultRowHeight="14.4" x14ac:dyDescent="0.3"/>
  <cols>
    <col min="1" max="1" width="12.33203125" customWidth="1"/>
  </cols>
  <sheetData>
    <row r="1" spans="1:7" x14ac:dyDescent="0.3">
      <c r="A1" s="441" t="s">
        <v>1174</v>
      </c>
      <c r="B1" s="442"/>
      <c r="C1" s="442"/>
      <c r="D1" s="442"/>
      <c r="E1" s="442"/>
      <c r="F1" s="442"/>
      <c r="G1" s="443"/>
    </row>
    <row r="2" spans="1:7" ht="15" thickBot="1" x14ac:dyDescent="0.35">
      <c r="A2" s="444"/>
      <c r="B2" s="445"/>
      <c r="C2" s="445"/>
      <c r="D2" s="445"/>
      <c r="E2" s="445"/>
      <c r="F2" s="445"/>
      <c r="G2" s="446"/>
    </row>
    <row r="4" spans="1:7" ht="15" thickBot="1" x14ac:dyDescent="0.35"/>
    <row r="5" spans="1:7" x14ac:dyDescent="0.3">
      <c r="A5" s="360" t="s">
        <v>1123</v>
      </c>
      <c r="B5" s="361" t="s">
        <v>1171</v>
      </c>
      <c r="C5" s="361" t="s">
        <v>1132</v>
      </c>
      <c r="D5" s="362" t="s">
        <v>1125</v>
      </c>
    </row>
    <row r="6" spans="1:7" x14ac:dyDescent="0.3">
      <c r="A6" s="325" t="s">
        <v>1092</v>
      </c>
      <c r="B6" s="19">
        <v>7825</v>
      </c>
      <c r="C6" s="19">
        <v>19338</v>
      </c>
      <c r="D6" s="363">
        <f t="shared" ref="D6:D8" si="0">+B6/C6*100</f>
        <v>40.464370669148828</v>
      </c>
    </row>
    <row r="7" spans="1:7" x14ac:dyDescent="0.3">
      <c r="A7" s="325" t="s">
        <v>1158</v>
      </c>
      <c r="B7" s="19">
        <v>5055</v>
      </c>
      <c r="C7" s="19">
        <v>13386</v>
      </c>
      <c r="D7" s="363">
        <f t="shared" si="0"/>
        <v>37.763334827431642</v>
      </c>
    </row>
    <row r="8" spans="1:7" x14ac:dyDescent="0.3">
      <c r="A8" s="325" t="s">
        <v>178</v>
      </c>
      <c r="B8" s="19">
        <v>4093</v>
      </c>
      <c r="C8" s="19">
        <v>10335</v>
      </c>
      <c r="D8" s="363">
        <f t="shared" si="0"/>
        <v>39.60328979196904</v>
      </c>
    </row>
    <row r="9" spans="1:7" x14ac:dyDescent="0.3">
      <c r="A9" s="325" t="s">
        <v>302</v>
      </c>
      <c r="B9" s="19">
        <v>8875</v>
      </c>
      <c r="C9" s="19">
        <v>23052</v>
      </c>
      <c r="D9" s="363">
        <f t="shared" ref="D9:D72" si="1">+B9/C9*100</f>
        <v>38.499913239632136</v>
      </c>
    </row>
    <row r="10" spans="1:7" x14ac:dyDescent="0.3">
      <c r="A10" s="325" t="s">
        <v>180</v>
      </c>
      <c r="B10" s="19">
        <v>6353</v>
      </c>
      <c r="C10" s="19">
        <v>14902</v>
      </c>
      <c r="D10" s="363">
        <f t="shared" si="1"/>
        <v>42.631861495101333</v>
      </c>
    </row>
    <row r="11" spans="1:7" x14ac:dyDescent="0.3">
      <c r="A11" s="325" t="s">
        <v>184</v>
      </c>
      <c r="B11" s="19">
        <v>2165</v>
      </c>
      <c r="C11" s="19">
        <v>5393</v>
      </c>
      <c r="D11" s="363">
        <f t="shared" si="1"/>
        <v>40.144631930279992</v>
      </c>
    </row>
    <row r="12" spans="1:7" x14ac:dyDescent="0.3">
      <c r="A12" s="325" t="s">
        <v>187</v>
      </c>
      <c r="B12" s="19">
        <v>5842</v>
      </c>
      <c r="C12" s="19">
        <v>16836</v>
      </c>
      <c r="D12" s="363">
        <f t="shared" si="1"/>
        <v>34.699453551912569</v>
      </c>
    </row>
    <row r="13" spans="1:7" x14ac:dyDescent="0.3">
      <c r="A13" s="325" t="s">
        <v>189</v>
      </c>
      <c r="B13" s="19">
        <v>6266</v>
      </c>
      <c r="C13" s="19">
        <v>15086</v>
      </c>
      <c r="D13" s="363">
        <f t="shared" si="1"/>
        <v>41.535198197003844</v>
      </c>
    </row>
    <row r="14" spans="1:7" x14ac:dyDescent="0.3">
      <c r="A14" s="325" t="s">
        <v>191</v>
      </c>
      <c r="B14" s="19">
        <v>7217</v>
      </c>
      <c r="C14" s="19">
        <v>16785</v>
      </c>
      <c r="D14" s="363">
        <f t="shared" si="1"/>
        <v>42.996723264819778</v>
      </c>
    </row>
    <row r="15" spans="1:7" x14ac:dyDescent="0.3">
      <c r="A15" s="325" t="s">
        <v>192</v>
      </c>
      <c r="B15" s="19">
        <v>4525</v>
      </c>
      <c r="C15" s="19">
        <v>12061</v>
      </c>
      <c r="D15" s="363">
        <f t="shared" si="1"/>
        <v>37.517618771246163</v>
      </c>
    </row>
    <row r="16" spans="1:7" x14ac:dyDescent="0.3">
      <c r="A16" s="325" t="s">
        <v>193</v>
      </c>
      <c r="B16" s="19">
        <v>5399</v>
      </c>
      <c r="C16" s="19">
        <v>14223</v>
      </c>
      <c r="D16" s="363">
        <f t="shared" si="1"/>
        <v>37.959642832032628</v>
      </c>
    </row>
    <row r="17" spans="1:4" x14ac:dyDescent="0.3">
      <c r="A17" s="325" t="s">
        <v>195</v>
      </c>
      <c r="B17" s="19">
        <v>5777</v>
      </c>
      <c r="C17" s="19">
        <v>15607</v>
      </c>
      <c r="D17" s="363">
        <f t="shared" si="1"/>
        <v>37.015441788940862</v>
      </c>
    </row>
    <row r="18" spans="1:4" x14ac:dyDescent="0.3">
      <c r="A18" s="325" t="s">
        <v>305</v>
      </c>
      <c r="B18" s="19">
        <v>7755</v>
      </c>
      <c r="C18" s="19">
        <v>19513</v>
      </c>
      <c r="D18" s="363">
        <f t="shared" si="1"/>
        <v>39.742735612155997</v>
      </c>
    </row>
    <row r="19" spans="1:4" x14ac:dyDescent="0.3">
      <c r="A19" s="325" t="s">
        <v>1143</v>
      </c>
      <c r="B19" s="19">
        <v>6519</v>
      </c>
      <c r="C19" s="19">
        <v>18102</v>
      </c>
      <c r="D19" s="363">
        <f t="shared" si="1"/>
        <v>36.012595293337753</v>
      </c>
    </row>
    <row r="20" spans="1:4" x14ac:dyDescent="0.3">
      <c r="A20" s="325" t="s">
        <v>209</v>
      </c>
      <c r="B20" s="19">
        <v>6642</v>
      </c>
      <c r="C20" s="19">
        <v>18519</v>
      </c>
      <c r="D20" s="363">
        <f t="shared" si="1"/>
        <v>35.865867487445321</v>
      </c>
    </row>
    <row r="21" spans="1:4" x14ac:dyDescent="0.3">
      <c r="A21" s="325" t="s">
        <v>212</v>
      </c>
      <c r="B21" s="19">
        <v>3649</v>
      </c>
      <c r="C21" s="19">
        <v>9089</v>
      </c>
      <c r="D21" s="363">
        <f t="shared" si="1"/>
        <v>40.147430960501708</v>
      </c>
    </row>
    <row r="22" spans="1:4" x14ac:dyDescent="0.3">
      <c r="A22" s="325" t="s">
        <v>214</v>
      </c>
      <c r="B22" s="19">
        <v>4389</v>
      </c>
      <c r="C22" s="19">
        <v>12339</v>
      </c>
      <c r="D22" s="363">
        <f t="shared" si="1"/>
        <v>35.570143447605155</v>
      </c>
    </row>
    <row r="23" spans="1:4" x14ac:dyDescent="0.3">
      <c r="A23" s="325" t="s">
        <v>216</v>
      </c>
      <c r="B23" s="19">
        <v>7783</v>
      </c>
      <c r="C23" s="19">
        <v>20809</v>
      </c>
      <c r="D23" s="363">
        <f t="shared" si="1"/>
        <v>37.402085636022875</v>
      </c>
    </row>
    <row r="24" spans="1:4" x14ac:dyDescent="0.3">
      <c r="A24" s="325" t="s">
        <v>218</v>
      </c>
      <c r="B24" s="19">
        <v>5359</v>
      </c>
      <c r="C24" s="19">
        <v>14259</v>
      </c>
      <c r="D24" s="363">
        <f t="shared" si="1"/>
        <v>37.583280734974402</v>
      </c>
    </row>
    <row r="25" spans="1:4" x14ac:dyDescent="0.3">
      <c r="A25" s="325" t="s">
        <v>220</v>
      </c>
      <c r="B25" s="19">
        <v>6771</v>
      </c>
      <c r="C25" s="19">
        <v>18786</v>
      </c>
      <c r="D25" s="363">
        <f t="shared" si="1"/>
        <v>36.042797828169917</v>
      </c>
    </row>
    <row r="26" spans="1:4" x14ac:dyDescent="0.3">
      <c r="A26" s="325" t="s">
        <v>222</v>
      </c>
      <c r="B26" s="19">
        <v>7061</v>
      </c>
      <c r="C26" s="19">
        <v>20414</v>
      </c>
      <c r="D26" s="363">
        <f t="shared" si="1"/>
        <v>34.589007543842456</v>
      </c>
    </row>
    <row r="27" spans="1:4" x14ac:dyDescent="0.3">
      <c r="A27" s="325" t="s">
        <v>438</v>
      </c>
      <c r="B27" s="19">
        <v>11408</v>
      </c>
      <c r="C27" s="19">
        <v>31130</v>
      </c>
      <c r="D27" s="363">
        <f t="shared" si="1"/>
        <v>36.64632187600386</v>
      </c>
    </row>
    <row r="28" spans="1:4" x14ac:dyDescent="0.3">
      <c r="A28" s="325" t="s">
        <v>1139</v>
      </c>
      <c r="B28" s="19">
        <v>7024</v>
      </c>
      <c r="C28" s="19">
        <v>19694</v>
      </c>
      <c r="D28" s="363">
        <f t="shared" si="1"/>
        <v>35.665684980197014</v>
      </c>
    </row>
    <row r="29" spans="1:4" x14ac:dyDescent="0.3">
      <c r="A29" s="325" t="s">
        <v>1136</v>
      </c>
      <c r="B29" s="19">
        <v>6582</v>
      </c>
      <c r="C29" s="19">
        <v>17177</v>
      </c>
      <c r="D29" s="363">
        <f t="shared" si="1"/>
        <v>38.318681958432791</v>
      </c>
    </row>
    <row r="30" spans="1:4" x14ac:dyDescent="0.3">
      <c r="A30" s="325" t="s">
        <v>1152</v>
      </c>
      <c r="B30" s="19">
        <v>5142</v>
      </c>
      <c r="C30" s="19">
        <v>14052</v>
      </c>
      <c r="D30" s="363">
        <f t="shared" si="1"/>
        <v>36.59265584970111</v>
      </c>
    </row>
    <row r="31" spans="1:4" x14ac:dyDescent="0.3">
      <c r="A31" s="325" t="s">
        <v>1137</v>
      </c>
      <c r="B31" s="19">
        <v>5507</v>
      </c>
      <c r="C31" s="19">
        <v>14159</v>
      </c>
      <c r="D31" s="363">
        <f t="shared" si="1"/>
        <v>38.893989688537332</v>
      </c>
    </row>
    <row r="32" spans="1:4" x14ac:dyDescent="0.3">
      <c r="A32" s="325" t="s">
        <v>1150</v>
      </c>
      <c r="B32" s="19">
        <v>5541</v>
      </c>
      <c r="C32" s="19">
        <v>14281</v>
      </c>
      <c r="D32" s="363">
        <f t="shared" si="1"/>
        <v>38.799803935298648</v>
      </c>
    </row>
    <row r="33" spans="1:4" x14ac:dyDescent="0.3">
      <c r="A33" s="325" t="s">
        <v>440</v>
      </c>
      <c r="B33" s="19">
        <v>5140</v>
      </c>
      <c r="C33" s="19">
        <v>14291</v>
      </c>
      <c r="D33" s="363">
        <f t="shared" si="1"/>
        <v>35.966692323840178</v>
      </c>
    </row>
    <row r="34" spans="1:4" x14ac:dyDescent="0.3">
      <c r="A34" s="325" t="s">
        <v>422</v>
      </c>
      <c r="B34" s="19">
        <v>4881</v>
      </c>
      <c r="C34" s="19">
        <v>14019</v>
      </c>
      <c r="D34" s="363">
        <f t="shared" si="1"/>
        <v>34.817034025251445</v>
      </c>
    </row>
    <row r="35" spans="1:4" x14ac:dyDescent="0.3">
      <c r="A35" s="325" t="s">
        <v>424</v>
      </c>
      <c r="B35" s="19">
        <v>4850</v>
      </c>
      <c r="C35" s="19">
        <v>13959</v>
      </c>
      <c r="D35" s="363">
        <f t="shared" si="1"/>
        <v>34.744609212694321</v>
      </c>
    </row>
    <row r="36" spans="1:4" x14ac:dyDescent="0.3">
      <c r="A36" s="325" t="s">
        <v>433</v>
      </c>
      <c r="B36" s="19">
        <v>7324</v>
      </c>
      <c r="C36" s="19">
        <v>19442</v>
      </c>
      <c r="D36" s="363">
        <f t="shared" si="1"/>
        <v>37.6710214998457</v>
      </c>
    </row>
    <row r="37" spans="1:4" x14ac:dyDescent="0.3">
      <c r="A37" s="325" t="s">
        <v>1141</v>
      </c>
      <c r="B37" s="19">
        <v>6215</v>
      </c>
      <c r="C37" s="19">
        <v>16952</v>
      </c>
      <c r="D37" s="363">
        <f t="shared" si="1"/>
        <v>36.662340726757904</v>
      </c>
    </row>
    <row r="38" spans="1:4" x14ac:dyDescent="0.3">
      <c r="A38" s="325" t="s">
        <v>1095</v>
      </c>
      <c r="B38" s="19">
        <v>5674</v>
      </c>
      <c r="C38" s="19">
        <v>15633</v>
      </c>
      <c r="D38" s="363">
        <f t="shared" si="1"/>
        <v>36.295016951320925</v>
      </c>
    </row>
    <row r="39" spans="1:4" x14ac:dyDescent="0.3">
      <c r="A39" s="325" t="s">
        <v>1094</v>
      </c>
      <c r="B39" s="19">
        <v>6228</v>
      </c>
      <c r="C39" s="19">
        <v>17316</v>
      </c>
      <c r="D39" s="363">
        <f t="shared" si="1"/>
        <v>35.966735966735968</v>
      </c>
    </row>
    <row r="40" spans="1:4" x14ac:dyDescent="0.3">
      <c r="A40" s="325" t="s">
        <v>427</v>
      </c>
      <c r="B40" s="19">
        <v>6192</v>
      </c>
      <c r="C40" s="19">
        <v>17816</v>
      </c>
      <c r="D40" s="363">
        <f t="shared" si="1"/>
        <v>34.755276156264031</v>
      </c>
    </row>
    <row r="41" spans="1:4" x14ac:dyDescent="0.3">
      <c r="A41" s="325" t="s">
        <v>1144</v>
      </c>
      <c r="B41" s="19">
        <v>6393</v>
      </c>
      <c r="C41" s="19">
        <v>18669</v>
      </c>
      <c r="D41" s="363">
        <f t="shared" si="1"/>
        <v>34.243933793990038</v>
      </c>
    </row>
    <row r="42" spans="1:4" x14ac:dyDescent="0.3">
      <c r="A42" s="325" t="s">
        <v>540</v>
      </c>
      <c r="B42" s="19">
        <v>6524</v>
      </c>
      <c r="C42" s="19">
        <v>18581</v>
      </c>
      <c r="D42" s="363">
        <f t="shared" si="1"/>
        <v>35.111135030407404</v>
      </c>
    </row>
    <row r="43" spans="1:4" x14ac:dyDescent="0.3">
      <c r="A43" s="325" t="s">
        <v>581</v>
      </c>
      <c r="B43" s="19">
        <v>7045</v>
      </c>
      <c r="C43" s="19">
        <v>20416</v>
      </c>
      <c r="D43" s="363">
        <f t="shared" si="1"/>
        <v>34.507249216300941</v>
      </c>
    </row>
    <row r="44" spans="1:4" x14ac:dyDescent="0.3">
      <c r="A44" s="325" t="s">
        <v>519</v>
      </c>
      <c r="B44" s="19">
        <v>5070</v>
      </c>
      <c r="C44" s="19">
        <v>14702</v>
      </c>
      <c r="D44" s="363">
        <f t="shared" si="1"/>
        <v>34.485104067473813</v>
      </c>
    </row>
    <row r="45" spans="1:4" x14ac:dyDescent="0.3">
      <c r="A45" s="325" t="s">
        <v>522</v>
      </c>
      <c r="B45" s="19">
        <v>5908</v>
      </c>
      <c r="C45" s="19">
        <v>17696</v>
      </c>
      <c r="D45" s="363">
        <f t="shared" si="1"/>
        <v>33.38607594936709</v>
      </c>
    </row>
    <row r="46" spans="1:4" x14ac:dyDescent="0.3">
      <c r="A46" s="325" t="s">
        <v>768</v>
      </c>
      <c r="B46" s="19">
        <v>6481</v>
      </c>
      <c r="C46" s="19">
        <v>17908</v>
      </c>
      <c r="D46" s="363">
        <f t="shared" si="1"/>
        <v>36.190529372347555</v>
      </c>
    </row>
    <row r="47" spans="1:4" x14ac:dyDescent="0.3">
      <c r="A47" s="325" t="s">
        <v>748</v>
      </c>
      <c r="B47" s="19">
        <v>6874</v>
      </c>
      <c r="C47" s="19">
        <v>20099</v>
      </c>
      <c r="D47" s="363">
        <f t="shared" si="1"/>
        <v>34.200706502811087</v>
      </c>
    </row>
    <row r="48" spans="1:4" x14ac:dyDescent="0.3">
      <c r="A48" s="325" t="s">
        <v>754</v>
      </c>
      <c r="B48" s="19">
        <v>6588</v>
      </c>
      <c r="C48" s="19">
        <v>18422</v>
      </c>
      <c r="D48" s="363">
        <f t="shared" si="1"/>
        <v>35.76158940397351</v>
      </c>
    </row>
    <row r="49" spans="1:4" x14ac:dyDescent="0.3">
      <c r="A49" s="325" t="s">
        <v>1090</v>
      </c>
      <c r="B49" s="19">
        <v>7616</v>
      </c>
      <c r="C49" s="19">
        <v>22130</v>
      </c>
      <c r="D49" s="363">
        <f t="shared" si="1"/>
        <v>34.41482150926344</v>
      </c>
    </row>
    <row r="50" spans="1:4" x14ac:dyDescent="0.3">
      <c r="A50" s="325" t="s">
        <v>1151</v>
      </c>
      <c r="B50" s="19">
        <v>8190</v>
      </c>
      <c r="C50" s="19">
        <v>23620</v>
      </c>
      <c r="D50" s="363">
        <f t="shared" si="1"/>
        <v>34.67400508044031</v>
      </c>
    </row>
    <row r="51" spans="1:4" x14ac:dyDescent="0.3">
      <c r="A51" s="325" t="s">
        <v>1091</v>
      </c>
      <c r="B51" s="19">
        <v>6136</v>
      </c>
      <c r="C51" s="19">
        <v>18135</v>
      </c>
      <c r="D51" s="363">
        <f t="shared" si="1"/>
        <v>33.835125448028677</v>
      </c>
    </row>
    <row r="52" spans="1:4" x14ac:dyDescent="0.3">
      <c r="A52" s="325" t="s">
        <v>1118</v>
      </c>
      <c r="B52" s="19">
        <v>5662</v>
      </c>
      <c r="C52" s="19">
        <v>15144</v>
      </c>
      <c r="D52" s="363">
        <f t="shared" si="1"/>
        <v>37.387744321183305</v>
      </c>
    </row>
    <row r="53" spans="1:4" x14ac:dyDescent="0.3">
      <c r="A53" s="325" t="s">
        <v>1096</v>
      </c>
      <c r="B53" s="19">
        <v>6303</v>
      </c>
      <c r="C53" s="19">
        <v>17584</v>
      </c>
      <c r="D53" s="363">
        <f t="shared" si="1"/>
        <v>35.8450864422202</v>
      </c>
    </row>
    <row r="54" spans="1:4" x14ac:dyDescent="0.3">
      <c r="A54" s="325" t="s">
        <v>1117</v>
      </c>
      <c r="B54" s="19">
        <v>7403</v>
      </c>
      <c r="C54" s="19">
        <v>20357</v>
      </c>
      <c r="D54" s="363">
        <f t="shared" si="1"/>
        <v>36.365869234170063</v>
      </c>
    </row>
    <row r="55" spans="1:4" x14ac:dyDescent="0.3">
      <c r="A55" s="325" t="s">
        <v>1126</v>
      </c>
      <c r="B55" s="19">
        <v>5911</v>
      </c>
      <c r="C55" s="19">
        <v>17365</v>
      </c>
      <c r="D55" s="363">
        <f t="shared" si="1"/>
        <v>34.039735099337747</v>
      </c>
    </row>
    <row r="56" spans="1:4" x14ac:dyDescent="0.3">
      <c r="A56" s="325" t="s">
        <v>1130</v>
      </c>
      <c r="B56" s="19">
        <v>5866</v>
      </c>
      <c r="C56" s="19">
        <v>13911</v>
      </c>
      <c r="D56" s="363">
        <f t="shared" si="1"/>
        <v>42.168068435051396</v>
      </c>
    </row>
    <row r="57" spans="1:4" x14ac:dyDescent="0.3">
      <c r="A57" s="325" t="s">
        <v>1128</v>
      </c>
      <c r="B57" s="19">
        <v>0</v>
      </c>
      <c r="C57" s="19">
        <v>0</v>
      </c>
      <c r="D57" s="363"/>
    </row>
    <row r="58" spans="1:4" x14ac:dyDescent="0.3">
      <c r="A58" s="325" t="s">
        <v>1129</v>
      </c>
      <c r="B58" s="19">
        <v>6962</v>
      </c>
      <c r="C58" s="19">
        <v>18886</v>
      </c>
      <c r="D58" s="363">
        <f t="shared" si="1"/>
        <v>36.863284972995871</v>
      </c>
    </row>
    <row r="59" spans="1:4" x14ac:dyDescent="0.3">
      <c r="A59" s="325" t="s">
        <v>1133</v>
      </c>
      <c r="B59" s="19">
        <v>9026</v>
      </c>
      <c r="C59" s="19">
        <v>23929</v>
      </c>
      <c r="D59" s="363">
        <f t="shared" si="1"/>
        <v>37.71992143424297</v>
      </c>
    </row>
    <row r="60" spans="1:4" x14ac:dyDescent="0.3">
      <c r="A60" s="325" t="s">
        <v>1134</v>
      </c>
      <c r="B60" s="19">
        <v>6008</v>
      </c>
      <c r="C60" s="19">
        <v>17249</v>
      </c>
      <c r="D60" s="363">
        <f t="shared" si="1"/>
        <v>34.831004695924399</v>
      </c>
    </row>
    <row r="61" spans="1:4" x14ac:dyDescent="0.3">
      <c r="A61" s="325" t="s">
        <v>1135</v>
      </c>
      <c r="B61" s="19">
        <v>6017</v>
      </c>
      <c r="C61" s="19">
        <v>17165</v>
      </c>
      <c r="D61" s="363">
        <f t="shared" si="1"/>
        <v>35.05388872706088</v>
      </c>
    </row>
    <row r="62" spans="1:4" x14ac:dyDescent="0.3">
      <c r="A62" s="325" t="s">
        <v>1154</v>
      </c>
      <c r="B62" s="19">
        <v>5233</v>
      </c>
      <c r="C62" s="19">
        <v>14447</v>
      </c>
      <c r="D62" s="363">
        <f t="shared" si="1"/>
        <v>36.222053021388525</v>
      </c>
    </row>
    <row r="63" spans="1:4" x14ac:dyDescent="0.3">
      <c r="A63" s="325" t="s">
        <v>1159</v>
      </c>
      <c r="B63" s="19">
        <v>6024</v>
      </c>
      <c r="C63" s="19">
        <v>17265</v>
      </c>
      <c r="D63" s="363">
        <f t="shared" si="1"/>
        <v>34.891398783666375</v>
      </c>
    </row>
    <row r="64" spans="1:4" x14ac:dyDescent="0.3">
      <c r="A64" s="325" t="s">
        <v>1156</v>
      </c>
      <c r="B64" s="19">
        <v>7029</v>
      </c>
      <c r="C64" s="19">
        <v>20227</v>
      </c>
      <c r="D64" s="363">
        <f t="shared" si="1"/>
        <v>34.750580906708855</v>
      </c>
    </row>
    <row r="65" spans="1:4" x14ac:dyDescent="0.3">
      <c r="A65" s="325" t="s">
        <v>1157</v>
      </c>
      <c r="B65" s="19">
        <v>6889</v>
      </c>
      <c r="C65" s="19">
        <v>19196</v>
      </c>
      <c r="D65" s="363">
        <f t="shared" si="1"/>
        <v>35.887684934361324</v>
      </c>
    </row>
    <row r="66" spans="1:4" x14ac:dyDescent="0.3">
      <c r="A66" s="325" t="s">
        <v>1153</v>
      </c>
      <c r="B66" s="19">
        <v>6966</v>
      </c>
      <c r="C66" s="19">
        <v>19296</v>
      </c>
      <c r="D66" s="363">
        <f t="shared" si="1"/>
        <v>36.100746268656714</v>
      </c>
    </row>
    <row r="67" spans="1:4" x14ac:dyDescent="0.3">
      <c r="A67" s="325" t="s">
        <v>1173</v>
      </c>
      <c r="B67" s="19">
        <v>7081</v>
      </c>
      <c r="C67" s="19">
        <v>20098</v>
      </c>
      <c r="D67" s="363">
        <f t="shared" si="1"/>
        <v>35.232361428997912</v>
      </c>
    </row>
    <row r="68" spans="1:4" x14ac:dyDescent="0.3">
      <c r="A68" s="325" t="s">
        <v>130</v>
      </c>
      <c r="B68" s="19">
        <v>0</v>
      </c>
      <c r="C68" s="19">
        <v>0</v>
      </c>
      <c r="D68" s="363"/>
    </row>
    <row r="69" spans="1:4" x14ac:dyDescent="0.3">
      <c r="A69" s="325" t="s">
        <v>1155</v>
      </c>
      <c r="B69" s="19">
        <v>5162</v>
      </c>
      <c r="C69" s="19">
        <v>14728</v>
      </c>
      <c r="D69" s="363">
        <f t="shared" si="1"/>
        <v>35.048886474741984</v>
      </c>
    </row>
    <row r="70" spans="1:4" x14ac:dyDescent="0.3">
      <c r="A70" s="325" t="s">
        <v>109</v>
      </c>
      <c r="B70" s="19">
        <v>5448</v>
      </c>
      <c r="C70" s="19">
        <v>14519</v>
      </c>
      <c r="D70" s="363">
        <f t="shared" si="1"/>
        <v>37.523245402575931</v>
      </c>
    </row>
    <row r="71" spans="1:4" x14ac:dyDescent="0.3">
      <c r="A71" s="325" t="s">
        <v>1148</v>
      </c>
      <c r="B71" s="19">
        <v>6331</v>
      </c>
      <c r="C71" s="19">
        <v>16604</v>
      </c>
      <c r="D71" s="363">
        <f t="shared" si="1"/>
        <v>38.129366417730665</v>
      </c>
    </row>
    <row r="72" spans="1:4" x14ac:dyDescent="0.3">
      <c r="A72" s="325" t="s">
        <v>1138</v>
      </c>
      <c r="B72" s="19">
        <v>4920</v>
      </c>
      <c r="C72" s="19">
        <v>13753</v>
      </c>
      <c r="D72" s="363">
        <f t="shared" si="1"/>
        <v>35.774012942630698</v>
      </c>
    </row>
    <row r="73" spans="1:4" x14ac:dyDescent="0.3">
      <c r="A73" s="325" t="s">
        <v>137</v>
      </c>
      <c r="B73" s="19">
        <v>5361</v>
      </c>
      <c r="C73" s="19">
        <v>13818</v>
      </c>
      <c r="D73" s="363">
        <f t="shared" ref="D73:D105" si="2">+B73/C73*100</f>
        <v>38.797221016066004</v>
      </c>
    </row>
    <row r="74" spans="1:4" x14ac:dyDescent="0.3">
      <c r="A74" s="325" t="s">
        <v>250</v>
      </c>
      <c r="B74" s="19">
        <v>7131</v>
      </c>
      <c r="C74" s="19">
        <v>16904</v>
      </c>
      <c r="D74" s="363">
        <f t="shared" si="2"/>
        <v>42.18528159015618</v>
      </c>
    </row>
    <row r="75" spans="1:4" x14ac:dyDescent="0.3">
      <c r="A75" s="325" t="s">
        <v>251</v>
      </c>
      <c r="B75" s="19">
        <v>4800</v>
      </c>
      <c r="C75" s="19">
        <v>11883</v>
      </c>
      <c r="D75" s="363">
        <f t="shared" si="2"/>
        <v>40.39383993940924</v>
      </c>
    </row>
    <row r="76" spans="1:4" x14ac:dyDescent="0.3">
      <c r="A76" s="325" t="s">
        <v>121</v>
      </c>
      <c r="B76" s="19">
        <v>5893</v>
      </c>
      <c r="C76" s="19">
        <v>14842</v>
      </c>
      <c r="D76" s="363">
        <f t="shared" si="2"/>
        <v>39.704891524053359</v>
      </c>
    </row>
    <row r="77" spans="1:4" x14ac:dyDescent="0.3">
      <c r="A77" s="325" t="s">
        <v>140</v>
      </c>
      <c r="B77" s="19">
        <v>5489</v>
      </c>
      <c r="C77" s="19">
        <v>14036</v>
      </c>
      <c r="D77" s="363">
        <f t="shared" si="2"/>
        <v>39.106583072100314</v>
      </c>
    </row>
    <row r="78" spans="1:4" x14ac:dyDescent="0.3">
      <c r="A78" s="325" t="s">
        <v>255</v>
      </c>
      <c r="B78" s="19">
        <v>5548</v>
      </c>
      <c r="C78" s="19">
        <v>14080</v>
      </c>
      <c r="D78" s="363">
        <f t="shared" si="2"/>
        <v>39.403409090909093</v>
      </c>
    </row>
    <row r="79" spans="1:4" x14ac:dyDescent="0.3">
      <c r="A79" s="325" t="s">
        <v>128</v>
      </c>
      <c r="B79" s="19">
        <v>4222</v>
      </c>
      <c r="C79" s="19">
        <v>11490</v>
      </c>
      <c r="D79" s="363">
        <f t="shared" si="2"/>
        <v>36.744995648389903</v>
      </c>
    </row>
    <row r="80" spans="1:4" x14ac:dyDescent="0.3">
      <c r="A80" s="325" t="s">
        <v>124</v>
      </c>
      <c r="B80" s="19">
        <v>6349</v>
      </c>
      <c r="C80" s="19">
        <v>17523</v>
      </c>
      <c r="D80" s="363">
        <f t="shared" si="2"/>
        <v>36.232380300176906</v>
      </c>
    </row>
    <row r="81" spans="1:4" x14ac:dyDescent="0.3">
      <c r="A81" s="325" t="s">
        <v>259</v>
      </c>
      <c r="B81" s="19">
        <v>5216</v>
      </c>
      <c r="C81" s="19">
        <v>14218</v>
      </c>
      <c r="D81" s="363">
        <f t="shared" si="2"/>
        <v>36.685891123927419</v>
      </c>
    </row>
    <row r="82" spans="1:4" x14ac:dyDescent="0.3">
      <c r="A82" s="325" t="s">
        <v>116</v>
      </c>
      <c r="B82" s="19">
        <v>5374</v>
      </c>
      <c r="C82" s="19">
        <v>14922</v>
      </c>
      <c r="D82" s="363">
        <f t="shared" si="2"/>
        <v>36.01393915024795</v>
      </c>
    </row>
    <row r="83" spans="1:4" x14ac:dyDescent="0.3">
      <c r="A83" s="325" t="s">
        <v>1140</v>
      </c>
      <c r="B83" s="19">
        <v>7001</v>
      </c>
      <c r="C83" s="19">
        <v>19224</v>
      </c>
      <c r="D83" s="363">
        <f t="shared" si="2"/>
        <v>36.418019142738245</v>
      </c>
    </row>
    <row r="84" spans="1:4" x14ac:dyDescent="0.3">
      <c r="A84" s="325" t="s">
        <v>1142</v>
      </c>
      <c r="B84" s="19">
        <v>7181</v>
      </c>
      <c r="C84" s="19">
        <v>19382</v>
      </c>
      <c r="D84" s="363">
        <f t="shared" si="2"/>
        <v>37.049840057785573</v>
      </c>
    </row>
    <row r="85" spans="1:4" x14ac:dyDescent="0.3">
      <c r="A85" s="325" t="s">
        <v>134</v>
      </c>
      <c r="B85" s="19">
        <v>4340</v>
      </c>
      <c r="C85" s="19">
        <v>11173</v>
      </c>
      <c r="D85" s="363">
        <f t="shared" si="2"/>
        <v>38.843640920075181</v>
      </c>
    </row>
    <row r="86" spans="1:4" x14ac:dyDescent="0.3">
      <c r="A86" s="325" t="s">
        <v>110</v>
      </c>
      <c r="B86" s="19">
        <v>6514</v>
      </c>
      <c r="C86" s="19">
        <v>16764</v>
      </c>
      <c r="D86" s="363">
        <f t="shared" si="2"/>
        <v>38.857074683846335</v>
      </c>
    </row>
    <row r="87" spans="1:4" x14ac:dyDescent="0.3">
      <c r="A87" s="325" t="s">
        <v>119</v>
      </c>
      <c r="B87" s="19">
        <v>8005</v>
      </c>
      <c r="C87" s="19">
        <v>19708</v>
      </c>
      <c r="D87" s="363">
        <f t="shared" si="2"/>
        <v>40.618023137812052</v>
      </c>
    </row>
    <row r="88" spans="1:4" x14ac:dyDescent="0.3">
      <c r="A88" s="325" t="s">
        <v>129</v>
      </c>
      <c r="B88" s="19">
        <v>5708</v>
      </c>
      <c r="C88" s="19">
        <v>14488</v>
      </c>
      <c r="D88" s="363">
        <f t="shared" si="2"/>
        <v>39.39812258420762</v>
      </c>
    </row>
    <row r="89" spans="1:4" x14ac:dyDescent="0.3">
      <c r="A89" s="325" t="s">
        <v>111</v>
      </c>
      <c r="B89" s="19">
        <v>6439</v>
      </c>
      <c r="C89" s="19">
        <v>17393</v>
      </c>
      <c r="D89" s="363">
        <f t="shared" si="2"/>
        <v>37.020640487552463</v>
      </c>
    </row>
    <row r="90" spans="1:4" x14ac:dyDescent="0.3">
      <c r="A90" s="325" t="s">
        <v>132</v>
      </c>
      <c r="B90" s="19">
        <v>5630</v>
      </c>
      <c r="C90" s="19">
        <v>14407</v>
      </c>
      <c r="D90" s="363">
        <f t="shared" si="2"/>
        <v>39.078225862427985</v>
      </c>
    </row>
    <row r="91" spans="1:4" x14ac:dyDescent="0.3">
      <c r="A91" s="325" t="s">
        <v>131</v>
      </c>
      <c r="B91" s="19">
        <v>3496</v>
      </c>
      <c r="C91" s="19">
        <v>8190</v>
      </c>
      <c r="D91" s="363">
        <f t="shared" si="2"/>
        <v>42.686202686202684</v>
      </c>
    </row>
    <row r="92" spans="1:4" x14ac:dyDescent="0.3">
      <c r="A92" s="325" t="s">
        <v>120</v>
      </c>
      <c r="B92" s="19">
        <v>4749</v>
      </c>
      <c r="C92" s="19">
        <v>11519</v>
      </c>
      <c r="D92" s="363">
        <f t="shared" si="2"/>
        <v>41.227537112596579</v>
      </c>
    </row>
    <row r="93" spans="1:4" x14ac:dyDescent="0.3">
      <c r="A93" s="325" t="s">
        <v>115</v>
      </c>
      <c r="B93" s="19">
        <v>1265</v>
      </c>
      <c r="C93" s="19">
        <v>3211</v>
      </c>
      <c r="D93" s="363">
        <f t="shared" si="2"/>
        <v>39.395826845219553</v>
      </c>
    </row>
    <row r="94" spans="1:4" x14ac:dyDescent="0.3">
      <c r="A94" s="325" t="s">
        <v>112</v>
      </c>
      <c r="B94" s="19">
        <v>4222</v>
      </c>
      <c r="C94" s="19">
        <v>10828</v>
      </c>
      <c r="D94" s="363">
        <f t="shared" si="2"/>
        <v>38.991503509420021</v>
      </c>
    </row>
    <row r="95" spans="1:4" x14ac:dyDescent="0.3">
      <c r="A95" s="325" t="s">
        <v>138</v>
      </c>
      <c r="B95" s="19">
        <v>6669</v>
      </c>
      <c r="C95" s="19">
        <v>16716</v>
      </c>
      <c r="D95" s="363">
        <f t="shared" si="2"/>
        <v>39.895908111988518</v>
      </c>
    </row>
    <row r="96" spans="1:4" x14ac:dyDescent="0.3">
      <c r="A96" s="325" t="s">
        <v>122</v>
      </c>
      <c r="B96" s="19">
        <v>0</v>
      </c>
      <c r="C96" s="19">
        <v>0</v>
      </c>
      <c r="D96" s="363"/>
    </row>
    <row r="97" spans="1:4" x14ac:dyDescent="0.3">
      <c r="A97" s="325" t="s">
        <v>126</v>
      </c>
      <c r="B97" s="19">
        <v>6607</v>
      </c>
      <c r="C97" s="19">
        <v>16470</v>
      </c>
      <c r="D97" s="363">
        <f t="shared" si="2"/>
        <v>40.11536126290224</v>
      </c>
    </row>
    <row r="98" spans="1:4" x14ac:dyDescent="0.3">
      <c r="A98" s="325" t="s">
        <v>133</v>
      </c>
      <c r="B98" s="19">
        <v>5284</v>
      </c>
      <c r="C98" s="19">
        <v>13715</v>
      </c>
      <c r="D98" s="363">
        <f t="shared" si="2"/>
        <v>38.52716004374772</v>
      </c>
    </row>
    <row r="99" spans="1:4" x14ac:dyDescent="0.3">
      <c r="A99" s="325" t="s">
        <v>135</v>
      </c>
      <c r="B99" s="19">
        <v>6985</v>
      </c>
      <c r="C99" s="19">
        <v>17746</v>
      </c>
      <c r="D99" s="363">
        <f t="shared" si="2"/>
        <v>39.360982756677558</v>
      </c>
    </row>
    <row r="100" spans="1:4" x14ac:dyDescent="0.3">
      <c r="A100" s="325" t="s">
        <v>123</v>
      </c>
      <c r="B100" s="19">
        <v>7696</v>
      </c>
      <c r="C100" s="19">
        <v>20354</v>
      </c>
      <c r="D100" s="363">
        <f t="shared" si="2"/>
        <v>37.810749729782842</v>
      </c>
    </row>
    <row r="101" spans="1:4" x14ac:dyDescent="0.3">
      <c r="A101" s="325" t="s">
        <v>139</v>
      </c>
      <c r="B101" s="19">
        <v>5879</v>
      </c>
      <c r="C101" s="19">
        <v>13692</v>
      </c>
      <c r="D101" s="363">
        <f t="shared" si="2"/>
        <v>42.937481741162728</v>
      </c>
    </row>
    <row r="102" spans="1:4" x14ac:dyDescent="0.3">
      <c r="A102" s="325" t="s">
        <v>1116</v>
      </c>
      <c r="B102" s="19">
        <v>4958</v>
      </c>
      <c r="C102" s="19">
        <v>12193</v>
      </c>
      <c r="D102" s="363">
        <f t="shared" si="2"/>
        <v>40.662675305503157</v>
      </c>
    </row>
    <row r="103" spans="1:4" x14ac:dyDescent="0.3">
      <c r="A103" s="325" t="s">
        <v>1115</v>
      </c>
      <c r="B103" s="19">
        <v>7597</v>
      </c>
      <c r="C103" s="19">
        <v>19730</v>
      </c>
      <c r="D103" s="363">
        <f t="shared" si="2"/>
        <v>38.504815002534208</v>
      </c>
    </row>
    <row r="104" spans="1:4" ht="15" thickBot="1" x14ac:dyDescent="0.35">
      <c r="A104" s="364" t="s">
        <v>125</v>
      </c>
      <c r="B104" s="46">
        <v>7197</v>
      </c>
      <c r="C104" s="46">
        <v>19077</v>
      </c>
      <c r="D104" s="365">
        <f t="shared" si="2"/>
        <v>37.72605755621953</v>
      </c>
    </row>
    <row r="105" spans="1:4" ht="15" thickBot="1" x14ac:dyDescent="0.35">
      <c r="A105" s="346" t="s">
        <v>1122</v>
      </c>
      <c r="B105" s="373">
        <f>SUM(B6:B104)</f>
        <v>584899</v>
      </c>
      <c r="C105" s="373">
        <f>SUM(C6:C104)</f>
        <v>1570552</v>
      </c>
      <c r="D105" s="366">
        <f t="shared" si="2"/>
        <v>37.241619507026833</v>
      </c>
    </row>
  </sheetData>
  <autoFilter ref="A5:D105" xr:uid="{00000000-0009-0000-0000-000000000000}">
    <sortState xmlns:xlrd2="http://schemas.microsoft.com/office/spreadsheetml/2017/richdata2" ref="A6:D105">
      <sortCondition ref="A5:A102"/>
    </sortState>
  </autoFilter>
  <sortState xmlns:xlrd2="http://schemas.microsoft.com/office/spreadsheetml/2017/richdata2" ref="A6:A104">
    <sortCondition ref="A6"/>
  </sortState>
  <mergeCells count="1">
    <mergeCell ref="A1:G2"/>
  </mergeCells>
  <conditionalFormatting sqref="D6:D10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5"/>
  <sheetViews>
    <sheetView topLeftCell="A78" workbookViewId="0">
      <selection activeCell="H95" sqref="H95"/>
    </sheetView>
  </sheetViews>
  <sheetFormatPr baseColWidth="10" defaultRowHeight="14.4" x14ac:dyDescent="0.3"/>
  <cols>
    <col min="1" max="1" width="12.33203125" customWidth="1"/>
  </cols>
  <sheetData>
    <row r="1" spans="1:7" x14ac:dyDescent="0.3">
      <c r="A1" s="441" t="s">
        <v>1175</v>
      </c>
      <c r="B1" s="442"/>
      <c r="C1" s="442"/>
      <c r="D1" s="442"/>
      <c r="E1" s="442"/>
      <c r="F1" s="442"/>
      <c r="G1" s="443"/>
    </row>
    <row r="2" spans="1:7" ht="15" thickBot="1" x14ac:dyDescent="0.35">
      <c r="A2" s="444"/>
      <c r="B2" s="445"/>
      <c r="C2" s="445"/>
      <c r="D2" s="445"/>
      <c r="E2" s="445"/>
      <c r="F2" s="445"/>
      <c r="G2" s="446"/>
    </row>
    <row r="4" spans="1:7" ht="15" thickBot="1" x14ac:dyDescent="0.35"/>
    <row r="5" spans="1:7" x14ac:dyDescent="0.3">
      <c r="A5" s="360" t="s">
        <v>1123</v>
      </c>
      <c r="B5" s="361" t="s">
        <v>1171</v>
      </c>
      <c r="C5" s="361" t="s">
        <v>1132</v>
      </c>
      <c r="D5" s="362" t="s">
        <v>1125</v>
      </c>
    </row>
    <row r="6" spans="1:7" x14ac:dyDescent="0.3">
      <c r="A6" s="325" t="s">
        <v>1091</v>
      </c>
      <c r="B6" s="19">
        <v>6721</v>
      </c>
      <c r="C6" s="19">
        <v>20359</v>
      </c>
      <c r="D6" s="363">
        <f t="shared" ref="D6:D37" si="0">+B6/C6*100</f>
        <v>33.012426936490002</v>
      </c>
    </row>
    <row r="7" spans="1:7" x14ac:dyDescent="0.3">
      <c r="A7" s="325" t="s">
        <v>1126</v>
      </c>
      <c r="B7" s="19">
        <v>5826</v>
      </c>
      <c r="C7" s="19">
        <v>17509</v>
      </c>
      <c r="D7" s="363">
        <f t="shared" si="0"/>
        <v>33.274316066023189</v>
      </c>
    </row>
    <row r="8" spans="1:7" x14ac:dyDescent="0.3">
      <c r="A8" s="325" t="s">
        <v>427</v>
      </c>
      <c r="B8" s="19">
        <v>6505</v>
      </c>
      <c r="C8" s="19">
        <v>19511</v>
      </c>
      <c r="D8" s="363">
        <f t="shared" si="0"/>
        <v>33.340167085233965</v>
      </c>
    </row>
    <row r="9" spans="1:7" x14ac:dyDescent="0.3">
      <c r="A9" s="325" t="s">
        <v>748</v>
      </c>
      <c r="B9" s="19">
        <v>6641</v>
      </c>
      <c r="C9" s="19">
        <v>19876</v>
      </c>
      <c r="D9" s="363">
        <f t="shared" si="0"/>
        <v>33.412155363252168</v>
      </c>
    </row>
    <row r="10" spans="1:7" x14ac:dyDescent="0.3">
      <c r="A10" s="325" t="s">
        <v>1156</v>
      </c>
      <c r="B10" s="19">
        <v>4685</v>
      </c>
      <c r="C10" s="19">
        <v>13981</v>
      </c>
      <c r="D10" s="363">
        <f t="shared" si="0"/>
        <v>33.509763250125168</v>
      </c>
    </row>
    <row r="11" spans="1:7" x14ac:dyDescent="0.3">
      <c r="A11" s="325" t="s">
        <v>1144</v>
      </c>
      <c r="B11" s="19">
        <v>5995</v>
      </c>
      <c r="C11" s="19">
        <v>17730</v>
      </c>
      <c r="D11" s="363">
        <f t="shared" si="0"/>
        <v>33.812746756909192</v>
      </c>
    </row>
    <row r="12" spans="1:7" x14ac:dyDescent="0.3">
      <c r="A12" s="325" t="s">
        <v>522</v>
      </c>
      <c r="B12" s="19">
        <v>4746</v>
      </c>
      <c r="C12" s="19">
        <v>14023</v>
      </c>
      <c r="D12" s="363">
        <f t="shared" si="0"/>
        <v>33.84439848819796</v>
      </c>
    </row>
    <row r="13" spans="1:7" x14ac:dyDescent="0.3">
      <c r="A13" s="325" t="s">
        <v>1128</v>
      </c>
      <c r="B13" s="19">
        <v>5164</v>
      </c>
      <c r="C13" s="19">
        <v>15230</v>
      </c>
      <c r="D13" s="363">
        <f t="shared" si="0"/>
        <v>33.906762967826658</v>
      </c>
    </row>
    <row r="14" spans="1:7" x14ac:dyDescent="0.3">
      <c r="A14" s="325" t="s">
        <v>519</v>
      </c>
      <c r="B14" s="19">
        <v>5855</v>
      </c>
      <c r="C14" s="19">
        <v>17263</v>
      </c>
      <c r="D14" s="363">
        <f t="shared" si="0"/>
        <v>33.916468748189772</v>
      </c>
    </row>
    <row r="15" spans="1:7" x14ac:dyDescent="0.3">
      <c r="A15" s="325" t="s">
        <v>132</v>
      </c>
      <c r="B15" s="19">
        <v>3705</v>
      </c>
      <c r="C15" s="19">
        <v>10905</v>
      </c>
      <c r="D15" s="363">
        <f t="shared" si="0"/>
        <v>33.975240715268221</v>
      </c>
    </row>
    <row r="16" spans="1:7" x14ac:dyDescent="0.3">
      <c r="A16" s="325" t="s">
        <v>581</v>
      </c>
      <c r="B16" s="19">
        <v>8061</v>
      </c>
      <c r="C16" s="19">
        <v>23635</v>
      </c>
      <c r="D16" s="363">
        <f t="shared" si="0"/>
        <v>34.106198434525069</v>
      </c>
    </row>
    <row r="17" spans="1:4" x14ac:dyDescent="0.3">
      <c r="A17" s="325" t="s">
        <v>1151</v>
      </c>
      <c r="B17" s="19">
        <v>6646</v>
      </c>
      <c r="C17" s="19">
        <v>19454</v>
      </c>
      <c r="D17" s="363">
        <f t="shared" si="0"/>
        <v>34.162640074020764</v>
      </c>
    </row>
    <row r="18" spans="1:4" x14ac:dyDescent="0.3">
      <c r="A18" s="325" t="s">
        <v>1094</v>
      </c>
      <c r="B18" s="19">
        <v>5817</v>
      </c>
      <c r="C18" s="19">
        <v>17009</v>
      </c>
      <c r="D18" s="363">
        <f t="shared" si="0"/>
        <v>34.199541419248632</v>
      </c>
    </row>
    <row r="19" spans="1:4" x14ac:dyDescent="0.3">
      <c r="A19" s="325" t="s">
        <v>424</v>
      </c>
      <c r="B19" s="19">
        <v>5896</v>
      </c>
      <c r="C19" s="19">
        <v>17231</v>
      </c>
      <c r="D19" s="363">
        <f t="shared" si="0"/>
        <v>34.217398874122225</v>
      </c>
    </row>
    <row r="20" spans="1:4" x14ac:dyDescent="0.3">
      <c r="A20" s="325" t="s">
        <v>438</v>
      </c>
      <c r="B20" s="19">
        <v>5204</v>
      </c>
      <c r="C20" s="19">
        <v>15111</v>
      </c>
      <c r="D20" s="363">
        <f t="shared" si="0"/>
        <v>34.43848851829793</v>
      </c>
    </row>
    <row r="21" spans="1:4" x14ac:dyDescent="0.3">
      <c r="A21" s="325" t="s">
        <v>1134</v>
      </c>
      <c r="B21" s="19">
        <v>6726</v>
      </c>
      <c r="C21" s="19">
        <v>19506</v>
      </c>
      <c r="D21" s="363">
        <f t="shared" si="0"/>
        <v>34.48169793909566</v>
      </c>
    </row>
    <row r="22" spans="1:4" x14ac:dyDescent="0.3">
      <c r="A22" s="325" t="s">
        <v>1173</v>
      </c>
      <c r="B22" s="19">
        <v>7852</v>
      </c>
      <c r="C22" s="19">
        <v>22771</v>
      </c>
      <c r="D22" s="363">
        <f t="shared" si="0"/>
        <v>34.482455755127134</v>
      </c>
    </row>
    <row r="23" spans="1:4" x14ac:dyDescent="0.3">
      <c r="A23" s="325" t="s">
        <v>1153</v>
      </c>
      <c r="B23" s="19">
        <v>6783</v>
      </c>
      <c r="C23" s="19">
        <v>19612</v>
      </c>
      <c r="D23" s="363">
        <f t="shared" si="0"/>
        <v>34.58596777483173</v>
      </c>
    </row>
    <row r="24" spans="1:4" x14ac:dyDescent="0.3">
      <c r="A24" s="325" t="s">
        <v>1154</v>
      </c>
      <c r="B24" s="19">
        <v>6060</v>
      </c>
      <c r="C24" s="19">
        <v>17342</v>
      </c>
      <c r="D24" s="363">
        <f t="shared" si="0"/>
        <v>34.944066428324298</v>
      </c>
    </row>
    <row r="25" spans="1:4" x14ac:dyDescent="0.3">
      <c r="A25" s="325" t="s">
        <v>1157</v>
      </c>
      <c r="B25" s="19">
        <v>7066</v>
      </c>
      <c r="C25" s="19">
        <v>20186</v>
      </c>
      <c r="D25" s="363">
        <f t="shared" si="0"/>
        <v>35.004458535618745</v>
      </c>
    </row>
    <row r="26" spans="1:4" x14ac:dyDescent="0.3">
      <c r="A26" s="325" t="s">
        <v>1090</v>
      </c>
      <c r="B26" s="19">
        <v>6877</v>
      </c>
      <c r="C26" s="19">
        <v>19645</v>
      </c>
      <c r="D26" s="363">
        <f t="shared" si="0"/>
        <v>35.006362942224484</v>
      </c>
    </row>
    <row r="27" spans="1:4" x14ac:dyDescent="0.3">
      <c r="A27" s="325" t="s">
        <v>754</v>
      </c>
      <c r="B27" s="19">
        <v>7857</v>
      </c>
      <c r="C27" s="19">
        <v>22443</v>
      </c>
      <c r="D27" s="363">
        <f t="shared" si="0"/>
        <v>35.008688677984232</v>
      </c>
    </row>
    <row r="28" spans="1:4" x14ac:dyDescent="0.3">
      <c r="A28" s="325" t="s">
        <v>1139</v>
      </c>
      <c r="B28" s="19">
        <v>6946</v>
      </c>
      <c r="C28" s="19">
        <v>19789</v>
      </c>
      <c r="D28" s="363">
        <f t="shared" si="0"/>
        <v>35.100308252059229</v>
      </c>
    </row>
    <row r="29" spans="1:4" x14ac:dyDescent="0.3">
      <c r="A29" s="325" t="s">
        <v>440</v>
      </c>
      <c r="B29" s="19">
        <v>6163</v>
      </c>
      <c r="C29" s="19">
        <v>17553</v>
      </c>
      <c r="D29" s="363">
        <f t="shared" si="0"/>
        <v>35.110807269412639</v>
      </c>
    </row>
    <row r="30" spans="1:4" x14ac:dyDescent="0.3">
      <c r="A30" s="325" t="s">
        <v>214</v>
      </c>
      <c r="B30" s="19">
        <f>450+5355</f>
        <v>5805</v>
      </c>
      <c r="C30" s="19">
        <v>16498</v>
      </c>
      <c r="D30" s="363">
        <f t="shared" si="0"/>
        <v>35.186083161595342</v>
      </c>
    </row>
    <row r="31" spans="1:4" x14ac:dyDescent="0.3">
      <c r="A31" s="325" t="s">
        <v>1159</v>
      </c>
      <c r="B31" s="19">
        <v>5873</v>
      </c>
      <c r="C31" s="19">
        <v>16614</v>
      </c>
      <c r="D31" s="363">
        <f t="shared" si="0"/>
        <v>35.349705068014927</v>
      </c>
    </row>
    <row r="32" spans="1:4" x14ac:dyDescent="0.3">
      <c r="A32" s="325" t="s">
        <v>1129</v>
      </c>
      <c r="B32" s="19">
        <v>7253</v>
      </c>
      <c r="C32" s="19">
        <v>20428</v>
      </c>
      <c r="D32" s="363">
        <f t="shared" si="0"/>
        <v>35.505188956334443</v>
      </c>
    </row>
    <row r="33" spans="1:4" x14ac:dyDescent="0.3">
      <c r="A33" s="325" t="s">
        <v>1135</v>
      </c>
      <c r="B33" s="19">
        <v>5008</v>
      </c>
      <c r="C33" s="19">
        <v>14049</v>
      </c>
      <c r="D33" s="363">
        <f t="shared" si="0"/>
        <v>35.646665243077798</v>
      </c>
    </row>
    <row r="34" spans="1:4" x14ac:dyDescent="0.3">
      <c r="A34" s="325" t="s">
        <v>222</v>
      </c>
      <c r="B34" s="19">
        <v>5404</v>
      </c>
      <c r="C34" s="19">
        <v>15155</v>
      </c>
      <c r="D34" s="363">
        <f t="shared" si="0"/>
        <v>35.658198614318707</v>
      </c>
    </row>
    <row r="35" spans="1:4" x14ac:dyDescent="0.3">
      <c r="A35" s="325" t="s">
        <v>1155</v>
      </c>
      <c r="B35" s="19">
        <v>6930</v>
      </c>
      <c r="C35" s="19">
        <v>19427</v>
      </c>
      <c r="D35" s="363">
        <f t="shared" si="0"/>
        <v>35.672002882586092</v>
      </c>
    </row>
    <row r="36" spans="1:4" x14ac:dyDescent="0.3">
      <c r="A36" s="325" t="s">
        <v>768</v>
      </c>
      <c r="B36" s="19">
        <v>6217</v>
      </c>
      <c r="C36" s="19">
        <v>17420</v>
      </c>
      <c r="D36" s="363">
        <f t="shared" si="0"/>
        <v>35.688863375430543</v>
      </c>
    </row>
    <row r="37" spans="1:4" x14ac:dyDescent="0.3">
      <c r="A37" s="325" t="s">
        <v>1096</v>
      </c>
      <c r="B37" s="19">
        <v>6973</v>
      </c>
      <c r="C37" s="19">
        <v>19522</v>
      </c>
      <c r="D37" s="363">
        <f t="shared" si="0"/>
        <v>35.71867636512652</v>
      </c>
    </row>
    <row r="38" spans="1:4" x14ac:dyDescent="0.3">
      <c r="A38" s="325" t="s">
        <v>1095</v>
      </c>
      <c r="B38" s="19">
        <v>6737</v>
      </c>
      <c r="C38" s="19">
        <v>18846</v>
      </c>
      <c r="D38" s="363">
        <f t="shared" ref="D38:D69" si="1">+B38/C38*100</f>
        <v>35.747638756234743</v>
      </c>
    </row>
    <row r="39" spans="1:4" x14ac:dyDescent="0.3">
      <c r="A39" s="325" t="s">
        <v>1117</v>
      </c>
      <c r="B39" s="19">
        <v>6990</v>
      </c>
      <c r="C39" s="19">
        <v>19492</v>
      </c>
      <c r="D39" s="363">
        <f t="shared" si="1"/>
        <v>35.860865996306181</v>
      </c>
    </row>
    <row r="40" spans="1:4" x14ac:dyDescent="0.3">
      <c r="A40" s="325" t="s">
        <v>422</v>
      </c>
      <c r="B40" s="19">
        <v>6342</v>
      </c>
      <c r="C40" s="19">
        <v>17656</v>
      </c>
      <c r="D40" s="363">
        <f t="shared" si="1"/>
        <v>35.919800634345265</v>
      </c>
    </row>
    <row r="41" spans="1:4" x14ac:dyDescent="0.3">
      <c r="A41" s="325" t="s">
        <v>540</v>
      </c>
      <c r="B41" s="19">
        <v>7394</v>
      </c>
      <c r="C41" s="19">
        <v>20567</v>
      </c>
      <c r="D41" s="363">
        <f t="shared" si="1"/>
        <v>35.950794962804494</v>
      </c>
    </row>
    <row r="42" spans="1:4" x14ac:dyDescent="0.3">
      <c r="A42" s="325" t="s">
        <v>1141</v>
      </c>
      <c r="B42" s="19">
        <v>5060</v>
      </c>
      <c r="C42" s="19">
        <v>14039</v>
      </c>
      <c r="D42" s="363">
        <f t="shared" si="1"/>
        <v>36.042453166179925</v>
      </c>
    </row>
    <row r="43" spans="1:4" x14ac:dyDescent="0.3">
      <c r="A43" s="325" t="s">
        <v>1115</v>
      </c>
      <c r="B43" s="19">
        <v>5036</v>
      </c>
      <c r="C43" s="19">
        <v>13869</v>
      </c>
      <c r="D43" s="363">
        <f t="shared" si="1"/>
        <v>36.311197635013336</v>
      </c>
    </row>
    <row r="44" spans="1:4" x14ac:dyDescent="0.3">
      <c r="A44" s="325" t="s">
        <v>195</v>
      </c>
      <c r="B44" s="19">
        <v>5707</v>
      </c>
      <c r="C44" s="19">
        <v>15714</v>
      </c>
      <c r="D44" s="363">
        <f t="shared" si="1"/>
        <v>36.317933053328247</v>
      </c>
    </row>
    <row r="45" spans="1:4" x14ac:dyDescent="0.3">
      <c r="A45" s="325" t="s">
        <v>1143</v>
      </c>
      <c r="B45" s="19">
        <v>5143</v>
      </c>
      <c r="C45" s="19">
        <v>14103</v>
      </c>
      <c r="D45" s="363">
        <f t="shared" si="1"/>
        <v>36.467418279798622</v>
      </c>
    </row>
    <row r="46" spans="1:4" x14ac:dyDescent="0.3">
      <c r="A46" s="325" t="s">
        <v>1150</v>
      </c>
      <c r="B46" s="19">
        <v>5152</v>
      </c>
      <c r="C46" s="19">
        <v>14114</v>
      </c>
      <c r="D46" s="363">
        <f t="shared" si="1"/>
        <v>36.502763213830242</v>
      </c>
    </row>
    <row r="47" spans="1:4" x14ac:dyDescent="0.3">
      <c r="A47" s="325" t="s">
        <v>187</v>
      </c>
      <c r="B47" s="19">
        <v>6147</v>
      </c>
      <c r="C47" s="19">
        <v>16814</v>
      </c>
      <c r="D47" s="363">
        <f t="shared" si="1"/>
        <v>36.558820030926611</v>
      </c>
    </row>
    <row r="48" spans="1:4" x14ac:dyDescent="0.3">
      <c r="A48" s="325" t="s">
        <v>128</v>
      </c>
      <c r="B48" s="19">
        <v>6406</v>
      </c>
      <c r="C48" s="19">
        <v>17517</v>
      </c>
      <c r="D48" s="363">
        <f t="shared" si="1"/>
        <v>36.570188959296686</v>
      </c>
    </row>
    <row r="49" spans="1:4" x14ac:dyDescent="0.3">
      <c r="A49" s="325" t="s">
        <v>138</v>
      </c>
      <c r="B49" s="19">
        <v>3292</v>
      </c>
      <c r="C49" s="19">
        <v>9001</v>
      </c>
      <c r="D49" s="363">
        <f t="shared" si="1"/>
        <v>36.573714031774244</v>
      </c>
    </row>
    <row r="50" spans="1:4" x14ac:dyDescent="0.3">
      <c r="A50" s="325" t="s">
        <v>1133</v>
      </c>
      <c r="B50" s="19">
        <v>9124</v>
      </c>
      <c r="C50" s="19">
        <v>24941</v>
      </c>
      <c r="D50" s="363">
        <f t="shared" si="1"/>
        <v>36.582334308969166</v>
      </c>
    </row>
    <row r="51" spans="1:4" x14ac:dyDescent="0.3">
      <c r="A51" s="325" t="s">
        <v>125</v>
      </c>
      <c r="B51" s="19">
        <v>8118</v>
      </c>
      <c r="C51" s="19">
        <v>22129</v>
      </c>
      <c r="D51" s="363">
        <f t="shared" si="1"/>
        <v>36.684893126666367</v>
      </c>
    </row>
    <row r="52" spans="1:4" x14ac:dyDescent="0.3">
      <c r="A52" s="325" t="s">
        <v>1142</v>
      </c>
      <c r="B52" s="19">
        <v>7102</v>
      </c>
      <c r="C52" s="19">
        <v>19329</v>
      </c>
      <c r="D52" s="363">
        <f t="shared" si="1"/>
        <v>36.742718195457599</v>
      </c>
    </row>
    <row r="53" spans="1:4" x14ac:dyDescent="0.3">
      <c r="A53" s="325" t="s">
        <v>1138</v>
      </c>
      <c r="B53" s="19">
        <v>4746</v>
      </c>
      <c r="C53" s="19">
        <v>12893</v>
      </c>
      <c r="D53" s="363">
        <f t="shared" si="1"/>
        <v>36.810672457922905</v>
      </c>
    </row>
    <row r="54" spans="1:4" x14ac:dyDescent="0.3">
      <c r="A54" s="325" t="s">
        <v>123</v>
      </c>
      <c r="B54" s="19">
        <v>5593</v>
      </c>
      <c r="C54" s="19">
        <v>15125</v>
      </c>
      <c r="D54" s="363">
        <f t="shared" si="1"/>
        <v>36.978512396694214</v>
      </c>
    </row>
    <row r="55" spans="1:4" x14ac:dyDescent="0.3">
      <c r="A55" s="325" t="s">
        <v>433</v>
      </c>
      <c r="B55" s="19">
        <v>6199</v>
      </c>
      <c r="C55" s="19">
        <v>16759</v>
      </c>
      <c r="D55" s="363">
        <f t="shared" si="1"/>
        <v>36.98908049406289</v>
      </c>
    </row>
    <row r="56" spans="1:4" x14ac:dyDescent="0.3">
      <c r="A56" s="325" t="s">
        <v>1137</v>
      </c>
      <c r="B56" s="19">
        <v>8133</v>
      </c>
      <c r="C56" s="19">
        <v>21971</v>
      </c>
      <c r="D56" s="363">
        <f t="shared" si="1"/>
        <v>37.016976924127256</v>
      </c>
    </row>
    <row r="57" spans="1:4" x14ac:dyDescent="0.3">
      <c r="A57" s="325" t="s">
        <v>122</v>
      </c>
      <c r="B57" s="19">
        <v>9063</v>
      </c>
      <c r="C57" s="19">
        <v>24468</v>
      </c>
      <c r="D57" s="363">
        <f t="shared" si="1"/>
        <v>37.04021579205493</v>
      </c>
    </row>
    <row r="58" spans="1:4" x14ac:dyDescent="0.3">
      <c r="A58" s="325" t="s">
        <v>1140</v>
      </c>
      <c r="B58" s="19">
        <v>6309</v>
      </c>
      <c r="C58" s="19">
        <v>16999</v>
      </c>
      <c r="D58" s="363">
        <f t="shared" si="1"/>
        <v>37.113947879287018</v>
      </c>
    </row>
    <row r="59" spans="1:4" x14ac:dyDescent="0.3">
      <c r="A59" s="325" t="s">
        <v>193</v>
      </c>
      <c r="B59" s="19">
        <v>6407</v>
      </c>
      <c r="C59" s="19">
        <v>17214</v>
      </c>
      <c r="D59" s="363">
        <f t="shared" si="1"/>
        <v>37.219704891367492</v>
      </c>
    </row>
    <row r="60" spans="1:4" x14ac:dyDescent="0.3">
      <c r="A60" s="325" t="s">
        <v>1118</v>
      </c>
      <c r="B60" s="19">
        <v>6376</v>
      </c>
      <c r="C60" s="19">
        <v>17126</v>
      </c>
      <c r="D60" s="363">
        <f t="shared" si="1"/>
        <v>37.22994277706411</v>
      </c>
    </row>
    <row r="61" spans="1:4" x14ac:dyDescent="0.3">
      <c r="A61" s="325" t="s">
        <v>1148</v>
      </c>
      <c r="B61" s="19">
        <v>8040</v>
      </c>
      <c r="C61" s="19">
        <v>21545</v>
      </c>
      <c r="D61" s="363">
        <f t="shared" si="1"/>
        <v>37.317242979809699</v>
      </c>
    </row>
    <row r="62" spans="1:4" x14ac:dyDescent="0.3">
      <c r="A62" s="325" t="s">
        <v>216</v>
      </c>
      <c r="B62" s="19">
        <v>9338</v>
      </c>
      <c r="C62" s="19">
        <v>25010</v>
      </c>
      <c r="D62" s="363">
        <f t="shared" si="1"/>
        <v>37.337065173930426</v>
      </c>
    </row>
    <row r="63" spans="1:4" x14ac:dyDescent="0.3">
      <c r="A63" s="325" t="s">
        <v>111</v>
      </c>
      <c r="B63" s="19">
        <v>4801</v>
      </c>
      <c r="C63" s="19">
        <v>12854</v>
      </c>
      <c r="D63" s="363">
        <f t="shared" si="1"/>
        <v>37.350241170063789</v>
      </c>
    </row>
    <row r="64" spans="1:4" x14ac:dyDescent="0.3">
      <c r="A64" s="325" t="s">
        <v>1152</v>
      </c>
      <c r="B64" s="19">
        <v>6361</v>
      </c>
      <c r="C64" s="19">
        <v>17005</v>
      </c>
      <c r="D64" s="363">
        <f t="shared" si="1"/>
        <v>37.406645104381063</v>
      </c>
    </row>
    <row r="65" spans="1:4" x14ac:dyDescent="0.3">
      <c r="A65" s="325" t="s">
        <v>305</v>
      </c>
      <c r="B65" s="19">
        <v>5139</v>
      </c>
      <c r="C65" s="19">
        <v>13658</v>
      </c>
      <c r="D65" s="363">
        <f t="shared" si="1"/>
        <v>37.62629960462732</v>
      </c>
    </row>
    <row r="66" spans="1:4" x14ac:dyDescent="0.3">
      <c r="A66" s="325" t="s">
        <v>209</v>
      </c>
      <c r="B66" s="19">
        <v>6592</v>
      </c>
      <c r="C66" s="19">
        <v>17515</v>
      </c>
      <c r="D66" s="363">
        <f t="shared" si="1"/>
        <v>37.636311732800458</v>
      </c>
    </row>
    <row r="67" spans="1:4" x14ac:dyDescent="0.3">
      <c r="A67" s="325" t="s">
        <v>220</v>
      </c>
      <c r="B67" s="19">
        <v>4453</v>
      </c>
      <c r="C67" s="19">
        <v>11809</v>
      </c>
      <c r="D67" s="363">
        <f t="shared" si="1"/>
        <v>37.708527394360239</v>
      </c>
    </row>
    <row r="68" spans="1:4" x14ac:dyDescent="0.3">
      <c r="A68" s="325" t="s">
        <v>192</v>
      </c>
      <c r="B68" s="19">
        <v>6572</v>
      </c>
      <c r="C68" s="19">
        <v>17398</v>
      </c>
      <c r="D68" s="363">
        <f t="shared" si="1"/>
        <v>37.774456834118865</v>
      </c>
    </row>
    <row r="69" spans="1:4" x14ac:dyDescent="0.3">
      <c r="A69" s="325" t="s">
        <v>115</v>
      </c>
      <c r="B69" s="19">
        <v>5330</v>
      </c>
      <c r="C69" s="19">
        <v>14032</v>
      </c>
      <c r="D69" s="363">
        <f t="shared" si="1"/>
        <v>37.984606613454957</v>
      </c>
    </row>
    <row r="70" spans="1:4" x14ac:dyDescent="0.3">
      <c r="A70" s="325" t="s">
        <v>134</v>
      </c>
      <c r="B70" s="19">
        <v>5462</v>
      </c>
      <c r="C70" s="19">
        <v>14372</v>
      </c>
      <c r="D70" s="363">
        <f t="shared" ref="D70:D101" si="2">+B70/C70*100</f>
        <v>38.004453103256331</v>
      </c>
    </row>
    <row r="71" spans="1:4" x14ac:dyDescent="0.3">
      <c r="A71" s="325" t="s">
        <v>1130</v>
      </c>
      <c r="B71" s="19">
        <v>6548</v>
      </c>
      <c r="C71" s="19">
        <v>17226</v>
      </c>
      <c r="D71" s="363">
        <f t="shared" si="2"/>
        <v>38.012306977824217</v>
      </c>
    </row>
    <row r="72" spans="1:4" x14ac:dyDescent="0.3">
      <c r="A72" s="325" t="s">
        <v>255</v>
      </c>
      <c r="B72" s="19">
        <v>5466</v>
      </c>
      <c r="C72" s="19">
        <v>14367</v>
      </c>
      <c r="D72" s="363">
        <f t="shared" si="2"/>
        <v>38.045520985591978</v>
      </c>
    </row>
    <row r="73" spans="1:4" x14ac:dyDescent="0.3">
      <c r="A73" s="325" t="s">
        <v>124</v>
      </c>
      <c r="B73" s="19">
        <v>4192</v>
      </c>
      <c r="C73" s="19">
        <v>11016</v>
      </c>
      <c r="D73" s="363">
        <f t="shared" si="2"/>
        <v>38.05374001452433</v>
      </c>
    </row>
    <row r="74" spans="1:4" x14ac:dyDescent="0.3">
      <c r="A74" s="325" t="s">
        <v>1116</v>
      </c>
      <c r="B74" s="19">
        <v>3037</v>
      </c>
      <c r="C74" s="19">
        <v>7945</v>
      </c>
      <c r="D74" s="363">
        <f t="shared" si="2"/>
        <v>38.225298930144746</v>
      </c>
    </row>
    <row r="75" spans="1:4" x14ac:dyDescent="0.3">
      <c r="A75" s="325" t="s">
        <v>178</v>
      </c>
      <c r="B75" s="19">
        <v>6628</v>
      </c>
      <c r="C75" s="19">
        <v>17288</v>
      </c>
      <c r="D75" s="363">
        <f t="shared" si="2"/>
        <v>38.338732068486813</v>
      </c>
    </row>
    <row r="76" spans="1:4" x14ac:dyDescent="0.3">
      <c r="A76" s="325" t="s">
        <v>1158</v>
      </c>
      <c r="B76" s="19">
        <v>7535</v>
      </c>
      <c r="C76" s="19">
        <v>19628</v>
      </c>
      <c r="D76" s="363">
        <f t="shared" si="2"/>
        <v>38.389036070919097</v>
      </c>
    </row>
    <row r="77" spans="1:4" x14ac:dyDescent="0.3">
      <c r="A77" s="325" t="s">
        <v>131</v>
      </c>
      <c r="B77" s="19">
        <v>7862</v>
      </c>
      <c r="C77" s="19">
        <v>20475</v>
      </c>
      <c r="D77" s="363">
        <f t="shared" si="2"/>
        <v>38.398046398046397</v>
      </c>
    </row>
    <row r="78" spans="1:4" x14ac:dyDescent="0.3">
      <c r="A78" s="325" t="s">
        <v>137</v>
      </c>
      <c r="B78" s="19">
        <v>4428</v>
      </c>
      <c r="C78" s="19">
        <v>11507</v>
      </c>
      <c r="D78" s="363">
        <f t="shared" si="2"/>
        <v>38.480924654558095</v>
      </c>
    </row>
    <row r="79" spans="1:4" x14ac:dyDescent="0.3">
      <c r="A79" s="325" t="s">
        <v>1136</v>
      </c>
      <c r="B79" s="19">
        <v>7034</v>
      </c>
      <c r="C79" s="19">
        <v>18265</v>
      </c>
      <c r="D79" s="363">
        <f t="shared" si="2"/>
        <v>38.510813030385982</v>
      </c>
    </row>
    <row r="80" spans="1:4" x14ac:dyDescent="0.3">
      <c r="A80" s="325" t="s">
        <v>133</v>
      </c>
      <c r="B80" s="19">
        <v>5357</v>
      </c>
      <c r="C80" s="19">
        <v>13878</v>
      </c>
      <c r="D80" s="363">
        <f t="shared" si="2"/>
        <v>38.600662919729068</v>
      </c>
    </row>
    <row r="81" spans="1:4" x14ac:dyDescent="0.3">
      <c r="A81" s="325" t="s">
        <v>116</v>
      </c>
      <c r="B81" s="19">
        <v>4721</v>
      </c>
      <c r="C81" s="19">
        <v>12184</v>
      </c>
      <c r="D81" s="363">
        <f t="shared" si="2"/>
        <v>38.747537754432045</v>
      </c>
    </row>
    <row r="82" spans="1:4" x14ac:dyDescent="0.3">
      <c r="A82" s="325" t="s">
        <v>259</v>
      </c>
      <c r="B82" s="19">
        <v>4050</v>
      </c>
      <c r="C82" s="19">
        <v>10421</v>
      </c>
      <c r="D82" s="363">
        <f t="shared" si="2"/>
        <v>38.863832645619425</v>
      </c>
    </row>
    <row r="83" spans="1:4" x14ac:dyDescent="0.3">
      <c r="A83" s="325" t="s">
        <v>121</v>
      </c>
      <c r="B83" s="19">
        <v>4395</v>
      </c>
      <c r="C83" s="19">
        <v>11276</v>
      </c>
      <c r="D83" s="363">
        <f t="shared" si="2"/>
        <v>38.976587442355445</v>
      </c>
    </row>
    <row r="84" spans="1:4" x14ac:dyDescent="0.3">
      <c r="A84" s="325" t="s">
        <v>1092</v>
      </c>
      <c r="B84" s="19">
        <f>370+5748</f>
        <v>6118</v>
      </c>
      <c r="C84" s="19">
        <v>15691</v>
      </c>
      <c r="D84" s="363">
        <f t="shared" si="2"/>
        <v>38.990504110636671</v>
      </c>
    </row>
    <row r="85" spans="1:4" x14ac:dyDescent="0.3">
      <c r="A85" s="325" t="s">
        <v>135</v>
      </c>
      <c r="B85" s="19">
        <v>5506</v>
      </c>
      <c r="C85" s="19">
        <v>14100</v>
      </c>
      <c r="D85" s="363">
        <f t="shared" si="2"/>
        <v>39.049645390070921</v>
      </c>
    </row>
    <row r="86" spans="1:4" x14ac:dyDescent="0.3">
      <c r="A86" s="325" t="s">
        <v>112</v>
      </c>
      <c r="B86" s="19">
        <v>5918</v>
      </c>
      <c r="C86" s="19">
        <v>15063</v>
      </c>
      <c r="D86" s="363">
        <f t="shared" si="2"/>
        <v>39.288322379340109</v>
      </c>
    </row>
    <row r="87" spans="1:4" x14ac:dyDescent="0.3">
      <c r="A87" s="325" t="s">
        <v>119</v>
      </c>
      <c r="B87" s="19">
        <v>4456</v>
      </c>
      <c r="C87" s="19">
        <v>11326</v>
      </c>
      <c r="D87" s="363">
        <f t="shared" si="2"/>
        <v>39.343104361645771</v>
      </c>
    </row>
    <row r="88" spans="1:4" x14ac:dyDescent="0.3">
      <c r="A88" s="325" t="s">
        <v>109</v>
      </c>
      <c r="B88" s="19">
        <v>5507</v>
      </c>
      <c r="C88" s="19">
        <v>13905</v>
      </c>
      <c r="D88" s="363">
        <f t="shared" si="2"/>
        <v>39.6044588277598</v>
      </c>
    </row>
    <row r="89" spans="1:4" x14ac:dyDescent="0.3">
      <c r="A89" s="325" t="s">
        <v>302</v>
      </c>
      <c r="B89" s="19">
        <v>1227</v>
      </c>
      <c r="C89" s="19">
        <v>3096</v>
      </c>
      <c r="D89" s="363">
        <f t="shared" si="2"/>
        <v>39.631782945736433</v>
      </c>
    </row>
    <row r="90" spans="1:4" x14ac:dyDescent="0.3">
      <c r="A90" s="325" t="s">
        <v>140</v>
      </c>
      <c r="B90" s="19">
        <v>7096</v>
      </c>
      <c r="C90" s="19">
        <v>17863</v>
      </c>
      <c r="D90" s="363">
        <f t="shared" si="2"/>
        <v>39.724570340928182</v>
      </c>
    </row>
    <row r="91" spans="1:4" x14ac:dyDescent="0.3">
      <c r="A91" s="325" t="s">
        <v>212</v>
      </c>
      <c r="B91" s="19">
        <v>7219</v>
      </c>
      <c r="C91" s="19">
        <v>18100</v>
      </c>
      <c r="D91" s="363">
        <f t="shared" si="2"/>
        <v>39.883977900552487</v>
      </c>
    </row>
    <row r="92" spans="1:4" x14ac:dyDescent="0.3">
      <c r="A92" s="325" t="s">
        <v>129</v>
      </c>
      <c r="B92" s="19">
        <v>6463</v>
      </c>
      <c r="C92" s="19">
        <v>16064</v>
      </c>
      <c r="D92" s="363">
        <f t="shared" si="2"/>
        <v>40.232818725099598</v>
      </c>
    </row>
    <row r="93" spans="1:4" x14ac:dyDescent="0.3">
      <c r="A93" s="325" t="s">
        <v>126</v>
      </c>
      <c r="B93" s="19">
        <v>7957</v>
      </c>
      <c r="C93" s="19">
        <v>19767</v>
      </c>
      <c r="D93" s="363">
        <f t="shared" si="2"/>
        <v>40.253958617898519</v>
      </c>
    </row>
    <row r="94" spans="1:4" x14ac:dyDescent="0.3">
      <c r="A94" s="325" t="s">
        <v>110</v>
      </c>
      <c r="B94" s="19">
        <v>4362</v>
      </c>
      <c r="C94" s="19">
        <v>10826</v>
      </c>
      <c r="D94" s="363">
        <f t="shared" si="2"/>
        <v>40.291889894697952</v>
      </c>
    </row>
    <row r="95" spans="1:4" x14ac:dyDescent="0.3">
      <c r="A95" s="325" t="s">
        <v>189</v>
      </c>
      <c r="B95" s="19">
        <v>7675</v>
      </c>
      <c r="C95" s="19">
        <v>18923</v>
      </c>
      <c r="D95" s="363">
        <f t="shared" si="2"/>
        <v>40.559107963853513</v>
      </c>
    </row>
    <row r="96" spans="1:4" x14ac:dyDescent="0.3">
      <c r="A96" s="325" t="s">
        <v>139</v>
      </c>
      <c r="B96" s="19">
        <v>4772</v>
      </c>
      <c r="C96" s="19">
        <v>11763</v>
      </c>
      <c r="D96" s="363">
        <f t="shared" si="2"/>
        <v>40.567882342939726</v>
      </c>
    </row>
    <row r="97" spans="1:4" x14ac:dyDescent="0.3">
      <c r="A97" s="325" t="s">
        <v>180</v>
      </c>
      <c r="B97" s="19">
        <v>3653</v>
      </c>
      <c r="C97" s="19">
        <v>8978</v>
      </c>
      <c r="D97" s="363">
        <f t="shared" si="2"/>
        <v>40.688349298284699</v>
      </c>
    </row>
    <row r="98" spans="1:4" x14ac:dyDescent="0.3">
      <c r="A98" s="325" t="s">
        <v>251</v>
      </c>
      <c r="B98" s="19">
        <v>8482</v>
      </c>
      <c r="C98" s="19">
        <v>20796</v>
      </c>
      <c r="D98" s="363">
        <f t="shared" si="2"/>
        <v>40.786689748028465</v>
      </c>
    </row>
    <row r="99" spans="1:4" x14ac:dyDescent="0.3">
      <c r="A99" s="325" t="s">
        <v>191</v>
      </c>
      <c r="B99" s="19">
        <v>6962</v>
      </c>
      <c r="C99" s="19">
        <v>16944</v>
      </c>
      <c r="D99" s="363">
        <f t="shared" si="2"/>
        <v>41.088290840415489</v>
      </c>
    </row>
    <row r="100" spans="1:4" x14ac:dyDescent="0.3">
      <c r="A100" s="325" t="s">
        <v>120</v>
      </c>
      <c r="B100" s="19">
        <v>7200</v>
      </c>
      <c r="C100" s="19">
        <v>17294</v>
      </c>
      <c r="D100" s="363">
        <f t="shared" si="2"/>
        <v>41.632936278478084</v>
      </c>
    </row>
    <row r="101" spans="1:4" x14ac:dyDescent="0.3">
      <c r="A101" s="325" t="s">
        <v>218</v>
      </c>
      <c r="B101" s="19">
        <v>5083</v>
      </c>
      <c r="C101" s="19">
        <v>12127</v>
      </c>
      <c r="D101" s="363">
        <f t="shared" si="2"/>
        <v>41.914735713696707</v>
      </c>
    </row>
    <row r="102" spans="1:4" x14ac:dyDescent="0.3">
      <c r="A102" s="325" t="s">
        <v>250</v>
      </c>
      <c r="B102" s="19">
        <v>4721</v>
      </c>
      <c r="C102" s="19">
        <v>10931</v>
      </c>
      <c r="D102" s="363">
        <f t="shared" ref="D102" si="3">+B102/C102*100</f>
        <v>43.189095233738904</v>
      </c>
    </row>
    <row r="103" spans="1:4" x14ac:dyDescent="0.3">
      <c r="A103" s="325" t="s">
        <v>184</v>
      </c>
      <c r="B103" s="19"/>
      <c r="C103" s="19"/>
      <c r="D103" s="363"/>
    </row>
    <row r="104" spans="1:4" ht="15" thickBot="1" x14ac:dyDescent="0.35">
      <c r="A104" s="364" t="s">
        <v>130</v>
      </c>
      <c r="B104" s="46">
        <v>0</v>
      </c>
      <c r="C104" s="46">
        <v>0</v>
      </c>
      <c r="D104" s="365"/>
    </row>
    <row r="105" spans="1:4" ht="15" thickBot="1" x14ac:dyDescent="0.35">
      <c r="A105" s="346" t="s">
        <v>1122</v>
      </c>
      <c r="B105" s="373">
        <f>SUM(B6:B104)</f>
        <v>589554</v>
      </c>
      <c r="C105" s="373">
        <f>SUM(C6:C104)</f>
        <v>1601704</v>
      </c>
      <c r="D105" s="366">
        <f>+B105/C105*100</f>
        <v>36.807924560343238</v>
      </c>
    </row>
  </sheetData>
  <autoFilter ref="A5:D105" xr:uid="{00000000-0009-0000-0000-000001000000}">
    <sortState xmlns:xlrd2="http://schemas.microsoft.com/office/spreadsheetml/2017/richdata2" ref="A6:D105">
      <sortCondition ref="D5:D105"/>
    </sortState>
  </autoFilter>
  <mergeCells count="1">
    <mergeCell ref="A1:G2"/>
  </mergeCells>
  <conditionalFormatting sqref="D6:D10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5"/>
  <sheetViews>
    <sheetView topLeftCell="A97" workbookViewId="0">
      <selection activeCell="D105" sqref="D105"/>
    </sheetView>
  </sheetViews>
  <sheetFormatPr baseColWidth="10" defaultRowHeight="14.4" x14ac:dyDescent="0.3"/>
  <cols>
    <col min="1" max="1" width="12.33203125" customWidth="1"/>
  </cols>
  <sheetData>
    <row r="1" spans="1:7" x14ac:dyDescent="0.3">
      <c r="A1" s="441" t="s">
        <v>1176</v>
      </c>
      <c r="B1" s="442"/>
      <c r="C1" s="442"/>
      <c r="D1" s="442"/>
      <c r="E1" s="442"/>
      <c r="F1" s="442"/>
      <c r="G1" s="443"/>
    </row>
    <row r="2" spans="1:7" ht="15" thickBot="1" x14ac:dyDescent="0.35">
      <c r="A2" s="444"/>
      <c r="B2" s="445"/>
      <c r="C2" s="445"/>
      <c r="D2" s="445"/>
      <c r="E2" s="445"/>
      <c r="F2" s="445"/>
      <c r="G2" s="446"/>
    </row>
    <row r="4" spans="1:7" ht="15" thickBot="1" x14ac:dyDescent="0.35"/>
    <row r="5" spans="1:7" x14ac:dyDescent="0.3">
      <c r="A5" s="360" t="s">
        <v>1123</v>
      </c>
      <c r="B5" s="361" t="s">
        <v>1171</v>
      </c>
      <c r="C5" s="361" t="s">
        <v>1132</v>
      </c>
      <c r="D5" s="362" t="s">
        <v>1125</v>
      </c>
    </row>
    <row r="6" spans="1:7" x14ac:dyDescent="0.3">
      <c r="A6" s="325" t="s">
        <v>581</v>
      </c>
      <c r="B6" s="19">
        <v>7718</v>
      </c>
      <c r="C6" s="19">
        <v>22790</v>
      </c>
      <c r="D6" s="363">
        <f t="shared" ref="D6:D37" si="0">+B6/C6*100</f>
        <v>33.86573058358929</v>
      </c>
    </row>
    <row r="7" spans="1:7" x14ac:dyDescent="0.3">
      <c r="A7" s="325" t="s">
        <v>1154</v>
      </c>
      <c r="B7" s="19">
        <v>5864</v>
      </c>
      <c r="C7" s="19">
        <v>17223</v>
      </c>
      <c r="D7" s="363">
        <f t="shared" si="0"/>
        <v>34.047494629274802</v>
      </c>
    </row>
    <row r="8" spans="1:7" x14ac:dyDescent="0.3">
      <c r="A8" s="325" t="s">
        <v>748</v>
      </c>
      <c r="B8" s="19">
        <v>8577</v>
      </c>
      <c r="C8" s="19">
        <v>25146</v>
      </c>
      <c r="D8" s="363">
        <f t="shared" si="0"/>
        <v>34.108804581245529</v>
      </c>
    </row>
    <row r="9" spans="1:7" x14ac:dyDescent="0.3">
      <c r="A9" s="325" t="s">
        <v>1159</v>
      </c>
      <c r="B9" s="19">
        <v>6710</v>
      </c>
      <c r="C9" s="19">
        <v>19574</v>
      </c>
      <c r="D9" s="363">
        <f t="shared" si="0"/>
        <v>34.280167569224481</v>
      </c>
    </row>
    <row r="10" spans="1:7" x14ac:dyDescent="0.3">
      <c r="A10" s="325" t="s">
        <v>1144</v>
      </c>
      <c r="B10" s="19">
        <v>6953</v>
      </c>
      <c r="C10" s="19">
        <v>20268</v>
      </c>
      <c r="D10" s="363">
        <f t="shared" si="0"/>
        <v>34.305308861259128</v>
      </c>
    </row>
    <row r="11" spans="1:7" x14ac:dyDescent="0.3">
      <c r="A11" s="325" t="s">
        <v>1126</v>
      </c>
      <c r="B11" s="19">
        <v>5948</v>
      </c>
      <c r="C11" s="19">
        <v>17292</v>
      </c>
      <c r="D11" s="363">
        <f t="shared" si="0"/>
        <v>34.397409206569513</v>
      </c>
    </row>
    <row r="12" spans="1:7" x14ac:dyDescent="0.3">
      <c r="A12" s="325" t="s">
        <v>1143</v>
      </c>
      <c r="B12" s="19">
        <v>4178</v>
      </c>
      <c r="C12" s="19">
        <v>12139</v>
      </c>
      <c r="D12" s="363">
        <f t="shared" si="0"/>
        <v>34.417991597330918</v>
      </c>
    </row>
    <row r="13" spans="1:7" x14ac:dyDescent="0.3">
      <c r="A13" s="325" t="s">
        <v>1128</v>
      </c>
      <c r="B13" s="19">
        <v>7957</v>
      </c>
      <c r="C13" s="19">
        <v>23044</v>
      </c>
      <c r="D13" s="363">
        <f t="shared" si="0"/>
        <v>34.529595556327024</v>
      </c>
    </row>
    <row r="14" spans="1:7" x14ac:dyDescent="0.3">
      <c r="A14" s="325" t="s">
        <v>519</v>
      </c>
      <c r="B14" s="19">
        <v>6100</v>
      </c>
      <c r="C14" s="19">
        <v>17636</v>
      </c>
      <c r="D14" s="363">
        <f t="shared" si="0"/>
        <v>34.58834202767067</v>
      </c>
    </row>
    <row r="15" spans="1:7" x14ac:dyDescent="0.3">
      <c r="A15" s="325" t="s">
        <v>522</v>
      </c>
      <c r="B15" s="19">
        <v>5967</v>
      </c>
      <c r="C15" s="19">
        <v>17211</v>
      </c>
      <c r="D15" s="363">
        <f t="shared" si="0"/>
        <v>34.669687990238799</v>
      </c>
    </row>
    <row r="16" spans="1:7" x14ac:dyDescent="0.3">
      <c r="A16" s="325" t="s">
        <v>427</v>
      </c>
      <c r="B16" s="19">
        <v>7278</v>
      </c>
      <c r="C16" s="19">
        <v>20918</v>
      </c>
      <c r="D16" s="363">
        <f t="shared" si="0"/>
        <v>34.793001242948655</v>
      </c>
    </row>
    <row r="17" spans="1:4" x14ac:dyDescent="0.3">
      <c r="A17" s="325" t="s">
        <v>1091</v>
      </c>
      <c r="B17" s="19">
        <v>3753</v>
      </c>
      <c r="C17" s="19">
        <v>10782</v>
      </c>
      <c r="D17" s="363">
        <f t="shared" si="0"/>
        <v>34.808013355592657</v>
      </c>
    </row>
    <row r="18" spans="1:4" x14ac:dyDescent="0.3">
      <c r="A18" s="325" t="s">
        <v>422</v>
      </c>
      <c r="B18" s="19">
        <v>7075</v>
      </c>
      <c r="C18" s="19">
        <v>20319</v>
      </c>
      <c r="D18" s="363">
        <f t="shared" si="0"/>
        <v>34.819626950145185</v>
      </c>
    </row>
    <row r="19" spans="1:4" x14ac:dyDescent="0.3">
      <c r="A19" s="325" t="s">
        <v>1134</v>
      </c>
      <c r="B19" s="19">
        <v>7424</v>
      </c>
      <c r="C19" s="19">
        <v>21213</v>
      </c>
      <c r="D19" s="363">
        <f t="shared" si="0"/>
        <v>34.99740725027106</v>
      </c>
    </row>
    <row r="20" spans="1:4" x14ac:dyDescent="0.3">
      <c r="A20" s="325" t="s">
        <v>424</v>
      </c>
      <c r="B20" s="19">
        <v>7155</v>
      </c>
      <c r="C20" s="19">
        <v>20368</v>
      </c>
      <c r="D20" s="363">
        <f t="shared" si="0"/>
        <v>35.128633150039278</v>
      </c>
    </row>
    <row r="21" spans="1:4" x14ac:dyDescent="0.3">
      <c r="A21" s="325" t="s">
        <v>1156</v>
      </c>
      <c r="B21" s="19">
        <v>7315</v>
      </c>
      <c r="C21" s="19">
        <v>20748</v>
      </c>
      <c r="D21" s="363">
        <f t="shared" si="0"/>
        <v>35.256410256410255</v>
      </c>
    </row>
    <row r="22" spans="1:4" x14ac:dyDescent="0.3">
      <c r="A22" s="325" t="s">
        <v>1151</v>
      </c>
      <c r="B22" s="19">
        <v>6300</v>
      </c>
      <c r="C22" s="19">
        <v>17860</v>
      </c>
      <c r="D22" s="363">
        <f t="shared" si="0"/>
        <v>35.274356103023521</v>
      </c>
    </row>
    <row r="23" spans="1:4" x14ac:dyDescent="0.3">
      <c r="A23" s="325" t="s">
        <v>540</v>
      </c>
      <c r="B23" s="19">
        <v>7292</v>
      </c>
      <c r="C23" s="19">
        <v>20657</v>
      </c>
      <c r="D23" s="363">
        <f t="shared" si="0"/>
        <v>35.300382436946315</v>
      </c>
    </row>
    <row r="24" spans="1:4" x14ac:dyDescent="0.3">
      <c r="A24" s="325" t="s">
        <v>1173</v>
      </c>
      <c r="B24" s="19">
        <v>7010</v>
      </c>
      <c r="C24" s="19">
        <v>19816</v>
      </c>
      <c r="D24" s="363">
        <f t="shared" si="0"/>
        <v>35.375454178441665</v>
      </c>
    </row>
    <row r="25" spans="1:4" x14ac:dyDescent="0.3">
      <c r="A25" s="325" t="s">
        <v>1139</v>
      </c>
      <c r="B25" s="19">
        <v>5106</v>
      </c>
      <c r="C25" s="19">
        <v>14277</v>
      </c>
      <c r="D25" s="363">
        <f t="shared" si="0"/>
        <v>35.76381592771591</v>
      </c>
    </row>
    <row r="26" spans="1:4" x14ac:dyDescent="0.3">
      <c r="A26" s="325" t="s">
        <v>1117</v>
      </c>
      <c r="B26" s="19">
        <v>8208</v>
      </c>
      <c r="C26" s="19">
        <v>22875</v>
      </c>
      <c r="D26" s="363">
        <f t="shared" si="0"/>
        <v>35.881967213114748</v>
      </c>
    </row>
    <row r="27" spans="1:4" x14ac:dyDescent="0.3">
      <c r="A27" s="325" t="s">
        <v>1090</v>
      </c>
      <c r="B27" s="19">
        <v>8577</v>
      </c>
      <c r="C27" s="19">
        <v>23842</v>
      </c>
      <c r="D27" s="363">
        <f t="shared" si="0"/>
        <v>35.974331012498951</v>
      </c>
    </row>
    <row r="28" spans="1:4" x14ac:dyDescent="0.3">
      <c r="A28" s="325" t="s">
        <v>438</v>
      </c>
      <c r="B28" s="19">
        <v>7499</v>
      </c>
      <c r="C28" s="19">
        <v>20827</v>
      </c>
      <c r="D28" s="363">
        <f t="shared" si="0"/>
        <v>36.006145868343978</v>
      </c>
    </row>
    <row r="29" spans="1:4" x14ac:dyDescent="0.3">
      <c r="A29" s="325" t="s">
        <v>754</v>
      </c>
      <c r="B29" s="19">
        <v>5939</v>
      </c>
      <c r="C29" s="19">
        <v>16470</v>
      </c>
      <c r="D29" s="363">
        <f t="shared" si="0"/>
        <v>36.059502125075895</v>
      </c>
    </row>
    <row r="30" spans="1:4" x14ac:dyDescent="0.3">
      <c r="A30" s="325" t="s">
        <v>222</v>
      </c>
      <c r="B30" s="19">
        <v>4358</v>
      </c>
      <c r="C30" s="19">
        <v>12068</v>
      </c>
      <c r="D30" s="363">
        <f t="shared" si="0"/>
        <v>36.112031819688433</v>
      </c>
    </row>
    <row r="31" spans="1:4" x14ac:dyDescent="0.3">
      <c r="A31" s="325" t="s">
        <v>1157</v>
      </c>
      <c r="B31" s="19">
        <v>7390</v>
      </c>
      <c r="C31" s="19">
        <v>20436</v>
      </c>
      <c r="D31" s="363">
        <f t="shared" si="0"/>
        <v>36.161675474652569</v>
      </c>
    </row>
    <row r="32" spans="1:4" x14ac:dyDescent="0.3">
      <c r="A32" s="325" t="s">
        <v>214</v>
      </c>
      <c r="B32" s="19">
        <v>5194</v>
      </c>
      <c r="C32" s="19">
        <v>14353</v>
      </c>
      <c r="D32" s="363">
        <f t="shared" si="0"/>
        <v>36.187556608374557</v>
      </c>
    </row>
    <row r="33" spans="1:4" x14ac:dyDescent="0.3">
      <c r="A33" s="325" t="s">
        <v>1129</v>
      </c>
      <c r="B33" s="19">
        <v>6289</v>
      </c>
      <c r="C33" s="19">
        <v>17366</v>
      </c>
      <c r="D33" s="363">
        <f t="shared" si="0"/>
        <v>36.214442013129108</v>
      </c>
    </row>
    <row r="34" spans="1:4" x14ac:dyDescent="0.3">
      <c r="A34" s="325" t="s">
        <v>1115</v>
      </c>
      <c r="B34" s="19">
        <v>5978</v>
      </c>
      <c r="C34" s="19">
        <v>16504</v>
      </c>
      <c r="D34" s="363">
        <f t="shared" si="0"/>
        <v>36.221522055259328</v>
      </c>
    </row>
    <row r="35" spans="1:4" x14ac:dyDescent="0.3">
      <c r="A35" s="325" t="s">
        <v>1094</v>
      </c>
      <c r="B35" s="19">
        <v>8163</v>
      </c>
      <c r="C35" s="19">
        <v>22501</v>
      </c>
      <c r="D35" s="363">
        <f t="shared" si="0"/>
        <v>36.278387627216567</v>
      </c>
    </row>
    <row r="36" spans="1:4" x14ac:dyDescent="0.3">
      <c r="A36" s="325" t="s">
        <v>1155</v>
      </c>
      <c r="B36" s="19">
        <v>8030</v>
      </c>
      <c r="C36" s="19">
        <v>22076</v>
      </c>
      <c r="D36" s="363">
        <f t="shared" si="0"/>
        <v>36.374343178111978</v>
      </c>
    </row>
    <row r="37" spans="1:4" x14ac:dyDescent="0.3">
      <c r="A37" s="325" t="s">
        <v>440</v>
      </c>
      <c r="B37" s="19">
        <v>7453</v>
      </c>
      <c r="C37" s="19">
        <v>20415</v>
      </c>
      <c r="D37" s="363">
        <f t="shared" si="0"/>
        <v>36.507469997550821</v>
      </c>
    </row>
    <row r="38" spans="1:4" x14ac:dyDescent="0.3">
      <c r="A38" s="325" t="s">
        <v>768</v>
      </c>
      <c r="B38" s="19">
        <v>5222</v>
      </c>
      <c r="C38" s="19">
        <v>14277</v>
      </c>
      <c r="D38" s="363">
        <f t="shared" ref="D38:D69" si="1">+B38/C38*100</f>
        <v>36.576311550045524</v>
      </c>
    </row>
    <row r="39" spans="1:4" x14ac:dyDescent="0.3">
      <c r="A39" s="325" t="s">
        <v>1153</v>
      </c>
      <c r="B39" s="19">
        <v>8096</v>
      </c>
      <c r="C39" s="19">
        <v>21984</v>
      </c>
      <c r="D39" s="363">
        <f t="shared" si="1"/>
        <v>36.826783114992722</v>
      </c>
    </row>
    <row r="40" spans="1:4" x14ac:dyDescent="0.3">
      <c r="A40" s="325" t="s">
        <v>124</v>
      </c>
      <c r="B40" s="19">
        <v>7773</v>
      </c>
      <c r="C40" s="19">
        <v>21086</v>
      </c>
      <c r="D40" s="363">
        <f t="shared" si="1"/>
        <v>36.863321635208194</v>
      </c>
    </row>
    <row r="41" spans="1:4" x14ac:dyDescent="0.3">
      <c r="A41" s="325" t="s">
        <v>220</v>
      </c>
      <c r="B41" s="19">
        <v>6277</v>
      </c>
      <c r="C41" s="19">
        <v>17002</v>
      </c>
      <c r="D41" s="363">
        <f t="shared" si="1"/>
        <v>36.919185978120225</v>
      </c>
    </row>
    <row r="42" spans="1:4" x14ac:dyDescent="0.3">
      <c r="A42" s="325" t="s">
        <v>187</v>
      </c>
      <c r="B42" s="19">
        <v>3152</v>
      </c>
      <c r="C42" s="19">
        <v>8535</v>
      </c>
      <c r="D42" s="363">
        <f t="shared" si="1"/>
        <v>36.930287053309904</v>
      </c>
    </row>
    <row r="43" spans="1:4" x14ac:dyDescent="0.3">
      <c r="A43" s="325" t="s">
        <v>192</v>
      </c>
      <c r="B43" s="19">
        <v>5449</v>
      </c>
      <c r="C43" s="19">
        <v>14751</v>
      </c>
      <c r="D43" s="363">
        <f t="shared" si="1"/>
        <v>36.939868483492646</v>
      </c>
    </row>
    <row r="44" spans="1:4" x14ac:dyDescent="0.3">
      <c r="A44" s="325" t="s">
        <v>1152</v>
      </c>
      <c r="B44" s="19">
        <v>5239</v>
      </c>
      <c r="C44" s="19">
        <v>14162</v>
      </c>
      <c r="D44" s="363">
        <f t="shared" si="1"/>
        <v>36.993362519418163</v>
      </c>
    </row>
    <row r="45" spans="1:4" x14ac:dyDescent="0.3">
      <c r="A45" s="325" t="s">
        <v>1130</v>
      </c>
      <c r="B45" s="19">
        <v>5099</v>
      </c>
      <c r="C45" s="19">
        <v>13778</v>
      </c>
      <c r="D45" s="363">
        <f t="shared" si="1"/>
        <v>37.0082740600958</v>
      </c>
    </row>
    <row r="46" spans="1:4" x14ac:dyDescent="0.3">
      <c r="A46" s="325" t="s">
        <v>209</v>
      </c>
      <c r="B46" s="19">
        <v>5368</v>
      </c>
      <c r="C46" s="19">
        <v>14454</v>
      </c>
      <c r="D46" s="363">
        <f t="shared" si="1"/>
        <v>37.138508371385079</v>
      </c>
    </row>
    <row r="47" spans="1:4" x14ac:dyDescent="0.3">
      <c r="A47" s="325" t="s">
        <v>1141</v>
      </c>
      <c r="B47" s="19">
        <v>6308</v>
      </c>
      <c r="C47" s="19">
        <v>16947</v>
      </c>
      <c r="D47" s="363">
        <f t="shared" si="1"/>
        <v>37.22192718475246</v>
      </c>
    </row>
    <row r="48" spans="1:4" x14ac:dyDescent="0.3">
      <c r="A48" s="325" t="s">
        <v>1118</v>
      </c>
      <c r="B48" s="19">
        <v>9478</v>
      </c>
      <c r="C48" s="19">
        <v>25421</v>
      </c>
      <c r="D48" s="363">
        <f t="shared" si="1"/>
        <v>37.284135163840922</v>
      </c>
    </row>
    <row r="49" spans="1:4" x14ac:dyDescent="0.3">
      <c r="A49" s="325" t="s">
        <v>125</v>
      </c>
      <c r="B49" s="19">
        <v>8529</v>
      </c>
      <c r="C49" s="19">
        <v>22848</v>
      </c>
      <c r="D49" s="363">
        <f t="shared" si="1"/>
        <v>37.329306722689076</v>
      </c>
    </row>
    <row r="50" spans="1:4" x14ac:dyDescent="0.3">
      <c r="A50" s="325" t="s">
        <v>138</v>
      </c>
      <c r="B50" s="19">
        <v>6648</v>
      </c>
      <c r="C50" s="19">
        <v>17804</v>
      </c>
      <c r="D50" s="363">
        <f t="shared" si="1"/>
        <v>37.339923612671313</v>
      </c>
    </row>
    <row r="51" spans="1:4" x14ac:dyDescent="0.3">
      <c r="A51" s="325" t="s">
        <v>212</v>
      </c>
      <c r="B51" s="19">
        <v>6674</v>
      </c>
      <c r="C51" s="19">
        <v>17853</v>
      </c>
      <c r="D51" s="363">
        <f t="shared" si="1"/>
        <v>37.383072872906517</v>
      </c>
    </row>
    <row r="52" spans="1:4" x14ac:dyDescent="0.3">
      <c r="A52" s="325" t="s">
        <v>1095</v>
      </c>
      <c r="B52" s="19">
        <v>5538</v>
      </c>
      <c r="C52" s="19">
        <v>14802</v>
      </c>
      <c r="D52" s="363">
        <f t="shared" si="1"/>
        <v>37.413862991487633</v>
      </c>
    </row>
    <row r="53" spans="1:4" x14ac:dyDescent="0.3">
      <c r="A53" s="325" t="s">
        <v>1140</v>
      </c>
      <c r="B53" s="19">
        <v>5272</v>
      </c>
      <c r="C53" s="19">
        <v>14049</v>
      </c>
      <c r="D53" s="363">
        <f t="shared" si="1"/>
        <v>37.525802548224071</v>
      </c>
    </row>
    <row r="54" spans="1:4" x14ac:dyDescent="0.3">
      <c r="A54" s="325" t="s">
        <v>302</v>
      </c>
      <c r="B54" s="19">
        <v>4188</v>
      </c>
      <c r="C54" s="19">
        <v>11154</v>
      </c>
      <c r="D54" s="363">
        <f t="shared" si="1"/>
        <v>37.547068316299089</v>
      </c>
    </row>
    <row r="55" spans="1:4" x14ac:dyDescent="0.3">
      <c r="A55" s="325" t="s">
        <v>1148</v>
      </c>
      <c r="B55" s="19">
        <v>7328</v>
      </c>
      <c r="C55" s="19">
        <v>19482</v>
      </c>
      <c r="D55" s="363">
        <f t="shared" si="1"/>
        <v>37.614207986859668</v>
      </c>
    </row>
    <row r="56" spans="1:4" x14ac:dyDescent="0.3">
      <c r="A56" s="325" t="s">
        <v>1133</v>
      </c>
      <c r="B56" s="19">
        <v>8398</v>
      </c>
      <c r="C56" s="19">
        <v>22322</v>
      </c>
      <c r="D56" s="363">
        <f t="shared" si="1"/>
        <v>37.622076874832004</v>
      </c>
    </row>
    <row r="57" spans="1:4" x14ac:dyDescent="0.3">
      <c r="A57" s="325" t="s">
        <v>195</v>
      </c>
      <c r="B57" s="19">
        <v>5123</v>
      </c>
      <c r="C57" s="19">
        <v>13563</v>
      </c>
      <c r="D57" s="363">
        <f t="shared" si="1"/>
        <v>37.77187937771879</v>
      </c>
    </row>
    <row r="58" spans="1:4" x14ac:dyDescent="0.3">
      <c r="A58" s="325" t="s">
        <v>1135</v>
      </c>
      <c r="B58" s="19">
        <v>7258</v>
      </c>
      <c r="C58" s="19">
        <v>19185</v>
      </c>
      <c r="D58" s="363">
        <f t="shared" si="1"/>
        <v>37.831639301537663</v>
      </c>
    </row>
    <row r="59" spans="1:4" x14ac:dyDescent="0.3">
      <c r="A59" s="325" t="s">
        <v>123</v>
      </c>
      <c r="B59" s="19">
        <v>5602</v>
      </c>
      <c r="C59" s="19">
        <v>14706</v>
      </c>
      <c r="D59" s="363">
        <f t="shared" si="1"/>
        <v>38.093295253637969</v>
      </c>
    </row>
    <row r="60" spans="1:4" x14ac:dyDescent="0.3">
      <c r="A60" s="325" t="s">
        <v>178</v>
      </c>
      <c r="B60" s="19">
        <v>6403</v>
      </c>
      <c r="C60" s="19">
        <v>16808</v>
      </c>
      <c r="D60" s="363">
        <f t="shared" si="1"/>
        <v>38.094954783436457</v>
      </c>
    </row>
    <row r="61" spans="1:4" x14ac:dyDescent="0.3">
      <c r="A61" s="325" t="s">
        <v>1116</v>
      </c>
      <c r="B61" s="19">
        <v>8114</v>
      </c>
      <c r="C61" s="19">
        <v>21286</v>
      </c>
      <c r="D61" s="363">
        <f t="shared" si="1"/>
        <v>38.118951423470826</v>
      </c>
    </row>
    <row r="62" spans="1:4" x14ac:dyDescent="0.3">
      <c r="A62" s="325" t="s">
        <v>1096</v>
      </c>
      <c r="B62" s="19">
        <v>5124</v>
      </c>
      <c r="C62" s="19">
        <v>13423</v>
      </c>
      <c r="D62" s="363">
        <f t="shared" si="1"/>
        <v>38.173284660657082</v>
      </c>
    </row>
    <row r="63" spans="1:4" x14ac:dyDescent="0.3">
      <c r="A63" s="325" t="s">
        <v>126</v>
      </c>
      <c r="B63" s="19">
        <v>6407</v>
      </c>
      <c r="C63" s="19">
        <v>16749</v>
      </c>
      <c r="D63" s="363">
        <f t="shared" si="1"/>
        <v>38.253030031643682</v>
      </c>
    </row>
    <row r="64" spans="1:4" x14ac:dyDescent="0.3">
      <c r="A64" s="325" t="s">
        <v>433</v>
      </c>
      <c r="B64" s="19">
        <v>7345</v>
      </c>
      <c r="C64" s="19">
        <v>19186</v>
      </c>
      <c r="D64" s="363">
        <f t="shared" si="1"/>
        <v>38.28312311060148</v>
      </c>
    </row>
    <row r="65" spans="1:4" x14ac:dyDescent="0.3">
      <c r="A65" s="325" t="s">
        <v>140</v>
      </c>
      <c r="B65" s="19">
        <v>4263</v>
      </c>
      <c r="C65" s="19">
        <v>11125</v>
      </c>
      <c r="D65" s="363">
        <f t="shared" si="1"/>
        <v>38.319101123595509</v>
      </c>
    </row>
    <row r="66" spans="1:4" x14ac:dyDescent="0.3">
      <c r="A66" s="325" t="s">
        <v>259</v>
      </c>
      <c r="B66" s="19">
        <v>7140</v>
      </c>
      <c r="C66" s="19">
        <v>18525</v>
      </c>
      <c r="D66" s="363">
        <f t="shared" si="1"/>
        <v>38.542510121457489</v>
      </c>
    </row>
    <row r="67" spans="1:4" x14ac:dyDescent="0.3">
      <c r="A67" s="325" t="s">
        <v>130</v>
      </c>
      <c r="B67" s="19">
        <v>6815</v>
      </c>
      <c r="C67" s="19">
        <v>17667</v>
      </c>
      <c r="D67" s="363">
        <f t="shared" si="1"/>
        <v>38.574743872757118</v>
      </c>
    </row>
    <row r="68" spans="1:4" x14ac:dyDescent="0.3">
      <c r="A68" s="325" t="s">
        <v>1142</v>
      </c>
      <c r="B68" s="19">
        <v>5143</v>
      </c>
      <c r="C68" s="19">
        <v>13317</v>
      </c>
      <c r="D68" s="363">
        <f t="shared" si="1"/>
        <v>38.619809266351282</v>
      </c>
    </row>
    <row r="69" spans="1:4" x14ac:dyDescent="0.3">
      <c r="A69" s="325" t="s">
        <v>191</v>
      </c>
      <c r="B69" s="19">
        <v>5627</v>
      </c>
      <c r="C69" s="19">
        <v>14536</v>
      </c>
      <c r="D69" s="363">
        <f t="shared" si="1"/>
        <v>38.710787011557514</v>
      </c>
    </row>
    <row r="70" spans="1:4" x14ac:dyDescent="0.3">
      <c r="A70" s="325" t="s">
        <v>1136</v>
      </c>
      <c r="B70" s="19">
        <v>6420</v>
      </c>
      <c r="C70" s="19">
        <v>16560</v>
      </c>
      <c r="D70" s="363">
        <f t="shared" ref="D70:D101" si="2">+B70/C70*100</f>
        <v>38.768115942028984</v>
      </c>
    </row>
    <row r="71" spans="1:4" x14ac:dyDescent="0.3">
      <c r="A71" s="325" t="s">
        <v>128</v>
      </c>
      <c r="B71" s="19">
        <v>6588</v>
      </c>
      <c r="C71" s="19">
        <v>16985</v>
      </c>
      <c r="D71" s="363">
        <f t="shared" si="2"/>
        <v>38.787165145716806</v>
      </c>
    </row>
    <row r="72" spans="1:4" x14ac:dyDescent="0.3">
      <c r="A72" s="325" t="s">
        <v>132</v>
      </c>
      <c r="B72" s="19">
        <v>3320</v>
      </c>
      <c r="C72" s="19">
        <v>8557</v>
      </c>
      <c r="D72" s="363">
        <f t="shared" si="2"/>
        <v>38.798644384714272</v>
      </c>
    </row>
    <row r="73" spans="1:4" x14ac:dyDescent="0.3">
      <c r="A73" s="325" t="s">
        <v>131</v>
      </c>
      <c r="B73" s="19">
        <v>3870</v>
      </c>
      <c r="C73" s="19">
        <v>9970</v>
      </c>
      <c r="D73" s="363">
        <f t="shared" si="2"/>
        <v>38.816449348044131</v>
      </c>
    </row>
    <row r="74" spans="1:4" x14ac:dyDescent="0.3">
      <c r="A74" s="325" t="s">
        <v>255</v>
      </c>
      <c r="B74" s="19">
        <v>6507</v>
      </c>
      <c r="C74" s="19">
        <v>16745</v>
      </c>
      <c r="D74" s="363">
        <f t="shared" si="2"/>
        <v>38.859361003284562</v>
      </c>
    </row>
    <row r="75" spans="1:4" x14ac:dyDescent="0.3">
      <c r="A75" s="325" t="s">
        <v>1150</v>
      </c>
      <c r="B75" s="19">
        <v>6581</v>
      </c>
      <c r="C75" s="19">
        <v>16879</v>
      </c>
      <c r="D75" s="363">
        <f t="shared" si="2"/>
        <v>38.989276615913262</v>
      </c>
    </row>
    <row r="76" spans="1:4" x14ac:dyDescent="0.3">
      <c r="A76" s="325" t="s">
        <v>193</v>
      </c>
      <c r="B76" s="19">
        <v>6049</v>
      </c>
      <c r="C76" s="19">
        <v>15498</v>
      </c>
      <c r="D76" s="363">
        <f t="shared" si="2"/>
        <v>39.030842689379277</v>
      </c>
    </row>
    <row r="77" spans="1:4" x14ac:dyDescent="0.3">
      <c r="A77" s="325" t="s">
        <v>111</v>
      </c>
      <c r="B77" s="19">
        <v>6443</v>
      </c>
      <c r="C77" s="19">
        <v>16502</v>
      </c>
      <c r="D77" s="363">
        <f t="shared" si="2"/>
        <v>39.043752272451826</v>
      </c>
    </row>
    <row r="78" spans="1:4" x14ac:dyDescent="0.3">
      <c r="A78" s="325" t="s">
        <v>115</v>
      </c>
      <c r="B78" s="19">
        <v>6062</v>
      </c>
      <c r="C78" s="19">
        <v>15458</v>
      </c>
      <c r="D78" s="363">
        <f t="shared" si="2"/>
        <v>39.215939966360459</v>
      </c>
    </row>
    <row r="79" spans="1:4" x14ac:dyDescent="0.3">
      <c r="A79" s="325" t="s">
        <v>134</v>
      </c>
      <c r="B79" s="19">
        <v>4360</v>
      </c>
      <c r="C79" s="19">
        <v>11103</v>
      </c>
      <c r="D79" s="363">
        <f t="shared" si="2"/>
        <v>39.26866612627218</v>
      </c>
    </row>
    <row r="80" spans="1:4" x14ac:dyDescent="0.3">
      <c r="A80" s="325" t="s">
        <v>251</v>
      </c>
      <c r="B80" s="19">
        <v>6403</v>
      </c>
      <c r="C80" s="19">
        <v>16305</v>
      </c>
      <c r="D80" s="363">
        <f t="shared" si="2"/>
        <v>39.270162526832259</v>
      </c>
    </row>
    <row r="81" spans="1:4" x14ac:dyDescent="0.3">
      <c r="A81" s="325" t="s">
        <v>121</v>
      </c>
      <c r="B81" s="19">
        <v>9038</v>
      </c>
      <c r="C81" s="19">
        <v>22855</v>
      </c>
      <c r="D81" s="363">
        <f t="shared" si="2"/>
        <v>39.544957339750603</v>
      </c>
    </row>
    <row r="82" spans="1:4" x14ac:dyDescent="0.3">
      <c r="A82" s="325" t="s">
        <v>305</v>
      </c>
      <c r="B82" s="19">
        <v>6687</v>
      </c>
      <c r="C82" s="19">
        <v>16884</v>
      </c>
      <c r="D82" s="363">
        <f t="shared" si="2"/>
        <v>39.605543710021323</v>
      </c>
    </row>
    <row r="83" spans="1:4" x14ac:dyDescent="0.3">
      <c r="A83" s="325" t="s">
        <v>112</v>
      </c>
      <c r="B83" s="19">
        <v>6728</v>
      </c>
      <c r="C83" s="19">
        <v>16963</v>
      </c>
      <c r="D83" s="363">
        <f t="shared" si="2"/>
        <v>39.662795496079703</v>
      </c>
    </row>
    <row r="84" spans="1:4" x14ac:dyDescent="0.3">
      <c r="A84" s="325" t="s">
        <v>189</v>
      </c>
      <c r="B84" s="19">
        <v>6648</v>
      </c>
      <c r="C84" s="19">
        <v>16755</v>
      </c>
      <c r="D84" s="363">
        <f t="shared" si="2"/>
        <v>39.677708146821843</v>
      </c>
    </row>
    <row r="85" spans="1:4" x14ac:dyDescent="0.3">
      <c r="A85" s="325" t="s">
        <v>135</v>
      </c>
      <c r="B85" s="19">
        <v>7698</v>
      </c>
      <c r="C85" s="19">
        <v>19385</v>
      </c>
      <c r="D85" s="363">
        <f t="shared" si="2"/>
        <v>39.711116842919786</v>
      </c>
    </row>
    <row r="86" spans="1:4" x14ac:dyDescent="0.3">
      <c r="A86" s="325" t="s">
        <v>122</v>
      </c>
      <c r="B86" s="19">
        <v>6453</v>
      </c>
      <c r="C86" s="19">
        <v>16219</v>
      </c>
      <c r="D86" s="363">
        <f t="shared" si="2"/>
        <v>39.786669954991062</v>
      </c>
    </row>
    <row r="87" spans="1:4" x14ac:dyDescent="0.3">
      <c r="A87" s="325" t="s">
        <v>216</v>
      </c>
      <c r="B87" s="19">
        <v>4565</v>
      </c>
      <c r="C87" s="19">
        <v>11460</v>
      </c>
      <c r="D87" s="363">
        <f t="shared" si="2"/>
        <v>39.834205933682377</v>
      </c>
    </row>
    <row r="88" spans="1:4" x14ac:dyDescent="0.3">
      <c r="A88" s="325" t="s">
        <v>1092</v>
      </c>
      <c r="B88" s="19">
        <v>7914</v>
      </c>
      <c r="C88" s="19">
        <v>19833</v>
      </c>
      <c r="D88" s="363">
        <f t="shared" si="2"/>
        <v>39.903191650279837</v>
      </c>
    </row>
    <row r="89" spans="1:4" x14ac:dyDescent="0.3">
      <c r="A89" s="325" t="s">
        <v>119</v>
      </c>
      <c r="B89" s="19">
        <v>7038</v>
      </c>
      <c r="C89" s="19">
        <v>17633</v>
      </c>
      <c r="D89" s="363">
        <f t="shared" si="2"/>
        <v>39.91379799240061</v>
      </c>
    </row>
    <row r="90" spans="1:4" x14ac:dyDescent="0.3">
      <c r="A90" s="325" t="s">
        <v>1137</v>
      </c>
      <c r="B90" s="19">
        <v>5797</v>
      </c>
      <c r="C90" s="19">
        <v>14494</v>
      </c>
      <c r="D90" s="363">
        <f t="shared" si="2"/>
        <v>39.995860356009381</v>
      </c>
    </row>
    <row r="91" spans="1:4" x14ac:dyDescent="0.3">
      <c r="A91" s="325" t="s">
        <v>116</v>
      </c>
      <c r="B91" s="19">
        <v>4431</v>
      </c>
      <c r="C91" s="19">
        <v>11014</v>
      </c>
      <c r="D91" s="363">
        <f t="shared" si="2"/>
        <v>40.230615580170692</v>
      </c>
    </row>
    <row r="92" spans="1:4" x14ac:dyDescent="0.3">
      <c r="A92" s="325" t="s">
        <v>109</v>
      </c>
      <c r="B92" s="19">
        <v>5766</v>
      </c>
      <c r="C92" s="19">
        <v>14310</v>
      </c>
      <c r="D92" s="363">
        <f t="shared" si="2"/>
        <v>40.293501048218026</v>
      </c>
    </row>
    <row r="93" spans="1:4" x14ac:dyDescent="0.3">
      <c r="A93" s="325" t="s">
        <v>129</v>
      </c>
      <c r="B93" s="19">
        <v>4802</v>
      </c>
      <c r="C93" s="19">
        <v>11895</v>
      </c>
      <c r="D93" s="363">
        <f t="shared" si="2"/>
        <v>40.369903320722997</v>
      </c>
    </row>
    <row r="94" spans="1:4" x14ac:dyDescent="0.3">
      <c r="A94" s="325" t="s">
        <v>133</v>
      </c>
      <c r="B94" s="19">
        <v>4588</v>
      </c>
      <c r="C94" s="19">
        <v>11334</v>
      </c>
      <c r="D94" s="363">
        <f t="shared" si="2"/>
        <v>40.479971766366688</v>
      </c>
    </row>
    <row r="95" spans="1:4" x14ac:dyDescent="0.3">
      <c r="A95" s="325" t="s">
        <v>139</v>
      </c>
      <c r="B95" s="19">
        <v>3752</v>
      </c>
      <c r="C95" s="19">
        <v>9256</v>
      </c>
      <c r="D95" s="363">
        <f t="shared" si="2"/>
        <v>40.535868625756265</v>
      </c>
    </row>
    <row r="96" spans="1:4" x14ac:dyDescent="0.3">
      <c r="A96" s="325" t="s">
        <v>137</v>
      </c>
      <c r="B96" s="19">
        <v>5651</v>
      </c>
      <c r="C96" s="19">
        <v>13842</v>
      </c>
      <c r="D96" s="363">
        <f t="shared" si="2"/>
        <v>40.825025285363388</v>
      </c>
    </row>
    <row r="97" spans="1:4" x14ac:dyDescent="0.3">
      <c r="A97" s="325" t="s">
        <v>218</v>
      </c>
      <c r="B97" s="19">
        <v>5981</v>
      </c>
      <c r="C97" s="19">
        <v>14627</v>
      </c>
      <c r="D97" s="363">
        <f t="shared" si="2"/>
        <v>40.890134682436589</v>
      </c>
    </row>
    <row r="98" spans="1:4" x14ac:dyDescent="0.3">
      <c r="A98" s="325" t="s">
        <v>1158</v>
      </c>
      <c r="B98" s="19">
        <v>6840</v>
      </c>
      <c r="C98" s="19">
        <v>16717</v>
      </c>
      <c r="D98" s="363">
        <f t="shared" si="2"/>
        <v>40.916432374229828</v>
      </c>
    </row>
    <row r="99" spans="1:4" x14ac:dyDescent="0.3">
      <c r="A99" s="325" t="s">
        <v>1138</v>
      </c>
      <c r="B99" s="19">
        <v>7255</v>
      </c>
      <c r="C99" s="19">
        <v>17607</v>
      </c>
      <c r="D99" s="363">
        <f t="shared" si="2"/>
        <v>41.205202476287837</v>
      </c>
    </row>
    <row r="100" spans="1:4" x14ac:dyDescent="0.3">
      <c r="A100" s="325" t="s">
        <v>180</v>
      </c>
      <c r="B100" s="19">
        <v>3630</v>
      </c>
      <c r="C100" s="19">
        <v>8732</v>
      </c>
      <c r="D100" s="363">
        <f t="shared" si="2"/>
        <v>41.571232249198353</v>
      </c>
    </row>
    <row r="101" spans="1:4" x14ac:dyDescent="0.3">
      <c r="A101" s="325" t="s">
        <v>120</v>
      </c>
      <c r="B101" s="19">
        <v>5842</v>
      </c>
      <c r="C101" s="19">
        <v>13972</v>
      </c>
      <c r="D101" s="363">
        <f t="shared" si="2"/>
        <v>41.812195820211848</v>
      </c>
    </row>
    <row r="102" spans="1:4" x14ac:dyDescent="0.3">
      <c r="A102" s="325" t="s">
        <v>250</v>
      </c>
      <c r="B102" s="19">
        <v>6405</v>
      </c>
      <c r="C102" s="19">
        <v>15129</v>
      </c>
      <c r="D102" s="363">
        <f t="shared" ref="D102" si="3">+B102/C102*100</f>
        <v>42.335911163989685</v>
      </c>
    </row>
    <row r="103" spans="1:4" x14ac:dyDescent="0.3">
      <c r="A103" s="325" t="s">
        <v>184</v>
      </c>
      <c r="B103" s="19"/>
      <c r="C103" s="19"/>
      <c r="D103" s="363"/>
    </row>
    <row r="104" spans="1:4" ht="15" thickBot="1" x14ac:dyDescent="0.35">
      <c r="A104" s="364" t="s">
        <v>110</v>
      </c>
      <c r="B104" s="46"/>
      <c r="C104" s="46"/>
      <c r="D104" s="365"/>
    </row>
    <row r="105" spans="1:4" ht="15" thickBot="1" x14ac:dyDescent="0.35">
      <c r="A105" s="346" t="s">
        <v>1122</v>
      </c>
      <c r="B105" s="373">
        <f>SUM(B6:B104)</f>
        <v>611270</v>
      </c>
      <c r="C105" s="373">
        <f>SUM(C6:C104)</f>
        <v>1633279</v>
      </c>
      <c r="D105" s="366">
        <f>+B105/C105*100</f>
        <v>37.425938862864214</v>
      </c>
    </row>
  </sheetData>
  <autoFilter ref="A5:D105" xr:uid="{00000000-0009-0000-0000-000002000000}">
    <sortState xmlns:xlrd2="http://schemas.microsoft.com/office/spreadsheetml/2017/richdata2" ref="A6:D105">
      <sortCondition ref="D5:D105"/>
    </sortState>
  </autoFilter>
  <mergeCells count="1">
    <mergeCell ref="A1:G2"/>
  </mergeCells>
  <conditionalFormatting sqref="D6:D10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5"/>
  <sheetViews>
    <sheetView topLeftCell="A94" workbookViewId="0">
      <selection activeCell="D105" sqref="D105"/>
    </sheetView>
  </sheetViews>
  <sheetFormatPr baseColWidth="10" defaultRowHeight="14.4" x14ac:dyDescent="0.3"/>
  <cols>
    <col min="1" max="1" width="12.33203125" customWidth="1"/>
  </cols>
  <sheetData>
    <row r="1" spans="1:7" x14ac:dyDescent="0.3">
      <c r="A1" s="441" t="s">
        <v>1177</v>
      </c>
      <c r="B1" s="442"/>
      <c r="C1" s="442"/>
      <c r="D1" s="442"/>
      <c r="E1" s="442"/>
      <c r="F1" s="442"/>
      <c r="G1" s="443"/>
    </row>
    <row r="2" spans="1:7" ht="15" thickBot="1" x14ac:dyDescent="0.35">
      <c r="A2" s="444"/>
      <c r="B2" s="445"/>
      <c r="C2" s="445"/>
      <c r="D2" s="445"/>
      <c r="E2" s="445"/>
      <c r="F2" s="445"/>
      <c r="G2" s="446"/>
    </row>
    <row r="4" spans="1:7" ht="15" thickBot="1" x14ac:dyDescent="0.35"/>
    <row r="5" spans="1:7" x14ac:dyDescent="0.3">
      <c r="A5" s="360" t="s">
        <v>1123</v>
      </c>
      <c r="B5" s="361" t="s">
        <v>1171</v>
      </c>
      <c r="C5" s="361" t="s">
        <v>1132</v>
      </c>
      <c r="D5" s="362" t="s">
        <v>1125</v>
      </c>
    </row>
    <row r="6" spans="1:7" x14ac:dyDescent="0.3">
      <c r="A6" s="325" t="s">
        <v>1092</v>
      </c>
      <c r="B6" s="19">
        <v>5659.05</v>
      </c>
      <c r="C6" s="19">
        <v>14296</v>
      </c>
      <c r="D6" s="363">
        <f t="shared" ref="D6:D37" si="0">+B6/C6*100</f>
        <v>39.584848908785673</v>
      </c>
    </row>
    <row r="7" spans="1:7" x14ac:dyDescent="0.3">
      <c r="A7" s="325" t="s">
        <v>1158</v>
      </c>
      <c r="B7" s="19">
        <v>3442</v>
      </c>
      <c r="C7" s="19">
        <v>8440</v>
      </c>
      <c r="D7" s="363">
        <f t="shared" si="0"/>
        <v>40.781990521327018</v>
      </c>
    </row>
    <row r="8" spans="1:7" x14ac:dyDescent="0.3">
      <c r="A8" s="325" t="s">
        <v>178</v>
      </c>
      <c r="B8" s="19">
        <v>5907.22</v>
      </c>
      <c r="C8" s="19">
        <v>14996</v>
      </c>
      <c r="D8" s="363">
        <f t="shared" si="0"/>
        <v>39.391971192317953</v>
      </c>
    </row>
    <row r="9" spans="1:7" x14ac:dyDescent="0.3">
      <c r="A9" s="325" t="s">
        <v>302</v>
      </c>
      <c r="B9" s="19">
        <v>8499.77</v>
      </c>
      <c r="C9" s="19">
        <v>22063</v>
      </c>
      <c r="D9" s="363">
        <f t="shared" si="0"/>
        <v>38.524996600643611</v>
      </c>
    </row>
    <row r="10" spans="1:7" x14ac:dyDescent="0.3">
      <c r="A10" s="325" t="s">
        <v>180</v>
      </c>
      <c r="B10" s="19">
        <v>5929</v>
      </c>
      <c r="C10" s="19">
        <v>14197</v>
      </c>
      <c r="D10" s="363">
        <f t="shared" si="0"/>
        <v>41.762344157216312</v>
      </c>
    </row>
    <row r="11" spans="1:7" x14ac:dyDescent="0.3">
      <c r="A11" s="325" t="s">
        <v>184</v>
      </c>
      <c r="B11" s="19">
        <v>2271</v>
      </c>
      <c r="C11" s="19">
        <v>5894</v>
      </c>
      <c r="D11" s="363">
        <f t="shared" si="0"/>
        <v>38.530709195792326</v>
      </c>
    </row>
    <row r="12" spans="1:7" x14ac:dyDescent="0.3">
      <c r="A12" s="325" t="s">
        <v>187</v>
      </c>
      <c r="B12" s="19">
        <v>8343.75</v>
      </c>
      <c r="C12" s="19">
        <v>22461</v>
      </c>
      <c r="D12" s="363">
        <f t="shared" si="0"/>
        <v>37.147722719380262</v>
      </c>
    </row>
    <row r="13" spans="1:7" x14ac:dyDescent="0.3">
      <c r="A13" s="325" t="s">
        <v>189</v>
      </c>
      <c r="B13" s="19">
        <v>5785.05</v>
      </c>
      <c r="C13" s="19">
        <v>14709</v>
      </c>
      <c r="D13" s="363">
        <f t="shared" si="0"/>
        <v>39.33000203956761</v>
      </c>
    </row>
    <row r="14" spans="1:7" x14ac:dyDescent="0.3">
      <c r="A14" s="325" t="s">
        <v>191</v>
      </c>
      <c r="B14" s="19">
        <v>6284.76</v>
      </c>
      <c r="C14" s="19">
        <v>16846</v>
      </c>
      <c r="D14" s="363">
        <f t="shared" si="0"/>
        <v>37.307135224979227</v>
      </c>
    </row>
    <row r="15" spans="1:7" x14ac:dyDescent="0.3">
      <c r="A15" s="325" t="s">
        <v>192</v>
      </c>
      <c r="B15" s="19">
        <v>3407.54</v>
      </c>
      <c r="C15" s="19">
        <v>8931</v>
      </c>
      <c r="D15" s="363">
        <f t="shared" si="0"/>
        <v>38.154070092934724</v>
      </c>
    </row>
    <row r="16" spans="1:7" x14ac:dyDescent="0.3">
      <c r="A16" s="325" t="s">
        <v>193</v>
      </c>
      <c r="B16" s="19">
        <v>7142.35</v>
      </c>
      <c r="C16" s="19">
        <v>18111</v>
      </c>
      <c r="D16" s="363">
        <f t="shared" si="0"/>
        <v>39.43653028546187</v>
      </c>
    </row>
    <row r="17" spans="1:4" x14ac:dyDescent="0.3">
      <c r="A17" s="325" t="s">
        <v>195</v>
      </c>
      <c r="B17" s="19">
        <v>7695.19</v>
      </c>
      <c r="C17" s="19">
        <v>18705</v>
      </c>
      <c r="D17" s="363">
        <f t="shared" si="0"/>
        <v>41.139748730286016</v>
      </c>
    </row>
    <row r="18" spans="1:4" x14ac:dyDescent="0.3">
      <c r="A18" s="325" t="s">
        <v>305</v>
      </c>
      <c r="B18" s="19">
        <v>2036</v>
      </c>
      <c r="C18" s="19">
        <v>4985</v>
      </c>
      <c r="D18" s="363">
        <f t="shared" si="0"/>
        <v>40.842527582748247</v>
      </c>
    </row>
    <row r="19" spans="1:4" x14ac:dyDescent="0.3">
      <c r="A19" s="325" t="s">
        <v>1143</v>
      </c>
      <c r="B19" s="19">
        <v>6149</v>
      </c>
      <c r="C19" s="19">
        <v>16624</v>
      </c>
      <c r="D19" s="363">
        <f t="shared" si="0"/>
        <v>36.988691049085659</v>
      </c>
    </row>
    <row r="20" spans="1:4" x14ac:dyDescent="0.3">
      <c r="A20" s="325" t="s">
        <v>209</v>
      </c>
      <c r="B20" s="19">
        <v>6786.42</v>
      </c>
      <c r="C20" s="19">
        <v>16842</v>
      </c>
      <c r="D20" s="363">
        <f t="shared" si="0"/>
        <v>40.294620591378703</v>
      </c>
    </row>
    <row r="21" spans="1:4" x14ac:dyDescent="0.3">
      <c r="A21" s="325" t="s">
        <v>212</v>
      </c>
      <c r="B21" s="19">
        <v>5480</v>
      </c>
      <c r="C21" s="19">
        <v>13718</v>
      </c>
      <c r="D21" s="363">
        <f t="shared" si="0"/>
        <v>39.947514214900131</v>
      </c>
    </row>
    <row r="22" spans="1:4" x14ac:dyDescent="0.3">
      <c r="A22" s="325" t="s">
        <v>214</v>
      </c>
      <c r="B22" s="19">
        <v>6567.23</v>
      </c>
      <c r="C22" s="19">
        <v>18055</v>
      </c>
      <c r="D22" s="363">
        <f t="shared" si="0"/>
        <v>36.373469952921624</v>
      </c>
    </row>
    <row r="23" spans="1:4" x14ac:dyDescent="0.3">
      <c r="A23" s="325" t="s">
        <v>216</v>
      </c>
      <c r="B23" s="19">
        <v>10036.74</v>
      </c>
      <c r="C23" s="19">
        <v>24958</v>
      </c>
      <c r="D23" s="363">
        <f t="shared" si="0"/>
        <v>40.214520394262358</v>
      </c>
    </row>
    <row r="24" spans="1:4" x14ac:dyDescent="0.3">
      <c r="A24" s="325" t="s">
        <v>218</v>
      </c>
      <c r="B24" s="19">
        <v>2482.3000000000002</v>
      </c>
      <c r="C24" s="19">
        <v>6320</v>
      </c>
      <c r="D24" s="363">
        <f t="shared" si="0"/>
        <v>39.276898734177216</v>
      </c>
    </row>
    <row r="25" spans="1:4" x14ac:dyDescent="0.3">
      <c r="A25" s="325" t="s">
        <v>220</v>
      </c>
      <c r="B25" s="19">
        <v>6610</v>
      </c>
      <c r="C25" s="19">
        <v>16763</v>
      </c>
      <c r="D25" s="363">
        <f t="shared" si="0"/>
        <v>39.432082562787087</v>
      </c>
    </row>
    <row r="26" spans="1:4" x14ac:dyDescent="0.3">
      <c r="A26" s="325" t="s">
        <v>222</v>
      </c>
      <c r="B26" s="19">
        <v>9731.86</v>
      </c>
      <c r="C26" s="19">
        <v>26186</v>
      </c>
      <c r="D26" s="363">
        <f t="shared" si="0"/>
        <v>37.164362636523336</v>
      </c>
    </row>
    <row r="27" spans="1:4" x14ac:dyDescent="0.3">
      <c r="A27" s="325" t="s">
        <v>438</v>
      </c>
      <c r="B27" s="19">
        <v>6722</v>
      </c>
      <c r="C27" s="19">
        <v>17630</v>
      </c>
      <c r="D27" s="363">
        <f t="shared" si="0"/>
        <v>38.128190584231426</v>
      </c>
    </row>
    <row r="28" spans="1:4" x14ac:dyDescent="0.3">
      <c r="A28" s="325" t="s">
        <v>1139</v>
      </c>
      <c r="B28" s="19">
        <v>5504.72</v>
      </c>
      <c r="C28" s="19">
        <v>14766</v>
      </c>
      <c r="D28" s="363">
        <f t="shared" si="0"/>
        <v>37.279696600297981</v>
      </c>
    </row>
    <row r="29" spans="1:4" x14ac:dyDescent="0.3">
      <c r="A29" s="325" t="s">
        <v>1136</v>
      </c>
      <c r="B29" s="19">
        <v>8755.93</v>
      </c>
      <c r="C29" s="19">
        <v>22693</v>
      </c>
      <c r="D29" s="363">
        <f t="shared" si="0"/>
        <v>38.584277089851497</v>
      </c>
    </row>
    <row r="30" spans="1:4" x14ac:dyDescent="0.3">
      <c r="A30" s="325" t="s">
        <v>1152</v>
      </c>
      <c r="B30" s="19">
        <v>5337.3</v>
      </c>
      <c r="C30" s="19">
        <v>13904</v>
      </c>
      <c r="D30" s="363">
        <f t="shared" si="0"/>
        <v>38.386795166858462</v>
      </c>
    </row>
    <row r="31" spans="1:4" x14ac:dyDescent="0.3">
      <c r="A31" s="325" t="s">
        <v>1137</v>
      </c>
      <c r="B31" s="19">
        <v>7717.91</v>
      </c>
      <c r="C31" s="19">
        <v>20205</v>
      </c>
      <c r="D31" s="363">
        <f t="shared" si="0"/>
        <v>38.19802029200693</v>
      </c>
    </row>
    <row r="32" spans="1:4" x14ac:dyDescent="0.3">
      <c r="A32" s="325" t="s">
        <v>1150</v>
      </c>
      <c r="B32" s="19">
        <v>5685</v>
      </c>
      <c r="C32" s="19">
        <v>13760</v>
      </c>
      <c r="D32" s="363">
        <f t="shared" si="0"/>
        <v>41.315406976744185</v>
      </c>
    </row>
    <row r="33" spans="1:4" x14ac:dyDescent="0.3">
      <c r="A33" s="325" t="s">
        <v>440</v>
      </c>
      <c r="B33" s="19">
        <v>4361</v>
      </c>
      <c r="C33" s="19">
        <v>11166</v>
      </c>
      <c r="D33" s="363">
        <f t="shared" si="0"/>
        <v>39.05606304854021</v>
      </c>
    </row>
    <row r="34" spans="1:4" x14ac:dyDescent="0.3">
      <c r="A34" s="325" t="s">
        <v>422</v>
      </c>
      <c r="B34" s="19">
        <v>4882</v>
      </c>
      <c r="C34" s="19">
        <v>13722</v>
      </c>
      <c r="D34" s="363">
        <f t="shared" si="0"/>
        <v>35.577904095612887</v>
      </c>
    </row>
    <row r="35" spans="1:4" x14ac:dyDescent="0.3">
      <c r="A35" s="325" t="s">
        <v>424</v>
      </c>
      <c r="B35" s="19">
        <v>6891.68</v>
      </c>
      <c r="C35" s="19">
        <v>19037</v>
      </c>
      <c r="D35" s="363">
        <f t="shared" si="0"/>
        <v>36.201502337553187</v>
      </c>
    </row>
    <row r="36" spans="1:4" x14ac:dyDescent="0.3">
      <c r="A36" s="325" t="s">
        <v>433</v>
      </c>
      <c r="B36" s="19">
        <v>5391.15</v>
      </c>
      <c r="C36" s="19">
        <v>13415</v>
      </c>
      <c r="D36" s="363">
        <f t="shared" si="0"/>
        <v>40.187476705180764</v>
      </c>
    </row>
    <row r="37" spans="1:4" x14ac:dyDescent="0.3">
      <c r="A37" s="325" t="s">
        <v>1141</v>
      </c>
      <c r="B37" s="19">
        <v>6380.58</v>
      </c>
      <c r="C37" s="19">
        <v>16799</v>
      </c>
      <c r="D37" s="363">
        <f t="shared" si="0"/>
        <v>37.981903684743138</v>
      </c>
    </row>
    <row r="38" spans="1:4" x14ac:dyDescent="0.3">
      <c r="A38" s="325" t="s">
        <v>1095</v>
      </c>
      <c r="B38" s="19">
        <v>8542</v>
      </c>
      <c r="C38" s="19">
        <v>22489</v>
      </c>
      <c r="D38" s="363">
        <f t="shared" ref="D38:D69" si="1">+B38/C38*100</f>
        <v>37.983013917915429</v>
      </c>
    </row>
    <row r="39" spans="1:4" x14ac:dyDescent="0.3">
      <c r="A39" s="325" t="s">
        <v>1094</v>
      </c>
      <c r="B39" s="19">
        <v>6409.17</v>
      </c>
      <c r="C39" s="19">
        <v>17140</v>
      </c>
      <c r="D39" s="363">
        <f t="shared" si="1"/>
        <v>37.393057176196031</v>
      </c>
    </row>
    <row r="40" spans="1:4" x14ac:dyDescent="0.3">
      <c r="A40" s="325" t="s">
        <v>427</v>
      </c>
      <c r="B40" s="19">
        <v>9216.06</v>
      </c>
      <c r="C40" s="19">
        <v>27095</v>
      </c>
      <c r="D40" s="363">
        <f t="shared" si="1"/>
        <v>34.013877099095772</v>
      </c>
    </row>
    <row r="41" spans="1:4" x14ac:dyDescent="0.3">
      <c r="A41" s="325" t="s">
        <v>1144</v>
      </c>
      <c r="B41" s="19">
        <v>6318.54</v>
      </c>
      <c r="C41" s="19">
        <v>18048</v>
      </c>
      <c r="D41" s="363">
        <f t="shared" si="1"/>
        <v>35.009640957446805</v>
      </c>
    </row>
    <row r="42" spans="1:4" x14ac:dyDescent="0.3">
      <c r="A42" s="325" t="s">
        <v>540</v>
      </c>
      <c r="B42" s="19">
        <v>6206.54</v>
      </c>
      <c r="C42" s="19">
        <v>16997</v>
      </c>
      <c r="D42" s="363">
        <f t="shared" si="1"/>
        <v>36.515502735776899</v>
      </c>
    </row>
    <row r="43" spans="1:4" x14ac:dyDescent="0.3">
      <c r="A43" s="325" t="s">
        <v>581</v>
      </c>
      <c r="B43" s="19">
        <v>8187.99</v>
      </c>
      <c r="C43" s="19">
        <v>24015</v>
      </c>
      <c r="D43" s="363">
        <f t="shared" si="1"/>
        <v>34.095315427857585</v>
      </c>
    </row>
    <row r="44" spans="1:4" x14ac:dyDescent="0.3">
      <c r="A44" s="325" t="s">
        <v>519</v>
      </c>
      <c r="B44" s="19">
        <v>5902.3</v>
      </c>
      <c r="C44" s="19">
        <v>17378</v>
      </c>
      <c r="D44" s="363">
        <f t="shared" si="1"/>
        <v>33.964207618828404</v>
      </c>
    </row>
    <row r="45" spans="1:4" x14ac:dyDescent="0.3">
      <c r="A45" s="325" t="s">
        <v>522</v>
      </c>
      <c r="B45" s="19">
        <v>5122</v>
      </c>
      <c r="C45" s="19">
        <v>14197</v>
      </c>
      <c r="D45" s="363">
        <f t="shared" si="1"/>
        <v>36.078044657321968</v>
      </c>
    </row>
    <row r="46" spans="1:4" x14ac:dyDescent="0.3">
      <c r="A46" s="325" t="s">
        <v>768</v>
      </c>
      <c r="B46" s="19">
        <v>3207.22</v>
      </c>
      <c r="C46" s="19">
        <v>8609</v>
      </c>
      <c r="D46" s="363">
        <f t="shared" si="1"/>
        <v>37.254268788477177</v>
      </c>
    </row>
    <row r="47" spans="1:4" x14ac:dyDescent="0.3">
      <c r="A47" s="325" t="s">
        <v>748</v>
      </c>
      <c r="B47" s="19">
        <v>7665.79</v>
      </c>
      <c r="C47" s="19">
        <v>21233</v>
      </c>
      <c r="D47" s="363">
        <f t="shared" si="1"/>
        <v>36.103188433099419</v>
      </c>
    </row>
    <row r="48" spans="1:4" x14ac:dyDescent="0.3">
      <c r="A48" s="325" t="s">
        <v>754</v>
      </c>
      <c r="B48" s="19">
        <v>7785.1</v>
      </c>
      <c r="C48" s="19">
        <v>21543</v>
      </c>
      <c r="D48" s="363">
        <f t="shared" si="1"/>
        <v>36.137492456946575</v>
      </c>
    </row>
    <row r="49" spans="1:4" x14ac:dyDescent="0.3">
      <c r="A49" s="325" t="s">
        <v>1090</v>
      </c>
      <c r="B49" s="19">
        <v>7856.4</v>
      </c>
      <c r="C49" s="19">
        <v>22109</v>
      </c>
      <c r="D49" s="363">
        <f t="shared" si="1"/>
        <v>35.534850061061107</v>
      </c>
    </row>
    <row r="50" spans="1:4" x14ac:dyDescent="0.3">
      <c r="A50" s="325" t="s">
        <v>1151</v>
      </c>
      <c r="B50" s="19">
        <v>9264.84</v>
      </c>
      <c r="C50" s="19">
        <v>25573</v>
      </c>
      <c r="D50" s="363">
        <f t="shared" si="1"/>
        <v>36.228991514487937</v>
      </c>
    </row>
    <row r="51" spans="1:4" x14ac:dyDescent="0.3">
      <c r="A51" s="325" t="s">
        <v>1091</v>
      </c>
      <c r="B51" s="19">
        <v>4158.2299999999996</v>
      </c>
      <c r="C51" s="19">
        <v>11707</v>
      </c>
      <c r="D51" s="363">
        <f t="shared" si="1"/>
        <v>35.519176561031855</v>
      </c>
    </row>
    <row r="52" spans="1:4" x14ac:dyDescent="0.3">
      <c r="A52" s="325" t="s">
        <v>1118</v>
      </c>
      <c r="B52" s="19">
        <v>5994.57</v>
      </c>
      <c r="C52" s="19">
        <v>15836</v>
      </c>
      <c r="D52" s="363">
        <f t="shared" si="1"/>
        <v>37.854066683505934</v>
      </c>
    </row>
    <row r="53" spans="1:4" x14ac:dyDescent="0.3">
      <c r="A53" s="325" t="s">
        <v>1096</v>
      </c>
      <c r="B53" s="19">
        <v>8278.4599999999991</v>
      </c>
      <c r="C53" s="19">
        <v>23119</v>
      </c>
      <c r="D53" s="363">
        <f t="shared" si="1"/>
        <v>35.808036679787186</v>
      </c>
    </row>
    <row r="54" spans="1:4" x14ac:dyDescent="0.3">
      <c r="A54" s="325" t="s">
        <v>1117</v>
      </c>
      <c r="B54" s="19">
        <v>7017.96</v>
      </c>
      <c r="C54" s="19">
        <v>19734</v>
      </c>
      <c r="D54" s="363">
        <f t="shared" si="1"/>
        <v>35.562785041045913</v>
      </c>
    </row>
    <row r="55" spans="1:4" x14ac:dyDescent="0.3">
      <c r="A55" s="325" t="s">
        <v>1126</v>
      </c>
      <c r="B55" s="19">
        <v>6864.8</v>
      </c>
      <c r="C55" s="19">
        <v>19292</v>
      </c>
      <c r="D55" s="363">
        <f t="shared" si="1"/>
        <v>35.583661621397475</v>
      </c>
    </row>
    <row r="56" spans="1:4" x14ac:dyDescent="0.3">
      <c r="A56" s="325" t="s">
        <v>1130</v>
      </c>
      <c r="B56" s="19">
        <v>6798.13</v>
      </c>
      <c r="C56" s="19">
        <v>18391</v>
      </c>
      <c r="D56" s="363">
        <f t="shared" si="1"/>
        <v>36.964439127834268</v>
      </c>
    </row>
    <row r="57" spans="1:4" x14ac:dyDescent="0.3">
      <c r="A57" s="325" t="s">
        <v>1128</v>
      </c>
      <c r="B57" s="19">
        <v>7210.37</v>
      </c>
      <c r="C57" s="19">
        <v>21061</v>
      </c>
      <c r="D57" s="363">
        <f t="shared" si="1"/>
        <v>34.235648829590239</v>
      </c>
    </row>
    <row r="58" spans="1:4" x14ac:dyDescent="0.3">
      <c r="A58" s="325" t="s">
        <v>1129</v>
      </c>
      <c r="B58" s="19">
        <v>7829.67</v>
      </c>
      <c r="C58" s="19">
        <v>22095</v>
      </c>
      <c r="D58" s="363">
        <f t="shared" si="1"/>
        <v>35.436388323150034</v>
      </c>
    </row>
    <row r="59" spans="1:4" x14ac:dyDescent="0.3">
      <c r="A59" s="325" t="s">
        <v>1133</v>
      </c>
      <c r="B59" s="19">
        <v>7910.22</v>
      </c>
      <c r="C59" s="19">
        <v>20988</v>
      </c>
      <c r="D59" s="363">
        <f t="shared" si="1"/>
        <v>37.689251000571758</v>
      </c>
    </row>
    <row r="60" spans="1:4" x14ac:dyDescent="0.3">
      <c r="A60" s="325" t="s">
        <v>1134</v>
      </c>
      <c r="B60" s="19">
        <v>7161.85</v>
      </c>
      <c r="C60" s="19">
        <v>19765</v>
      </c>
      <c r="D60" s="363">
        <f t="shared" si="1"/>
        <v>36.235011383759172</v>
      </c>
    </row>
    <row r="61" spans="1:4" x14ac:dyDescent="0.3">
      <c r="A61" s="325" t="s">
        <v>1135</v>
      </c>
      <c r="B61" s="19">
        <v>6070.55</v>
      </c>
      <c r="C61" s="19">
        <v>15978</v>
      </c>
      <c r="D61" s="363">
        <f t="shared" si="1"/>
        <v>37.99317811991488</v>
      </c>
    </row>
    <row r="62" spans="1:4" x14ac:dyDescent="0.3">
      <c r="A62" s="325" t="s">
        <v>1154</v>
      </c>
      <c r="B62" s="19">
        <v>6318.69</v>
      </c>
      <c r="C62" s="19">
        <v>17748</v>
      </c>
      <c r="D62" s="363">
        <f t="shared" si="1"/>
        <v>35.602265043948613</v>
      </c>
    </row>
    <row r="63" spans="1:4" x14ac:dyDescent="0.3">
      <c r="A63" s="325" t="s">
        <v>1159</v>
      </c>
      <c r="B63" s="19">
        <v>4823</v>
      </c>
      <c r="C63" s="19">
        <v>13999</v>
      </c>
      <c r="D63" s="363">
        <f t="shared" si="1"/>
        <v>34.452460890063577</v>
      </c>
    </row>
    <row r="64" spans="1:4" x14ac:dyDescent="0.3">
      <c r="A64" s="325" t="s">
        <v>1156</v>
      </c>
      <c r="B64" s="19">
        <v>6906.84</v>
      </c>
      <c r="C64" s="19">
        <v>19691</v>
      </c>
      <c r="D64" s="363">
        <f t="shared" si="1"/>
        <v>35.076126149002086</v>
      </c>
    </row>
    <row r="65" spans="1:4" x14ac:dyDescent="0.3">
      <c r="A65" s="325" t="s">
        <v>1157</v>
      </c>
      <c r="B65" s="19">
        <v>7454.78</v>
      </c>
      <c r="C65" s="19">
        <v>20632</v>
      </c>
      <c r="D65" s="363">
        <f t="shared" si="1"/>
        <v>36.132124854594807</v>
      </c>
    </row>
    <row r="66" spans="1:4" x14ac:dyDescent="0.3">
      <c r="A66" s="325" t="s">
        <v>1153</v>
      </c>
      <c r="B66" s="19">
        <v>7181.16</v>
      </c>
      <c r="C66" s="19">
        <v>19008</v>
      </c>
      <c r="D66" s="363">
        <f t="shared" si="1"/>
        <v>37.779671717171716</v>
      </c>
    </row>
    <row r="67" spans="1:4" x14ac:dyDescent="0.3">
      <c r="A67" s="325" t="s">
        <v>1173</v>
      </c>
      <c r="B67" s="19">
        <v>6745.35</v>
      </c>
      <c r="C67" s="19">
        <v>19154</v>
      </c>
      <c r="D67" s="363">
        <f t="shared" si="1"/>
        <v>35.216403884306153</v>
      </c>
    </row>
    <row r="68" spans="1:4" x14ac:dyDescent="0.3">
      <c r="A68" s="325" t="s">
        <v>130</v>
      </c>
      <c r="B68" s="19">
        <v>5605.35</v>
      </c>
      <c r="C68" s="19">
        <v>15177</v>
      </c>
      <c r="D68" s="363">
        <f t="shared" si="1"/>
        <v>36.933188377149641</v>
      </c>
    </row>
    <row r="69" spans="1:4" x14ac:dyDescent="0.3">
      <c r="A69" s="325" t="s">
        <v>1155</v>
      </c>
      <c r="B69" s="19">
        <v>5388.88</v>
      </c>
      <c r="C69" s="19">
        <v>14232</v>
      </c>
      <c r="D69" s="363">
        <f t="shared" si="1"/>
        <v>37.864530635188309</v>
      </c>
    </row>
    <row r="70" spans="1:4" x14ac:dyDescent="0.3">
      <c r="A70" s="325" t="s">
        <v>109</v>
      </c>
      <c r="B70" s="19">
        <v>5789.78</v>
      </c>
      <c r="C70" s="19">
        <v>14715</v>
      </c>
      <c r="D70" s="363">
        <f t="shared" ref="D70:D97" si="2">+B70/C70*100</f>
        <v>39.346109412164452</v>
      </c>
    </row>
    <row r="71" spans="1:4" x14ac:dyDescent="0.3">
      <c r="A71" s="325" t="s">
        <v>1148</v>
      </c>
      <c r="B71" s="19">
        <v>9845.91</v>
      </c>
      <c r="C71" s="19">
        <v>26162</v>
      </c>
      <c r="D71" s="363">
        <f t="shared" si="2"/>
        <v>37.63439339500038</v>
      </c>
    </row>
    <row r="72" spans="1:4" x14ac:dyDescent="0.3">
      <c r="A72" s="325" t="s">
        <v>1138</v>
      </c>
      <c r="B72" s="19">
        <v>5239.79</v>
      </c>
      <c r="C72" s="19">
        <v>12258</v>
      </c>
      <c r="D72" s="363">
        <f t="shared" si="2"/>
        <v>42.745880241474957</v>
      </c>
    </row>
    <row r="73" spans="1:4" x14ac:dyDescent="0.3">
      <c r="A73" s="325" t="s">
        <v>137</v>
      </c>
      <c r="B73" s="19">
        <v>4545.04</v>
      </c>
      <c r="C73" s="19">
        <v>10967</v>
      </c>
      <c r="D73" s="363">
        <f t="shared" si="2"/>
        <v>41.44287407677578</v>
      </c>
    </row>
    <row r="74" spans="1:4" x14ac:dyDescent="0.3">
      <c r="A74" s="325" t="s">
        <v>250</v>
      </c>
      <c r="B74" s="19">
        <v>3687.4</v>
      </c>
      <c r="C74" s="19">
        <v>8396</v>
      </c>
      <c r="D74" s="363">
        <f t="shared" si="2"/>
        <v>43.918532634587898</v>
      </c>
    </row>
    <row r="75" spans="1:4" x14ac:dyDescent="0.3">
      <c r="A75" s="325" t="s">
        <v>251</v>
      </c>
      <c r="B75" s="19">
        <v>5117.09</v>
      </c>
      <c r="C75" s="19">
        <v>12523</v>
      </c>
      <c r="D75" s="363">
        <f t="shared" si="2"/>
        <v>40.861534776012135</v>
      </c>
    </row>
    <row r="76" spans="1:4" x14ac:dyDescent="0.3">
      <c r="A76" s="325" t="s">
        <v>121</v>
      </c>
      <c r="B76" s="19">
        <v>7084.54</v>
      </c>
      <c r="C76" s="19">
        <v>17441</v>
      </c>
      <c r="D76" s="363">
        <f t="shared" si="2"/>
        <v>40.620033254973912</v>
      </c>
    </row>
    <row r="77" spans="1:4" x14ac:dyDescent="0.3">
      <c r="A77" s="325" t="s">
        <v>140</v>
      </c>
      <c r="B77" s="19">
        <v>7341.34</v>
      </c>
      <c r="C77" s="19">
        <v>18935</v>
      </c>
      <c r="D77" s="363">
        <f t="shared" si="2"/>
        <v>38.771270134671241</v>
      </c>
    </row>
    <row r="78" spans="1:4" x14ac:dyDescent="0.3">
      <c r="A78" s="325" t="s">
        <v>255</v>
      </c>
      <c r="B78" s="19">
        <v>6478.38</v>
      </c>
      <c r="C78" s="19">
        <v>16150</v>
      </c>
      <c r="D78" s="363">
        <f t="shared" si="2"/>
        <v>40.113808049535606</v>
      </c>
    </row>
    <row r="79" spans="1:4" x14ac:dyDescent="0.3">
      <c r="A79" s="325" t="s">
        <v>128</v>
      </c>
      <c r="B79" s="19">
        <v>5485.38</v>
      </c>
      <c r="C79" s="19">
        <v>13718</v>
      </c>
      <c r="D79" s="363">
        <f t="shared" si="2"/>
        <v>39.986732759877533</v>
      </c>
    </row>
    <row r="80" spans="1:4" x14ac:dyDescent="0.3">
      <c r="A80" s="325" t="s">
        <v>124</v>
      </c>
      <c r="B80" s="19">
        <v>6379.82</v>
      </c>
      <c r="C80" s="19">
        <v>17710</v>
      </c>
      <c r="D80" s="363">
        <f t="shared" si="2"/>
        <v>36.02382834556748</v>
      </c>
    </row>
    <row r="81" spans="1:4" x14ac:dyDescent="0.3">
      <c r="A81" s="325" t="s">
        <v>259</v>
      </c>
      <c r="B81" s="19">
        <v>5715.19</v>
      </c>
      <c r="C81" s="19">
        <v>15037</v>
      </c>
      <c r="D81" s="363">
        <f t="shared" si="2"/>
        <v>38.007514796834471</v>
      </c>
    </row>
    <row r="82" spans="1:4" x14ac:dyDescent="0.3">
      <c r="A82" s="325" t="s">
        <v>116</v>
      </c>
      <c r="B82" s="19">
        <v>5593.92</v>
      </c>
      <c r="C82" s="19">
        <v>13872</v>
      </c>
      <c r="D82" s="363">
        <f t="shared" si="2"/>
        <v>40.325259515570934</v>
      </c>
    </row>
    <row r="83" spans="1:4" x14ac:dyDescent="0.3">
      <c r="A83" s="325" t="s">
        <v>1140</v>
      </c>
      <c r="B83" s="19">
        <v>8590.4699999999993</v>
      </c>
      <c r="C83" s="19">
        <v>22666</v>
      </c>
      <c r="D83" s="363">
        <f t="shared" si="2"/>
        <v>37.900247066090174</v>
      </c>
    </row>
    <row r="84" spans="1:4" x14ac:dyDescent="0.3">
      <c r="A84" s="325" t="s">
        <v>1142</v>
      </c>
      <c r="B84" s="19">
        <v>9640</v>
      </c>
      <c r="C84" s="19">
        <v>24619</v>
      </c>
      <c r="D84" s="363">
        <f t="shared" si="2"/>
        <v>39.156748852512287</v>
      </c>
    </row>
    <row r="85" spans="1:4" x14ac:dyDescent="0.3">
      <c r="A85" s="325" t="s">
        <v>134</v>
      </c>
      <c r="B85" s="19">
        <v>6006.95</v>
      </c>
      <c r="C85" s="19">
        <v>15072</v>
      </c>
      <c r="D85" s="363">
        <f t="shared" si="2"/>
        <v>39.855029193205944</v>
      </c>
    </row>
    <row r="86" spans="1:4" x14ac:dyDescent="0.3">
      <c r="A86" s="325" t="s">
        <v>110</v>
      </c>
      <c r="B86" s="19">
        <v>3445.07</v>
      </c>
      <c r="C86" s="19">
        <v>8416</v>
      </c>
      <c r="D86" s="363">
        <f t="shared" si="2"/>
        <v>40.934767110266165</v>
      </c>
    </row>
    <row r="87" spans="1:4" x14ac:dyDescent="0.3">
      <c r="A87" s="325" t="s">
        <v>119</v>
      </c>
      <c r="B87" s="19">
        <v>7948.3</v>
      </c>
      <c r="C87" s="19">
        <v>19079</v>
      </c>
      <c r="D87" s="363">
        <f t="shared" si="2"/>
        <v>41.659940248440698</v>
      </c>
    </row>
    <row r="88" spans="1:4" x14ac:dyDescent="0.3">
      <c r="A88" s="325" t="s">
        <v>129</v>
      </c>
      <c r="B88" s="19">
        <v>5511</v>
      </c>
      <c r="C88" s="19">
        <v>14146</v>
      </c>
      <c r="D88" s="363">
        <f t="shared" si="2"/>
        <v>38.958009331259717</v>
      </c>
    </row>
    <row r="89" spans="1:4" x14ac:dyDescent="0.3">
      <c r="A89" s="325" t="s">
        <v>111</v>
      </c>
      <c r="B89" s="19">
        <v>6366.6</v>
      </c>
      <c r="C89" s="19">
        <v>16633</v>
      </c>
      <c r="D89" s="363">
        <f t="shared" si="2"/>
        <v>38.27691937714183</v>
      </c>
    </row>
    <row r="90" spans="1:4" x14ac:dyDescent="0.3">
      <c r="A90" s="325" t="s">
        <v>132</v>
      </c>
      <c r="B90" s="19">
        <v>7919.3</v>
      </c>
      <c r="C90" s="19">
        <v>20141</v>
      </c>
      <c r="D90" s="363">
        <f t="shared" si="2"/>
        <v>39.319298942455688</v>
      </c>
    </row>
    <row r="91" spans="1:4" x14ac:dyDescent="0.3">
      <c r="A91" s="325" t="s">
        <v>131</v>
      </c>
      <c r="B91" s="19">
        <v>8536.6</v>
      </c>
      <c r="C91" s="19">
        <v>20615</v>
      </c>
      <c r="D91" s="363">
        <f t="shared" si="2"/>
        <v>41.409653165170994</v>
      </c>
    </row>
    <row r="92" spans="1:4" x14ac:dyDescent="0.3">
      <c r="A92" s="325" t="s">
        <v>120</v>
      </c>
      <c r="B92" s="19">
        <v>4574.8599999999997</v>
      </c>
      <c r="C92" s="19">
        <v>10833</v>
      </c>
      <c r="D92" s="363">
        <f t="shared" si="2"/>
        <v>42.230776331579428</v>
      </c>
    </row>
    <row r="93" spans="1:4" x14ac:dyDescent="0.3">
      <c r="A93" s="325" t="s">
        <v>115</v>
      </c>
      <c r="B93" s="19">
        <v>4455.1000000000004</v>
      </c>
      <c r="C93" s="19">
        <v>11410</v>
      </c>
      <c r="D93" s="363">
        <f t="shared" si="2"/>
        <v>39.045574057844</v>
      </c>
    </row>
    <row r="94" spans="1:4" x14ac:dyDescent="0.3">
      <c r="A94" s="325" t="s">
        <v>112</v>
      </c>
      <c r="B94" s="19">
        <v>6836.8</v>
      </c>
      <c r="C94" s="19">
        <v>17056</v>
      </c>
      <c r="D94" s="363">
        <f t="shared" si="2"/>
        <v>40.084427767354597</v>
      </c>
    </row>
    <row r="95" spans="1:4" x14ac:dyDescent="0.3">
      <c r="A95" s="325" t="s">
        <v>138</v>
      </c>
      <c r="B95" s="19">
        <v>6668.57</v>
      </c>
      <c r="C95" s="19">
        <v>16654</v>
      </c>
      <c r="D95" s="363">
        <f t="shared" si="2"/>
        <v>40.041851807373604</v>
      </c>
    </row>
    <row r="96" spans="1:4" x14ac:dyDescent="0.3">
      <c r="A96" s="325" t="s">
        <v>122</v>
      </c>
      <c r="B96" s="19">
        <v>4611</v>
      </c>
      <c r="C96" s="19">
        <v>11073</v>
      </c>
      <c r="D96" s="363">
        <f t="shared" si="2"/>
        <v>41.641831481983203</v>
      </c>
    </row>
    <row r="97" spans="1:4" x14ac:dyDescent="0.3">
      <c r="A97" s="325" t="s">
        <v>126</v>
      </c>
      <c r="B97" s="19">
        <v>6105.46</v>
      </c>
      <c r="C97" s="19">
        <v>14332</v>
      </c>
      <c r="D97" s="363">
        <f t="shared" si="2"/>
        <v>42.600195367010883</v>
      </c>
    </row>
    <row r="98" spans="1:4" x14ac:dyDescent="0.3">
      <c r="A98" s="325" t="s">
        <v>133</v>
      </c>
      <c r="B98" s="19"/>
      <c r="C98" s="19"/>
      <c r="D98" s="363"/>
    </row>
    <row r="99" spans="1:4" x14ac:dyDescent="0.3">
      <c r="A99" s="325" t="s">
        <v>135</v>
      </c>
      <c r="B99" s="19">
        <v>6788.83</v>
      </c>
      <c r="C99" s="19">
        <v>17210</v>
      </c>
      <c r="D99" s="363">
        <f t="shared" ref="D99:D104" si="3">+B99/C99*100</f>
        <v>39.447007553747824</v>
      </c>
    </row>
    <row r="100" spans="1:4" x14ac:dyDescent="0.3">
      <c r="A100" s="325" t="s">
        <v>123</v>
      </c>
      <c r="B100" s="19">
        <v>5798.35</v>
      </c>
      <c r="C100" s="19">
        <v>15239</v>
      </c>
      <c r="D100" s="363">
        <f t="shared" si="3"/>
        <v>38.049412691121468</v>
      </c>
    </row>
    <row r="101" spans="1:4" x14ac:dyDescent="0.3">
      <c r="A101" s="325" t="s">
        <v>139</v>
      </c>
      <c r="B101" s="19">
        <v>6613.55</v>
      </c>
      <c r="C101" s="19">
        <v>16983</v>
      </c>
      <c r="D101" s="363">
        <f t="shared" si="3"/>
        <v>38.94217747158924</v>
      </c>
    </row>
    <row r="102" spans="1:4" x14ac:dyDescent="0.3">
      <c r="A102" s="325" t="s">
        <v>1116</v>
      </c>
      <c r="B102" s="19">
        <v>3302.01</v>
      </c>
      <c r="C102" s="19">
        <v>8018</v>
      </c>
      <c r="D102" s="363">
        <f t="shared" si="3"/>
        <v>41.182464454976312</v>
      </c>
    </row>
    <row r="103" spans="1:4" x14ac:dyDescent="0.3">
      <c r="A103" s="325" t="s">
        <v>1115</v>
      </c>
      <c r="B103" s="19">
        <v>6489.9</v>
      </c>
      <c r="C103" s="19">
        <v>16661</v>
      </c>
      <c r="D103" s="363">
        <f t="shared" si="3"/>
        <v>38.952643898925629</v>
      </c>
    </row>
    <row r="104" spans="1:4" ht="15" thickBot="1" x14ac:dyDescent="0.35">
      <c r="A104" s="364" t="s">
        <v>125</v>
      </c>
      <c r="B104" s="46">
        <v>7194.99</v>
      </c>
      <c r="C104" s="46">
        <v>18939</v>
      </c>
      <c r="D104" s="365">
        <f t="shared" si="3"/>
        <v>37.990337399017896</v>
      </c>
    </row>
    <row r="105" spans="1:4" ht="15" thickBot="1" x14ac:dyDescent="0.35">
      <c r="A105" s="346" t="s">
        <v>1122</v>
      </c>
      <c r="B105" s="373">
        <f>SUM(B6:B104)</f>
        <v>622985.59999999986</v>
      </c>
      <c r="C105" s="373">
        <f>SUM(C6:C104)</f>
        <v>1638909</v>
      </c>
      <c r="D105" s="376">
        <f>+B105/C105*100</f>
        <v>38.012214222998338</v>
      </c>
    </row>
  </sheetData>
  <autoFilter ref="A5:D105" xr:uid="{00000000-0009-0000-0000-000003000000}">
    <sortState xmlns:xlrd2="http://schemas.microsoft.com/office/spreadsheetml/2017/richdata2" ref="A6:D105">
      <sortCondition ref="A5:A105"/>
    </sortState>
  </autoFilter>
  <mergeCells count="1">
    <mergeCell ref="A1:G2"/>
  </mergeCells>
  <conditionalFormatting sqref="D6:D10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0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8"/>
  <sheetViews>
    <sheetView topLeftCell="A81" workbookViewId="0">
      <selection activeCell="B109" sqref="B109"/>
    </sheetView>
  </sheetViews>
  <sheetFormatPr baseColWidth="10" defaultRowHeight="14.4" x14ac:dyDescent="0.3"/>
  <cols>
    <col min="1" max="1" width="12.33203125" customWidth="1"/>
  </cols>
  <sheetData>
    <row r="1" spans="1:7" x14ac:dyDescent="0.3">
      <c r="A1" s="441" t="s">
        <v>1178</v>
      </c>
      <c r="B1" s="442"/>
      <c r="C1" s="442"/>
      <c r="D1" s="442"/>
      <c r="E1" s="442"/>
      <c r="F1" s="442"/>
      <c r="G1" s="443"/>
    </row>
    <row r="2" spans="1:7" ht="15" thickBot="1" x14ac:dyDescent="0.35">
      <c r="A2" s="444"/>
      <c r="B2" s="445"/>
      <c r="C2" s="445"/>
      <c r="D2" s="445"/>
      <c r="E2" s="445"/>
      <c r="F2" s="445"/>
      <c r="G2" s="446"/>
    </row>
    <row r="4" spans="1:7" ht="15" thickBot="1" x14ac:dyDescent="0.35"/>
    <row r="5" spans="1:7" x14ac:dyDescent="0.3">
      <c r="A5" s="360" t="s">
        <v>1123</v>
      </c>
      <c r="B5" s="361" t="s">
        <v>1171</v>
      </c>
      <c r="C5" s="361" t="s">
        <v>1132</v>
      </c>
      <c r="D5" s="362" t="s">
        <v>1125</v>
      </c>
    </row>
    <row r="6" spans="1:7" x14ac:dyDescent="0.3">
      <c r="A6" s="325" t="s">
        <v>1092</v>
      </c>
      <c r="B6" s="19">
        <v>5352</v>
      </c>
      <c r="C6" s="19">
        <v>13601</v>
      </c>
      <c r="D6" s="363">
        <f t="shared" ref="D6:D37" si="0">+B6/C6*100</f>
        <v>39.350047790603632</v>
      </c>
    </row>
    <row r="7" spans="1:7" x14ac:dyDescent="0.3">
      <c r="A7" s="325" t="s">
        <v>1158</v>
      </c>
      <c r="B7" s="19">
        <v>4604</v>
      </c>
      <c r="C7" s="19">
        <v>11277</v>
      </c>
      <c r="D7" s="363">
        <f t="shared" si="0"/>
        <v>40.826460938192781</v>
      </c>
    </row>
    <row r="8" spans="1:7" x14ac:dyDescent="0.3">
      <c r="A8" s="325" t="s">
        <v>178</v>
      </c>
      <c r="B8" s="19">
        <v>3443.11</v>
      </c>
      <c r="C8" s="19">
        <v>8497</v>
      </c>
      <c r="D8" s="363">
        <f t="shared" si="0"/>
        <v>40.521478168765448</v>
      </c>
    </row>
    <row r="9" spans="1:7" x14ac:dyDescent="0.3">
      <c r="A9" s="325" t="s">
        <v>302</v>
      </c>
      <c r="B9" s="19">
        <v>5806.99</v>
      </c>
      <c r="C9" s="19">
        <v>15099</v>
      </c>
      <c r="D9" s="363">
        <f t="shared" si="0"/>
        <v>38.45943439962911</v>
      </c>
    </row>
    <row r="10" spans="1:7" x14ac:dyDescent="0.3">
      <c r="A10" s="325" t="s">
        <v>180</v>
      </c>
      <c r="B10" s="19">
        <v>5523.87</v>
      </c>
      <c r="C10" s="19">
        <v>14061</v>
      </c>
      <c r="D10" s="363">
        <f t="shared" si="0"/>
        <v>39.28504373799872</v>
      </c>
    </row>
    <row r="11" spans="1:7" x14ac:dyDescent="0.3">
      <c r="A11" s="325" t="s">
        <v>184</v>
      </c>
      <c r="B11" s="19">
        <v>6443</v>
      </c>
      <c r="C11" s="19">
        <v>17112</v>
      </c>
      <c r="D11" s="363">
        <f t="shared" si="0"/>
        <v>37.651940158952776</v>
      </c>
    </row>
    <row r="12" spans="1:7" x14ac:dyDescent="0.3">
      <c r="A12" s="325" t="s">
        <v>187</v>
      </c>
      <c r="B12" s="19">
        <v>5193.43</v>
      </c>
      <c r="C12" s="19">
        <v>14106</v>
      </c>
      <c r="D12" s="363">
        <f t="shared" si="0"/>
        <v>36.817169998582166</v>
      </c>
    </row>
    <row r="13" spans="1:7" x14ac:dyDescent="0.3">
      <c r="A13" s="325" t="s">
        <v>189</v>
      </c>
      <c r="B13" s="19">
        <v>1090</v>
      </c>
      <c r="C13" s="19">
        <v>3012</v>
      </c>
      <c r="D13" s="363">
        <f t="shared" si="0"/>
        <v>36.188579017264274</v>
      </c>
    </row>
    <row r="14" spans="1:7" x14ac:dyDescent="0.3">
      <c r="A14" s="325" t="s">
        <v>191</v>
      </c>
      <c r="B14" s="19">
        <v>4575</v>
      </c>
      <c r="C14" s="19">
        <v>11889</v>
      </c>
      <c r="D14" s="363">
        <f t="shared" si="0"/>
        <v>38.480948776179666</v>
      </c>
    </row>
    <row r="15" spans="1:7" x14ac:dyDescent="0.3">
      <c r="A15" s="325" t="s">
        <v>192</v>
      </c>
      <c r="B15" s="19">
        <v>4185.2299999999996</v>
      </c>
      <c r="C15" s="19">
        <v>11460</v>
      </c>
      <c r="D15" s="363">
        <f t="shared" si="0"/>
        <v>36.520331588132635</v>
      </c>
    </row>
    <row r="16" spans="1:7" x14ac:dyDescent="0.3">
      <c r="A16" s="325" t="s">
        <v>193</v>
      </c>
      <c r="B16" s="19">
        <v>4399</v>
      </c>
      <c r="C16" s="19">
        <v>11656</v>
      </c>
      <c r="D16" s="363">
        <f t="shared" si="0"/>
        <v>37.740219629375424</v>
      </c>
    </row>
    <row r="17" spans="1:4" x14ac:dyDescent="0.3">
      <c r="A17" s="325" t="s">
        <v>195</v>
      </c>
      <c r="B17" s="19">
        <v>2962.87</v>
      </c>
      <c r="C17" s="19">
        <v>7409</v>
      </c>
      <c r="D17" s="363">
        <f t="shared" si="0"/>
        <v>39.990147118369549</v>
      </c>
    </row>
    <row r="18" spans="1:4" x14ac:dyDescent="0.3">
      <c r="A18" s="325" t="s">
        <v>1143</v>
      </c>
      <c r="B18" s="19">
        <v>5058.84</v>
      </c>
      <c r="C18" s="19">
        <v>13220.29</v>
      </c>
      <c r="D18" s="363">
        <f t="shared" si="0"/>
        <v>38.265726394806769</v>
      </c>
    </row>
    <row r="19" spans="1:4" x14ac:dyDescent="0.3">
      <c r="A19" s="325" t="s">
        <v>209</v>
      </c>
      <c r="B19" s="19">
        <v>6648.42</v>
      </c>
      <c r="C19" s="19">
        <v>16726</v>
      </c>
      <c r="D19" s="363">
        <f t="shared" si="0"/>
        <v>39.749013511897644</v>
      </c>
    </row>
    <row r="20" spans="1:4" x14ac:dyDescent="0.3">
      <c r="A20" s="325" t="s">
        <v>212</v>
      </c>
      <c r="B20" s="19">
        <v>4414.74</v>
      </c>
      <c r="C20" s="19">
        <v>11641</v>
      </c>
      <c r="D20" s="363">
        <f t="shared" si="0"/>
        <v>37.924061506743406</v>
      </c>
    </row>
    <row r="21" spans="1:4" x14ac:dyDescent="0.3">
      <c r="A21" s="325" t="s">
        <v>214</v>
      </c>
      <c r="B21" s="19">
        <v>4680.66</v>
      </c>
      <c r="C21" s="19">
        <v>12982</v>
      </c>
      <c r="D21" s="363">
        <f t="shared" si="0"/>
        <v>36.054999229702666</v>
      </c>
    </row>
    <row r="22" spans="1:4" x14ac:dyDescent="0.3">
      <c r="A22" s="325" t="s">
        <v>216</v>
      </c>
      <c r="B22" s="19">
        <v>5052.33</v>
      </c>
      <c r="C22" s="19">
        <v>13137</v>
      </c>
      <c r="D22" s="363">
        <f t="shared" si="0"/>
        <v>38.458780543503082</v>
      </c>
    </row>
    <row r="23" spans="1:4" x14ac:dyDescent="0.3">
      <c r="A23" s="325" t="s">
        <v>218</v>
      </c>
      <c r="B23" s="19">
        <v>5098.09</v>
      </c>
      <c r="C23" s="19">
        <v>13849</v>
      </c>
      <c r="D23" s="363">
        <f t="shared" si="0"/>
        <v>36.811971983536715</v>
      </c>
    </row>
    <row r="24" spans="1:4" x14ac:dyDescent="0.3">
      <c r="A24" s="325" t="s">
        <v>220</v>
      </c>
      <c r="B24" s="19">
        <v>5994.31</v>
      </c>
      <c r="C24" s="19">
        <v>15280</v>
      </c>
      <c r="D24" s="363">
        <f t="shared" si="0"/>
        <v>39.229777486910997</v>
      </c>
    </row>
    <row r="25" spans="1:4" x14ac:dyDescent="0.3">
      <c r="A25" s="325" t="s">
        <v>222</v>
      </c>
      <c r="B25" s="19">
        <v>6846.87</v>
      </c>
      <c r="C25" s="19">
        <v>19022</v>
      </c>
      <c r="D25" s="363">
        <f t="shared" si="0"/>
        <v>35.994480075701816</v>
      </c>
    </row>
    <row r="26" spans="1:4" x14ac:dyDescent="0.3">
      <c r="A26" s="325" t="s">
        <v>438</v>
      </c>
      <c r="B26" s="19">
        <v>8422.7800000000007</v>
      </c>
      <c r="C26" s="19">
        <v>22888</v>
      </c>
      <c r="D26" s="363">
        <f t="shared" si="0"/>
        <v>36.799982523593151</v>
      </c>
    </row>
    <row r="27" spans="1:4" x14ac:dyDescent="0.3">
      <c r="A27" s="325" t="s">
        <v>1139</v>
      </c>
      <c r="B27" s="19">
        <v>5941.96</v>
      </c>
      <c r="C27" s="19">
        <v>15895</v>
      </c>
      <c r="D27" s="363">
        <f t="shared" si="0"/>
        <v>37.382573136206354</v>
      </c>
    </row>
    <row r="28" spans="1:4" x14ac:dyDescent="0.3">
      <c r="A28" s="325" t="s">
        <v>1136</v>
      </c>
      <c r="B28" s="19">
        <v>8741.5300000000007</v>
      </c>
      <c r="C28" s="19">
        <v>22753</v>
      </c>
      <c r="D28" s="363">
        <f t="shared" si="0"/>
        <v>38.419241418714016</v>
      </c>
    </row>
    <row r="29" spans="1:4" x14ac:dyDescent="0.3">
      <c r="A29" s="325" t="s">
        <v>1152</v>
      </c>
      <c r="B29" s="19">
        <v>5403.89</v>
      </c>
      <c r="C29" s="19">
        <v>14122</v>
      </c>
      <c r="D29" s="363">
        <f t="shared" si="0"/>
        <v>38.265755558702736</v>
      </c>
    </row>
    <row r="30" spans="1:4" x14ac:dyDescent="0.3">
      <c r="A30" s="325" t="s">
        <v>1137</v>
      </c>
      <c r="B30" s="19">
        <v>4761.57</v>
      </c>
      <c r="C30" s="19">
        <v>12136</v>
      </c>
      <c r="D30" s="363">
        <f t="shared" si="0"/>
        <v>39.235085695451552</v>
      </c>
    </row>
    <row r="31" spans="1:4" x14ac:dyDescent="0.3">
      <c r="A31" s="325" t="s">
        <v>1150</v>
      </c>
      <c r="B31" s="19">
        <v>5885.26</v>
      </c>
      <c r="C31" s="19">
        <v>14216</v>
      </c>
      <c r="D31" s="363">
        <f t="shared" si="0"/>
        <v>41.398846370287004</v>
      </c>
    </row>
    <row r="32" spans="1:4" x14ac:dyDescent="0.3">
      <c r="A32" s="325" t="s">
        <v>440</v>
      </c>
      <c r="B32" s="19">
        <v>6224.56</v>
      </c>
      <c r="C32" s="19">
        <v>17059</v>
      </c>
      <c r="D32" s="363">
        <f t="shared" si="0"/>
        <v>36.488422533559998</v>
      </c>
    </row>
    <row r="33" spans="1:4" x14ac:dyDescent="0.3">
      <c r="A33" s="325" t="s">
        <v>422</v>
      </c>
      <c r="B33" s="19">
        <v>7091.6</v>
      </c>
      <c r="C33" s="19">
        <v>19447</v>
      </c>
      <c r="D33" s="363">
        <f t="shared" si="0"/>
        <v>36.466293001491238</v>
      </c>
    </row>
    <row r="34" spans="1:4" x14ac:dyDescent="0.3">
      <c r="A34" s="325" t="s">
        <v>424</v>
      </c>
      <c r="B34" s="19">
        <v>4909.67</v>
      </c>
      <c r="C34" s="19">
        <v>14281</v>
      </c>
      <c r="D34" s="363">
        <f t="shared" si="0"/>
        <v>34.379035081576923</v>
      </c>
    </row>
    <row r="35" spans="1:4" x14ac:dyDescent="0.3">
      <c r="A35" s="325" t="s">
        <v>433</v>
      </c>
      <c r="B35" s="19">
        <v>4265.38</v>
      </c>
      <c r="C35" s="19">
        <v>10060</v>
      </c>
      <c r="D35" s="363">
        <f t="shared" si="0"/>
        <v>42.399403578528826</v>
      </c>
    </row>
    <row r="36" spans="1:4" x14ac:dyDescent="0.3">
      <c r="A36" s="325" t="s">
        <v>1141</v>
      </c>
      <c r="B36" s="19">
        <v>5012.8599999999997</v>
      </c>
      <c r="C36" s="19">
        <v>13693</v>
      </c>
      <c r="D36" s="363">
        <f t="shared" si="0"/>
        <v>36.608924267874094</v>
      </c>
    </row>
    <row r="37" spans="1:4" x14ac:dyDescent="0.3">
      <c r="A37" s="325" t="s">
        <v>1095</v>
      </c>
      <c r="B37" s="19">
        <v>6038.5</v>
      </c>
      <c r="C37" s="19">
        <v>16051</v>
      </c>
      <c r="D37" s="363">
        <f t="shared" si="0"/>
        <v>37.620708990094073</v>
      </c>
    </row>
    <row r="38" spans="1:4" x14ac:dyDescent="0.3">
      <c r="A38" s="325" t="s">
        <v>1094</v>
      </c>
      <c r="B38" s="19">
        <v>5055.6400000000003</v>
      </c>
      <c r="C38" s="19">
        <v>15941</v>
      </c>
      <c r="D38" s="363">
        <f t="shared" ref="D38:D69" si="1">+B38/C38*100</f>
        <v>31.714697948685782</v>
      </c>
    </row>
    <row r="39" spans="1:4" x14ac:dyDescent="0.3">
      <c r="A39" s="325" t="s">
        <v>427</v>
      </c>
      <c r="B39" s="19">
        <v>5014.01</v>
      </c>
      <c r="C39" s="19">
        <v>15178</v>
      </c>
      <c r="D39" s="363">
        <f t="shared" si="1"/>
        <v>33.034721307155095</v>
      </c>
    </row>
    <row r="40" spans="1:4" x14ac:dyDescent="0.3">
      <c r="A40" s="325" t="s">
        <v>1144</v>
      </c>
      <c r="B40" s="19">
        <v>6599.02</v>
      </c>
      <c r="C40" s="19">
        <v>19257</v>
      </c>
      <c r="D40" s="363">
        <f t="shared" si="1"/>
        <v>34.268162226722751</v>
      </c>
    </row>
    <row r="41" spans="1:4" x14ac:dyDescent="0.3">
      <c r="A41" s="325" t="s">
        <v>540</v>
      </c>
      <c r="B41" s="19">
        <v>5964</v>
      </c>
      <c r="C41" s="19">
        <v>17859</v>
      </c>
      <c r="D41" s="363">
        <f t="shared" si="1"/>
        <v>33.394926927599528</v>
      </c>
    </row>
    <row r="42" spans="1:4" x14ac:dyDescent="0.3">
      <c r="A42" s="325" t="s">
        <v>581</v>
      </c>
      <c r="B42" s="19">
        <v>6481</v>
      </c>
      <c r="C42" s="19">
        <v>18625</v>
      </c>
      <c r="D42" s="363">
        <f t="shared" si="1"/>
        <v>34.797315436241611</v>
      </c>
    </row>
    <row r="43" spans="1:4" x14ac:dyDescent="0.3">
      <c r="A43" s="325" t="s">
        <v>519</v>
      </c>
      <c r="B43" s="19">
        <v>6795</v>
      </c>
      <c r="C43" s="19">
        <v>20828</v>
      </c>
      <c r="D43" s="363">
        <f t="shared" si="1"/>
        <v>32.624351834069522</v>
      </c>
    </row>
    <row r="44" spans="1:4" x14ac:dyDescent="0.3">
      <c r="A44" s="325" t="s">
        <v>522</v>
      </c>
      <c r="B44" s="19">
        <v>7214.75</v>
      </c>
      <c r="C44" s="19">
        <v>19793</v>
      </c>
      <c r="D44" s="363">
        <f t="shared" si="1"/>
        <v>36.451018036679635</v>
      </c>
    </row>
    <row r="45" spans="1:4" x14ac:dyDescent="0.3">
      <c r="A45" s="325" t="s">
        <v>768</v>
      </c>
      <c r="B45" s="19">
        <v>5274.81</v>
      </c>
      <c r="C45" s="19">
        <v>14136</v>
      </c>
      <c r="D45" s="363">
        <f t="shared" si="1"/>
        <v>37.314728353140922</v>
      </c>
    </row>
    <row r="46" spans="1:4" x14ac:dyDescent="0.3">
      <c r="A46" s="325" t="s">
        <v>748</v>
      </c>
      <c r="B46" s="19">
        <v>6259</v>
      </c>
      <c r="C46" s="19">
        <v>17655</v>
      </c>
      <c r="D46" s="363">
        <f t="shared" si="1"/>
        <v>35.451713395638627</v>
      </c>
    </row>
    <row r="47" spans="1:4" x14ac:dyDescent="0.3">
      <c r="A47" s="325" t="s">
        <v>754</v>
      </c>
      <c r="B47" s="19">
        <v>7951</v>
      </c>
      <c r="C47" s="19">
        <v>22204</v>
      </c>
      <c r="D47" s="363">
        <f t="shared" si="1"/>
        <v>35.808863267879659</v>
      </c>
    </row>
    <row r="48" spans="1:4" x14ac:dyDescent="0.3">
      <c r="A48" s="325" t="s">
        <v>1090</v>
      </c>
      <c r="B48" s="19">
        <v>7112</v>
      </c>
      <c r="C48" s="19">
        <v>20513</v>
      </c>
      <c r="D48" s="363">
        <f t="shared" si="1"/>
        <v>34.670696631404475</v>
      </c>
    </row>
    <row r="49" spans="1:4" x14ac:dyDescent="0.3">
      <c r="A49" s="325" t="s">
        <v>1151</v>
      </c>
      <c r="B49" s="19">
        <v>8720.76</v>
      </c>
      <c r="C49" s="19">
        <v>24582</v>
      </c>
      <c r="D49" s="363">
        <f t="shared" si="1"/>
        <v>35.476202099096895</v>
      </c>
    </row>
    <row r="50" spans="1:4" x14ac:dyDescent="0.3">
      <c r="A50" s="325" t="s">
        <v>1091</v>
      </c>
      <c r="B50" s="19">
        <v>4841.53</v>
      </c>
      <c r="C50" s="19">
        <v>14166</v>
      </c>
      <c r="D50" s="363">
        <f t="shared" si="1"/>
        <v>34.177114217139625</v>
      </c>
    </row>
    <row r="51" spans="1:4" x14ac:dyDescent="0.3">
      <c r="A51" s="325" t="s">
        <v>1118</v>
      </c>
      <c r="B51" s="19">
        <v>6643.74</v>
      </c>
      <c r="C51" s="19">
        <v>17344</v>
      </c>
      <c r="D51" s="363">
        <f t="shared" si="1"/>
        <v>38.305696494464939</v>
      </c>
    </row>
    <row r="52" spans="1:4" x14ac:dyDescent="0.3">
      <c r="A52" s="325" t="s">
        <v>1096</v>
      </c>
      <c r="B52" s="19">
        <v>7036</v>
      </c>
      <c r="C52" s="19">
        <v>20717</v>
      </c>
      <c r="D52" s="363">
        <f t="shared" si="1"/>
        <v>33.96244630013998</v>
      </c>
    </row>
    <row r="53" spans="1:4" x14ac:dyDescent="0.3">
      <c r="A53" s="325" t="s">
        <v>1117</v>
      </c>
      <c r="B53" s="19">
        <v>6732</v>
      </c>
      <c r="C53" s="19">
        <v>18496</v>
      </c>
      <c r="D53" s="363">
        <f t="shared" si="1"/>
        <v>36.397058823529413</v>
      </c>
    </row>
    <row r="54" spans="1:4" x14ac:dyDescent="0.3">
      <c r="A54" s="325" t="s">
        <v>1126</v>
      </c>
      <c r="B54" s="19">
        <v>6244.26</v>
      </c>
      <c r="C54" s="19">
        <v>18540</v>
      </c>
      <c r="D54" s="363">
        <f t="shared" si="1"/>
        <v>33.679935275080908</v>
      </c>
    </row>
    <row r="55" spans="1:4" x14ac:dyDescent="0.3">
      <c r="A55" s="325" t="s">
        <v>1130</v>
      </c>
      <c r="B55" s="19">
        <v>5294.31</v>
      </c>
      <c r="C55" s="19">
        <v>13754</v>
      </c>
      <c r="D55" s="363">
        <f t="shared" si="1"/>
        <v>38.492874800058168</v>
      </c>
    </row>
    <row r="56" spans="1:4" x14ac:dyDescent="0.3">
      <c r="A56" s="325" t="s">
        <v>1128</v>
      </c>
      <c r="B56" s="19">
        <v>6588.66</v>
      </c>
      <c r="C56" s="19">
        <v>19402</v>
      </c>
      <c r="D56" s="363">
        <f t="shared" si="1"/>
        <v>33.958664055252036</v>
      </c>
    </row>
    <row r="57" spans="1:4" x14ac:dyDescent="0.3">
      <c r="A57" s="325" t="s">
        <v>1129</v>
      </c>
      <c r="B57" s="19">
        <v>7574.83</v>
      </c>
      <c r="C57" s="19">
        <v>21411</v>
      </c>
      <c r="D57" s="363">
        <f t="shared" si="1"/>
        <v>35.378216804446311</v>
      </c>
    </row>
    <row r="58" spans="1:4" x14ac:dyDescent="0.3">
      <c r="A58" s="325" t="s">
        <v>1133</v>
      </c>
      <c r="B58" s="19">
        <v>6486.15</v>
      </c>
      <c r="C58" s="19">
        <v>16665</v>
      </c>
      <c r="D58" s="363">
        <f t="shared" si="1"/>
        <v>38.920792079207914</v>
      </c>
    </row>
    <row r="59" spans="1:4" x14ac:dyDescent="0.3">
      <c r="A59" s="325" t="s">
        <v>1134</v>
      </c>
      <c r="B59" s="19">
        <v>6021.6</v>
      </c>
      <c r="C59" s="19">
        <v>16773</v>
      </c>
      <c r="D59" s="363">
        <f t="shared" si="1"/>
        <v>35.900554462529065</v>
      </c>
    </row>
    <row r="60" spans="1:4" x14ac:dyDescent="0.3">
      <c r="A60" s="325" t="s">
        <v>1135</v>
      </c>
      <c r="B60" s="19">
        <v>4291.8500000000004</v>
      </c>
      <c r="C60" s="19">
        <v>12172</v>
      </c>
      <c r="D60" s="363">
        <f t="shared" si="1"/>
        <v>35.260023003614855</v>
      </c>
    </row>
    <row r="61" spans="1:4" x14ac:dyDescent="0.3">
      <c r="A61" s="325" t="s">
        <v>1154</v>
      </c>
      <c r="B61" s="19">
        <v>4689.3900000000003</v>
      </c>
      <c r="C61" s="19">
        <v>12987</v>
      </c>
      <c r="D61" s="363">
        <f t="shared" si="1"/>
        <v>36.108339108339109</v>
      </c>
    </row>
    <row r="62" spans="1:4" x14ac:dyDescent="0.3">
      <c r="A62" s="325" t="s">
        <v>1159</v>
      </c>
      <c r="B62" s="19">
        <v>4523.6000000000004</v>
      </c>
      <c r="C62" s="19">
        <v>13391</v>
      </c>
      <c r="D62" s="363">
        <f t="shared" si="1"/>
        <v>33.780897617803006</v>
      </c>
    </row>
    <row r="63" spans="1:4" x14ac:dyDescent="0.3">
      <c r="A63" s="325" t="s">
        <v>1156</v>
      </c>
      <c r="B63" s="19">
        <v>7298.29</v>
      </c>
      <c r="C63" s="19">
        <v>20800</v>
      </c>
      <c r="D63" s="363">
        <f t="shared" si="1"/>
        <v>35.087932692307696</v>
      </c>
    </row>
    <row r="64" spans="1:4" x14ac:dyDescent="0.3">
      <c r="A64" s="325" t="s">
        <v>1157</v>
      </c>
      <c r="B64" s="19">
        <v>7817.9</v>
      </c>
      <c r="C64" s="19">
        <v>21937</v>
      </c>
      <c r="D64" s="363">
        <f t="shared" si="1"/>
        <v>35.637963258421848</v>
      </c>
    </row>
    <row r="65" spans="1:4" x14ac:dyDescent="0.3">
      <c r="A65" s="325" t="s">
        <v>1153</v>
      </c>
      <c r="B65" s="19">
        <v>6388.39</v>
      </c>
      <c r="C65" s="19">
        <v>16966</v>
      </c>
      <c r="D65" s="363">
        <f t="shared" si="1"/>
        <v>37.654072851585525</v>
      </c>
    </row>
    <row r="66" spans="1:4" x14ac:dyDescent="0.3">
      <c r="A66" s="325" t="s">
        <v>1173</v>
      </c>
      <c r="B66" s="19">
        <v>5074.8500000000004</v>
      </c>
      <c r="C66" s="19">
        <v>14748</v>
      </c>
      <c r="D66" s="363">
        <f t="shared" si="1"/>
        <v>34.410428532682403</v>
      </c>
    </row>
    <row r="67" spans="1:4" x14ac:dyDescent="0.3">
      <c r="A67" s="325" t="s">
        <v>1180</v>
      </c>
      <c r="B67" s="19">
        <v>2412</v>
      </c>
      <c r="C67" s="19">
        <v>6352</v>
      </c>
      <c r="D67" s="363">
        <f t="shared" si="1"/>
        <v>37.97229219143577</v>
      </c>
    </row>
    <row r="68" spans="1:4" x14ac:dyDescent="0.3">
      <c r="A68" s="325" t="s">
        <v>1179</v>
      </c>
      <c r="B68" s="19">
        <v>5052</v>
      </c>
      <c r="C68" s="19">
        <v>13927</v>
      </c>
      <c r="D68" s="363">
        <f t="shared" si="1"/>
        <v>36.274861779277664</v>
      </c>
    </row>
    <row r="69" spans="1:4" x14ac:dyDescent="0.3">
      <c r="A69" s="325" t="s">
        <v>130</v>
      </c>
      <c r="B69" s="19">
        <v>3261.89</v>
      </c>
      <c r="C69" s="19">
        <v>8501</v>
      </c>
      <c r="D69" s="363">
        <f t="shared" si="1"/>
        <v>38.370662275026469</v>
      </c>
    </row>
    <row r="70" spans="1:4" x14ac:dyDescent="0.3">
      <c r="A70" s="325" t="s">
        <v>1155</v>
      </c>
      <c r="B70" s="19">
        <v>4917.8</v>
      </c>
      <c r="C70" s="19">
        <v>13911</v>
      </c>
      <c r="D70" s="363">
        <f t="shared" ref="D70:D101" si="2">+B70/C70*100</f>
        <v>35.351879807346705</v>
      </c>
    </row>
    <row r="71" spans="1:4" x14ac:dyDescent="0.3">
      <c r="A71" s="325" t="s">
        <v>109</v>
      </c>
      <c r="B71" s="19">
        <v>5535</v>
      </c>
      <c r="C71" s="19">
        <v>14136</v>
      </c>
      <c r="D71" s="363">
        <f t="shared" si="2"/>
        <v>39.155348047538205</v>
      </c>
    </row>
    <row r="72" spans="1:4" x14ac:dyDescent="0.3">
      <c r="A72" s="325" t="s">
        <v>1148</v>
      </c>
      <c r="B72" s="19">
        <v>5190.8999999999996</v>
      </c>
      <c r="C72" s="19">
        <v>13970</v>
      </c>
      <c r="D72" s="363">
        <f t="shared" si="2"/>
        <v>37.15748031496063</v>
      </c>
    </row>
    <row r="73" spans="1:4" x14ac:dyDescent="0.3">
      <c r="A73" s="325" t="s">
        <v>1138</v>
      </c>
      <c r="B73" s="19">
        <v>6748</v>
      </c>
      <c r="C73" s="19">
        <v>16278</v>
      </c>
      <c r="D73" s="363">
        <f t="shared" si="2"/>
        <v>41.454724167588161</v>
      </c>
    </row>
    <row r="74" spans="1:4" x14ac:dyDescent="0.3">
      <c r="A74" s="325" t="s">
        <v>137</v>
      </c>
      <c r="B74" s="19">
        <v>4672.9799999999996</v>
      </c>
      <c r="C74" s="19">
        <v>11280</v>
      </c>
      <c r="D74" s="363">
        <f t="shared" si="2"/>
        <v>41.427127659574467</v>
      </c>
    </row>
    <row r="75" spans="1:4" x14ac:dyDescent="0.3">
      <c r="A75" s="325" t="s">
        <v>250</v>
      </c>
      <c r="B75" s="19">
        <v>5784.46</v>
      </c>
      <c r="C75" s="19">
        <v>13373</v>
      </c>
      <c r="D75" s="363">
        <f t="shared" si="2"/>
        <v>43.254767067972786</v>
      </c>
    </row>
    <row r="76" spans="1:4" x14ac:dyDescent="0.3">
      <c r="A76" s="325" t="s">
        <v>251</v>
      </c>
      <c r="B76" s="19">
        <v>6271.9</v>
      </c>
      <c r="C76" s="19">
        <v>14608</v>
      </c>
      <c r="D76" s="363">
        <f t="shared" si="2"/>
        <v>42.934693318729458</v>
      </c>
    </row>
    <row r="77" spans="1:4" x14ac:dyDescent="0.3">
      <c r="A77" s="325" t="s">
        <v>121</v>
      </c>
      <c r="B77" s="19">
        <v>6969.48</v>
      </c>
      <c r="C77" s="19">
        <v>16484</v>
      </c>
      <c r="D77" s="363">
        <f t="shared" si="2"/>
        <v>42.280271778694491</v>
      </c>
    </row>
    <row r="78" spans="1:4" x14ac:dyDescent="0.3">
      <c r="A78" s="325" t="s">
        <v>140</v>
      </c>
      <c r="B78" s="19">
        <v>5528</v>
      </c>
      <c r="C78" s="19">
        <v>13622</v>
      </c>
      <c r="D78" s="363">
        <f t="shared" si="2"/>
        <v>40.581412421083542</v>
      </c>
    </row>
    <row r="79" spans="1:4" x14ac:dyDescent="0.3">
      <c r="A79" s="325" t="s">
        <v>255</v>
      </c>
      <c r="B79" s="19">
        <v>5318.58</v>
      </c>
      <c r="C79" s="19">
        <v>13369</v>
      </c>
      <c r="D79" s="363">
        <f t="shared" si="2"/>
        <v>39.78293066048321</v>
      </c>
    </row>
    <row r="80" spans="1:4" x14ac:dyDescent="0.3">
      <c r="A80" s="325" t="s">
        <v>128</v>
      </c>
      <c r="B80" s="19">
        <v>4807</v>
      </c>
      <c r="C80" s="19">
        <v>12419</v>
      </c>
      <c r="D80" s="363">
        <f t="shared" si="2"/>
        <v>38.706820194862715</v>
      </c>
    </row>
    <row r="81" spans="1:4" x14ac:dyDescent="0.3">
      <c r="A81" s="325" t="s">
        <v>124</v>
      </c>
      <c r="B81" s="19">
        <v>7833.31</v>
      </c>
      <c r="C81" s="19">
        <v>22037</v>
      </c>
      <c r="D81" s="363">
        <f t="shared" si="2"/>
        <v>35.54617234650815</v>
      </c>
    </row>
    <row r="82" spans="1:4" x14ac:dyDescent="0.3">
      <c r="A82" s="325" t="s">
        <v>259</v>
      </c>
      <c r="B82" s="19">
        <v>5690.69</v>
      </c>
      <c r="C82" s="19">
        <v>15268</v>
      </c>
      <c r="D82" s="363">
        <f t="shared" si="2"/>
        <v>37.272006811632167</v>
      </c>
    </row>
    <row r="83" spans="1:4" x14ac:dyDescent="0.3">
      <c r="A83" s="325" t="s">
        <v>116</v>
      </c>
      <c r="B83" s="19">
        <v>6757.38</v>
      </c>
      <c r="C83" s="19">
        <v>17080</v>
      </c>
      <c r="D83" s="363">
        <f t="shared" si="2"/>
        <v>39.563114754098358</v>
      </c>
    </row>
    <row r="84" spans="1:4" x14ac:dyDescent="0.3">
      <c r="A84" s="325" t="s">
        <v>1140</v>
      </c>
      <c r="B84" s="19">
        <v>5540.49</v>
      </c>
      <c r="C84" s="19">
        <v>15252</v>
      </c>
      <c r="D84" s="363">
        <f t="shared" si="2"/>
        <v>36.326317859952788</v>
      </c>
    </row>
    <row r="85" spans="1:4" x14ac:dyDescent="0.3">
      <c r="A85" s="325" t="s">
        <v>1142</v>
      </c>
      <c r="B85" s="19">
        <v>6937</v>
      </c>
      <c r="C85" s="19">
        <v>18357</v>
      </c>
      <c r="D85" s="363">
        <f t="shared" si="2"/>
        <v>37.789399139292911</v>
      </c>
    </row>
    <row r="86" spans="1:4" x14ac:dyDescent="0.3">
      <c r="A86" s="325" t="s">
        <v>134</v>
      </c>
      <c r="B86" s="19">
        <v>4908.74</v>
      </c>
      <c r="C86" s="19">
        <v>12882</v>
      </c>
      <c r="D86" s="363">
        <f t="shared" si="2"/>
        <v>38.105418413289861</v>
      </c>
    </row>
    <row r="87" spans="1:4" x14ac:dyDescent="0.3">
      <c r="A87" s="325" t="s">
        <v>110</v>
      </c>
      <c r="B87" s="19">
        <v>5602.24</v>
      </c>
      <c r="C87" s="19">
        <v>13786</v>
      </c>
      <c r="D87" s="363">
        <f t="shared" si="2"/>
        <v>40.637168141592916</v>
      </c>
    </row>
    <row r="88" spans="1:4" x14ac:dyDescent="0.3">
      <c r="A88" s="325" t="s">
        <v>119</v>
      </c>
      <c r="B88" s="19">
        <v>9290</v>
      </c>
      <c r="C88" s="19">
        <v>22350</v>
      </c>
      <c r="D88" s="363">
        <f t="shared" si="2"/>
        <v>41.565995525727068</v>
      </c>
    </row>
    <row r="89" spans="1:4" x14ac:dyDescent="0.3">
      <c r="A89" s="325" t="s">
        <v>129</v>
      </c>
      <c r="B89" s="19">
        <v>4244.16</v>
      </c>
      <c r="C89" s="19">
        <v>11681</v>
      </c>
      <c r="D89" s="363">
        <f t="shared" si="2"/>
        <v>36.33387552435579</v>
      </c>
    </row>
    <row r="90" spans="1:4" x14ac:dyDescent="0.3">
      <c r="A90" s="325" t="s">
        <v>111</v>
      </c>
      <c r="B90" s="19">
        <v>4650.05</v>
      </c>
      <c r="C90" s="19">
        <v>11676</v>
      </c>
      <c r="D90" s="363">
        <f t="shared" si="2"/>
        <v>39.825710859883522</v>
      </c>
    </row>
    <row r="91" spans="1:4" x14ac:dyDescent="0.3">
      <c r="A91" s="325" t="s">
        <v>132</v>
      </c>
      <c r="B91" s="19">
        <v>5363.47</v>
      </c>
      <c r="C91" s="19">
        <v>14511</v>
      </c>
      <c r="D91" s="363">
        <f t="shared" si="2"/>
        <v>36.961408586589485</v>
      </c>
    </row>
    <row r="92" spans="1:4" x14ac:dyDescent="0.3">
      <c r="A92" s="325" t="s">
        <v>131</v>
      </c>
      <c r="B92" s="19">
        <v>5687.87</v>
      </c>
      <c r="C92" s="19">
        <v>14223</v>
      </c>
      <c r="D92" s="363">
        <f t="shared" si="2"/>
        <v>39.990648948885607</v>
      </c>
    </row>
    <row r="93" spans="1:4" x14ac:dyDescent="0.3">
      <c r="A93" s="325" t="s">
        <v>120</v>
      </c>
      <c r="B93" s="19"/>
      <c r="C93" s="19"/>
      <c r="D93" s="363"/>
    </row>
    <row r="94" spans="1:4" x14ac:dyDescent="0.3">
      <c r="A94" s="325" t="s">
        <v>115</v>
      </c>
      <c r="B94" s="19">
        <v>6326.04</v>
      </c>
      <c r="C94" s="19">
        <v>16663</v>
      </c>
      <c r="D94" s="363">
        <f t="shared" si="2"/>
        <v>37.964592210286263</v>
      </c>
    </row>
    <row r="95" spans="1:4" x14ac:dyDescent="0.3">
      <c r="A95" s="325" t="s">
        <v>112</v>
      </c>
      <c r="B95" s="19">
        <v>5954.92</v>
      </c>
      <c r="C95" s="19">
        <v>15016</v>
      </c>
      <c r="D95" s="363">
        <f t="shared" si="2"/>
        <v>39.657165689930743</v>
      </c>
    </row>
    <row r="96" spans="1:4" x14ac:dyDescent="0.3">
      <c r="A96" s="325" t="s">
        <v>138</v>
      </c>
      <c r="B96" s="19">
        <v>6377.25</v>
      </c>
      <c r="C96" s="19">
        <v>16811</v>
      </c>
      <c r="D96" s="363">
        <f t="shared" si="2"/>
        <v>37.934983046814587</v>
      </c>
    </row>
    <row r="97" spans="1:4" x14ac:dyDescent="0.3">
      <c r="A97" s="325" t="s">
        <v>122</v>
      </c>
      <c r="B97" s="19">
        <v>8900.58</v>
      </c>
      <c r="C97" s="19">
        <v>22776</v>
      </c>
      <c r="D97" s="363">
        <f t="shared" si="2"/>
        <v>39.078767123287669</v>
      </c>
    </row>
    <row r="98" spans="1:4" x14ac:dyDescent="0.3">
      <c r="A98" s="325" t="s">
        <v>126</v>
      </c>
      <c r="B98" s="19">
        <v>5950</v>
      </c>
      <c r="C98" s="19">
        <v>13867</v>
      </c>
      <c r="D98" s="363">
        <f t="shared" si="2"/>
        <v>42.90762241292277</v>
      </c>
    </row>
    <row r="99" spans="1:4" x14ac:dyDescent="0.3">
      <c r="A99" s="325" t="s">
        <v>135</v>
      </c>
      <c r="B99" s="19">
        <v>6649.81</v>
      </c>
      <c r="C99" s="19">
        <v>16504</v>
      </c>
      <c r="D99" s="363">
        <f t="shared" si="2"/>
        <v>40.292111003393124</v>
      </c>
    </row>
    <row r="100" spans="1:4" x14ac:dyDescent="0.3">
      <c r="A100" s="325" t="s">
        <v>123</v>
      </c>
      <c r="B100" s="19">
        <v>4740</v>
      </c>
      <c r="C100" s="19">
        <v>12069</v>
      </c>
      <c r="D100" s="363">
        <f t="shared" si="2"/>
        <v>39.274173502361421</v>
      </c>
    </row>
    <row r="101" spans="1:4" x14ac:dyDescent="0.3">
      <c r="A101" s="325" t="s">
        <v>139</v>
      </c>
      <c r="B101" s="19">
        <v>6148.77</v>
      </c>
      <c r="C101" s="19">
        <v>16419</v>
      </c>
      <c r="D101" s="363">
        <f t="shared" si="2"/>
        <v>37.449113831536636</v>
      </c>
    </row>
    <row r="102" spans="1:4" x14ac:dyDescent="0.3">
      <c r="A102" s="325" t="s">
        <v>1116</v>
      </c>
      <c r="B102" s="19">
        <v>3284.67</v>
      </c>
      <c r="C102" s="19">
        <v>8407</v>
      </c>
      <c r="D102" s="363">
        <f t="shared" ref="D102:D104" si="3">+B102/C102*100</f>
        <v>39.070655406209113</v>
      </c>
    </row>
    <row r="103" spans="1:4" x14ac:dyDescent="0.3">
      <c r="A103" s="325" t="s">
        <v>1115</v>
      </c>
      <c r="B103" s="19">
        <v>5462.78</v>
      </c>
      <c r="C103" s="19">
        <v>14030</v>
      </c>
      <c r="D103" s="363">
        <f t="shared" si="3"/>
        <v>38.936421952957943</v>
      </c>
    </row>
    <row r="104" spans="1:4" x14ac:dyDescent="0.3">
      <c r="A104" s="364" t="s">
        <v>125</v>
      </c>
      <c r="B104" s="19">
        <v>5929.9</v>
      </c>
      <c r="C104" s="19">
        <v>16028</v>
      </c>
      <c r="D104" s="363">
        <f t="shared" si="3"/>
        <v>36.997130022460688</v>
      </c>
    </row>
    <row r="105" spans="1:4" x14ac:dyDescent="0.3">
      <c r="A105" s="377"/>
      <c r="B105" s="19"/>
      <c r="C105" s="19"/>
      <c r="D105" s="378"/>
    </row>
    <row r="106" spans="1:4" x14ac:dyDescent="0.3">
      <c r="A106" s="377"/>
      <c r="B106" s="19"/>
      <c r="C106" s="19"/>
      <c r="D106" s="378"/>
    </row>
    <row r="107" spans="1:4" ht="15" thickBot="1" x14ac:dyDescent="0.35">
      <c r="A107" s="377"/>
      <c r="B107" s="19"/>
      <c r="C107" s="19"/>
      <c r="D107" s="378"/>
    </row>
    <row r="108" spans="1:4" ht="15" thickBot="1" x14ac:dyDescent="0.35">
      <c r="A108" s="374" t="s">
        <v>1122</v>
      </c>
      <c r="B108" s="375">
        <f>SUM(B6:B105)</f>
        <v>562760.77</v>
      </c>
      <c r="C108" s="375">
        <f>SUM(C6:C105)</f>
        <v>1504400.29</v>
      </c>
      <c r="D108" s="376">
        <f>+B108/C108*100</f>
        <v>37.407648332745268</v>
      </c>
    </row>
  </sheetData>
  <autoFilter ref="A5:D107" xr:uid="{00000000-0009-0000-0000-000004000000}">
    <sortState xmlns:xlrd2="http://schemas.microsoft.com/office/spreadsheetml/2017/richdata2" ref="A6:D107">
      <sortCondition ref="A5:A107"/>
    </sortState>
  </autoFilter>
  <mergeCells count="1">
    <mergeCell ref="A1:G2"/>
  </mergeCells>
  <conditionalFormatting sqref="D6:D10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0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8"/>
  <sheetViews>
    <sheetView topLeftCell="A83" workbookViewId="0">
      <selection activeCell="D94" sqref="D94"/>
    </sheetView>
  </sheetViews>
  <sheetFormatPr baseColWidth="10" defaultRowHeight="14.4" x14ac:dyDescent="0.3"/>
  <cols>
    <col min="1" max="1" width="12.33203125" customWidth="1"/>
  </cols>
  <sheetData>
    <row r="1" spans="1:7" x14ac:dyDescent="0.3">
      <c r="A1" s="441" t="s">
        <v>1181</v>
      </c>
      <c r="B1" s="442"/>
      <c r="C1" s="442"/>
      <c r="D1" s="442"/>
      <c r="E1" s="442"/>
      <c r="F1" s="442"/>
      <c r="G1" s="443"/>
    </row>
    <row r="2" spans="1:7" ht="15" thickBot="1" x14ac:dyDescent="0.35">
      <c r="A2" s="444"/>
      <c r="B2" s="445"/>
      <c r="C2" s="445"/>
      <c r="D2" s="445"/>
      <c r="E2" s="445"/>
      <c r="F2" s="445"/>
      <c r="G2" s="446"/>
    </row>
    <row r="4" spans="1:7" ht="15" thickBot="1" x14ac:dyDescent="0.35"/>
    <row r="5" spans="1:7" x14ac:dyDescent="0.3">
      <c r="A5" s="360" t="s">
        <v>1123</v>
      </c>
      <c r="B5" s="361" t="s">
        <v>1171</v>
      </c>
      <c r="C5" s="361" t="s">
        <v>1132</v>
      </c>
      <c r="D5" s="362" t="s">
        <v>1125</v>
      </c>
    </row>
    <row r="6" spans="1:7" x14ac:dyDescent="0.3">
      <c r="A6" s="325" t="s">
        <v>519</v>
      </c>
      <c r="B6" s="380">
        <v>6095.41</v>
      </c>
      <c r="C6" s="380">
        <v>19148</v>
      </c>
      <c r="D6" s="363">
        <f t="shared" ref="D6:D37" si="0">+B6/C6*100</f>
        <v>31.833141842490075</v>
      </c>
    </row>
    <row r="7" spans="1:7" x14ac:dyDescent="0.3">
      <c r="A7" s="325" t="s">
        <v>1144</v>
      </c>
      <c r="B7" s="380">
        <v>6180</v>
      </c>
      <c r="C7" s="380">
        <v>18864</v>
      </c>
      <c r="D7" s="363">
        <f t="shared" si="0"/>
        <v>32.760814249363868</v>
      </c>
    </row>
    <row r="8" spans="1:7" x14ac:dyDescent="0.3">
      <c r="A8" s="325" t="s">
        <v>1128</v>
      </c>
      <c r="B8" s="380">
        <v>7455.94</v>
      </c>
      <c r="C8" s="380">
        <v>22634</v>
      </c>
      <c r="D8" s="363">
        <f t="shared" si="0"/>
        <v>32.94132720685694</v>
      </c>
    </row>
    <row r="9" spans="1:7" x14ac:dyDescent="0.3">
      <c r="A9" s="325" t="s">
        <v>581</v>
      </c>
      <c r="B9" s="380">
        <v>7428</v>
      </c>
      <c r="C9" s="380">
        <v>22225</v>
      </c>
      <c r="D9" s="363">
        <f t="shared" si="0"/>
        <v>33.421822272215977</v>
      </c>
    </row>
    <row r="10" spans="1:7" x14ac:dyDescent="0.3">
      <c r="A10" s="325" t="s">
        <v>1159</v>
      </c>
      <c r="B10" s="380">
        <v>5951.06</v>
      </c>
      <c r="C10" s="380">
        <v>17772</v>
      </c>
      <c r="D10" s="363">
        <f t="shared" si="0"/>
        <v>33.485595318478509</v>
      </c>
    </row>
    <row r="11" spans="1:7" x14ac:dyDescent="0.3">
      <c r="A11" s="325" t="s">
        <v>1096</v>
      </c>
      <c r="B11" s="380">
        <v>7248.48</v>
      </c>
      <c r="C11" s="380">
        <v>21538</v>
      </c>
      <c r="D11" s="363">
        <f t="shared" si="0"/>
        <v>33.654378308106601</v>
      </c>
    </row>
    <row r="12" spans="1:7" x14ac:dyDescent="0.3">
      <c r="A12" s="325" t="s">
        <v>195</v>
      </c>
      <c r="B12" s="380">
        <v>6000.28</v>
      </c>
      <c r="C12" s="380">
        <v>17801</v>
      </c>
      <c r="D12" s="363">
        <f t="shared" si="0"/>
        <v>33.707544519970789</v>
      </c>
    </row>
    <row r="13" spans="1:7" x14ac:dyDescent="0.3">
      <c r="A13" s="325" t="s">
        <v>1134</v>
      </c>
      <c r="B13" s="380">
        <v>8004.81</v>
      </c>
      <c r="C13" s="380">
        <v>23705</v>
      </c>
      <c r="D13" s="363">
        <f t="shared" si="0"/>
        <v>33.768445475638053</v>
      </c>
    </row>
    <row r="14" spans="1:7" x14ac:dyDescent="0.3">
      <c r="A14" s="325" t="s">
        <v>1091</v>
      </c>
      <c r="B14" s="380">
        <v>4899.93</v>
      </c>
      <c r="C14" s="380">
        <v>14456</v>
      </c>
      <c r="D14" s="363">
        <f t="shared" si="0"/>
        <v>33.895475926950745</v>
      </c>
    </row>
    <row r="15" spans="1:7" x14ac:dyDescent="0.3">
      <c r="A15" s="325" t="s">
        <v>522</v>
      </c>
      <c r="B15" s="380">
        <v>4517.99</v>
      </c>
      <c r="C15" s="380">
        <v>13283</v>
      </c>
      <c r="D15" s="363">
        <f t="shared" si="0"/>
        <v>34.013325303018895</v>
      </c>
    </row>
    <row r="16" spans="1:7" x14ac:dyDescent="0.3">
      <c r="A16" s="325" t="s">
        <v>1156</v>
      </c>
      <c r="B16" s="380">
        <v>5624</v>
      </c>
      <c r="C16" s="380">
        <v>16520</v>
      </c>
      <c r="D16" s="363">
        <f t="shared" si="0"/>
        <v>34.043583535108958</v>
      </c>
    </row>
    <row r="17" spans="1:4" x14ac:dyDescent="0.3">
      <c r="A17" s="325" t="s">
        <v>748</v>
      </c>
      <c r="B17" s="380">
        <v>5761</v>
      </c>
      <c r="C17" s="380">
        <v>16876</v>
      </c>
      <c r="D17" s="363">
        <f t="shared" si="0"/>
        <v>34.137236311922258</v>
      </c>
    </row>
    <row r="18" spans="1:4" x14ac:dyDescent="0.3">
      <c r="A18" s="325" t="s">
        <v>1173</v>
      </c>
      <c r="B18" s="380">
        <v>6481.21</v>
      </c>
      <c r="C18" s="380">
        <v>18981</v>
      </c>
      <c r="D18" s="363">
        <f t="shared" si="0"/>
        <v>34.145777356303675</v>
      </c>
    </row>
    <row r="19" spans="1:4" x14ac:dyDescent="0.3">
      <c r="A19" s="325" t="s">
        <v>1129</v>
      </c>
      <c r="B19" s="380">
        <v>4860.9799999999996</v>
      </c>
      <c r="C19" s="380">
        <v>14110</v>
      </c>
      <c r="D19" s="363">
        <f t="shared" si="0"/>
        <v>34.450602409638556</v>
      </c>
    </row>
    <row r="20" spans="1:4" x14ac:dyDescent="0.3">
      <c r="A20" s="325" t="s">
        <v>424</v>
      </c>
      <c r="B20" s="380">
        <v>7332.27</v>
      </c>
      <c r="C20" s="380">
        <v>21207</v>
      </c>
      <c r="D20" s="363">
        <f t="shared" si="0"/>
        <v>34.574763049936344</v>
      </c>
    </row>
    <row r="21" spans="1:4" x14ac:dyDescent="0.3">
      <c r="A21" s="325" t="s">
        <v>1143</v>
      </c>
      <c r="B21" s="380">
        <v>5132.8</v>
      </c>
      <c r="C21" s="380">
        <v>14783</v>
      </c>
      <c r="D21" s="363">
        <f t="shared" si="0"/>
        <v>34.720963268619357</v>
      </c>
    </row>
    <row r="22" spans="1:4" x14ac:dyDescent="0.3">
      <c r="A22" s="325" t="s">
        <v>1126</v>
      </c>
      <c r="B22" s="380">
        <v>6724.62</v>
      </c>
      <c r="C22" s="380">
        <v>19330</v>
      </c>
      <c r="D22" s="363">
        <f t="shared" si="0"/>
        <v>34.788515261251938</v>
      </c>
    </row>
    <row r="23" spans="1:4" x14ac:dyDescent="0.3">
      <c r="A23" s="325" t="s">
        <v>438</v>
      </c>
      <c r="B23" s="380">
        <v>7922.36</v>
      </c>
      <c r="C23" s="380">
        <v>22622</v>
      </c>
      <c r="D23" s="363">
        <f t="shared" si="0"/>
        <v>35.020599416497213</v>
      </c>
    </row>
    <row r="24" spans="1:4" x14ac:dyDescent="0.3">
      <c r="A24" s="325" t="s">
        <v>440</v>
      </c>
      <c r="B24" s="380">
        <v>7607.53</v>
      </c>
      <c r="C24" s="380">
        <v>21590</v>
      </c>
      <c r="D24" s="363">
        <f t="shared" si="0"/>
        <v>35.236359425660027</v>
      </c>
    </row>
    <row r="25" spans="1:4" x14ac:dyDescent="0.3">
      <c r="A25" s="325" t="s">
        <v>259</v>
      </c>
      <c r="B25" s="380">
        <v>4984</v>
      </c>
      <c r="C25" s="380">
        <v>14126</v>
      </c>
      <c r="D25" s="363">
        <f t="shared" si="0"/>
        <v>35.282457879088206</v>
      </c>
    </row>
    <row r="26" spans="1:4" x14ac:dyDescent="0.3">
      <c r="A26" s="325" t="s">
        <v>1140</v>
      </c>
      <c r="B26" s="380">
        <v>5141</v>
      </c>
      <c r="C26" s="380">
        <v>14523</v>
      </c>
      <c r="D26" s="363">
        <f t="shared" si="0"/>
        <v>35.399022240583896</v>
      </c>
    </row>
    <row r="27" spans="1:4" x14ac:dyDescent="0.3">
      <c r="A27" s="325" t="s">
        <v>540</v>
      </c>
      <c r="B27" s="380">
        <v>6793.47</v>
      </c>
      <c r="C27" s="380">
        <v>19142</v>
      </c>
      <c r="D27" s="363">
        <f t="shared" si="0"/>
        <v>35.489865217845576</v>
      </c>
    </row>
    <row r="28" spans="1:4" x14ac:dyDescent="0.3">
      <c r="A28" s="325" t="s">
        <v>427</v>
      </c>
      <c r="B28" s="380">
        <v>6960</v>
      </c>
      <c r="C28" s="380">
        <v>19571</v>
      </c>
      <c r="D28" s="363">
        <f t="shared" si="0"/>
        <v>35.562822543559349</v>
      </c>
    </row>
    <row r="29" spans="1:4" x14ac:dyDescent="0.3">
      <c r="A29" s="325" t="s">
        <v>214</v>
      </c>
      <c r="B29" s="380">
        <v>5392.8</v>
      </c>
      <c r="C29" s="380">
        <v>15138</v>
      </c>
      <c r="D29" s="363">
        <f t="shared" si="0"/>
        <v>35.624256837098692</v>
      </c>
    </row>
    <row r="30" spans="1:4" x14ac:dyDescent="0.3">
      <c r="A30" s="325" t="s">
        <v>222</v>
      </c>
      <c r="B30" s="380">
        <v>5875.46</v>
      </c>
      <c r="C30" s="380">
        <v>16478</v>
      </c>
      <c r="D30" s="363">
        <f t="shared" si="0"/>
        <v>35.656390338633329</v>
      </c>
    </row>
    <row r="31" spans="1:4" x14ac:dyDescent="0.3">
      <c r="A31" s="325" t="s">
        <v>1154</v>
      </c>
      <c r="B31" s="380">
        <v>7384.83</v>
      </c>
      <c r="C31" s="380">
        <v>20640</v>
      </c>
      <c r="D31" s="363">
        <f t="shared" si="0"/>
        <v>35.779215116279069</v>
      </c>
    </row>
    <row r="32" spans="1:4" x14ac:dyDescent="0.3">
      <c r="A32" s="325" t="s">
        <v>1094</v>
      </c>
      <c r="B32" s="380">
        <v>5899</v>
      </c>
      <c r="C32" s="380">
        <v>16486</v>
      </c>
      <c r="D32" s="363">
        <f t="shared" si="0"/>
        <v>35.781875530753368</v>
      </c>
    </row>
    <row r="33" spans="1:4" x14ac:dyDescent="0.3">
      <c r="A33" s="325" t="s">
        <v>1157</v>
      </c>
      <c r="B33" s="380">
        <v>6748</v>
      </c>
      <c r="C33" s="380">
        <v>18845</v>
      </c>
      <c r="D33" s="363">
        <f t="shared" si="0"/>
        <v>35.807906606526927</v>
      </c>
    </row>
    <row r="34" spans="1:4" x14ac:dyDescent="0.3">
      <c r="A34" s="325" t="s">
        <v>1151</v>
      </c>
      <c r="B34" s="380">
        <v>6764</v>
      </c>
      <c r="C34" s="380">
        <v>18837</v>
      </c>
      <c r="D34" s="363">
        <f t="shared" si="0"/>
        <v>35.908053299357647</v>
      </c>
    </row>
    <row r="35" spans="1:4" x14ac:dyDescent="0.3">
      <c r="A35" s="325" t="s">
        <v>1133</v>
      </c>
      <c r="B35" s="380">
        <v>7199.65</v>
      </c>
      <c r="C35" s="380">
        <v>20041</v>
      </c>
      <c r="D35" s="363">
        <f t="shared" si="0"/>
        <v>35.924604560650664</v>
      </c>
    </row>
    <row r="36" spans="1:4" x14ac:dyDescent="0.3">
      <c r="A36" s="325" t="s">
        <v>1180</v>
      </c>
      <c r="B36" s="380">
        <v>4926.51</v>
      </c>
      <c r="C36" s="380">
        <v>13702</v>
      </c>
      <c r="D36" s="363">
        <f t="shared" si="0"/>
        <v>35.954678149175308</v>
      </c>
    </row>
    <row r="37" spans="1:4" x14ac:dyDescent="0.3">
      <c r="A37" s="325" t="s">
        <v>131</v>
      </c>
      <c r="B37" s="380">
        <v>5740</v>
      </c>
      <c r="C37" s="380">
        <v>15959</v>
      </c>
      <c r="D37" s="363">
        <f t="shared" si="0"/>
        <v>35.967165862522712</v>
      </c>
    </row>
    <row r="38" spans="1:4" x14ac:dyDescent="0.3">
      <c r="A38" s="325" t="s">
        <v>1179</v>
      </c>
      <c r="B38" s="380">
        <v>6858.67</v>
      </c>
      <c r="C38" s="380">
        <v>19062</v>
      </c>
      <c r="D38" s="363">
        <f t="shared" ref="D38:D69" si="1">+B38/C38*100</f>
        <v>35.980851956772639</v>
      </c>
    </row>
    <row r="39" spans="1:4" x14ac:dyDescent="0.3">
      <c r="A39" s="325" t="s">
        <v>130</v>
      </c>
      <c r="B39" s="380">
        <v>7137.4</v>
      </c>
      <c r="C39" s="380">
        <v>19828</v>
      </c>
      <c r="D39" s="363">
        <f t="shared" si="1"/>
        <v>35.996570506354644</v>
      </c>
    </row>
    <row r="40" spans="1:4" x14ac:dyDescent="0.3">
      <c r="A40" s="325" t="s">
        <v>1135</v>
      </c>
      <c r="B40" s="380">
        <v>4932.78</v>
      </c>
      <c r="C40" s="380">
        <v>13695</v>
      </c>
      <c r="D40" s="363">
        <f t="shared" si="1"/>
        <v>36.018838992332967</v>
      </c>
    </row>
    <row r="41" spans="1:4" x14ac:dyDescent="0.3">
      <c r="A41" s="325" t="s">
        <v>1090</v>
      </c>
      <c r="B41" s="380">
        <v>8228.67</v>
      </c>
      <c r="C41" s="380">
        <v>22827</v>
      </c>
      <c r="D41" s="363">
        <f t="shared" si="1"/>
        <v>36.047969509791038</v>
      </c>
    </row>
    <row r="42" spans="1:4" x14ac:dyDescent="0.3">
      <c r="A42" s="325" t="s">
        <v>139</v>
      </c>
      <c r="B42" s="380">
        <v>5438</v>
      </c>
      <c r="C42" s="380">
        <v>15084</v>
      </c>
      <c r="D42" s="363">
        <f t="shared" si="1"/>
        <v>36.051445239989391</v>
      </c>
    </row>
    <row r="43" spans="1:4" x14ac:dyDescent="0.3">
      <c r="A43" s="325" t="s">
        <v>124</v>
      </c>
      <c r="B43" s="380">
        <v>3107</v>
      </c>
      <c r="C43" s="380">
        <v>8615</v>
      </c>
      <c r="D43" s="363">
        <f t="shared" si="1"/>
        <v>36.065002901915264</v>
      </c>
    </row>
    <row r="44" spans="1:4" x14ac:dyDescent="0.3">
      <c r="A44" s="325" t="s">
        <v>1117</v>
      </c>
      <c r="B44" s="380">
        <v>6553.75</v>
      </c>
      <c r="C44" s="380">
        <v>18163</v>
      </c>
      <c r="D44" s="363">
        <f t="shared" si="1"/>
        <v>36.082970874855476</v>
      </c>
    </row>
    <row r="45" spans="1:4" x14ac:dyDescent="0.3">
      <c r="A45" s="325" t="s">
        <v>433</v>
      </c>
      <c r="B45" s="380">
        <v>5343.43</v>
      </c>
      <c r="C45" s="380">
        <v>14800</v>
      </c>
      <c r="D45" s="363">
        <f t="shared" si="1"/>
        <v>36.104256756756762</v>
      </c>
    </row>
    <row r="46" spans="1:4" x14ac:dyDescent="0.3">
      <c r="A46" s="325" t="s">
        <v>1139</v>
      </c>
      <c r="B46" s="380">
        <v>5513.54</v>
      </c>
      <c r="C46" s="380">
        <v>15246</v>
      </c>
      <c r="D46" s="363">
        <f t="shared" si="1"/>
        <v>36.163846254755342</v>
      </c>
    </row>
    <row r="47" spans="1:4" x14ac:dyDescent="0.3">
      <c r="A47" s="325" t="s">
        <v>1155</v>
      </c>
      <c r="B47" s="380">
        <v>5670.22</v>
      </c>
      <c r="C47" s="380">
        <v>15662</v>
      </c>
      <c r="D47" s="363">
        <f t="shared" si="1"/>
        <v>36.203677691227178</v>
      </c>
    </row>
    <row r="48" spans="1:4" x14ac:dyDescent="0.3">
      <c r="A48" s="325" t="s">
        <v>128</v>
      </c>
      <c r="B48" s="380">
        <v>5197</v>
      </c>
      <c r="C48" s="380">
        <v>14351</v>
      </c>
      <c r="D48" s="363">
        <f t="shared" si="1"/>
        <v>36.213504285415645</v>
      </c>
    </row>
    <row r="49" spans="1:4" x14ac:dyDescent="0.3">
      <c r="A49" s="325" t="s">
        <v>1116</v>
      </c>
      <c r="B49" s="380">
        <v>6863</v>
      </c>
      <c r="C49" s="380">
        <v>18887</v>
      </c>
      <c r="D49" s="363">
        <f t="shared" si="1"/>
        <v>36.337163128077513</v>
      </c>
    </row>
    <row r="50" spans="1:4" x14ac:dyDescent="0.3">
      <c r="A50" s="325" t="s">
        <v>1095</v>
      </c>
      <c r="B50" s="380">
        <v>6510</v>
      </c>
      <c r="C50" s="380">
        <v>17884</v>
      </c>
      <c r="D50" s="363">
        <f t="shared" si="1"/>
        <v>36.401252516215607</v>
      </c>
    </row>
    <row r="51" spans="1:4" x14ac:dyDescent="0.3">
      <c r="A51" s="325" t="s">
        <v>422</v>
      </c>
      <c r="B51" s="380">
        <v>7667.18</v>
      </c>
      <c r="C51" s="380">
        <v>21048</v>
      </c>
      <c r="D51" s="363">
        <f t="shared" si="1"/>
        <v>36.427118966172564</v>
      </c>
    </row>
    <row r="52" spans="1:4" x14ac:dyDescent="0.3">
      <c r="A52" s="325" t="s">
        <v>218</v>
      </c>
      <c r="B52" s="380">
        <v>4986.8</v>
      </c>
      <c r="C52" s="380">
        <v>13682</v>
      </c>
      <c r="D52" s="363">
        <f t="shared" si="1"/>
        <v>36.447887735711156</v>
      </c>
    </row>
    <row r="53" spans="1:4" x14ac:dyDescent="0.3">
      <c r="A53" s="325" t="s">
        <v>754</v>
      </c>
      <c r="B53" s="380">
        <v>5208.79</v>
      </c>
      <c r="C53" s="380">
        <v>14271</v>
      </c>
      <c r="D53" s="363">
        <f t="shared" si="1"/>
        <v>36.499124097820754</v>
      </c>
    </row>
    <row r="54" spans="1:4" x14ac:dyDescent="0.3">
      <c r="A54" s="325" t="s">
        <v>1118</v>
      </c>
      <c r="B54" s="380">
        <v>7192.94</v>
      </c>
      <c r="C54" s="380">
        <v>19586</v>
      </c>
      <c r="D54" s="363">
        <f t="shared" si="1"/>
        <v>36.724905544776881</v>
      </c>
    </row>
    <row r="55" spans="1:4" x14ac:dyDescent="0.3">
      <c r="A55" s="325" t="s">
        <v>115</v>
      </c>
      <c r="B55" s="380">
        <v>5064</v>
      </c>
      <c r="C55" s="380">
        <v>13717</v>
      </c>
      <c r="D55" s="363">
        <f t="shared" si="1"/>
        <v>36.917693373186552</v>
      </c>
    </row>
    <row r="56" spans="1:4" x14ac:dyDescent="0.3">
      <c r="A56" s="325" t="s">
        <v>220</v>
      </c>
      <c r="B56" s="380">
        <v>6264.65</v>
      </c>
      <c r="C56" s="380">
        <v>16955</v>
      </c>
      <c r="D56" s="363">
        <f t="shared" si="1"/>
        <v>36.948687702742546</v>
      </c>
    </row>
    <row r="57" spans="1:4" x14ac:dyDescent="0.3">
      <c r="A57" s="325" t="s">
        <v>193</v>
      </c>
      <c r="B57" s="380">
        <v>5371.61</v>
      </c>
      <c r="C57" s="380">
        <v>14518</v>
      </c>
      <c r="D57" s="363">
        <f t="shared" si="1"/>
        <v>36.999655599944894</v>
      </c>
    </row>
    <row r="58" spans="1:4" x14ac:dyDescent="0.3">
      <c r="A58" s="325" t="s">
        <v>192</v>
      </c>
      <c r="B58" s="380">
        <v>5069.72</v>
      </c>
      <c r="C58" s="380">
        <v>13689</v>
      </c>
      <c r="D58" s="363">
        <f t="shared" si="1"/>
        <v>37.034991599094162</v>
      </c>
    </row>
    <row r="59" spans="1:4" x14ac:dyDescent="0.3">
      <c r="A59" s="325" t="s">
        <v>768</v>
      </c>
      <c r="B59" s="380">
        <v>6141.92</v>
      </c>
      <c r="C59" s="380">
        <v>16582</v>
      </c>
      <c r="D59" s="363">
        <f t="shared" si="1"/>
        <v>37.039681582438789</v>
      </c>
    </row>
    <row r="60" spans="1:4" x14ac:dyDescent="0.3">
      <c r="A60" s="325" t="s">
        <v>132</v>
      </c>
      <c r="B60" s="380">
        <v>990</v>
      </c>
      <c r="C60" s="380">
        <v>2666</v>
      </c>
      <c r="D60" s="363">
        <f t="shared" si="1"/>
        <v>37.13428357089272</v>
      </c>
    </row>
    <row r="61" spans="1:4" x14ac:dyDescent="0.3">
      <c r="A61" s="325" t="s">
        <v>1115</v>
      </c>
      <c r="B61" s="380">
        <v>4102</v>
      </c>
      <c r="C61" s="380">
        <v>11040</v>
      </c>
      <c r="D61" s="363">
        <f t="shared" si="1"/>
        <v>37.155797101449274</v>
      </c>
    </row>
    <row r="62" spans="1:4" x14ac:dyDescent="0.3">
      <c r="A62" s="325" t="s">
        <v>1142</v>
      </c>
      <c r="B62" s="380">
        <v>3214</v>
      </c>
      <c r="C62" s="380">
        <v>8628</v>
      </c>
      <c r="D62" s="363">
        <f t="shared" si="1"/>
        <v>37.250811312007421</v>
      </c>
    </row>
    <row r="63" spans="1:4" x14ac:dyDescent="0.3">
      <c r="A63" s="325" t="s">
        <v>138</v>
      </c>
      <c r="B63" s="380">
        <v>4208</v>
      </c>
      <c r="C63" s="380">
        <v>11264</v>
      </c>
      <c r="D63" s="363">
        <f t="shared" si="1"/>
        <v>37.357954545454547</v>
      </c>
    </row>
    <row r="64" spans="1:4" x14ac:dyDescent="0.3">
      <c r="A64" s="325" t="s">
        <v>1153</v>
      </c>
      <c r="B64" s="380">
        <v>8183.81</v>
      </c>
      <c r="C64" s="380">
        <v>21843</v>
      </c>
      <c r="D64" s="363">
        <f t="shared" si="1"/>
        <v>37.466511010392345</v>
      </c>
    </row>
    <row r="65" spans="1:4" x14ac:dyDescent="0.3">
      <c r="A65" s="325" t="s">
        <v>134</v>
      </c>
      <c r="B65" s="380">
        <v>3279</v>
      </c>
      <c r="C65" s="380">
        <v>8686</v>
      </c>
      <c r="D65" s="363">
        <f t="shared" si="1"/>
        <v>37.750402947271475</v>
      </c>
    </row>
    <row r="66" spans="1:4" x14ac:dyDescent="0.3">
      <c r="A66" s="325" t="s">
        <v>1152</v>
      </c>
      <c r="B66" s="380">
        <v>4294</v>
      </c>
      <c r="C66" s="380">
        <v>11360</v>
      </c>
      <c r="D66" s="363">
        <f t="shared" si="1"/>
        <v>37.799295774647888</v>
      </c>
    </row>
    <row r="67" spans="1:4" x14ac:dyDescent="0.3">
      <c r="A67" s="325" t="s">
        <v>212</v>
      </c>
      <c r="B67" s="380">
        <v>5401.18</v>
      </c>
      <c r="C67" s="380">
        <v>14106</v>
      </c>
      <c r="D67" s="363">
        <f t="shared" si="1"/>
        <v>38.28994754005388</v>
      </c>
    </row>
    <row r="68" spans="1:4" x14ac:dyDescent="0.3">
      <c r="A68" s="325" t="s">
        <v>191</v>
      </c>
      <c r="B68" s="380">
        <v>5587.31</v>
      </c>
      <c r="C68" s="380">
        <v>14587</v>
      </c>
      <c r="D68" s="363">
        <f t="shared" si="1"/>
        <v>38.303352299993151</v>
      </c>
    </row>
    <row r="69" spans="1:4" x14ac:dyDescent="0.3">
      <c r="A69" s="325" t="s">
        <v>1136</v>
      </c>
      <c r="B69" s="380">
        <v>5494.44</v>
      </c>
      <c r="C69" s="380">
        <v>14336</v>
      </c>
      <c r="D69" s="363">
        <f t="shared" si="1"/>
        <v>38.326171875</v>
      </c>
    </row>
    <row r="70" spans="1:4" x14ac:dyDescent="0.3">
      <c r="A70" s="325" t="s">
        <v>184</v>
      </c>
      <c r="B70" s="380">
        <v>6715.8</v>
      </c>
      <c r="C70" s="380">
        <v>17470</v>
      </c>
      <c r="D70" s="363">
        <f t="shared" ref="D70:D101" si="2">+B70/C70*100</f>
        <v>38.44190040068689</v>
      </c>
    </row>
    <row r="71" spans="1:4" x14ac:dyDescent="0.3">
      <c r="A71" s="325" t="s">
        <v>187</v>
      </c>
      <c r="B71" s="380">
        <v>7165.57</v>
      </c>
      <c r="C71" s="380">
        <v>18597</v>
      </c>
      <c r="D71" s="363">
        <f t="shared" si="2"/>
        <v>38.530784535140072</v>
      </c>
    </row>
    <row r="72" spans="1:4" x14ac:dyDescent="0.3">
      <c r="A72" s="325" t="s">
        <v>1158</v>
      </c>
      <c r="B72" s="380">
        <v>5343.68</v>
      </c>
      <c r="C72" s="380">
        <v>13836</v>
      </c>
      <c r="D72" s="363">
        <f t="shared" si="2"/>
        <v>38.621566926857476</v>
      </c>
    </row>
    <row r="73" spans="1:4" x14ac:dyDescent="0.3">
      <c r="A73" s="325" t="s">
        <v>109</v>
      </c>
      <c r="B73" s="380">
        <v>5671.48</v>
      </c>
      <c r="C73" s="380">
        <v>14656</v>
      </c>
      <c r="D73" s="363">
        <f t="shared" si="2"/>
        <v>38.69732532751091</v>
      </c>
    </row>
    <row r="74" spans="1:4" x14ac:dyDescent="0.3">
      <c r="A74" s="325" t="s">
        <v>110</v>
      </c>
      <c r="B74" s="380">
        <v>6346</v>
      </c>
      <c r="C74" s="380">
        <v>16382</v>
      </c>
      <c r="D74" s="363">
        <f t="shared" si="2"/>
        <v>38.73763887193261</v>
      </c>
    </row>
    <row r="75" spans="1:4" x14ac:dyDescent="0.3">
      <c r="A75" s="325" t="s">
        <v>209</v>
      </c>
      <c r="B75" s="380">
        <v>5627.4</v>
      </c>
      <c r="C75" s="380">
        <v>14456</v>
      </c>
      <c r="D75" s="363">
        <f t="shared" si="2"/>
        <v>38.927780852241284</v>
      </c>
    </row>
    <row r="76" spans="1:4" x14ac:dyDescent="0.3">
      <c r="A76" s="325" t="s">
        <v>1137</v>
      </c>
      <c r="B76" s="380">
        <v>4623.83</v>
      </c>
      <c r="C76" s="380">
        <v>11876</v>
      </c>
      <c r="D76" s="363">
        <f t="shared" si="2"/>
        <v>38.934237116874371</v>
      </c>
    </row>
    <row r="77" spans="1:4" x14ac:dyDescent="0.3">
      <c r="A77" s="325" t="s">
        <v>125</v>
      </c>
      <c r="B77" s="380">
        <v>4444</v>
      </c>
      <c r="C77" s="380">
        <v>11390</v>
      </c>
      <c r="D77" s="363">
        <f t="shared" si="2"/>
        <v>39.016681299385425</v>
      </c>
    </row>
    <row r="78" spans="1:4" x14ac:dyDescent="0.3">
      <c r="A78" s="325" t="s">
        <v>1148</v>
      </c>
      <c r="B78" s="380">
        <v>6534.43</v>
      </c>
      <c r="C78" s="380">
        <v>16717</v>
      </c>
      <c r="D78" s="363">
        <f t="shared" si="2"/>
        <v>39.088532631453013</v>
      </c>
    </row>
    <row r="79" spans="1:4" x14ac:dyDescent="0.3">
      <c r="A79" s="325" t="s">
        <v>1141</v>
      </c>
      <c r="B79" s="380">
        <v>7582</v>
      </c>
      <c r="C79" s="380">
        <v>19355</v>
      </c>
      <c r="D79" s="363">
        <f t="shared" si="2"/>
        <v>39.173340222164818</v>
      </c>
    </row>
    <row r="80" spans="1:4" x14ac:dyDescent="0.3">
      <c r="A80" s="325" t="s">
        <v>119</v>
      </c>
      <c r="B80" s="380">
        <v>5310</v>
      </c>
      <c r="C80" s="380">
        <v>13550</v>
      </c>
      <c r="D80" s="363">
        <f t="shared" si="2"/>
        <v>39.188191881918819</v>
      </c>
    </row>
    <row r="81" spans="1:4" x14ac:dyDescent="0.3">
      <c r="A81" s="325" t="s">
        <v>129</v>
      </c>
      <c r="B81" s="380">
        <v>5310</v>
      </c>
      <c r="C81" s="380">
        <v>13550</v>
      </c>
      <c r="D81" s="363">
        <f t="shared" si="2"/>
        <v>39.188191881918819</v>
      </c>
    </row>
    <row r="82" spans="1:4" x14ac:dyDescent="0.3">
      <c r="A82" s="325" t="s">
        <v>137</v>
      </c>
      <c r="B82" s="380">
        <v>3124.68</v>
      </c>
      <c r="C82" s="380">
        <v>7971</v>
      </c>
      <c r="D82" s="363">
        <f t="shared" si="2"/>
        <v>39.200602182913059</v>
      </c>
    </row>
    <row r="83" spans="1:4" x14ac:dyDescent="0.3">
      <c r="A83" s="325" t="s">
        <v>1130</v>
      </c>
      <c r="B83" s="380">
        <v>6294.44</v>
      </c>
      <c r="C83" s="380">
        <v>15997</v>
      </c>
      <c r="D83" s="363">
        <f t="shared" si="2"/>
        <v>39.347627680190037</v>
      </c>
    </row>
    <row r="84" spans="1:4" x14ac:dyDescent="0.3">
      <c r="A84" s="325" t="s">
        <v>135</v>
      </c>
      <c r="B84" s="380">
        <v>4539</v>
      </c>
      <c r="C84" s="380">
        <v>11531</v>
      </c>
      <c r="D84" s="363">
        <f t="shared" si="2"/>
        <v>39.363455034255487</v>
      </c>
    </row>
    <row r="85" spans="1:4" x14ac:dyDescent="0.3">
      <c r="A85" s="325" t="s">
        <v>189</v>
      </c>
      <c r="B85" s="380">
        <v>3080.61</v>
      </c>
      <c r="C85" s="380">
        <v>7805</v>
      </c>
      <c r="D85" s="363">
        <f t="shared" si="2"/>
        <v>39.46969891095452</v>
      </c>
    </row>
    <row r="86" spans="1:4" x14ac:dyDescent="0.3">
      <c r="A86" s="325" t="s">
        <v>1092</v>
      </c>
      <c r="B86" s="380">
        <v>3285</v>
      </c>
      <c r="C86" s="380">
        <v>8303</v>
      </c>
      <c r="D86" s="363">
        <f t="shared" si="2"/>
        <v>39.564013007346745</v>
      </c>
    </row>
    <row r="87" spans="1:4" x14ac:dyDescent="0.3">
      <c r="A87" s="325" t="s">
        <v>216</v>
      </c>
      <c r="B87" s="380">
        <v>5437.8</v>
      </c>
      <c r="C87" s="380">
        <v>13729</v>
      </c>
      <c r="D87" s="363">
        <f t="shared" si="2"/>
        <v>39.60812877849807</v>
      </c>
    </row>
    <row r="88" spans="1:4" x14ac:dyDescent="0.3">
      <c r="A88" s="325" t="s">
        <v>111</v>
      </c>
      <c r="B88" s="380">
        <v>5072</v>
      </c>
      <c r="C88" s="380">
        <v>12777</v>
      </c>
      <c r="D88" s="363">
        <f t="shared" si="2"/>
        <v>39.696329341786026</v>
      </c>
    </row>
    <row r="89" spans="1:4" x14ac:dyDescent="0.3">
      <c r="A89" s="325" t="s">
        <v>116</v>
      </c>
      <c r="B89" s="380">
        <v>7002</v>
      </c>
      <c r="C89" s="380">
        <v>17610</v>
      </c>
      <c r="D89" s="363">
        <f t="shared" si="2"/>
        <v>39.761499148211243</v>
      </c>
    </row>
    <row r="90" spans="1:4" x14ac:dyDescent="0.3">
      <c r="A90" s="325" t="s">
        <v>302</v>
      </c>
      <c r="B90" s="380">
        <v>7757.68</v>
      </c>
      <c r="C90" s="380">
        <v>19479</v>
      </c>
      <c r="D90" s="363">
        <f t="shared" si="2"/>
        <v>39.825863750705892</v>
      </c>
    </row>
    <row r="91" spans="1:4" x14ac:dyDescent="0.3">
      <c r="A91" s="325" t="s">
        <v>140</v>
      </c>
      <c r="B91" s="380">
        <v>4197</v>
      </c>
      <c r="C91" s="380">
        <v>10538</v>
      </c>
      <c r="D91" s="363">
        <f t="shared" si="2"/>
        <v>39.827291706206111</v>
      </c>
    </row>
    <row r="92" spans="1:4" x14ac:dyDescent="0.3">
      <c r="A92" s="325" t="s">
        <v>112</v>
      </c>
      <c r="B92" s="380">
        <v>3326</v>
      </c>
      <c r="C92" s="380">
        <v>8304</v>
      </c>
      <c r="D92" s="363">
        <f t="shared" si="2"/>
        <v>40.052986512524086</v>
      </c>
    </row>
    <row r="93" spans="1:4" x14ac:dyDescent="0.3">
      <c r="A93" s="325" t="s">
        <v>120</v>
      </c>
      <c r="B93" s="380">
        <v>2645</v>
      </c>
      <c r="C93" s="380">
        <v>6592</v>
      </c>
      <c r="D93" s="363">
        <f t="shared" si="2"/>
        <v>40.124393203883493</v>
      </c>
    </row>
    <row r="94" spans="1:4" x14ac:dyDescent="0.3">
      <c r="A94" s="325" t="s">
        <v>1150</v>
      </c>
      <c r="B94" s="380">
        <v>5835.45</v>
      </c>
      <c r="C94" s="380">
        <v>14516</v>
      </c>
      <c r="D94" s="363">
        <f t="shared" si="2"/>
        <v>40.200124001102232</v>
      </c>
    </row>
    <row r="95" spans="1:4" x14ac:dyDescent="0.3">
      <c r="A95" s="325" t="s">
        <v>255</v>
      </c>
      <c r="B95" s="380">
        <v>3407</v>
      </c>
      <c r="C95" s="380">
        <v>8375</v>
      </c>
      <c r="D95" s="363">
        <f t="shared" si="2"/>
        <v>40.680597014925375</v>
      </c>
    </row>
    <row r="96" spans="1:4" x14ac:dyDescent="0.3">
      <c r="A96" s="325" t="s">
        <v>123</v>
      </c>
      <c r="B96" s="380">
        <v>8262</v>
      </c>
      <c r="C96" s="380">
        <v>20232</v>
      </c>
      <c r="D96" s="363">
        <f t="shared" si="2"/>
        <v>40.836298932384338</v>
      </c>
    </row>
    <row r="97" spans="1:4" x14ac:dyDescent="0.3">
      <c r="A97" s="325" t="s">
        <v>1138</v>
      </c>
      <c r="B97" s="380">
        <v>5621.79</v>
      </c>
      <c r="C97" s="380">
        <v>13706</v>
      </c>
      <c r="D97" s="363">
        <f t="shared" si="2"/>
        <v>41.016999854078506</v>
      </c>
    </row>
    <row r="98" spans="1:4" x14ac:dyDescent="0.3">
      <c r="A98" s="325" t="s">
        <v>122</v>
      </c>
      <c r="B98" s="380">
        <v>2224</v>
      </c>
      <c r="C98" s="380">
        <v>5304</v>
      </c>
      <c r="D98" s="363">
        <f t="shared" si="2"/>
        <v>41.930618401206637</v>
      </c>
    </row>
    <row r="99" spans="1:4" x14ac:dyDescent="0.3">
      <c r="A99" s="325" t="s">
        <v>126</v>
      </c>
      <c r="B99" s="380">
        <v>7232</v>
      </c>
      <c r="C99" s="380">
        <v>17106</v>
      </c>
      <c r="D99" s="363">
        <f t="shared" si="2"/>
        <v>42.277563428036949</v>
      </c>
    </row>
    <row r="100" spans="1:4" x14ac:dyDescent="0.3">
      <c r="A100" s="325" t="s">
        <v>180</v>
      </c>
      <c r="B100" s="380">
        <v>7817.52</v>
      </c>
      <c r="C100" s="380">
        <v>18473</v>
      </c>
      <c r="D100" s="363">
        <f t="shared" si="2"/>
        <v>42.318627185622262</v>
      </c>
    </row>
    <row r="101" spans="1:4" x14ac:dyDescent="0.3">
      <c r="A101" s="325" t="s">
        <v>121</v>
      </c>
      <c r="B101" s="380">
        <v>6148</v>
      </c>
      <c r="C101" s="380">
        <v>14387</v>
      </c>
      <c r="D101" s="363">
        <f t="shared" si="2"/>
        <v>42.733022867866829</v>
      </c>
    </row>
    <row r="102" spans="1:4" x14ac:dyDescent="0.3">
      <c r="A102" s="325" t="s">
        <v>250</v>
      </c>
      <c r="B102" s="380">
        <v>4758.01</v>
      </c>
      <c r="C102" s="380">
        <v>10671</v>
      </c>
      <c r="D102" s="363">
        <f t="shared" ref="D102:D103" si="3">+B102/C102*100</f>
        <v>44.588229781651208</v>
      </c>
    </row>
    <row r="103" spans="1:4" x14ac:dyDescent="0.3">
      <c r="A103" s="325" t="s">
        <v>251</v>
      </c>
      <c r="B103" s="380">
        <v>3885</v>
      </c>
      <c r="C103" s="380">
        <v>8522</v>
      </c>
      <c r="D103" s="363">
        <f t="shared" si="3"/>
        <v>45.587890166627552</v>
      </c>
    </row>
    <row r="104" spans="1:4" x14ac:dyDescent="0.3">
      <c r="A104" s="364" t="s">
        <v>178</v>
      </c>
      <c r="B104" s="380"/>
      <c r="C104" s="380"/>
      <c r="D104" s="363"/>
    </row>
    <row r="105" spans="1:4" x14ac:dyDescent="0.3">
      <c r="A105" s="377"/>
      <c r="B105" s="380"/>
      <c r="C105" s="380"/>
      <c r="D105" s="378"/>
    </row>
    <row r="106" spans="1:4" x14ac:dyDescent="0.3">
      <c r="A106" s="377"/>
      <c r="B106" s="380"/>
      <c r="C106" s="380"/>
      <c r="D106" s="378"/>
    </row>
    <row r="107" spans="1:4" ht="15" thickBot="1" x14ac:dyDescent="0.35">
      <c r="A107" s="377"/>
      <c r="B107" s="380"/>
      <c r="C107" s="380"/>
      <c r="D107" s="378"/>
    </row>
    <row r="108" spans="1:4" ht="15" thickBot="1" x14ac:dyDescent="0.35">
      <c r="A108" s="374" t="s">
        <v>1122</v>
      </c>
      <c r="B108" s="375">
        <f>SUM(B6:B105)</f>
        <v>557738.36999999988</v>
      </c>
      <c r="C108" s="375">
        <f>SUM(C6:C107)</f>
        <v>1511364</v>
      </c>
      <c r="D108" s="376">
        <f>+B108/C108*100</f>
        <v>36.902981015824111</v>
      </c>
    </row>
  </sheetData>
  <autoFilter ref="A5:D107" xr:uid="{00000000-0009-0000-0000-000005000000}">
    <sortState xmlns:xlrd2="http://schemas.microsoft.com/office/spreadsheetml/2017/richdata2" ref="A6:D108">
      <sortCondition ref="A5:A107"/>
    </sortState>
  </autoFilter>
  <sortState xmlns:xlrd2="http://schemas.microsoft.com/office/spreadsheetml/2017/richdata2" ref="A6:D104">
    <sortCondition ref="D6:D104"/>
  </sortState>
  <mergeCells count="1">
    <mergeCell ref="A1:G2"/>
  </mergeCells>
  <conditionalFormatting sqref="D6:D10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0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3"/>
  <sheetViews>
    <sheetView topLeftCell="A79" workbookViewId="0">
      <selection activeCell="B102" sqref="B102"/>
    </sheetView>
  </sheetViews>
  <sheetFormatPr baseColWidth="10" defaultRowHeight="14.4" x14ac:dyDescent="0.3"/>
  <sheetData>
    <row r="1" spans="1:4" ht="16.2" thickBot="1" x14ac:dyDescent="0.35">
      <c r="A1" s="447" t="s">
        <v>1182</v>
      </c>
      <c r="B1" s="448"/>
      <c r="C1" s="448"/>
      <c r="D1" s="449"/>
    </row>
    <row r="3" spans="1:4" ht="15" thickBot="1" x14ac:dyDescent="0.35"/>
    <row r="4" spans="1:4" ht="15" thickBot="1" x14ac:dyDescent="0.35">
      <c r="A4" s="381" t="s">
        <v>1123</v>
      </c>
      <c r="B4" s="382" t="s">
        <v>1124</v>
      </c>
      <c r="C4" s="382" t="s">
        <v>1132</v>
      </c>
      <c r="D4" s="383" t="s">
        <v>1125</v>
      </c>
    </row>
    <row r="5" spans="1:4" x14ac:dyDescent="0.3">
      <c r="A5" s="384" t="s">
        <v>1092</v>
      </c>
      <c r="B5" s="387">
        <v>6545</v>
      </c>
      <c r="C5" s="387">
        <v>16882</v>
      </c>
      <c r="D5" s="390">
        <f t="shared" ref="D5:D37" si="0">B5/C5*100</f>
        <v>38.7691031868262</v>
      </c>
    </row>
    <row r="6" spans="1:4" x14ac:dyDescent="0.3">
      <c r="A6" s="385" t="s">
        <v>1158</v>
      </c>
      <c r="B6" s="388">
        <v>6623.04</v>
      </c>
      <c r="C6" s="388">
        <v>16373.06</v>
      </c>
      <c r="D6" s="391">
        <f t="shared" si="0"/>
        <v>40.450838145099326</v>
      </c>
    </row>
    <row r="7" spans="1:4" x14ac:dyDescent="0.3">
      <c r="A7" s="385" t="s">
        <v>302</v>
      </c>
      <c r="B7" s="388">
        <v>3413.9700000000003</v>
      </c>
      <c r="C7" s="388">
        <v>8653.51</v>
      </c>
      <c r="D7" s="391">
        <f t="shared" si="0"/>
        <v>39.4518524852921</v>
      </c>
    </row>
    <row r="8" spans="1:4" x14ac:dyDescent="0.3">
      <c r="A8" s="385" t="s">
        <v>180</v>
      </c>
      <c r="B8" s="388">
        <v>4104.25</v>
      </c>
      <c r="C8" s="388">
        <v>11046.49</v>
      </c>
      <c r="D8" s="391">
        <f t="shared" si="0"/>
        <v>37.15433590217345</v>
      </c>
    </row>
    <row r="9" spans="1:4" x14ac:dyDescent="0.3">
      <c r="A9" s="385" t="s">
        <v>184</v>
      </c>
      <c r="B9" s="388">
        <v>5204.2299999999996</v>
      </c>
      <c r="C9" s="388">
        <v>14363</v>
      </c>
      <c r="D9" s="391">
        <f t="shared" si="0"/>
        <v>36.233586298127129</v>
      </c>
    </row>
    <row r="10" spans="1:4" x14ac:dyDescent="0.3">
      <c r="A10" s="385" t="s">
        <v>187</v>
      </c>
      <c r="B10" s="388">
        <v>7625.63</v>
      </c>
      <c r="C10" s="388">
        <v>19637</v>
      </c>
      <c r="D10" s="391">
        <f t="shared" si="0"/>
        <v>38.832968376024851</v>
      </c>
    </row>
    <row r="11" spans="1:4" x14ac:dyDescent="0.3">
      <c r="A11" s="385" t="s">
        <v>189</v>
      </c>
      <c r="B11" s="388">
        <v>6762</v>
      </c>
      <c r="C11" s="388">
        <v>16362</v>
      </c>
      <c r="D11" s="391">
        <f t="shared" si="0"/>
        <v>41.327466079941324</v>
      </c>
    </row>
    <row r="12" spans="1:4" x14ac:dyDescent="0.3">
      <c r="A12" s="385" t="s">
        <v>191</v>
      </c>
      <c r="B12" s="388">
        <v>6465</v>
      </c>
      <c r="C12" s="388">
        <v>17227</v>
      </c>
      <c r="D12" s="391">
        <f t="shared" si="0"/>
        <v>37.528298601033264</v>
      </c>
    </row>
    <row r="13" spans="1:4" x14ac:dyDescent="0.3">
      <c r="A13" s="385" t="s">
        <v>192</v>
      </c>
      <c r="B13" s="388">
        <v>5812</v>
      </c>
      <c r="C13" s="388">
        <v>14400</v>
      </c>
      <c r="D13" s="391">
        <f t="shared" si="0"/>
        <v>40.361111111111107</v>
      </c>
    </row>
    <row r="14" spans="1:4" x14ac:dyDescent="0.3">
      <c r="A14" s="385" t="s">
        <v>193</v>
      </c>
      <c r="B14" s="388">
        <v>5347</v>
      </c>
      <c r="C14" s="388">
        <v>13566</v>
      </c>
      <c r="D14" s="391">
        <f t="shared" si="0"/>
        <v>39.414713253722546</v>
      </c>
    </row>
    <row r="15" spans="1:4" x14ac:dyDescent="0.3">
      <c r="A15" s="385" t="s">
        <v>195</v>
      </c>
      <c r="B15" s="388">
        <v>1098</v>
      </c>
      <c r="C15" s="388">
        <v>2940</v>
      </c>
      <c r="D15" s="391">
        <f t="shared" si="0"/>
        <v>37.346938775510203</v>
      </c>
    </row>
    <row r="16" spans="1:4" x14ac:dyDescent="0.3">
      <c r="A16" s="385" t="s">
        <v>1143</v>
      </c>
      <c r="B16" s="388">
        <v>4118</v>
      </c>
      <c r="C16" s="388">
        <v>11398</v>
      </c>
      <c r="D16" s="391">
        <f t="shared" si="0"/>
        <v>36.129145464116512</v>
      </c>
    </row>
    <row r="17" spans="1:4" x14ac:dyDescent="0.3">
      <c r="A17" s="385" t="s">
        <v>209</v>
      </c>
      <c r="B17" s="388">
        <v>7987</v>
      </c>
      <c r="C17" s="388">
        <v>20503</v>
      </c>
      <c r="D17" s="391">
        <f t="shared" si="0"/>
        <v>38.955274837828611</v>
      </c>
    </row>
    <row r="18" spans="1:4" x14ac:dyDescent="0.3">
      <c r="A18" s="385" t="s">
        <v>212</v>
      </c>
      <c r="B18" s="388">
        <v>4297</v>
      </c>
      <c r="C18" s="388">
        <v>11092</v>
      </c>
      <c r="D18" s="391">
        <f t="shared" si="0"/>
        <v>38.739632167327805</v>
      </c>
    </row>
    <row r="19" spans="1:4" x14ac:dyDescent="0.3">
      <c r="A19" s="385" t="s">
        <v>214</v>
      </c>
      <c r="B19" s="388">
        <v>4934.2299999999996</v>
      </c>
      <c r="C19" s="388">
        <v>13861</v>
      </c>
      <c r="D19" s="391">
        <f t="shared" si="0"/>
        <v>35.597936656806866</v>
      </c>
    </row>
    <row r="20" spans="1:4" x14ac:dyDescent="0.3">
      <c r="A20" s="385" t="s">
        <v>216</v>
      </c>
      <c r="B20" s="388">
        <v>7156.02</v>
      </c>
      <c r="C20" s="388">
        <v>17695</v>
      </c>
      <c r="D20" s="391">
        <f t="shared" si="0"/>
        <v>40.440915512856741</v>
      </c>
    </row>
    <row r="21" spans="1:4" x14ac:dyDescent="0.3">
      <c r="A21" s="385" t="s">
        <v>218</v>
      </c>
      <c r="B21" s="388">
        <v>5119</v>
      </c>
      <c r="C21" s="388">
        <v>14013</v>
      </c>
      <c r="D21" s="391">
        <f t="shared" si="0"/>
        <v>36.530364661385853</v>
      </c>
    </row>
    <row r="22" spans="1:4" x14ac:dyDescent="0.3">
      <c r="A22" s="385" t="s">
        <v>220</v>
      </c>
      <c r="B22" s="388">
        <v>7243.54</v>
      </c>
      <c r="C22" s="388">
        <v>19827</v>
      </c>
      <c r="D22" s="391">
        <f t="shared" si="0"/>
        <v>36.533716649013968</v>
      </c>
    </row>
    <row r="23" spans="1:4" x14ac:dyDescent="0.3">
      <c r="A23" s="385" t="s">
        <v>222</v>
      </c>
      <c r="B23" s="388">
        <v>4871</v>
      </c>
      <c r="C23" s="388">
        <v>13400</v>
      </c>
      <c r="D23" s="391">
        <f t="shared" si="0"/>
        <v>36.350746268656714</v>
      </c>
    </row>
    <row r="24" spans="1:4" x14ac:dyDescent="0.3">
      <c r="A24" s="385" t="s">
        <v>438</v>
      </c>
      <c r="B24" s="388">
        <v>5221.2299999999996</v>
      </c>
      <c r="C24" s="388">
        <v>14591</v>
      </c>
      <c r="D24" s="391">
        <f t="shared" si="0"/>
        <v>35.783907888424366</v>
      </c>
    </row>
    <row r="25" spans="1:4" x14ac:dyDescent="0.3">
      <c r="A25" s="385" t="s">
        <v>1139</v>
      </c>
      <c r="B25" s="388">
        <v>6257</v>
      </c>
      <c r="C25" s="388">
        <v>16540</v>
      </c>
      <c r="D25" s="391">
        <f t="shared" si="0"/>
        <v>37.829504232164453</v>
      </c>
    </row>
    <row r="26" spans="1:4" x14ac:dyDescent="0.3">
      <c r="A26" s="385" t="s">
        <v>1136</v>
      </c>
      <c r="B26" s="388">
        <v>4326.88</v>
      </c>
      <c r="C26" s="388">
        <v>11084</v>
      </c>
      <c r="D26" s="391">
        <f t="shared" si="0"/>
        <v>39.037170696499459</v>
      </c>
    </row>
    <row r="27" spans="1:4" x14ac:dyDescent="0.3">
      <c r="A27" s="385" t="s">
        <v>1152</v>
      </c>
      <c r="B27" s="388">
        <v>3543.08</v>
      </c>
      <c r="C27" s="388">
        <v>8934</v>
      </c>
      <c r="D27" s="391">
        <f t="shared" si="0"/>
        <v>39.658383702708754</v>
      </c>
    </row>
    <row r="28" spans="1:4" x14ac:dyDescent="0.3">
      <c r="A28" s="385" t="s">
        <v>1137</v>
      </c>
      <c r="B28" s="388">
        <v>6645</v>
      </c>
      <c r="C28" s="388">
        <v>16883</v>
      </c>
      <c r="D28" s="391">
        <f t="shared" si="0"/>
        <v>39.359118640052124</v>
      </c>
    </row>
    <row r="29" spans="1:4" x14ac:dyDescent="0.3">
      <c r="A29" s="385" t="s">
        <v>1150</v>
      </c>
      <c r="B29" s="400">
        <v>0</v>
      </c>
      <c r="C29" s="400">
        <v>0</v>
      </c>
      <c r="D29" s="391"/>
    </row>
    <row r="30" spans="1:4" x14ac:dyDescent="0.3">
      <c r="A30" s="385" t="s">
        <v>440</v>
      </c>
      <c r="B30" s="388">
        <v>4054</v>
      </c>
      <c r="C30" s="388">
        <v>10978</v>
      </c>
      <c r="D30" s="391">
        <f t="shared" si="0"/>
        <v>36.928402259063581</v>
      </c>
    </row>
    <row r="31" spans="1:4" x14ac:dyDescent="0.3">
      <c r="A31" s="385" t="s">
        <v>422</v>
      </c>
      <c r="B31" s="388">
        <v>4944</v>
      </c>
      <c r="C31" s="388">
        <v>14549</v>
      </c>
      <c r="D31" s="391">
        <f t="shared" si="0"/>
        <v>33.981716956491852</v>
      </c>
    </row>
    <row r="32" spans="1:4" x14ac:dyDescent="0.3">
      <c r="A32" s="385" t="s">
        <v>424</v>
      </c>
      <c r="B32" s="388">
        <v>4559.99</v>
      </c>
      <c r="C32" s="388">
        <v>12876</v>
      </c>
      <c r="D32" s="391">
        <f t="shared" si="0"/>
        <v>35.414647406026717</v>
      </c>
    </row>
    <row r="33" spans="1:4" x14ac:dyDescent="0.3">
      <c r="A33" s="385" t="s">
        <v>433</v>
      </c>
      <c r="B33" s="388">
        <v>8986.48</v>
      </c>
      <c r="C33" s="388">
        <v>24158</v>
      </c>
      <c r="D33" s="391">
        <f t="shared" si="0"/>
        <v>37.198774733007703</v>
      </c>
    </row>
    <row r="34" spans="1:4" x14ac:dyDescent="0.3">
      <c r="A34" s="385" t="s">
        <v>1141</v>
      </c>
      <c r="B34" s="388">
        <v>5097</v>
      </c>
      <c r="C34" s="388">
        <v>13807</v>
      </c>
      <c r="D34" s="391">
        <f t="shared" si="0"/>
        <v>36.916057072499456</v>
      </c>
    </row>
    <row r="35" spans="1:4" x14ac:dyDescent="0.3">
      <c r="A35" s="385" t="s">
        <v>1095</v>
      </c>
      <c r="B35" s="388">
        <v>6074</v>
      </c>
      <c r="C35" s="388">
        <v>16389</v>
      </c>
      <c r="D35" s="391">
        <f t="shared" si="0"/>
        <v>37.061443651229482</v>
      </c>
    </row>
    <row r="36" spans="1:4" x14ac:dyDescent="0.3">
      <c r="A36" s="385" t="s">
        <v>1094</v>
      </c>
      <c r="B36" s="388">
        <v>6151</v>
      </c>
      <c r="C36" s="388">
        <v>16532</v>
      </c>
      <c r="D36" s="391">
        <f t="shared" si="0"/>
        <v>37.20662956690056</v>
      </c>
    </row>
    <row r="37" spans="1:4" x14ac:dyDescent="0.3">
      <c r="A37" s="385" t="s">
        <v>427</v>
      </c>
      <c r="B37" s="388">
        <v>7082</v>
      </c>
      <c r="C37" s="388">
        <v>20005</v>
      </c>
      <c r="D37" s="391">
        <f t="shared" si="0"/>
        <v>35.401149712571858</v>
      </c>
    </row>
    <row r="38" spans="1:4" x14ac:dyDescent="0.3">
      <c r="A38" s="385" t="s">
        <v>1144</v>
      </c>
      <c r="B38" s="388">
        <v>6498</v>
      </c>
      <c r="C38" s="388">
        <v>18449</v>
      </c>
      <c r="D38" s="391">
        <f t="shared" ref="D38:D69" si="1">B38/C38*100</f>
        <v>35.221421215242017</v>
      </c>
    </row>
    <row r="39" spans="1:4" x14ac:dyDescent="0.3">
      <c r="A39" s="385" t="s">
        <v>540</v>
      </c>
      <c r="B39" s="388">
        <v>3732.21</v>
      </c>
      <c r="C39" s="388">
        <v>10427</v>
      </c>
      <c r="D39" s="391">
        <f t="shared" si="1"/>
        <v>35.793708641028097</v>
      </c>
    </row>
    <row r="40" spans="1:4" x14ac:dyDescent="0.3">
      <c r="A40" s="385" t="s">
        <v>581</v>
      </c>
      <c r="B40" s="388">
        <v>4834</v>
      </c>
      <c r="C40" s="388">
        <v>14529</v>
      </c>
      <c r="D40" s="391">
        <f t="shared" si="1"/>
        <v>33.271388257966827</v>
      </c>
    </row>
    <row r="41" spans="1:4" x14ac:dyDescent="0.3">
      <c r="A41" s="385" t="s">
        <v>519</v>
      </c>
      <c r="B41" s="388">
        <v>6021</v>
      </c>
      <c r="C41" s="388">
        <v>18670</v>
      </c>
      <c r="D41" s="391">
        <f t="shared" si="1"/>
        <v>32.249598286020351</v>
      </c>
    </row>
    <row r="42" spans="1:4" x14ac:dyDescent="0.3">
      <c r="A42" s="385" t="s">
        <v>522</v>
      </c>
      <c r="B42" s="388">
        <v>3901</v>
      </c>
      <c r="C42" s="388">
        <v>11255</v>
      </c>
      <c r="D42" s="391">
        <f t="shared" si="1"/>
        <v>34.660151043980456</v>
      </c>
    </row>
    <row r="43" spans="1:4" x14ac:dyDescent="0.3">
      <c r="A43" s="385" t="s">
        <v>768</v>
      </c>
      <c r="B43" s="388">
        <v>5832.16</v>
      </c>
      <c r="C43" s="388">
        <v>16171</v>
      </c>
      <c r="D43" s="391">
        <f t="shared" si="1"/>
        <v>36.065549440356193</v>
      </c>
    </row>
    <row r="44" spans="1:4" x14ac:dyDescent="0.3">
      <c r="A44" s="385" t="s">
        <v>748</v>
      </c>
      <c r="B44" s="388">
        <v>7403.13</v>
      </c>
      <c r="C44" s="388">
        <v>20979</v>
      </c>
      <c r="D44" s="391">
        <f t="shared" si="1"/>
        <v>35.288288288288285</v>
      </c>
    </row>
    <row r="45" spans="1:4" x14ac:dyDescent="0.3">
      <c r="A45" s="385" t="s">
        <v>754</v>
      </c>
      <c r="B45" s="388">
        <v>6185</v>
      </c>
      <c r="C45" s="388">
        <v>16992</v>
      </c>
      <c r="D45" s="391">
        <f t="shared" si="1"/>
        <v>36.399482109227868</v>
      </c>
    </row>
    <row r="46" spans="1:4" x14ac:dyDescent="0.3">
      <c r="A46" s="385" t="s">
        <v>1090</v>
      </c>
      <c r="B46" s="388">
        <v>6922.75</v>
      </c>
      <c r="C46" s="388">
        <v>20262</v>
      </c>
      <c r="D46" s="391">
        <f t="shared" si="1"/>
        <v>34.166173131971178</v>
      </c>
    </row>
    <row r="47" spans="1:4" x14ac:dyDescent="0.3">
      <c r="A47" s="385" t="s">
        <v>1151</v>
      </c>
      <c r="B47" s="388">
        <v>5977.07</v>
      </c>
      <c r="C47" s="388">
        <v>16675.080000000002</v>
      </c>
      <c r="D47" s="391">
        <f t="shared" si="1"/>
        <v>35.844325784344058</v>
      </c>
    </row>
    <row r="48" spans="1:4" x14ac:dyDescent="0.3">
      <c r="A48" s="385" t="s">
        <v>1091</v>
      </c>
      <c r="B48" s="388">
        <v>4702</v>
      </c>
      <c r="C48" s="388">
        <v>14065</v>
      </c>
      <c r="D48" s="391">
        <f t="shared" si="1"/>
        <v>33.430501244223251</v>
      </c>
    </row>
    <row r="49" spans="1:4" x14ac:dyDescent="0.3">
      <c r="A49" s="385" t="s">
        <v>1118</v>
      </c>
      <c r="B49" s="388">
        <v>3966.31</v>
      </c>
      <c r="C49" s="388">
        <v>10969</v>
      </c>
      <c r="D49" s="391">
        <f t="shared" si="1"/>
        <v>36.159267025252987</v>
      </c>
    </row>
    <row r="50" spans="1:4" x14ac:dyDescent="0.3">
      <c r="A50" s="385" t="s">
        <v>1096</v>
      </c>
      <c r="B50" s="388">
        <v>4096.7</v>
      </c>
      <c r="C50" s="388">
        <v>11534.869999999999</v>
      </c>
      <c r="D50" s="391">
        <f t="shared" si="1"/>
        <v>35.515788214344852</v>
      </c>
    </row>
    <row r="51" spans="1:4" x14ac:dyDescent="0.3">
      <c r="A51" s="385" t="s">
        <v>1117</v>
      </c>
      <c r="B51" s="388">
        <v>5906.87</v>
      </c>
      <c r="C51" s="388">
        <v>16490</v>
      </c>
      <c r="D51" s="391">
        <f t="shared" si="1"/>
        <v>35.820921770770163</v>
      </c>
    </row>
    <row r="52" spans="1:4" x14ac:dyDescent="0.3">
      <c r="A52" s="385" t="s">
        <v>1126</v>
      </c>
      <c r="B52" s="388">
        <v>4747</v>
      </c>
      <c r="C52" s="388">
        <v>14178</v>
      </c>
      <c r="D52" s="391">
        <f t="shared" si="1"/>
        <v>33.481450134010437</v>
      </c>
    </row>
    <row r="53" spans="1:4" x14ac:dyDescent="0.3">
      <c r="A53" s="385" t="s">
        <v>1130</v>
      </c>
      <c r="B53" s="388">
        <v>5157.7299999999996</v>
      </c>
      <c r="C53" s="388">
        <v>14480</v>
      </c>
      <c r="D53" s="391">
        <f t="shared" si="1"/>
        <v>35.619682320441989</v>
      </c>
    </row>
    <row r="54" spans="1:4" x14ac:dyDescent="0.3">
      <c r="A54" s="385" t="s">
        <v>1128</v>
      </c>
      <c r="B54" s="388">
        <v>7498.46</v>
      </c>
      <c r="C54" s="388">
        <v>22641</v>
      </c>
      <c r="D54" s="391">
        <f t="shared" si="1"/>
        <v>33.1189435095623</v>
      </c>
    </row>
    <row r="55" spans="1:4" x14ac:dyDescent="0.3">
      <c r="A55" s="385" t="s">
        <v>1129</v>
      </c>
      <c r="B55" s="388">
        <v>5043</v>
      </c>
      <c r="C55" s="388">
        <v>13963</v>
      </c>
      <c r="D55" s="391">
        <f t="shared" si="1"/>
        <v>36.11688032657738</v>
      </c>
    </row>
    <row r="56" spans="1:4" x14ac:dyDescent="0.3">
      <c r="A56" s="385" t="s">
        <v>1133</v>
      </c>
      <c r="B56" s="388">
        <v>7181.74</v>
      </c>
      <c r="C56" s="388">
        <v>20019</v>
      </c>
      <c r="D56" s="391">
        <f t="shared" si="1"/>
        <v>35.874619111843749</v>
      </c>
    </row>
    <row r="57" spans="1:4" x14ac:dyDescent="0.3">
      <c r="A57" s="385" t="s">
        <v>1134</v>
      </c>
      <c r="B57" s="388">
        <v>5708.8899999999994</v>
      </c>
      <c r="C57" s="388">
        <v>16157</v>
      </c>
      <c r="D57" s="391">
        <f t="shared" si="1"/>
        <v>35.333849105650799</v>
      </c>
    </row>
    <row r="58" spans="1:4" x14ac:dyDescent="0.3">
      <c r="A58" s="385" t="s">
        <v>1135</v>
      </c>
      <c r="B58" s="388">
        <v>2120</v>
      </c>
      <c r="C58" s="388">
        <v>5671</v>
      </c>
      <c r="D58" s="391">
        <f t="shared" si="1"/>
        <v>37.383177570093459</v>
      </c>
    </row>
    <row r="59" spans="1:4" x14ac:dyDescent="0.3">
      <c r="A59" s="385" t="s">
        <v>1154</v>
      </c>
      <c r="B59" s="388">
        <v>6224</v>
      </c>
      <c r="C59" s="388">
        <v>17590</v>
      </c>
      <c r="D59" s="391">
        <f t="shared" si="1"/>
        <v>35.383740761796474</v>
      </c>
    </row>
    <row r="60" spans="1:4" x14ac:dyDescent="0.3">
      <c r="A60" s="385" t="s">
        <v>1159</v>
      </c>
      <c r="B60" s="388">
        <v>5190.2299999999996</v>
      </c>
      <c r="C60" s="388">
        <v>14966.8</v>
      </c>
      <c r="D60" s="391">
        <f t="shared" si="1"/>
        <v>34.678287943982681</v>
      </c>
    </row>
    <row r="61" spans="1:4" x14ac:dyDescent="0.3">
      <c r="A61" s="385" t="s">
        <v>1156</v>
      </c>
      <c r="B61" s="388">
        <v>6912.93</v>
      </c>
      <c r="C61" s="388">
        <v>20020</v>
      </c>
      <c r="D61" s="391">
        <f t="shared" si="1"/>
        <v>34.530119880119884</v>
      </c>
    </row>
    <row r="62" spans="1:4" x14ac:dyDescent="0.3">
      <c r="A62" s="385" t="s">
        <v>1153</v>
      </c>
      <c r="B62" s="388">
        <v>6345</v>
      </c>
      <c r="C62" s="388">
        <v>16349</v>
      </c>
      <c r="D62" s="391">
        <f t="shared" si="1"/>
        <v>38.809713132301674</v>
      </c>
    </row>
    <row r="63" spans="1:4" x14ac:dyDescent="0.3">
      <c r="A63" s="385" t="s">
        <v>1173</v>
      </c>
      <c r="B63" s="388">
        <v>5072</v>
      </c>
      <c r="C63" s="388">
        <v>15011</v>
      </c>
      <c r="D63" s="391">
        <f t="shared" si="1"/>
        <v>33.788555059622944</v>
      </c>
    </row>
    <row r="64" spans="1:4" x14ac:dyDescent="0.3">
      <c r="A64" s="385" t="s">
        <v>1180</v>
      </c>
      <c r="B64" s="388">
        <v>5175</v>
      </c>
      <c r="C64" s="388">
        <v>14682</v>
      </c>
      <c r="D64" s="391">
        <f t="shared" si="1"/>
        <v>35.247241520228847</v>
      </c>
    </row>
    <row r="65" spans="1:4" x14ac:dyDescent="0.3">
      <c r="A65" s="385" t="s">
        <v>1179</v>
      </c>
      <c r="B65" s="388">
        <v>6207</v>
      </c>
      <c r="C65" s="388">
        <v>17519</v>
      </c>
      <c r="D65" s="391">
        <f t="shared" si="1"/>
        <v>35.430104458017006</v>
      </c>
    </row>
    <row r="66" spans="1:4" x14ac:dyDescent="0.3">
      <c r="A66" s="385" t="s">
        <v>1183</v>
      </c>
      <c r="B66" s="388">
        <v>983</v>
      </c>
      <c r="C66" s="388">
        <v>2739</v>
      </c>
      <c r="D66" s="391">
        <f t="shared" si="1"/>
        <v>35.889010587805771</v>
      </c>
    </row>
    <row r="67" spans="1:4" x14ac:dyDescent="0.3">
      <c r="A67" s="385" t="s">
        <v>130</v>
      </c>
      <c r="B67" s="388">
        <v>4310.43</v>
      </c>
      <c r="C67" s="388">
        <v>11024.51</v>
      </c>
      <c r="D67" s="391">
        <f t="shared" si="1"/>
        <v>39.098608464231063</v>
      </c>
    </row>
    <row r="68" spans="1:4" x14ac:dyDescent="0.3">
      <c r="A68" s="385" t="s">
        <v>1155</v>
      </c>
      <c r="B68" s="388">
        <v>2237</v>
      </c>
      <c r="C68" s="388">
        <v>5807</v>
      </c>
      <c r="D68" s="391">
        <f t="shared" si="1"/>
        <v>38.522472877561562</v>
      </c>
    </row>
    <row r="69" spans="1:4" x14ac:dyDescent="0.3">
      <c r="A69" s="385" t="s">
        <v>109</v>
      </c>
      <c r="B69" s="388">
        <v>3935</v>
      </c>
      <c r="C69" s="388">
        <v>10097</v>
      </c>
      <c r="D69" s="391">
        <f t="shared" si="1"/>
        <v>38.971971872833514</v>
      </c>
    </row>
    <row r="70" spans="1:4" x14ac:dyDescent="0.3">
      <c r="A70" s="385" t="s">
        <v>1148</v>
      </c>
      <c r="B70" s="388">
        <v>5266</v>
      </c>
      <c r="C70" s="388">
        <v>13752</v>
      </c>
      <c r="D70" s="391">
        <f t="shared" ref="D70:D101" si="2">B70/C70*100</f>
        <v>38.29261198371146</v>
      </c>
    </row>
    <row r="71" spans="1:4" x14ac:dyDescent="0.3">
      <c r="A71" s="385" t="s">
        <v>1138</v>
      </c>
      <c r="B71" s="388">
        <v>3836</v>
      </c>
      <c r="C71" s="388">
        <v>9484</v>
      </c>
      <c r="D71" s="391">
        <f t="shared" si="2"/>
        <v>40.447068747363979</v>
      </c>
    </row>
    <row r="72" spans="1:4" x14ac:dyDescent="0.3">
      <c r="A72" s="385" t="s">
        <v>137</v>
      </c>
      <c r="B72" s="388">
        <v>2345</v>
      </c>
      <c r="C72" s="388">
        <v>5667</v>
      </c>
      <c r="D72" s="391">
        <f t="shared" si="2"/>
        <v>41.37991882830422</v>
      </c>
    </row>
    <row r="73" spans="1:4" x14ac:dyDescent="0.3">
      <c r="A73" s="385" t="s">
        <v>250</v>
      </c>
      <c r="B73" s="388">
        <v>2336</v>
      </c>
      <c r="C73" s="388">
        <v>5647</v>
      </c>
      <c r="D73" s="391">
        <f t="shared" si="2"/>
        <v>41.367097573933059</v>
      </c>
    </row>
    <row r="74" spans="1:4" x14ac:dyDescent="0.3">
      <c r="A74" s="385" t="s">
        <v>251</v>
      </c>
      <c r="B74" s="388">
        <v>4530</v>
      </c>
      <c r="C74" s="388">
        <v>11071</v>
      </c>
      <c r="D74" s="391">
        <f t="shared" si="2"/>
        <v>40.917712943726855</v>
      </c>
    </row>
    <row r="75" spans="1:4" x14ac:dyDescent="0.3">
      <c r="A75" s="385" t="s">
        <v>121</v>
      </c>
      <c r="B75" s="388">
        <v>6026</v>
      </c>
      <c r="C75" s="388">
        <v>13925</v>
      </c>
      <c r="D75" s="391">
        <f t="shared" si="2"/>
        <v>43.274685816876122</v>
      </c>
    </row>
    <row r="76" spans="1:4" x14ac:dyDescent="0.3">
      <c r="A76" s="385" t="s">
        <v>140</v>
      </c>
      <c r="B76" s="388">
        <v>5261</v>
      </c>
      <c r="C76" s="388">
        <v>13111</v>
      </c>
      <c r="D76" s="391">
        <f t="shared" si="2"/>
        <v>40.126611242468158</v>
      </c>
    </row>
    <row r="77" spans="1:4" x14ac:dyDescent="0.3">
      <c r="A77" s="385" t="s">
        <v>255</v>
      </c>
      <c r="B77" s="388">
        <v>4995</v>
      </c>
      <c r="C77" s="388">
        <v>11639</v>
      </c>
      <c r="D77" s="391">
        <f t="shared" si="2"/>
        <v>42.916058080591121</v>
      </c>
    </row>
    <row r="78" spans="1:4" x14ac:dyDescent="0.3">
      <c r="A78" s="385" t="s">
        <v>128</v>
      </c>
      <c r="B78" s="388">
        <v>4989</v>
      </c>
      <c r="C78" s="388">
        <v>13698</v>
      </c>
      <c r="D78" s="391">
        <f t="shared" si="2"/>
        <v>36.42137538326763</v>
      </c>
    </row>
    <row r="79" spans="1:4" x14ac:dyDescent="0.3">
      <c r="A79" s="385" t="s">
        <v>124</v>
      </c>
      <c r="B79" s="388">
        <v>9769</v>
      </c>
      <c r="C79" s="388">
        <v>30171</v>
      </c>
      <c r="D79" s="391">
        <f t="shared" si="2"/>
        <v>32.378774319710978</v>
      </c>
    </row>
    <row r="80" spans="1:4" x14ac:dyDescent="0.3">
      <c r="A80" s="385" t="s">
        <v>259</v>
      </c>
      <c r="B80" s="388">
        <v>6808</v>
      </c>
      <c r="C80" s="388">
        <v>18991</v>
      </c>
      <c r="D80" s="391">
        <f t="shared" si="2"/>
        <v>35.848559844136695</v>
      </c>
    </row>
    <row r="81" spans="1:4" x14ac:dyDescent="0.3">
      <c r="A81" s="385" t="s">
        <v>116</v>
      </c>
      <c r="B81" s="388">
        <v>5356</v>
      </c>
      <c r="C81" s="388">
        <v>13654</v>
      </c>
      <c r="D81" s="391">
        <f t="shared" si="2"/>
        <v>39.226600263659002</v>
      </c>
    </row>
    <row r="82" spans="1:4" x14ac:dyDescent="0.3">
      <c r="A82" s="385" t="s">
        <v>1140</v>
      </c>
      <c r="B82" s="388">
        <v>4615</v>
      </c>
      <c r="C82" s="388">
        <v>12168</v>
      </c>
      <c r="D82" s="391">
        <f t="shared" si="2"/>
        <v>37.927350427350426</v>
      </c>
    </row>
    <row r="83" spans="1:4" x14ac:dyDescent="0.3">
      <c r="A83" s="385" t="s">
        <v>1142</v>
      </c>
      <c r="B83" s="388">
        <v>8305</v>
      </c>
      <c r="C83" s="388">
        <v>21465</v>
      </c>
      <c r="D83" s="391">
        <f t="shared" si="2"/>
        <v>38.690892150011649</v>
      </c>
    </row>
    <row r="84" spans="1:4" x14ac:dyDescent="0.3">
      <c r="A84" s="385" t="s">
        <v>134</v>
      </c>
      <c r="B84" s="388">
        <v>8009</v>
      </c>
      <c r="C84" s="388">
        <v>20794</v>
      </c>
      <c r="D84" s="391">
        <f t="shared" si="2"/>
        <v>38.515918053284601</v>
      </c>
    </row>
    <row r="85" spans="1:4" x14ac:dyDescent="0.3">
      <c r="A85" s="385" t="s">
        <v>110</v>
      </c>
      <c r="B85" s="388">
        <v>5632</v>
      </c>
      <c r="C85" s="388">
        <v>13750</v>
      </c>
      <c r="D85" s="391">
        <f t="shared" si="2"/>
        <v>40.96</v>
      </c>
    </row>
    <row r="86" spans="1:4" x14ac:dyDescent="0.3">
      <c r="A86" s="385" t="s">
        <v>119</v>
      </c>
      <c r="B86" s="388">
        <v>7290</v>
      </c>
      <c r="C86" s="388">
        <v>19050</v>
      </c>
      <c r="D86" s="391">
        <f t="shared" si="2"/>
        <v>38.267716535433074</v>
      </c>
    </row>
    <row r="87" spans="1:4" x14ac:dyDescent="0.3">
      <c r="A87" s="385" t="s">
        <v>129</v>
      </c>
      <c r="B87" s="388">
        <v>6752</v>
      </c>
      <c r="C87" s="388">
        <v>16464</v>
      </c>
      <c r="D87" s="391">
        <f t="shared" si="2"/>
        <v>41.010689990281826</v>
      </c>
    </row>
    <row r="88" spans="1:4" x14ac:dyDescent="0.3">
      <c r="A88" s="385" t="s">
        <v>111</v>
      </c>
      <c r="B88" s="388">
        <v>2222</v>
      </c>
      <c r="C88" s="388">
        <v>5382</v>
      </c>
      <c r="D88" s="391">
        <f t="shared" si="2"/>
        <v>41.285767372723896</v>
      </c>
    </row>
    <row r="89" spans="1:4" x14ac:dyDescent="0.3">
      <c r="A89" s="385" t="s">
        <v>132</v>
      </c>
      <c r="B89" s="388">
        <v>6574</v>
      </c>
      <c r="C89" s="388">
        <v>16564</v>
      </c>
      <c r="D89" s="391">
        <f t="shared" si="2"/>
        <v>39.688481043226275</v>
      </c>
    </row>
    <row r="90" spans="1:4" x14ac:dyDescent="0.3">
      <c r="A90" s="385" t="s">
        <v>131</v>
      </c>
      <c r="B90" s="388">
        <v>5910</v>
      </c>
      <c r="C90" s="388">
        <v>16113</v>
      </c>
      <c r="D90" s="391">
        <f t="shared" si="2"/>
        <v>36.678458387637313</v>
      </c>
    </row>
    <row r="91" spans="1:4" x14ac:dyDescent="0.3">
      <c r="A91" s="385" t="s">
        <v>120</v>
      </c>
      <c r="B91" s="388">
        <v>3499</v>
      </c>
      <c r="C91" s="388">
        <v>8611</v>
      </c>
      <c r="D91" s="391">
        <f t="shared" si="2"/>
        <v>40.634072697712234</v>
      </c>
    </row>
    <row r="92" spans="1:4" x14ac:dyDescent="0.3">
      <c r="A92" s="385" t="s">
        <v>115</v>
      </c>
      <c r="B92" s="388">
        <v>4122</v>
      </c>
      <c r="C92" s="388">
        <v>10682</v>
      </c>
      <c r="D92" s="391">
        <f t="shared" si="2"/>
        <v>38.588279348436622</v>
      </c>
    </row>
    <row r="93" spans="1:4" x14ac:dyDescent="0.3">
      <c r="A93" s="385" t="s">
        <v>112</v>
      </c>
      <c r="B93" s="388">
        <v>6462</v>
      </c>
      <c r="C93" s="388">
        <v>16314</v>
      </c>
      <c r="D93" s="391">
        <f t="shared" si="2"/>
        <v>39.610150790731886</v>
      </c>
    </row>
    <row r="94" spans="1:4" x14ac:dyDescent="0.3">
      <c r="A94" s="385" t="s">
        <v>138</v>
      </c>
      <c r="B94" s="388">
        <v>8230</v>
      </c>
      <c r="C94" s="388">
        <v>22112</v>
      </c>
      <c r="D94" s="391">
        <f t="shared" si="2"/>
        <v>37.219609261939219</v>
      </c>
    </row>
    <row r="95" spans="1:4" x14ac:dyDescent="0.3">
      <c r="A95" s="385" t="s">
        <v>122</v>
      </c>
      <c r="B95" s="388">
        <v>5747</v>
      </c>
      <c r="C95" s="388">
        <v>13423</v>
      </c>
      <c r="D95" s="391">
        <f t="shared" si="2"/>
        <v>42.814572003277959</v>
      </c>
    </row>
    <row r="96" spans="1:4" x14ac:dyDescent="0.3">
      <c r="A96" s="385" t="s">
        <v>126</v>
      </c>
      <c r="B96" s="388">
        <v>4497</v>
      </c>
      <c r="C96" s="388">
        <v>10417</v>
      </c>
      <c r="D96" s="391">
        <f t="shared" si="2"/>
        <v>43.169818565805897</v>
      </c>
    </row>
    <row r="97" spans="1:4" x14ac:dyDescent="0.3">
      <c r="A97" s="385" t="s">
        <v>135</v>
      </c>
      <c r="B97" s="388">
        <v>7871</v>
      </c>
      <c r="C97" s="388">
        <v>19789</v>
      </c>
      <c r="D97" s="391">
        <f t="shared" si="2"/>
        <v>39.774622264894639</v>
      </c>
    </row>
    <row r="98" spans="1:4" x14ac:dyDescent="0.3">
      <c r="A98" s="385" t="s">
        <v>123</v>
      </c>
      <c r="B98" s="388">
        <v>6991</v>
      </c>
      <c r="C98" s="388">
        <v>18718</v>
      </c>
      <c r="D98" s="391">
        <f t="shared" si="2"/>
        <v>37.349075755956832</v>
      </c>
    </row>
    <row r="99" spans="1:4" x14ac:dyDescent="0.3">
      <c r="A99" s="385" t="s">
        <v>139</v>
      </c>
      <c r="B99" s="388">
        <v>4142</v>
      </c>
      <c r="C99" s="388">
        <v>11326</v>
      </c>
      <c r="D99" s="391">
        <f t="shared" si="2"/>
        <v>36.570722232032495</v>
      </c>
    </row>
    <row r="100" spans="1:4" x14ac:dyDescent="0.3">
      <c r="A100" s="385" t="s">
        <v>1116</v>
      </c>
      <c r="B100" s="388">
        <v>6619.16</v>
      </c>
      <c r="C100" s="388">
        <v>17017</v>
      </c>
      <c r="D100" s="391">
        <f t="shared" si="2"/>
        <v>38.897337956161486</v>
      </c>
    </row>
    <row r="101" spans="1:4" x14ac:dyDescent="0.3">
      <c r="A101" s="385" t="s">
        <v>1115</v>
      </c>
      <c r="B101" s="388">
        <v>6102</v>
      </c>
      <c r="C101" s="388">
        <v>15926</v>
      </c>
      <c r="D101" s="391">
        <f t="shared" si="2"/>
        <v>38.314705512997612</v>
      </c>
    </row>
    <row r="102" spans="1:4" ht="15" thickBot="1" x14ac:dyDescent="0.35">
      <c r="A102" s="385" t="s">
        <v>125</v>
      </c>
      <c r="B102" s="388">
        <v>8390</v>
      </c>
      <c r="C102" s="388">
        <v>22157</v>
      </c>
      <c r="D102" s="391">
        <f t="shared" ref="D102" si="3">B102/C102*100</f>
        <v>37.866137112424965</v>
      </c>
    </row>
    <row r="103" spans="1:4" ht="15" thickBot="1" x14ac:dyDescent="0.35">
      <c r="A103" s="381" t="s">
        <v>1086</v>
      </c>
      <c r="B103" s="389">
        <f>SUM(B5:B102)</f>
        <v>533192.34</v>
      </c>
      <c r="C103" s="389">
        <f>SUM(C5:C102)</f>
        <v>1429999.32</v>
      </c>
      <c r="D103" s="386">
        <f>B103/C103*100</f>
        <v>37.286195352876106</v>
      </c>
    </row>
  </sheetData>
  <autoFilter ref="A4:D4" xr:uid="{00000000-0009-0000-0000-000006000000}">
    <sortState xmlns:xlrd2="http://schemas.microsoft.com/office/spreadsheetml/2017/richdata2" ref="A5:D102">
      <sortCondition ref="A4"/>
    </sortState>
  </autoFilter>
  <mergeCells count="1">
    <mergeCell ref="A1:D1"/>
  </mergeCells>
  <conditionalFormatting sqref="D5:D28 D30:D10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7"/>
  <sheetViews>
    <sheetView topLeftCell="A76" workbookViewId="0">
      <selection activeCell="G79" sqref="G79"/>
    </sheetView>
  </sheetViews>
  <sheetFormatPr baseColWidth="10" defaultRowHeight="14.4" x14ac:dyDescent="0.3"/>
  <cols>
    <col min="2" max="2" width="12" bestFit="1" customWidth="1"/>
    <col min="3" max="3" width="12.33203125" customWidth="1"/>
  </cols>
  <sheetData>
    <row r="1" spans="1:4" ht="16.2" thickBot="1" x14ac:dyDescent="0.35">
      <c r="A1" s="447" t="s">
        <v>1182</v>
      </c>
      <c r="B1" s="448"/>
      <c r="C1" s="448"/>
      <c r="D1" s="449"/>
    </row>
    <row r="3" spans="1:4" ht="15" thickBot="1" x14ac:dyDescent="0.35"/>
    <row r="4" spans="1:4" ht="15" thickBot="1" x14ac:dyDescent="0.35">
      <c r="A4" s="381" t="s">
        <v>1123</v>
      </c>
      <c r="B4" s="382" t="s">
        <v>1124</v>
      </c>
      <c r="C4" s="382" t="s">
        <v>1132</v>
      </c>
      <c r="D4" s="383" t="s">
        <v>1125</v>
      </c>
    </row>
    <row r="5" spans="1:4" x14ac:dyDescent="0.3">
      <c r="A5" s="384" t="s">
        <v>1092</v>
      </c>
      <c r="B5" s="399">
        <v>4501.1400000000003</v>
      </c>
      <c r="C5" s="399">
        <v>11421</v>
      </c>
      <c r="D5" s="390">
        <f t="shared" ref="D5:D73" si="0">B5/C5*100</f>
        <v>39.411084843708963</v>
      </c>
    </row>
    <row r="6" spans="1:4" x14ac:dyDescent="0.3">
      <c r="A6" s="385" t="s">
        <v>1158</v>
      </c>
      <c r="B6" s="400">
        <v>5961.98</v>
      </c>
      <c r="C6" s="400">
        <v>13988</v>
      </c>
      <c r="D6" s="391">
        <f t="shared" si="0"/>
        <v>42.622104661138117</v>
      </c>
    </row>
    <row r="7" spans="1:4" x14ac:dyDescent="0.3">
      <c r="A7" s="385" t="s">
        <v>302</v>
      </c>
      <c r="B7" s="400">
        <v>4776.1400000000003</v>
      </c>
      <c r="C7" s="400">
        <v>12384</v>
      </c>
      <c r="D7" s="391">
        <f t="shared" si="0"/>
        <v>38.567021963824295</v>
      </c>
    </row>
    <row r="8" spans="1:4" x14ac:dyDescent="0.3">
      <c r="A8" s="385" t="s">
        <v>180</v>
      </c>
      <c r="B8" s="400">
        <v>5653.48</v>
      </c>
      <c r="C8" s="400">
        <v>13383</v>
      </c>
      <c r="D8" s="391">
        <f t="shared" si="0"/>
        <v>42.243742060823429</v>
      </c>
    </row>
    <row r="9" spans="1:4" x14ac:dyDescent="0.3">
      <c r="A9" s="385" t="s">
        <v>184</v>
      </c>
      <c r="B9" s="400">
        <v>4040.53</v>
      </c>
      <c r="C9" s="400">
        <v>11229</v>
      </c>
      <c r="D9" s="391">
        <f t="shared" si="0"/>
        <v>35.982990471101608</v>
      </c>
    </row>
    <row r="10" spans="1:4" x14ac:dyDescent="0.3">
      <c r="A10" s="385" t="s">
        <v>187</v>
      </c>
      <c r="B10" s="400">
        <v>5109.92</v>
      </c>
      <c r="C10" s="400">
        <v>14028</v>
      </c>
      <c r="D10" s="391">
        <f t="shared" si="0"/>
        <v>36.426575420587398</v>
      </c>
    </row>
    <row r="11" spans="1:4" x14ac:dyDescent="0.3">
      <c r="A11" s="385" t="s">
        <v>189</v>
      </c>
      <c r="B11" s="400">
        <v>5454.3</v>
      </c>
      <c r="C11" s="400">
        <v>13673</v>
      </c>
      <c r="D11" s="391">
        <f t="shared" si="0"/>
        <v>39.891026109851538</v>
      </c>
    </row>
    <row r="12" spans="1:4" x14ac:dyDescent="0.3">
      <c r="A12" s="385" t="s">
        <v>191</v>
      </c>
      <c r="B12" s="400">
        <v>3070.12</v>
      </c>
      <c r="C12" s="400">
        <v>8510</v>
      </c>
      <c r="D12" s="391">
        <f t="shared" si="0"/>
        <v>36.076615746180963</v>
      </c>
    </row>
    <row r="13" spans="1:4" x14ac:dyDescent="0.3">
      <c r="A13" s="385" t="s">
        <v>192</v>
      </c>
      <c r="B13" s="400">
        <v>3943</v>
      </c>
      <c r="C13" s="400">
        <v>10715</v>
      </c>
      <c r="D13" s="391">
        <f t="shared" si="0"/>
        <v>36.798880074661689</v>
      </c>
    </row>
    <row r="14" spans="1:4" x14ac:dyDescent="0.3">
      <c r="A14" s="385" t="s">
        <v>193</v>
      </c>
      <c r="B14" s="400">
        <v>5761.23</v>
      </c>
      <c r="C14" s="400">
        <v>15173</v>
      </c>
      <c r="D14" s="391">
        <f t="shared" si="0"/>
        <v>37.970276148421533</v>
      </c>
    </row>
    <row r="15" spans="1:4" x14ac:dyDescent="0.3">
      <c r="A15" s="385" t="s">
        <v>195</v>
      </c>
      <c r="B15" s="400">
        <v>2800</v>
      </c>
      <c r="C15" s="400">
        <v>7833</v>
      </c>
      <c r="D15" s="391">
        <f t="shared" si="0"/>
        <v>35.746201966041106</v>
      </c>
    </row>
    <row r="16" spans="1:4" x14ac:dyDescent="0.3">
      <c r="A16" s="385" t="s">
        <v>1143</v>
      </c>
      <c r="B16" s="400">
        <v>4034.75</v>
      </c>
      <c r="C16" s="400">
        <v>11386</v>
      </c>
      <c r="D16" s="391">
        <f t="shared" si="0"/>
        <v>35.436061830317932</v>
      </c>
    </row>
    <row r="17" spans="1:4" x14ac:dyDescent="0.3">
      <c r="A17" s="385" t="s">
        <v>209</v>
      </c>
      <c r="B17" s="400">
        <v>4028.64</v>
      </c>
      <c r="C17" s="400">
        <v>10907</v>
      </c>
      <c r="D17" s="391">
        <f t="shared" si="0"/>
        <v>36.93627945356193</v>
      </c>
    </row>
    <row r="18" spans="1:4" x14ac:dyDescent="0.3">
      <c r="A18" s="385" t="s">
        <v>212</v>
      </c>
      <c r="B18" s="400">
        <v>3306.38</v>
      </c>
      <c r="C18" s="400">
        <v>8577</v>
      </c>
      <c r="D18" s="391">
        <f t="shared" si="0"/>
        <v>38.54937623877813</v>
      </c>
    </row>
    <row r="19" spans="1:4" x14ac:dyDescent="0.3">
      <c r="A19" s="385" t="s">
        <v>214</v>
      </c>
      <c r="B19" s="400">
        <v>5310.28</v>
      </c>
      <c r="C19" s="400">
        <v>14844</v>
      </c>
      <c r="D19" s="391">
        <f t="shared" si="0"/>
        <v>35.773915386688223</v>
      </c>
    </row>
    <row r="20" spans="1:4" x14ac:dyDescent="0.3">
      <c r="A20" s="385" t="s">
        <v>216</v>
      </c>
      <c r="B20" s="400">
        <v>6177</v>
      </c>
      <c r="C20" s="400">
        <v>15481</v>
      </c>
      <c r="D20" s="391">
        <f t="shared" si="0"/>
        <v>39.900523222014087</v>
      </c>
    </row>
    <row r="21" spans="1:4" x14ac:dyDescent="0.3">
      <c r="A21" s="385" t="s">
        <v>218</v>
      </c>
      <c r="B21" s="400">
        <v>4242.96</v>
      </c>
      <c r="C21" s="400">
        <v>11419</v>
      </c>
      <c r="D21" s="391">
        <f t="shared" si="0"/>
        <v>37.157019003415357</v>
      </c>
    </row>
    <row r="22" spans="1:4" x14ac:dyDescent="0.3">
      <c r="A22" s="385" t="s">
        <v>220</v>
      </c>
      <c r="B22" s="400">
        <v>6093.58</v>
      </c>
      <c r="C22" s="400">
        <v>16601</v>
      </c>
      <c r="D22" s="391">
        <f t="shared" si="0"/>
        <v>36.706102042045657</v>
      </c>
    </row>
    <row r="23" spans="1:4" x14ac:dyDescent="0.3">
      <c r="A23" s="385" t="s">
        <v>222</v>
      </c>
      <c r="B23" s="400">
        <v>6376.41</v>
      </c>
      <c r="C23" s="400">
        <v>16988</v>
      </c>
      <c r="D23" s="391">
        <f t="shared" si="0"/>
        <v>37.534789263009181</v>
      </c>
    </row>
    <row r="24" spans="1:4" x14ac:dyDescent="0.3">
      <c r="A24" s="385" t="s">
        <v>438</v>
      </c>
      <c r="B24" s="400">
        <v>4627.5</v>
      </c>
      <c r="C24" s="400">
        <v>12643</v>
      </c>
      <c r="D24" s="391">
        <f t="shared" si="0"/>
        <v>36.60128134145377</v>
      </c>
    </row>
    <row r="25" spans="1:4" x14ac:dyDescent="0.3">
      <c r="A25" s="385" t="s">
        <v>1139</v>
      </c>
      <c r="B25" s="400">
        <v>7008.13</v>
      </c>
      <c r="C25" s="400">
        <v>18394</v>
      </c>
      <c r="D25" s="391">
        <f t="shared" si="0"/>
        <v>38.100086984886374</v>
      </c>
    </row>
    <row r="26" spans="1:4" x14ac:dyDescent="0.3">
      <c r="A26" s="385" t="s">
        <v>1136</v>
      </c>
      <c r="B26" s="400">
        <v>6263.85</v>
      </c>
      <c r="C26" s="400">
        <v>16794</v>
      </c>
      <c r="D26" s="391">
        <f t="shared" si="0"/>
        <v>37.298142193640587</v>
      </c>
    </row>
    <row r="27" spans="1:4" x14ac:dyDescent="0.3">
      <c r="A27" s="385" t="s">
        <v>1152</v>
      </c>
      <c r="B27" s="400">
        <v>5827.24</v>
      </c>
      <c r="C27" s="400">
        <v>16057</v>
      </c>
      <c r="D27" s="391">
        <f t="shared" si="0"/>
        <v>36.290963442735254</v>
      </c>
    </row>
    <row r="28" spans="1:4" x14ac:dyDescent="0.3">
      <c r="A28" s="385" t="s">
        <v>1137</v>
      </c>
      <c r="B28" s="400">
        <v>6438.92</v>
      </c>
      <c r="C28" s="400">
        <v>16005</v>
      </c>
      <c r="D28" s="391">
        <f t="shared" si="0"/>
        <v>40.230677913152142</v>
      </c>
    </row>
    <row r="29" spans="1:4" x14ac:dyDescent="0.3">
      <c r="A29" s="385" t="s">
        <v>1150</v>
      </c>
      <c r="B29" s="400">
        <v>6521.69</v>
      </c>
      <c r="C29" s="400">
        <v>16700</v>
      </c>
      <c r="D29" s="391">
        <f t="shared" si="0"/>
        <v>39.052035928143709</v>
      </c>
    </row>
    <row r="30" spans="1:4" x14ac:dyDescent="0.3">
      <c r="A30" s="385" t="s">
        <v>440</v>
      </c>
      <c r="B30" s="400">
        <v>4930.57</v>
      </c>
      <c r="C30" s="400">
        <v>13625</v>
      </c>
      <c r="D30" s="391">
        <f t="shared" si="0"/>
        <v>36.187669724770636</v>
      </c>
    </row>
    <row r="31" spans="1:4" x14ac:dyDescent="0.3">
      <c r="A31" s="385" t="s">
        <v>422</v>
      </c>
      <c r="B31" s="400">
        <v>2447</v>
      </c>
      <c r="C31" s="400">
        <v>6901</v>
      </c>
      <c r="D31" s="391">
        <f t="shared" si="0"/>
        <v>35.458629184176203</v>
      </c>
    </row>
    <row r="32" spans="1:4" x14ac:dyDescent="0.3">
      <c r="A32" s="385" t="s">
        <v>424</v>
      </c>
      <c r="B32" s="400">
        <v>3747.89</v>
      </c>
      <c r="C32" s="400">
        <v>10789</v>
      </c>
      <c r="D32" s="391">
        <f t="shared" si="0"/>
        <v>34.738066549263138</v>
      </c>
    </row>
    <row r="33" spans="1:4" x14ac:dyDescent="0.3">
      <c r="A33" s="385" t="s">
        <v>433</v>
      </c>
      <c r="B33" s="400">
        <v>5195.46</v>
      </c>
      <c r="C33" s="400">
        <v>13481</v>
      </c>
      <c r="D33" s="391">
        <f t="shared" si="0"/>
        <v>38.539129144722203</v>
      </c>
    </row>
    <row r="34" spans="1:4" x14ac:dyDescent="0.3">
      <c r="A34" s="385" t="s">
        <v>1141</v>
      </c>
      <c r="B34" s="400">
        <v>4089.45</v>
      </c>
      <c r="C34" s="400">
        <v>10827</v>
      </c>
      <c r="D34" s="391">
        <f t="shared" si="0"/>
        <v>37.7708506511499</v>
      </c>
    </row>
    <row r="35" spans="1:4" x14ac:dyDescent="0.3">
      <c r="A35" s="385" t="s">
        <v>1095</v>
      </c>
      <c r="B35" s="400">
        <v>5383.54</v>
      </c>
      <c r="C35" s="400">
        <v>14931</v>
      </c>
      <c r="D35" s="391">
        <f t="shared" si="0"/>
        <v>36.05612484093497</v>
      </c>
    </row>
    <row r="36" spans="1:4" x14ac:dyDescent="0.3">
      <c r="A36" s="385" t="s">
        <v>1094</v>
      </c>
      <c r="B36" s="400">
        <v>0</v>
      </c>
      <c r="C36" s="400">
        <v>0</v>
      </c>
      <c r="D36" s="391"/>
    </row>
    <row r="37" spans="1:4" x14ac:dyDescent="0.3">
      <c r="A37" s="385" t="s">
        <v>427</v>
      </c>
      <c r="B37" s="400">
        <v>5194.3</v>
      </c>
      <c r="C37" s="400">
        <v>15734</v>
      </c>
      <c r="D37" s="391">
        <f t="shared" si="0"/>
        <v>33.013219778822936</v>
      </c>
    </row>
    <row r="38" spans="1:4" x14ac:dyDescent="0.3">
      <c r="A38" s="385" t="s">
        <v>1144</v>
      </c>
      <c r="B38" s="400">
        <v>4971.26</v>
      </c>
      <c r="C38" s="400">
        <v>15106</v>
      </c>
      <c r="D38" s="391">
        <f t="shared" si="0"/>
        <v>32.909175162187211</v>
      </c>
    </row>
    <row r="39" spans="1:4" x14ac:dyDescent="0.3">
      <c r="A39" s="385" t="s">
        <v>540</v>
      </c>
      <c r="B39" s="400">
        <v>5329.71</v>
      </c>
      <c r="C39" s="400">
        <v>15121</v>
      </c>
      <c r="D39" s="391">
        <f t="shared" si="0"/>
        <v>35.247073606242971</v>
      </c>
    </row>
    <row r="40" spans="1:4" x14ac:dyDescent="0.3">
      <c r="A40" s="385" t="s">
        <v>581</v>
      </c>
      <c r="B40" s="400">
        <v>6661.64</v>
      </c>
      <c r="C40" s="400">
        <v>20278</v>
      </c>
      <c r="D40" s="391">
        <f t="shared" si="0"/>
        <v>32.851563270539501</v>
      </c>
    </row>
    <row r="41" spans="1:4" x14ac:dyDescent="0.3">
      <c r="A41" s="385" t="s">
        <v>519</v>
      </c>
      <c r="B41" s="400">
        <v>4886.3599999999997</v>
      </c>
      <c r="C41" s="400">
        <v>14793</v>
      </c>
      <c r="D41" s="391">
        <f t="shared" si="0"/>
        <v>33.0315689853309</v>
      </c>
    </row>
    <row r="42" spans="1:4" x14ac:dyDescent="0.3">
      <c r="A42" s="385" t="s">
        <v>522</v>
      </c>
      <c r="B42" s="400">
        <v>5321.09</v>
      </c>
      <c r="C42" s="400">
        <v>15622</v>
      </c>
      <c r="D42" s="391">
        <f t="shared" si="0"/>
        <v>34.061515811035719</v>
      </c>
    </row>
    <row r="43" spans="1:4" x14ac:dyDescent="0.3">
      <c r="A43" s="385" t="s">
        <v>768</v>
      </c>
      <c r="B43" s="400">
        <v>6873</v>
      </c>
      <c r="C43" s="400">
        <v>19332</v>
      </c>
      <c r="D43" s="391">
        <f t="shared" si="0"/>
        <v>35.552451893234014</v>
      </c>
    </row>
    <row r="44" spans="1:4" x14ac:dyDescent="0.3">
      <c r="A44" s="385" t="s">
        <v>748</v>
      </c>
      <c r="B44" s="400">
        <v>6038.67</v>
      </c>
      <c r="C44" s="400">
        <v>17861</v>
      </c>
      <c r="D44" s="391">
        <f t="shared" si="0"/>
        <v>33.809249202172332</v>
      </c>
    </row>
    <row r="45" spans="1:4" x14ac:dyDescent="0.3">
      <c r="A45" s="385" t="s">
        <v>754</v>
      </c>
      <c r="B45" s="400">
        <v>5526.84</v>
      </c>
      <c r="C45" s="400">
        <v>15572</v>
      </c>
      <c r="D45" s="391">
        <f t="shared" si="0"/>
        <v>35.49216542512201</v>
      </c>
    </row>
    <row r="46" spans="1:4" x14ac:dyDescent="0.3">
      <c r="A46" s="385" t="s">
        <v>1090</v>
      </c>
      <c r="B46" s="400">
        <v>4612.51</v>
      </c>
      <c r="C46" s="400">
        <v>13537</v>
      </c>
      <c r="D46" s="391">
        <f t="shared" si="0"/>
        <v>34.073354509861865</v>
      </c>
    </row>
    <row r="47" spans="1:4" x14ac:dyDescent="0.3">
      <c r="A47" s="385" t="s">
        <v>1151</v>
      </c>
      <c r="B47" s="400">
        <v>4125.38</v>
      </c>
      <c r="C47" s="400">
        <v>12267</v>
      </c>
      <c r="D47" s="391">
        <f t="shared" si="0"/>
        <v>33.629901361376049</v>
      </c>
    </row>
    <row r="48" spans="1:4" x14ac:dyDescent="0.3">
      <c r="A48" s="385" t="s">
        <v>1091</v>
      </c>
      <c r="B48" s="400">
        <v>5375.01</v>
      </c>
      <c r="C48" s="400">
        <v>16014</v>
      </c>
      <c r="D48" s="391">
        <f t="shared" si="0"/>
        <v>33.564443611839643</v>
      </c>
    </row>
    <row r="49" spans="1:4" x14ac:dyDescent="0.3">
      <c r="A49" s="385" t="s">
        <v>1118</v>
      </c>
      <c r="B49" s="400">
        <v>7453</v>
      </c>
      <c r="C49" s="400">
        <v>19345</v>
      </c>
      <c r="D49" s="391">
        <f t="shared" si="0"/>
        <v>38.52675109847506</v>
      </c>
    </row>
    <row r="50" spans="1:4" x14ac:dyDescent="0.3">
      <c r="A50" s="385" t="s">
        <v>1096</v>
      </c>
      <c r="B50" s="400">
        <v>6110</v>
      </c>
      <c r="C50" s="400">
        <v>17657</v>
      </c>
      <c r="D50" s="391">
        <f t="shared" si="0"/>
        <v>34.603839836891886</v>
      </c>
    </row>
    <row r="51" spans="1:4" x14ac:dyDescent="0.3">
      <c r="A51" s="385" t="s">
        <v>1117</v>
      </c>
      <c r="B51" s="400">
        <v>5342.71</v>
      </c>
      <c r="C51" s="400">
        <v>15706</v>
      </c>
      <c r="D51" s="391">
        <f t="shared" si="0"/>
        <v>34.016999872660129</v>
      </c>
    </row>
    <row r="52" spans="1:4" x14ac:dyDescent="0.3">
      <c r="A52" s="385" t="s">
        <v>1126</v>
      </c>
      <c r="B52" s="400">
        <v>5655.15</v>
      </c>
      <c r="C52" s="400">
        <v>16716</v>
      </c>
      <c r="D52" s="391">
        <f t="shared" si="0"/>
        <v>33.830760947595117</v>
      </c>
    </row>
    <row r="53" spans="1:4" x14ac:dyDescent="0.3">
      <c r="A53" s="385" t="s">
        <v>1130</v>
      </c>
      <c r="B53" s="400">
        <v>5039.8100000000004</v>
      </c>
      <c r="C53" s="400">
        <v>13016</v>
      </c>
      <c r="D53" s="391">
        <f t="shared" si="0"/>
        <v>38.720113706207748</v>
      </c>
    </row>
    <row r="54" spans="1:4" x14ac:dyDescent="0.3">
      <c r="A54" s="385" t="s">
        <v>1128</v>
      </c>
      <c r="B54" s="400">
        <v>6449.39</v>
      </c>
      <c r="C54" s="400">
        <v>18757</v>
      </c>
      <c r="D54" s="391">
        <f t="shared" si="0"/>
        <v>34.383910006930748</v>
      </c>
    </row>
    <row r="55" spans="1:4" x14ac:dyDescent="0.3">
      <c r="A55" s="385" t="s">
        <v>1129</v>
      </c>
      <c r="B55" s="400">
        <v>5334.4</v>
      </c>
      <c r="C55" s="400">
        <v>14924</v>
      </c>
      <c r="D55" s="391">
        <f t="shared" si="0"/>
        <v>35.743768426695254</v>
      </c>
    </row>
    <row r="56" spans="1:4" x14ac:dyDescent="0.3">
      <c r="A56" s="385" t="s">
        <v>1133</v>
      </c>
      <c r="B56" s="400">
        <v>4240.71</v>
      </c>
      <c r="C56" s="400">
        <v>11367</v>
      </c>
      <c r="D56" s="391">
        <f t="shared" si="0"/>
        <v>37.307205067300082</v>
      </c>
    </row>
    <row r="57" spans="1:4" x14ac:dyDescent="0.3">
      <c r="A57" s="385" t="s">
        <v>1134</v>
      </c>
      <c r="B57" s="400">
        <v>4741.67</v>
      </c>
      <c r="C57" s="400">
        <v>13639</v>
      </c>
      <c r="D57" s="391">
        <f t="shared" si="0"/>
        <v>34.76552533176919</v>
      </c>
    </row>
    <row r="58" spans="1:4" x14ac:dyDescent="0.3">
      <c r="A58" s="385" t="s">
        <v>1135</v>
      </c>
      <c r="B58" s="400">
        <v>3871.24</v>
      </c>
      <c r="C58" s="400">
        <v>10903</v>
      </c>
      <c r="D58" s="391">
        <f t="shared" si="0"/>
        <v>35.506190956617445</v>
      </c>
    </row>
    <row r="59" spans="1:4" x14ac:dyDescent="0.3">
      <c r="A59" s="385" t="s">
        <v>1154</v>
      </c>
      <c r="B59" s="400">
        <v>5053</v>
      </c>
      <c r="C59" s="400">
        <v>13867</v>
      </c>
      <c r="D59" s="391">
        <f t="shared" si="0"/>
        <v>36.439027907982982</v>
      </c>
    </row>
    <row r="60" spans="1:4" x14ac:dyDescent="0.3">
      <c r="A60" s="385" t="s">
        <v>1159</v>
      </c>
      <c r="B60" s="400">
        <v>4984.4399999999996</v>
      </c>
      <c r="C60" s="400">
        <v>13907</v>
      </c>
      <c r="D60" s="391">
        <f t="shared" si="0"/>
        <v>35.841231034730711</v>
      </c>
    </row>
    <row r="61" spans="1:4" x14ac:dyDescent="0.3">
      <c r="A61" s="385" t="s">
        <v>1156</v>
      </c>
      <c r="B61" s="400">
        <v>4758.42</v>
      </c>
      <c r="C61" s="400">
        <v>13638</v>
      </c>
      <c r="D61" s="391">
        <f t="shared" si="0"/>
        <v>34.890893092828861</v>
      </c>
    </row>
    <row r="62" spans="1:4" x14ac:dyDescent="0.3">
      <c r="A62" s="385" t="s">
        <v>1157</v>
      </c>
      <c r="B62" s="400">
        <v>0</v>
      </c>
      <c r="C62" s="400">
        <v>0</v>
      </c>
      <c r="D62" s="391"/>
    </row>
    <row r="63" spans="1:4" x14ac:dyDescent="0.3">
      <c r="A63" s="385" t="s">
        <v>1153</v>
      </c>
      <c r="B63" s="400">
        <v>6539.27</v>
      </c>
      <c r="C63" s="400">
        <v>17374</v>
      </c>
      <c r="D63" s="391">
        <f t="shared" si="0"/>
        <v>37.638252561298494</v>
      </c>
    </row>
    <row r="64" spans="1:4" x14ac:dyDescent="0.3">
      <c r="A64" s="385" t="s">
        <v>1173</v>
      </c>
      <c r="B64" s="400">
        <v>5382.4</v>
      </c>
      <c r="C64" s="400">
        <v>15586</v>
      </c>
      <c r="D64" s="391">
        <f t="shared" si="0"/>
        <v>34.53355575516489</v>
      </c>
    </row>
    <row r="65" spans="1:4" x14ac:dyDescent="0.3">
      <c r="A65" s="385" t="s">
        <v>1180</v>
      </c>
      <c r="B65" s="400">
        <v>5500.02</v>
      </c>
      <c r="C65" s="400">
        <v>15735</v>
      </c>
      <c r="D65" s="391">
        <f t="shared" si="0"/>
        <v>34.954051477597716</v>
      </c>
    </row>
    <row r="66" spans="1:4" x14ac:dyDescent="0.3">
      <c r="A66" s="385" t="s">
        <v>1179</v>
      </c>
      <c r="B66" s="400">
        <v>7167.4</v>
      </c>
      <c r="C66" s="400">
        <v>20793</v>
      </c>
      <c r="D66" s="391">
        <f t="shared" si="0"/>
        <v>34.470254412542687</v>
      </c>
    </row>
    <row r="67" spans="1:4" x14ac:dyDescent="0.3">
      <c r="A67" s="385" t="s">
        <v>1183</v>
      </c>
      <c r="B67" s="400">
        <v>5115.45</v>
      </c>
      <c r="C67" s="400">
        <v>14059</v>
      </c>
      <c r="D67" s="391">
        <f t="shared" si="0"/>
        <v>36.385589302226329</v>
      </c>
    </row>
    <row r="68" spans="1:4" x14ac:dyDescent="0.3">
      <c r="A68" s="385" t="s">
        <v>1185</v>
      </c>
      <c r="B68" s="400">
        <v>5342.25</v>
      </c>
      <c r="C68" s="400">
        <v>14332</v>
      </c>
      <c r="D68" s="391">
        <f t="shared" si="0"/>
        <v>37.274979067820261</v>
      </c>
    </row>
    <row r="69" spans="1:4" x14ac:dyDescent="0.3">
      <c r="A69" s="385" t="s">
        <v>1186</v>
      </c>
      <c r="B69" s="400">
        <v>1302.0899999999999</v>
      </c>
      <c r="C69" s="400">
        <v>3509</v>
      </c>
      <c r="D69" s="391">
        <f t="shared" si="0"/>
        <v>37.107153035052718</v>
      </c>
    </row>
    <row r="70" spans="1:4" x14ac:dyDescent="0.3">
      <c r="A70" s="385" t="s">
        <v>1187</v>
      </c>
      <c r="B70" s="400">
        <v>0</v>
      </c>
      <c r="C70" s="400">
        <v>0</v>
      </c>
      <c r="D70" s="391"/>
    </row>
    <row r="71" spans="1:4" x14ac:dyDescent="0.3">
      <c r="A71" s="385" t="s">
        <v>130</v>
      </c>
      <c r="B71" s="400">
        <v>3918.9</v>
      </c>
      <c r="C71" s="400">
        <v>10472</v>
      </c>
      <c r="D71" s="391">
        <f t="shared" si="0"/>
        <v>37.422650878533233</v>
      </c>
    </row>
    <row r="72" spans="1:4" x14ac:dyDescent="0.3">
      <c r="A72" s="385" t="s">
        <v>1155</v>
      </c>
      <c r="B72" s="400">
        <v>6283.53</v>
      </c>
      <c r="C72" s="400">
        <v>16814</v>
      </c>
      <c r="D72" s="391">
        <f t="shared" si="0"/>
        <v>37.37082193410253</v>
      </c>
    </row>
    <row r="73" spans="1:4" x14ac:dyDescent="0.3">
      <c r="A73" s="385" t="s">
        <v>109</v>
      </c>
      <c r="B73" s="400">
        <v>4920.0249999999996</v>
      </c>
      <c r="C73" s="400">
        <v>12063</v>
      </c>
      <c r="D73" s="391">
        <f t="shared" si="0"/>
        <v>40.786081405952082</v>
      </c>
    </row>
    <row r="74" spans="1:4" x14ac:dyDescent="0.3">
      <c r="A74" s="385" t="s">
        <v>1148</v>
      </c>
      <c r="B74" s="400">
        <v>5360.44</v>
      </c>
      <c r="C74" s="400">
        <v>14047</v>
      </c>
      <c r="D74" s="391">
        <f t="shared" ref="D74:D106" si="1">B74/C74*100</f>
        <v>38.160746066775822</v>
      </c>
    </row>
    <row r="75" spans="1:4" x14ac:dyDescent="0.3">
      <c r="A75" s="385" t="s">
        <v>1138</v>
      </c>
      <c r="B75" s="400">
        <v>3743.86</v>
      </c>
      <c r="C75" s="400">
        <v>9102</v>
      </c>
      <c r="D75" s="391">
        <f t="shared" si="1"/>
        <v>41.132278620083504</v>
      </c>
    </row>
    <row r="76" spans="1:4" x14ac:dyDescent="0.3">
      <c r="A76" s="385" t="s">
        <v>137</v>
      </c>
      <c r="B76" s="400">
        <v>4653.9799999999996</v>
      </c>
      <c r="C76" s="400">
        <v>10925</v>
      </c>
      <c r="D76" s="391">
        <f t="shared" si="1"/>
        <v>42.599359267734549</v>
      </c>
    </row>
    <row r="77" spans="1:4" x14ac:dyDescent="0.3">
      <c r="A77" s="385" t="s">
        <v>250</v>
      </c>
      <c r="B77" s="400">
        <v>4351</v>
      </c>
      <c r="C77" s="400">
        <v>10935</v>
      </c>
      <c r="D77" s="391">
        <f t="shared" si="1"/>
        <v>39.789666209419295</v>
      </c>
    </row>
    <row r="78" spans="1:4" x14ac:dyDescent="0.3">
      <c r="A78" s="385" t="s">
        <v>251</v>
      </c>
      <c r="B78" s="400">
        <v>5585.15</v>
      </c>
      <c r="C78" s="400">
        <v>13715</v>
      </c>
      <c r="D78" s="391">
        <f t="shared" si="1"/>
        <v>40.72293109733868</v>
      </c>
    </row>
    <row r="79" spans="1:4" x14ac:dyDescent="0.3">
      <c r="A79" s="385" t="s">
        <v>121</v>
      </c>
      <c r="B79" s="400">
        <v>4465.1000000000004</v>
      </c>
      <c r="C79" s="400">
        <v>10980</v>
      </c>
      <c r="D79" s="391">
        <f t="shared" si="1"/>
        <v>40.665755919854284</v>
      </c>
    </row>
    <row r="80" spans="1:4" x14ac:dyDescent="0.3">
      <c r="A80" s="385" t="s">
        <v>140</v>
      </c>
      <c r="B80" s="400">
        <v>6476.8</v>
      </c>
      <c r="C80" s="400">
        <v>16231</v>
      </c>
      <c r="D80" s="391">
        <f t="shared" si="1"/>
        <v>39.903887622450867</v>
      </c>
    </row>
    <row r="81" spans="1:4" x14ac:dyDescent="0.3">
      <c r="A81" s="385" t="s">
        <v>255</v>
      </c>
      <c r="B81" s="400">
        <v>4560.88</v>
      </c>
      <c r="C81" s="400">
        <v>11120</v>
      </c>
      <c r="D81" s="391">
        <f t="shared" si="1"/>
        <v>41.015107913669063</v>
      </c>
    </row>
    <row r="82" spans="1:4" x14ac:dyDescent="0.3">
      <c r="A82" s="385" t="s">
        <v>128</v>
      </c>
      <c r="B82" s="400">
        <v>4032.68</v>
      </c>
      <c r="C82" s="400">
        <v>9949</v>
      </c>
      <c r="D82" s="391">
        <f t="shared" si="1"/>
        <v>40.533520956880089</v>
      </c>
    </row>
    <row r="83" spans="1:4" x14ac:dyDescent="0.3">
      <c r="A83" s="385" t="s">
        <v>124</v>
      </c>
      <c r="B83" s="400">
        <v>3398.79</v>
      </c>
      <c r="C83" s="400">
        <v>9652</v>
      </c>
      <c r="D83" s="391">
        <f t="shared" si="1"/>
        <v>35.213323663489433</v>
      </c>
    </row>
    <row r="84" spans="1:4" x14ac:dyDescent="0.3">
      <c r="A84" s="385" t="s">
        <v>259</v>
      </c>
      <c r="B84" s="400">
        <v>5263.07</v>
      </c>
      <c r="C84" s="400">
        <v>14175</v>
      </c>
      <c r="D84" s="391">
        <f t="shared" si="1"/>
        <v>37.129241622574952</v>
      </c>
    </row>
    <row r="85" spans="1:4" x14ac:dyDescent="0.3">
      <c r="A85" s="385" t="s">
        <v>116</v>
      </c>
      <c r="B85" s="400">
        <v>4468.55</v>
      </c>
      <c r="C85" s="400">
        <v>10988</v>
      </c>
      <c r="D85" s="391">
        <f t="shared" si="1"/>
        <v>40.66754641427012</v>
      </c>
    </row>
    <row r="86" spans="1:4" x14ac:dyDescent="0.3">
      <c r="A86" s="385" t="s">
        <v>1140</v>
      </c>
      <c r="B86" s="400">
        <v>3794.63</v>
      </c>
      <c r="C86" s="400">
        <v>10304</v>
      </c>
      <c r="D86" s="391">
        <f t="shared" si="1"/>
        <v>36.826766304347828</v>
      </c>
    </row>
    <row r="87" spans="1:4" x14ac:dyDescent="0.3">
      <c r="A87" s="385" t="s">
        <v>1142</v>
      </c>
      <c r="B87" s="400">
        <v>5284.82</v>
      </c>
      <c r="C87" s="400">
        <v>14408</v>
      </c>
      <c r="D87" s="391">
        <f t="shared" si="1"/>
        <v>36.679761243753468</v>
      </c>
    </row>
    <row r="88" spans="1:4" x14ac:dyDescent="0.3">
      <c r="A88" s="385" t="s">
        <v>134</v>
      </c>
      <c r="B88" s="400">
        <v>5236.68</v>
      </c>
      <c r="C88" s="400">
        <v>13832</v>
      </c>
      <c r="D88" s="391">
        <f t="shared" si="1"/>
        <v>37.859167148640836</v>
      </c>
    </row>
    <row r="89" spans="1:4" x14ac:dyDescent="0.3">
      <c r="A89" s="385" t="s">
        <v>110</v>
      </c>
      <c r="B89" s="400">
        <v>5615.82</v>
      </c>
      <c r="C89" s="400">
        <v>14212</v>
      </c>
      <c r="D89" s="391">
        <f t="shared" si="1"/>
        <v>39.51463551927948</v>
      </c>
    </row>
    <row r="90" spans="1:4" x14ac:dyDescent="0.3">
      <c r="A90" s="385" t="s">
        <v>119</v>
      </c>
      <c r="B90" s="400">
        <v>6141.68</v>
      </c>
      <c r="C90" s="400">
        <v>15932</v>
      </c>
      <c r="D90" s="391">
        <f t="shared" si="1"/>
        <v>38.549334672357524</v>
      </c>
    </row>
    <row r="91" spans="1:4" x14ac:dyDescent="0.3">
      <c r="A91" s="385" t="s">
        <v>129</v>
      </c>
      <c r="B91" s="400">
        <v>3931.96</v>
      </c>
      <c r="C91" s="400">
        <v>9123</v>
      </c>
      <c r="D91" s="391">
        <f t="shared" si="1"/>
        <v>43.099419050750846</v>
      </c>
    </row>
    <row r="92" spans="1:4" x14ac:dyDescent="0.3">
      <c r="A92" s="385" t="s">
        <v>111</v>
      </c>
      <c r="B92" s="400">
        <v>2927.54</v>
      </c>
      <c r="C92" s="400">
        <v>7816</v>
      </c>
      <c r="D92" s="391">
        <f t="shared" si="1"/>
        <v>37.4557318321392</v>
      </c>
    </row>
    <row r="93" spans="1:4" x14ac:dyDescent="0.3">
      <c r="A93" s="385" t="s">
        <v>132</v>
      </c>
      <c r="B93" s="400">
        <v>6437.42</v>
      </c>
      <c r="C93" s="400">
        <v>17038</v>
      </c>
      <c r="D93" s="391">
        <f t="shared" si="1"/>
        <v>37.782720976640448</v>
      </c>
    </row>
    <row r="94" spans="1:4" x14ac:dyDescent="0.3">
      <c r="A94" s="385" t="s">
        <v>131</v>
      </c>
      <c r="B94" s="400">
        <v>3354.93</v>
      </c>
      <c r="C94" s="400">
        <v>8257</v>
      </c>
      <c r="D94" s="391">
        <f t="shared" si="1"/>
        <v>40.631343102821852</v>
      </c>
    </row>
    <row r="95" spans="1:4" x14ac:dyDescent="0.3">
      <c r="A95" s="385" t="s">
        <v>120</v>
      </c>
      <c r="B95" s="400">
        <v>5240.3100000000004</v>
      </c>
      <c r="C95" s="400">
        <v>13105</v>
      </c>
      <c r="D95" s="391">
        <f t="shared" si="1"/>
        <v>39.987104158718054</v>
      </c>
    </row>
    <row r="96" spans="1:4" x14ac:dyDescent="0.3">
      <c r="A96" s="385" t="s">
        <v>115</v>
      </c>
      <c r="B96" s="400">
        <v>5178.09</v>
      </c>
      <c r="C96" s="400">
        <v>13816</v>
      </c>
      <c r="D96" s="391">
        <f t="shared" si="1"/>
        <v>37.478937463810077</v>
      </c>
    </row>
    <row r="97" spans="1:4" x14ac:dyDescent="0.3">
      <c r="A97" s="385" t="s">
        <v>112</v>
      </c>
      <c r="B97" s="400">
        <v>5518.04</v>
      </c>
      <c r="C97" s="400">
        <v>13604</v>
      </c>
      <c r="D97" s="391">
        <f t="shared" si="1"/>
        <v>40.561893560717436</v>
      </c>
    </row>
    <row r="98" spans="1:4" x14ac:dyDescent="0.3">
      <c r="A98" s="385" t="s">
        <v>138</v>
      </c>
      <c r="B98" s="400">
        <v>4713.1099999999997</v>
      </c>
      <c r="C98" s="400">
        <v>12825</v>
      </c>
      <c r="D98" s="391">
        <f t="shared" si="1"/>
        <v>36.749395711500974</v>
      </c>
    </row>
    <row r="99" spans="1:4" x14ac:dyDescent="0.3">
      <c r="A99" s="385" t="s">
        <v>122</v>
      </c>
      <c r="B99" s="400">
        <v>3844.77</v>
      </c>
      <c r="C99" s="400">
        <v>9338</v>
      </c>
      <c r="D99" s="391">
        <f t="shared" si="1"/>
        <v>41.173377596915827</v>
      </c>
    </row>
    <row r="100" spans="1:4" x14ac:dyDescent="0.3">
      <c r="A100" s="385" t="s">
        <v>126</v>
      </c>
      <c r="B100" s="400">
        <v>4718.78</v>
      </c>
      <c r="C100" s="400">
        <v>11261</v>
      </c>
      <c r="D100" s="391">
        <f t="shared" si="1"/>
        <v>41.903738566734745</v>
      </c>
    </row>
    <row r="101" spans="1:4" x14ac:dyDescent="0.3">
      <c r="A101" s="385" t="s">
        <v>135</v>
      </c>
      <c r="B101" s="400">
        <v>3398.33</v>
      </c>
      <c r="C101" s="400">
        <v>8367</v>
      </c>
      <c r="D101" s="391">
        <f t="shared" si="1"/>
        <v>40.615871877614431</v>
      </c>
    </row>
    <row r="102" spans="1:4" x14ac:dyDescent="0.3">
      <c r="A102" s="385" t="s">
        <v>123</v>
      </c>
      <c r="B102" s="400">
        <v>6500.95</v>
      </c>
      <c r="C102" s="400">
        <v>16889</v>
      </c>
      <c r="D102" s="391">
        <f t="shared" si="1"/>
        <v>38.49221386701403</v>
      </c>
    </row>
    <row r="103" spans="1:4" x14ac:dyDescent="0.3">
      <c r="A103" s="385" t="s">
        <v>139</v>
      </c>
      <c r="B103" s="400">
        <v>5207.78</v>
      </c>
      <c r="C103" s="400">
        <v>14069</v>
      </c>
      <c r="D103" s="391">
        <f t="shared" si="1"/>
        <v>37.01599260786125</v>
      </c>
    </row>
    <row r="104" spans="1:4" x14ac:dyDescent="0.3">
      <c r="A104" s="385" t="s">
        <v>1116</v>
      </c>
      <c r="B104" s="400">
        <v>7127.79</v>
      </c>
      <c r="C104" s="400">
        <v>19152</v>
      </c>
      <c r="D104" s="391">
        <f t="shared" si="1"/>
        <v>37.216948621553883</v>
      </c>
    </row>
    <row r="105" spans="1:4" x14ac:dyDescent="0.3">
      <c r="A105" s="385" t="s">
        <v>1115</v>
      </c>
      <c r="B105" s="400">
        <v>3965</v>
      </c>
      <c r="C105" s="400">
        <v>10903</v>
      </c>
      <c r="D105" s="391">
        <f t="shared" si="1"/>
        <v>36.366137760249472</v>
      </c>
    </row>
    <row r="106" spans="1:4" ht="15" thickBot="1" x14ac:dyDescent="0.35">
      <c r="A106" s="385" t="s">
        <v>125</v>
      </c>
      <c r="B106" s="400">
        <v>8088.84</v>
      </c>
      <c r="C106" s="400">
        <v>22307</v>
      </c>
      <c r="D106" s="391">
        <f t="shared" si="1"/>
        <v>36.261442596494376</v>
      </c>
    </row>
    <row r="107" spans="1:4" ht="15" thickBot="1" x14ac:dyDescent="0.35">
      <c r="A107" s="381" t="s">
        <v>1086</v>
      </c>
      <c r="B107" s="401">
        <f>SUM(B5:B106)</f>
        <v>501131.69500000024</v>
      </c>
      <c r="C107" s="401">
        <f>SUM(C5:C106)</f>
        <v>1349480</v>
      </c>
      <c r="D107" s="386">
        <f>B107/C107*100</f>
        <v>37.135170213711966</v>
      </c>
    </row>
  </sheetData>
  <autoFilter ref="A4:D4" xr:uid="{00000000-0009-0000-0000-000007000000}">
    <sortState xmlns:xlrd2="http://schemas.microsoft.com/office/spreadsheetml/2017/richdata2" ref="A5:D102">
      <sortCondition ref="A4"/>
    </sortState>
  </autoFilter>
  <mergeCells count="1">
    <mergeCell ref="A1:D1"/>
  </mergeCells>
  <conditionalFormatting sqref="D5:D10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9"/>
  <sheetViews>
    <sheetView topLeftCell="A71" workbookViewId="0">
      <selection activeCell="F70" sqref="F70"/>
    </sheetView>
  </sheetViews>
  <sheetFormatPr baseColWidth="10" defaultRowHeight="14.4" x14ac:dyDescent="0.3"/>
  <cols>
    <col min="2" max="2" width="12" bestFit="1" customWidth="1"/>
    <col min="3" max="3" width="12.33203125" customWidth="1"/>
  </cols>
  <sheetData>
    <row r="1" spans="1:4" ht="16.2" thickBot="1" x14ac:dyDescent="0.35">
      <c r="A1" s="447" t="s">
        <v>1188</v>
      </c>
      <c r="B1" s="448"/>
      <c r="C1" s="448"/>
      <c r="D1" s="449"/>
    </row>
    <row r="3" spans="1:4" ht="15" thickBot="1" x14ac:dyDescent="0.35"/>
    <row r="4" spans="1:4" ht="15" thickBot="1" x14ac:dyDescent="0.35">
      <c r="A4" s="381" t="s">
        <v>1123</v>
      </c>
      <c r="B4" s="382" t="s">
        <v>1124</v>
      </c>
      <c r="C4" s="382" t="s">
        <v>1132</v>
      </c>
      <c r="D4" s="383" t="s">
        <v>1125</v>
      </c>
    </row>
    <row r="5" spans="1:4" x14ac:dyDescent="0.3">
      <c r="A5" s="384" t="s">
        <v>1092</v>
      </c>
      <c r="B5" s="399">
        <v>2295</v>
      </c>
      <c r="C5" s="399">
        <v>5318</v>
      </c>
      <c r="D5" s="390">
        <f t="shared" ref="D5:D75" si="0">B5/C5*100</f>
        <v>43.155321549454683</v>
      </c>
    </row>
    <row r="6" spans="1:4" x14ac:dyDescent="0.3">
      <c r="A6" s="385" t="s">
        <v>1158</v>
      </c>
      <c r="B6" s="400">
        <v>5853.8</v>
      </c>
      <c r="C6" s="400">
        <v>14585</v>
      </c>
      <c r="D6" s="391">
        <f t="shared" si="0"/>
        <v>40.13575591360987</v>
      </c>
    </row>
    <row r="7" spans="1:4" x14ac:dyDescent="0.3">
      <c r="A7" s="385" t="s">
        <v>302</v>
      </c>
      <c r="B7" s="400"/>
      <c r="C7" s="400"/>
      <c r="D7" s="391"/>
    </row>
    <row r="8" spans="1:4" x14ac:dyDescent="0.3">
      <c r="A8" s="385" t="s">
        <v>180</v>
      </c>
      <c r="B8" s="400"/>
      <c r="C8" s="400"/>
      <c r="D8" s="391"/>
    </row>
    <row r="9" spans="1:4" x14ac:dyDescent="0.3">
      <c r="A9" s="385" t="s">
        <v>184</v>
      </c>
      <c r="B9" s="400">
        <v>3830</v>
      </c>
      <c r="C9" s="400">
        <v>10169</v>
      </c>
      <c r="D9" s="391">
        <f t="shared" si="0"/>
        <v>37.663487068541649</v>
      </c>
    </row>
    <row r="10" spans="1:4" x14ac:dyDescent="0.3">
      <c r="A10" s="385" t="s">
        <v>187</v>
      </c>
      <c r="B10" s="400">
        <v>5559.2</v>
      </c>
      <c r="C10" s="400">
        <v>14796</v>
      </c>
      <c r="D10" s="391">
        <f t="shared" si="0"/>
        <v>37.572316842389839</v>
      </c>
    </row>
    <row r="11" spans="1:4" x14ac:dyDescent="0.3">
      <c r="A11" s="385" t="s">
        <v>189</v>
      </c>
      <c r="B11" s="400">
        <v>5098</v>
      </c>
      <c r="C11" s="400">
        <v>12680</v>
      </c>
      <c r="D11" s="391">
        <f t="shared" si="0"/>
        <v>40.205047318611989</v>
      </c>
    </row>
    <row r="12" spans="1:4" x14ac:dyDescent="0.3">
      <c r="A12" s="385" t="s">
        <v>191</v>
      </c>
      <c r="B12" s="400">
        <v>5284.8</v>
      </c>
      <c r="C12" s="400">
        <v>14437</v>
      </c>
      <c r="D12" s="391">
        <f t="shared" si="0"/>
        <v>36.60594306296322</v>
      </c>
    </row>
    <row r="13" spans="1:4" x14ac:dyDescent="0.3">
      <c r="A13" s="385" t="s">
        <v>192</v>
      </c>
      <c r="B13" s="400">
        <v>2491</v>
      </c>
      <c r="C13" s="400">
        <v>6842</v>
      </c>
      <c r="D13" s="391">
        <f t="shared" si="0"/>
        <v>36.407483192049106</v>
      </c>
    </row>
    <row r="14" spans="1:4" x14ac:dyDescent="0.3">
      <c r="A14" s="385" t="s">
        <v>193</v>
      </c>
      <c r="B14" s="400">
        <v>6408</v>
      </c>
      <c r="C14" s="400">
        <v>17511</v>
      </c>
      <c r="D14" s="391">
        <f t="shared" si="0"/>
        <v>36.594140825766665</v>
      </c>
    </row>
    <row r="15" spans="1:4" x14ac:dyDescent="0.3">
      <c r="A15" s="385" t="s">
        <v>195</v>
      </c>
      <c r="B15" s="400">
        <v>6548</v>
      </c>
      <c r="C15" s="400">
        <v>18254</v>
      </c>
      <c r="D15" s="391">
        <f t="shared" si="0"/>
        <v>35.871589788539495</v>
      </c>
    </row>
    <row r="16" spans="1:4" x14ac:dyDescent="0.3">
      <c r="A16" s="385" t="s">
        <v>1143</v>
      </c>
      <c r="B16" s="400">
        <v>3922</v>
      </c>
      <c r="C16" s="400">
        <v>11804</v>
      </c>
      <c r="D16" s="391">
        <f t="shared" si="0"/>
        <v>33.226025076245342</v>
      </c>
    </row>
    <row r="17" spans="1:4" x14ac:dyDescent="0.3">
      <c r="A17" s="385" t="s">
        <v>209</v>
      </c>
      <c r="B17" s="400">
        <v>6440</v>
      </c>
      <c r="C17" s="400">
        <v>17388</v>
      </c>
      <c r="D17" s="391">
        <f t="shared" si="0"/>
        <v>37.037037037037038</v>
      </c>
    </row>
    <row r="18" spans="1:4" x14ac:dyDescent="0.3">
      <c r="A18" s="385" t="s">
        <v>212</v>
      </c>
      <c r="B18" s="400">
        <v>4432</v>
      </c>
      <c r="C18" s="400">
        <v>11987</v>
      </c>
      <c r="D18" s="391">
        <f t="shared" si="0"/>
        <v>36.973387836823221</v>
      </c>
    </row>
    <row r="19" spans="1:4" x14ac:dyDescent="0.3">
      <c r="A19" s="385" t="s">
        <v>214</v>
      </c>
      <c r="B19" s="400">
        <v>5816</v>
      </c>
      <c r="C19" s="400">
        <v>16273</v>
      </c>
      <c r="D19" s="391">
        <f t="shared" si="0"/>
        <v>35.740183125422483</v>
      </c>
    </row>
    <row r="20" spans="1:4" x14ac:dyDescent="0.3">
      <c r="A20" s="385" t="s">
        <v>216</v>
      </c>
      <c r="B20" s="400">
        <v>5723</v>
      </c>
      <c r="C20" s="400">
        <v>14943</v>
      </c>
      <c r="D20" s="391">
        <f t="shared" si="0"/>
        <v>38.298869035668872</v>
      </c>
    </row>
    <row r="21" spans="1:4" x14ac:dyDescent="0.3">
      <c r="A21" s="385" t="s">
        <v>218</v>
      </c>
      <c r="B21" s="400">
        <v>5343</v>
      </c>
      <c r="C21" s="400">
        <v>14818</v>
      </c>
      <c r="D21" s="391">
        <f t="shared" si="0"/>
        <v>36.057497638007831</v>
      </c>
    </row>
    <row r="22" spans="1:4" x14ac:dyDescent="0.3">
      <c r="A22" s="385" t="s">
        <v>220</v>
      </c>
      <c r="B22" s="400">
        <v>4291</v>
      </c>
      <c r="C22" s="400">
        <v>11933</v>
      </c>
      <c r="D22" s="391">
        <f t="shared" si="0"/>
        <v>35.959105002933043</v>
      </c>
    </row>
    <row r="23" spans="1:4" x14ac:dyDescent="0.3">
      <c r="A23" s="385" t="s">
        <v>222</v>
      </c>
      <c r="B23" s="400">
        <v>5090</v>
      </c>
      <c r="C23" s="400">
        <v>14049</v>
      </c>
      <c r="D23" s="391">
        <f t="shared" si="0"/>
        <v>36.230336678767173</v>
      </c>
    </row>
    <row r="24" spans="1:4" x14ac:dyDescent="0.3">
      <c r="A24" s="385" t="s">
        <v>438</v>
      </c>
      <c r="B24" s="400">
        <v>7216</v>
      </c>
      <c r="C24" s="400">
        <v>20159</v>
      </c>
      <c r="D24" s="391">
        <f t="shared" si="0"/>
        <v>35.795426360434547</v>
      </c>
    </row>
    <row r="25" spans="1:4" x14ac:dyDescent="0.3">
      <c r="A25" s="385" t="s">
        <v>1139</v>
      </c>
      <c r="B25" s="400">
        <v>4869</v>
      </c>
      <c r="C25" s="400">
        <v>13676</v>
      </c>
      <c r="D25" s="391">
        <f t="shared" si="0"/>
        <v>35.602515355367068</v>
      </c>
    </row>
    <row r="26" spans="1:4" x14ac:dyDescent="0.3">
      <c r="A26" s="385" t="s">
        <v>1136</v>
      </c>
      <c r="B26" s="400">
        <v>5764.25</v>
      </c>
      <c r="C26" s="400">
        <v>14517</v>
      </c>
      <c r="D26" s="391">
        <f t="shared" si="0"/>
        <v>39.706895364055931</v>
      </c>
    </row>
    <row r="27" spans="1:4" x14ac:dyDescent="0.3">
      <c r="A27" s="385" t="s">
        <v>1152</v>
      </c>
      <c r="B27" s="400">
        <v>6216</v>
      </c>
      <c r="C27" s="400">
        <v>16881</v>
      </c>
      <c r="D27" s="391">
        <f t="shared" si="0"/>
        <v>36.822463124222502</v>
      </c>
    </row>
    <row r="28" spans="1:4" x14ac:dyDescent="0.3">
      <c r="A28" s="385" t="s">
        <v>1137</v>
      </c>
      <c r="B28" s="400">
        <v>7122.75</v>
      </c>
      <c r="C28" s="400">
        <v>19692</v>
      </c>
      <c r="D28" s="391">
        <f t="shared" si="0"/>
        <v>36.170780012187691</v>
      </c>
    </row>
    <row r="29" spans="1:4" x14ac:dyDescent="0.3">
      <c r="A29" s="385" t="s">
        <v>1150</v>
      </c>
      <c r="B29" s="400">
        <v>7227.3</v>
      </c>
      <c r="C29" s="400">
        <v>19400</v>
      </c>
      <c r="D29" s="391">
        <f t="shared" si="0"/>
        <v>37.254123711340206</v>
      </c>
    </row>
    <row r="30" spans="1:4" x14ac:dyDescent="0.3">
      <c r="A30" s="385" t="s">
        <v>440</v>
      </c>
      <c r="B30" s="400">
        <v>5383.64</v>
      </c>
      <c r="C30" s="400">
        <v>14390</v>
      </c>
      <c r="D30" s="391">
        <f t="shared" si="0"/>
        <v>37.412369701181383</v>
      </c>
    </row>
    <row r="31" spans="1:4" x14ac:dyDescent="0.3">
      <c r="A31" s="385" t="s">
        <v>422</v>
      </c>
      <c r="B31" s="400">
        <v>7297</v>
      </c>
      <c r="C31" s="400">
        <v>20715</v>
      </c>
      <c r="D31" s="391">
        <f t="shared" si="0"/>
        <v>35.225681873038859</v>
      </c>
    </row>
    <row r="32" spans="1:4" x14ac:dyDescent="0.3">
      <c r="A32" s="385" t="s">
        <v>424</v>
      </c>
      <c r="B32" s="400">
        <v>5807</v>
      </c>
      <c r="C32" s="400">
        <v>16907</v>
      </c>
      <c r="D32" s="391">
        <f t="shared" si="0"/>
        <v>34.346720293369607</v>
      </c>
    </row>
    <row r="33" spans="1:4" x14ac:dyDescent="0.3">
      <c r="A33" s="385" t="s">
        <v>433</v>
      </c>
      <c r="B33" s="400">
        <v>4615.8</v>
      </c>
      <c r="C33" s="400">
        <v>11216</v>
      </c>
      <c r="D33" s="391">
        <f t="shared" si="0"/>
        <v>41.153708987161195</v>
      </c>
    </row>
    <row r="34" spans="1:4" x14ac:dyDescent="0.3">
      <c r="A34" s="385" t="s">
        <v>1141</v>
      </c>
      <c r="B34" s="400">
        <v>5409</v>
      </c>
      <c r="C34" s="400">
        <v>14530</v>
      </c>
      <c r="D34" s="391">
        <f t="shared" si="0"/>
        <v>37.226428079834825</v>
      </c>
    </row>
    <row r="35" spans="1:4" x14ac:dyDescent="0.3">
      <c r="A35" s="385" t="s">
        <v>1095</v>
      </c>
      <c r="B35" s="400">
        <v>6660</v>
      </c>
      <c r="C35" s="400">
        <v>17417</v>
      </c>
      <c r="D35" s="391">
        <f t="shared" si="0"/>
        <v>38.238502612390199</v>
      </c>
    </row>
    <row r="36" spans="1:4" x14ac:dyDescent="0.3">
      <c r="A36" s="385" t="s">
        <v>1094</v>
      </c>
      <c r="B36" s="400">
        <v>6541.36</v>
      </c>
      <c r="C36" s="400">
        <v>16864</v>
      </c>
      <c r="D36" s="391">
        <f t="shared" si="0"/>
        <v>38.788899430740038</v>
      </c>
    </row>
    <row r="37" spans="1:4" x14ac:dyDescent="0.3">
      <c r="A37" s="385" t="s">
        <v>427</v>
      </c>
      <c r="B37" s="400">
        <v>8510</v>
      </c>
      <c r="C37" s="400">
        <v>24118</v>
      </c>
      <c r="D37" s="391">
        <f t="shared" si="0"/>
        <v>35.284849490007467</v>
      </c>
    </row>
    <row r="38" spans="1:4" x14ac:dyDescent="0.3">
      <c r="A38" s="385" t="s">
        <v>1144</v>
      </c>
      <c r="B38" s="400">
        <v>7382.16</v>
      </c>
      <c r="C38" s="400">
        <v>20672</v>
      </c>
      <c r="D38" s="391">
        <f t="shared" si="0"/>
        <v>35.710913312693499</v>
      </c>
    </row>
    <row r="39" spans="1:4" x14ac:dyDescent="0.3">
      <c r="A39" s="385" t="s">
        <v>540</v>
      </c>
      <c r="B39" s="400">
        <v>6382</v>
      </c>
      <c r="C39" s="400">
        <v>17519</v>
      </c>
      <c r="D39" s="391">
        <f t="shared" si="0"/>
        <v>36.429019921228381</v>
      </c>
    </row>
    <row r="40" spans="1:4" x14ac:dyDescent="0.3">
      <c r="A40" s="385" t="s">
        <v>581</v>
      </c>
      <c r="B40" s="400">
        <v>6988.63</v>
      </c>
      <c r="C40" s="400">
        <v>20899</v>
      </c>
      <c r="D40" s="391">
        <f t="shared" si="0"/>
        <v>33.44002105363893</v>
      </c>
    </row>
    <row r="41" spans="1:4" x14ac:dyDescent="0.3">
      <c r="A41" s="385" t="s">
        <v>519</v>
      </c>
      <c r="B41" s="400">
        <v>5812.14</v>
      </c>
      <c r="C41" s="400">
        <v>17433</v>
      </c>
      <c r="D41" s="391">
        <f t="shared" si="0"/>
        <v>33.339872655308902</v>
      </c>
    </row>
    <row r="42" spans="1:4" x14ac:dyDescent="0.3">
      <c r="A42" s="385" t="s">
        <v>522</v>
      </c>
      <c r="B42" s="400">
        <v>6008</v>
      </c>
      <c r="C42" s="400">
        <v>17377</v>
      </c>
      <c r="D42" s="391">
        <f t="shared" si="0"/>
        <v>34.574437474823043</v>
      </c>
    </row>
    <row r="43" spans="1:4" x14ac:dyDescent="0.3">
      <c r="A43" s="385" t="s">
        <v>768</v>
      </c>
      <c r="B43" s="400">
        <v>5271.74</v>
      </c>
      <c r="C43" s="400">
        <v>14121</v>
      </c>
      <c r="D43" s="391">
        <f t="shared" si="0"/>
        <v>37.332625168189217</v>
      </c>
    </row>
    <row r="44" spans="1:4" x14ac:dyDescent="0.3">
      <c r="A44" s="385" t="s">
        <v>748</v>
      </c>
      <c r="B44" s="400">
        <v>5075</v>
      </c>
      <c r="C44" s="400">
        <v>14926</v>
      </c>
      <c r="D44" s="391">
        <f t="shared" si="0"/>
        <v>34.001071954977888</v>
      </c>
    </row>
    <row r="45" spans="1:4" x14ac:dyDescent="0.3">
      <c r="A45" s="385" t="s">
        <v>754</v>
      </c>
      <c r="B45" s="400">
        <v>6220</v>
      </c>
      <c r="C45" s="400">
        <v>17666</v>
      </c>
      <c r="D45" s="391">
        <f t="shared" si="0"/>
        <v>35.208875806634211</v>
      </c>
    </row>
    <row r="46" spans="1:4" x14ac:dyDescent="0.3">
      <c r="A46" s="385" t="s">
        <v>1090</v>
      </c>
      <c r="B46" s="400">
        <v>6430</v>
      </c>
      <c r="C46" s="400">
        <v>19578</v>
      </c>
      <c r="D46" s="391">
        <f t="shared" si="0"/>
        <v>32.842987026253958</v>
      </c>
    </row>
    <row r="47" spans="1:4" x14ac:dyDescent="0.3">
      <c r="A47" s="385" t="s">
        <v>1151</v>
      </c>
      <c r="B47" s="400">
        <v>8434.89</v>
      </c>
      <c r="C47" s="400">
        <v>23993</v>
      </c>
      <c r="D47" s="391">
        <f t="shared" si="0"/>
        <v>35.155628725044799</v>
      </c>
    </row>
    <row r="48" spans="1:4" x14ac:dyDescent="0.3">
      <c r="A48" s="385" t="s">
        <v>1091</v>
      </c>
      <c r="B48" s="400">
        <v>5442</v>
      </c>
      <c r="C48" s="400">
        <v>16099</v>
      </c>
      <c r="D48" s="391">
        <f t="shared" si="0"/>
        <v>33.803341822473449</v>
      </c>
    </row>
    <row r="49" spans="1:4" x14ac:dyDescent="0.3">
      <c r="A49" s="385" t="s">
        <v>1118</v>
      </c>
      <c r="B49" s="400">
        <v>6701.54</v>
      </c>
      <c r="C49" s="400">
        <v>17048</v>
      </c>
      <c r="D49" s="391">
        <f t="shared" si="0"/>
        <v>39.309831065227591</v>
      </c>
    </row>
    <row r="50" spans="1:4" x14ac:dyDescent="0.3">
      <c r="A50" s="385" t="s">
        <v>1096</v>
      </c>
      <c r="B50" s="400">
        <v>6104</v>
      </c>
      <c r="C50" s="400">
        <v>16755</v>
      </c>
      <c r="D50" s="391">
        <f t="shared" si="0"/>
        <v>36.430916144434498</v>
      </c>
    </row>
    <row r="51" spans="1:4" x14ac:dyDescent="0.3">
      <c r="A51" s="385" t="s">
        <v>1117</v>
      </c>
      <c r="B51" s="400">
        <v>7100</v>
      </c>
      <c r="C51" s="400">
        <v>19544</v>
      </c>
      <c r="D51" s="391">
        <f t="shared" si="0"/>
        <v>36.328284895620136</v>
      </c>
    </row>
    <row r="52" spans="1:4" x14ac:dyDescent="0.3">
      <c r="A52" s="385" t="s">
        <v>1126</v>
      </c>
      <c r="B52" s="400">
        <v>5047</v>
      </c>
      <c r="C52" s="400">
        <v>14868</v>
      </c>
      <c r="D52" s="391">
        <f t="shared" si="0"/>
        <v>33.945386064030131</v>
      </c>
    </row>
    <row r="53" spans="1:4" x14ac:dyDescent="0.3">
      <c r="A53" s="385" t="s">
        <v>1130</v>
      </c>
      <c r="B53" s="400">
        <v>5254.9</v>
      </c>
      <c r="C53" s="400">
        <v>13921</v>
      </c>
      <c r="D53" s="391">
        <f t="shared" si="0"/>
        <v>37.748006608720637</v>
      </c>
    </row>
    <row r="54" spans="1:4" x14ac:dyDescent="0.3">
      <c r="A54" s="385" t="s">
        <v>1128</v>
      </c>
      <c r="B54" s="400">
        <v>8885.7000000000007</v>
      </c>
      <c r="C54" s="400">
        <v>25624</v>
      </c>
      <c r="D54" s="391">
        <f t="shared" si="0"/>
        <v>34.67725569778333</v>
      </c>
    </row>
    <row r="55" spans="1:4" x14ac:dyDescent="0.3">
      <c r="A55" s="385" t="s">
        <v>1129</v>
      </c>
      <c r="B55" s="400">
        <v>9317</v>
      </c>
      <c r="C55" s="400">
        <v>26392</v>
      </c>
      <c r="D55" s="391">
        <f t="shared" si="0"/>
        <v>35.302364352834189</v>
      </c>
    </row>
    <row r="56" spans="1:4" x14ac:dyDescent="0.3">
      <c r="A56" s="385" t="s">
        <v>1133</v>
      </c>
      <c r="B56" s="400">
        <v>8208.39</v>
      </c>
      <c r="C56" s="400">
        <v>22547</v>
      </c>
      <c r="D56" s="391">
        <f t="shared" si="0"/>
        <v>36.40568590056327</v>
      </c>
    </row>
    <row r="57" spans="1:4" x14ac:dyDescent="0.3">
      <c r="A57" s="385" t="s">
        <v>1134</v>
      </c>
      <c r="B57" s="400">
        <v>6149.21</v>
      </c>
      <c r="C57" s="400">
        <v>17981</v>
      </c>
      <c r="D57" s="391">
        <f t="shared" si="0"/>
        <v>34.198376063622717</v>
      </c>
    </row>
    <row r="58" spans="1:4" x14ac:dyDescent="0.3">
      <c r="A58" s="385" t="s">
        <v>1135</v>
      </c>
      <c r="B58" s="400">
        <v>7085</v>
      </c>
      <c r="C58" s="400">
        <v>19177</v>
      </c>
      <c r="D58" s="391">
        <f t="shared" si="0"/>
        <v>36.945299056161026</v>
      </c>
    </row>
    <row r="59" spans="1:4" x14ac:dyDescent="0.3">
      <c r="A59" s="385" t="s">
        <v>1154</v>
      </c>
      <c r="B59" s="400">
        <v>5312.48</v>
      </c>
      <c r="C59" s="400">
        <v>14712</v>
      </c>
      <c r="D59" s="391">
        <f t="shared" si="0"/>
        <v>36.109842305600864</v>
      </c>
    </row>
    <row r="60" spans="1:4" x14ac:dyDescent="0.3">
      <c r="A60" s="385" t="s">
        <v>1159</v>
      </c>
      <c r="B60" s="400">
        <v>7265.22</v>
      </c>
      <c r="C60" s="400">
        <v>20187</v>
      </c>
      <c r="D60" s="391">
        <f t="shared" si="0"/>
        <v>35.98959726556695</v>
      </c>
    </row>
    <row r="61" spans="1:4" x14ac:dyDescent="0.3">
      <c r="A61" s="385" t="s">
        <v>1156</v>
      </c>
      <c r="B61" s="400">
        <v>4168</v>
      </c>
      <c r="C61" s="400">
        <v>11980</v>
      </c>
      <c r="D61" s="391">
        <f t="shared" si="0"/>
        <v>34.791318864774624</v>
      </c>
    </row>
    <row r="62" spans="1:4" x14ac:dyDescent="0.3">
      <c r="A62" s="385" t="s">
        <v>1157</v>
      </c>
      <c r="B62" s="400">
        <v>3965</v>
      </c>
      <c r="C62" s="400">
        <v>10748</v>
      </c>
      <c r="D62" s="391">
        <f t="shared" si="0"/>
        <v>36.890584294752507</v>
      </c>
    </row>
    <row r="63" spans="1:4" x14ac:dyDescent="0.3">
      <c r="A63" s="385" t="s">
        <v>1153</v>
      </c>
      <c r="B63" s="400">
        <v>7297.16</v>
      </c>
      <c r="C63" s="400">
        <v>18999</v>
      </c>
      <c r="D63" s="391">
        <f t="shared" si="0"/>
        <v>38.408126743512817</v>
      </c>
    </row>
    <row r="64" spans="1:4" x14ac:dyDescent="0.3">
      <c r="A64" s="385" t="s">
        <v>1173</v>
      </c>
      <c r="B64" s="400">
        <v>4762</v>
      </c>
      <c r="C64" s="400">
        <v>13399</v>
      </c>
      <c r="D64" s="391">
        <f t="shared" si="0"/>
        <v>35.539965669079784</v>
      </c>
    </row>
    <row r="65" spans="1:4" x14ac:dyDescent="0.3">
      <c r="A65" s="385" t="s">
        <v>1180</v>
      </c>
      <c r="B65" s="400">
        <v>5284</v>
      </c>
      <c r="C65" s="400">
        <v>14699</v>
      </c>
      <c r="D65" s="391">
        <f t="shared" si="0"/>
        <v>35.948023675079938</v>
      </c>
    </row>
    <row r="66" spans="1:4" x14ac:dyDescent="0.3">
      <c r="A66" s="385" t="s">
        <v>1179</v>
      </c>
      <c r="B66" s="400">
        <v>5843</v>
      </c>
      <c r="C66" s="400">
        <v>17381</v>
      </c>
      <c r="D66" s="391">
        <f t="shared" si="0"/>
        <v>33.617168172141994</v>
      </c>
    </row>
    <row r="67" spans="1:4" x14ac:dyDescent="0.3">
      <c r="A67" s="385" t="s">
        <v>1183</v>
      </c>
      <c r="B67" s="400">
        <v>7499</v>
      </c>
      <c r="C67" s="400">
        <v>20348</v>
      </c>
      <c r="D67" s="391">
        <f t="shared" si="0"/>
        <v>36.853744839787694</v>
      </c>
    </row>
    <row r="68" spans="1:4" x14ac:dyDescent="0.3">
      <c r="A68" s="385" t="s">
        <v>1185</v>
      </c>
      <c r="B68" s="400">
        <v>4227</v>
      </c>
      <c r="C68" s="400">
        <v>12970</v>
      </c>
      <c r="D68" s="391">
        <f t="shared" si="0"/>
        <v>32.590593677717813</v>
      </c>
    </row>
    <row r="69" spans="1:4" x14ac:dyDescent="0.3">
      <c r="A69" s="385" t="s">
        <v>1186</v>
      </c>
      <c r="B69" s="400">
        <v>7119</v>
      </c>
      <c r="C69" s="400">
        <v>19969</v>
      </c>
      <c r="D69" s="391">
        <f t="shared" si="0"/>
        <v>35.650257899744602</v>
      </c>
    </row>
    <row r="70" spans="1:4" x14ac:dyDescent="0.3">
      <c r="A70" s="385" t="s">
        <v>1189</v>
      </c>
      <c r="B70" s="400"/>
      <c r="C70" s="400"/>
      <c r="D70" s="391"/>
    </row>
    <row r="71" spans="1:4" x14ac:dyDescent="0.3">
      <c r="A71" s="385" t="s">
        <v>1190</v>
      </c>
      <c r="B71" s="400"/>
      <c r="C71" s="400"/>
      <c r="D71" s="391"/>
    </row>
    <row r="72" spans="1:4" x14ac:dyDescent="0.3">
      <c r="A72" s="385" t="s">
        <v>1187</v>
      </c>
      <c r="B72" s="400">
        <v>5424</v>
      </c>
      <c r="C72" s="400">
        <v>14533</v>
      </c>
      <c r="D72" s="391">
        <f t="shared" si="0"/>
        <v>37.321956925617563</v>
      </c>
    </row>
    <row r="73" spans="1:4" x14ac:dyDescent="0.3">
      <c r="A73" s="385" t="s">
        <v>130</v>
      </c>
      <c r="B73" s="400"/>
      <c r="C73" s="400"/>
      <c r="D73" s="391"/>
    </row>
    <row r="74" spans="1:4" x14ac:dyDescent="0.3">
      <c r="A74" s="385" t="s">
        <v>1155</v>
      </c>
      <c r="B74" s="400">
        <v>6081.17</v>
      </c>
      <c r="C74" s="400">
        <v>16869</v>
      </c>
      <c r="D74" s="391">
        <f t="shared" si="0"/>
        <v>36.049380520481357</v>
      </c>
    </row>
    <row r="75" spans="1:4" x14ac:dyDescent="0.3">
      <c r="A75" s="385" t="s">
        <v>109</v>
      </c>
      <c r="B75" s="400">
        <v>4330.41</v>
      </c>
      <c r="C75" s="400">
        <v>11264</v>
      </c>
      <c r="D75" s="391">
        <f t="shared" si="0"/>
        <v>38.444691051136367</v>
      </c>
    </row>
    <row r="76" spans="1:4" x14ac:dyDescent="0.3">
      <c r="A76" s="385" t="s">
        <v>1148</v>
      </c>
      <c r="B76" s="400">
        <v>7007</v>
      </c>
      <c r="C76" s="400">
        <v>19615</v>
      </c>
      <c r="D76" s="391">
        <f t="shared" ref="D76:D108" si="1">B76/C76*100</f>
        <v>35.722661228651539</v>
      </c>
    </row>
    <row r="77" spans="1:4" x14ac:dyDescent="0.3">
      <c r="A77" s="385" t="s">
        <v>1138</v>
      </c>
      <c r="B77" s="400">
        <v>5867.97</v>
      </c>
      <c r="C77" s="400">
        <v>14317</v>
      </c>
      <c r="D77" s="391">
        <f t="shared" si="1"/>
        <v>40.986030593001324</v>
      </c>
    </row>
    <row r="78" spans="1:4" x14ac:dyDescent="0.3">
      <c r="A78" s="385" t="s">
        <v>137</v>
      </c>
      <c r="B78" s="400">
        <v>5096</v>
      </c>
      <c r="C78" s="400">
        <v>12461</v>
      </c>
      <c r="D78" s="391">
        <f t="shared" si="1"/>
        <v>40.895594254072712</v>
      </c>
    </row>
    <row r="79" spans="1:4" x14ac:dyDescent="0.3">
      <c r="A79" s="385" t="s">
        <v>250</v>
      </c>
      <c r="B79" s="400">
        <v>4869</v>
      </c>
      <c r="C79" s="400">
        <v>11558</v>
      </c>
      <c r="D79" s="391">
        <f t="shared" si="1"/>
        <v>42.126665513064545</v>
      </c>
    </row>
    <row r="80" spans="1:4" x14ac:dyDescent="0.3">
      <c r="A80" s="385" t="s">
        <v>251</v>
      </c>
      <c r="B80" s="400">
        <v>5686</v>
      </c>
      <c r="C80" s="400">
        <v>14393</v>
      </c>
      <c r="D80" s="391">
        <f t="shared" si="1"/>
        <v>39.505315083721257</v>
      </c>
    </row>
    <row r="81" spans="1:4" x14ac:dyDescent="0.3">
      <c r="A81" s="385" t="s">
        <v>121</v>
      </c>
      <c r="B81" s="400">
        <v>4660</v>
      </c>
      <c r="C81" s="400">
        <v>11600</v>
      </c>
      <c r="D81" s="391">
        <f t="shared" si="1"/>
        <v>40.172413793103452</v>
      </c>
    </row>
    <row r="82" spans="1:4" x14ac:dyDescent="0.3">
      <c r="A82" s="385" t="s">
        <v>140</v>
      </c>
      <c r="B82" s="400">
        <v>8686</v>
      </c>
      <c r="C82" s="400">
        <v>21748</v>
      </c>
      <c r="D82" s="391">
        <f t="shared" si="1"/>
        <v>39.93930476365643</v>
      </c>
    </row>
    <row r="83" spans="1:4" x14ac:dyDescent="0.3">
      <c r="A83" s="385" t="s">
        <v>255</v>
      </c>
      <c r="B83" s="400">
        <v>3284</v>
      </c>
      <c r="C83" s="400">
        <v>8505</v>
      </c>
      <c r="D83" s="391">
        <f t="shared" si="1"/>
        <v>38.612580834803055</v>
      </c>
    </row>
    <row r="84" spans="1:4" x14ac:dyDescent="0.3">
      <c r="A84" s="385" t="s">
        <v>128</v>
      </c>
      <c r="B84" s="400">
        <v>5356</v>
      </c>
      <c r="C84" s="400">
        <v>14340</v>
      </c>
      <c r="D84" s="391">
        <f t="shared" si="1"/>
        <v>37.350069735006976</v>
      </c>
    </row>
    <row r="85" spans="1:4" x14ac:dyDescent="0.3">
      <c r="A85" s="385" t="s">
        <v>124</v>
      </c>
      <c r="B85" s="400">
        <v>6359.63</v>
      </c>
      <c r="C85" s="400">
        <v>18340</v>
      </c>
      <c r="D85" s="391">
        <f t="shared" si="1"/>
        <v>34.676281352235549</v>
      </c>
    </row>
    <row r="86" spans="1:4" x14ac:dyDescent="0.3">
      <c r="A86" s="385" t="s">
        <v>259</v>
      </c>
      <c r="B86" s="400">
        <v>5717.9</v>
      </c>
      <c r="C86" s="400">
        <v>16051</v>
      </c>
      <c r="D86" s="391">
        <f t="shared" si="1"/>
        <v>35.623325649492244</v>
      </c>
    </row>
    <row r="87" spans="1:4" x14ac:dyDescent="0.3">
      <c r="A87" s="385" t="s">
        <v>116</v>
      </c>
      <c r="B87" s="400"/>
      <c r="C87" s="400"/>
      <c r="D87" s="391"/>
    </row>
    <row r="88" spans="1:4" x14ac:dyDescent="0.3">
      <c r="A88" s="385" t="s">
        <v>1140</v>
      </c>
      <c r="B88" s="400">
        <v>4600</v>
      </c>
      <c r="C88" s="400">
        <v>12713</v>
      </c>
      <c r="D88" s="391">
        <f t="shared" si="1"/>
        <v>36.183434279870994</v>
      </c>
    </row>
    <row r="89" spans="1:4" x14ac:dyDescent="0.3">
      <c r="A89" s="385" t="s">
        <v>1142</v>
      </c>
      <c r="B89" s="400">
        <v>6103</v>
      </c>
      <c r="C89" s="400">
        <v>16604</v>
      </c>
      <c r="D89" s="391">
        <f t="shared" si="1"/>
        <v>36.75620332450012</v>
      </c>
    </row>
    <row r="90" spans="1:4" x14ac:dyDescent="0.3">
      <c r="A90" s="385" t="s">
        <v>134</v>
      </c>
      <c r="B90" s="400">
        <v>4358</v>
      </c>
      <c r="C90" s="400">
        <v>11452</v>
      </c>
      <c r="D90" s="391">
        <f t="shared" si="1"/>
        <v>38.054488298987074</v>
      </c>
    </row>
    <row r="91" spans="1:4" x14ac:dyDescent="0.3">
      <c r="A91" s="385" t="s">
        <v>110</v>
      </c>
      <c r="B91" s="400">
        <v>5607</v>
      </c>
      <c r="C91" s="400">
        <v>13871</v>
      </c>
      <c r="D91" s="391">
        <f t="shared" si="1"/>
        <v>40.42246413380434</v>
      </c>
    </row>
    <row r="92" spans="1:4" x14ac:dyDescent="0.3">
      <c r="A92" s="385" t="s">
        <v>119</v>
      </c>
      <c r="B92" s="400">
        <v>6461.17</v>
      </c>
      <c r="C92" s="400">
        <v>17196</v>
      </c>
      <c r="D92" s="391">
        <f t="shared" si="1"/>
        <v>37.573679925564086</v>
      </c>
    </row>
    <row r="93" spans="1:4" x14ac:dyDescent="0.3">
      <c r="A93" s="385" t="s">
        <v>129</v>
      </c>
      <c r="B93" s="400">
        <v>6166.39</v>
      </c>
      <c r="C93" s="400">
        <v>15173</v>
      </c>
      <c r="D93" s="391">
        <f t="shared" si="1"/>
        <v>40.640545706188625</v>
      </c>
    </row>
    <row r="94" spans="1:4" x14ac:dyDescent="0.3">
      <c r="A94" s="385" t="s">
        <v>111</v>
      </c>
      <c r="B94" s="400">
        <v>7588.25</v>
      </c>
      <c r="C94" s="400">
        <v>19434</v>
      </c>
      <c r="D94" s="391">
        <f t="shared" si="1"/>
        <v>39.046259133477413</v>
      </c>
    </row>
    <row r="95" spans="1:4" x14ac:dyDescent="0.3">
      <c r="A95" s="385" t="s">
        <v>132</v>
      </c>
      <c r="B95" s="400">
        <v>6463.81</v>
      </c>
      <c r="C95" s="400">
        <v>16835</v>
      </c>
      <c r="D95" s="391">
        <f t="shared" si="1"/>
        <v>38.395069795069794</v>
      </c>
    </row>
    <row r="96" spans="1:4" x14ac:dyDescent="0.3">
      <c r="A96" s="385" t="s">
        <v>131</v>
      </c>
      <c r="B96" s="400">
        <v>5616</v>
      </c>
      <c r="C96" s="400">
        <v>14429</v>
      </c>
      <c r="D96" s="391">
        <f t="shared" si="1"/>
        <v>38.921616189618128</v>
      </c>
    </row>
    <row r="97" spans="1:4" x14ac:dyDescent="0.3">
      <c r="A97" s="385" t="s">
        <v>120</v>
      </c>
      <c r="B97" s="400">
        <v>5720.19</v>
      </c>
      <c r="C97" s="400">
        <v>14868</v>
      </c>
      <c r="D97" s="391">
        <f t="shared" si="1"/>
        <v>38.473163841807903</v>
      </c>
    </row>
    <row r="98" spans="1:4" x14ac:dyDescent="0.3">
      <c r="A98" s="385" t="s">
        <v>115</v>
      </c>
      <c r="B98" s="400">
        <v>4107</v>
      </c>
      <c r="C98" s="400">
        <v>11494</v>
      </c>
      <c r="D98" s="391">
        <f t="shared" si="1"/>
        <v>35.731686097094133</v>
      </c>
    </row>
    <row r="99" spans="1:4" x14ac:dyDescent="0.3">
      <c r="A99" s="385" t="s">
        <v>112</v>
      </c>
      <c r="B99" s="400">
        <v>5673</v>
      </c>
      <c r="C99" s="400">
        <v>14315</v>
      </c>
      <c r="D99" s="391">
        <f t="shared" si="1"/>
        <v>39.629758994062172</v>
      </c>
    </row>
    <row r="100" spans="1:4" x14ac:dyDescent="0.3">
      <c r="A100" s="385" t="s">
        <v>138</v>
      </c>
      <c r="B100" s="400">
        <v>7229</v>
      </c>
      <c r="C100" s="400">
        <v>19473</v>
      </c>
      <c r="D100" s="391">
        <f t="shared" si="1"/>
        <v>37.123196220407742</v>
      </c>
    </row>
    <row r="101" spans="1:4" x14ac:dyDescent="0.3">
      <c r="A101" s="385" t="s">
        <v>122</v>
      </c>
      <c r="B101" s="400">
        <v>4229</v>
      </c>
      <c r="C101" s="400">
        <v>10628</v>
      </c>
      <c r="D101" s="391">
        <f t="shared" si="1"/>
        <v>39.791117802032367</v>
      </c>
    </row>
    <row r="102" spans="1:4" x14ac:dyDescent="0.3">
      <c r="A102" s="385" t="s">
        <v>126</v>
      </c>
      <c r="B102" s="400">
        <v>4462.9399999999996</v>
      </c>
      <c r="C102" s="400">
        <v>11109</v>
      </c>
      <c r="D102" s="391">
        <f t="shared" si="1"/>
        <v>40.174093077684759</v>
      </c>
    </row>
    <row r="103" spans="1:4" x14ac:dyDescent="0.3">
      <c r="A103" s="385" t="s">
        <v>135</v>
      </c>
      <c r="B103" s="400">
        <v>6619.58</v>
      </c>
      <c r="C103" s="400">
        <v>17353</v>
      </c>
      <c r="D103" s="391">
        <f t="shared" si="1"/>
        <v>38.146602892871549</v>
      </c>
    </row>
    <row r="104" spans="1:4" x14ac:dyDescent="0.3">
      <c r="A104" s="385" t="s">
        <v>123</v>
      </c>
      <c r="B104" s="400">
        <v>6776</v>
      </c>
      <c r="C104" s="400">
        <v>19490</v>
      </c>
      <c r="D104" s="391">
        <f t="shared" si="1"/>
        <v>34.766546947152385</v>
      </c>
    </row>
    <row r="105" spans="1:4" x14ac:dyDescent="0.3">
      <c r="A105" s="385" t="s">
        <v>139</v>
      </c>
      <c r="B105" s="400">
        <v>6028</v>
      </c>
      <c r="C105" s="400">
        <v>16672</v>
      </c>
      <c r="D105" s="391">
        <f t="shared" si="1"/>
        <v>36.156429942418427</v>
      </c>
    </row>
    <row r="106" spans="1:4" x14ac:dyDescent="0.3">
      <c r="A106" s="385" t="s">
        <v>1116</v>
      </c>
      <c r="B106" s="400">
        <v>6539.97</v>
      </c>
      <c r="C106" s="400">
        <v>17152</v>
      </c>
      <c r="D106" s="391">
        <f t="shared" si="1"/>
        <v>38.129489272388064</v>
      </c>
    </row>
    <row r="107" spans="1:4" x14ac:dyDescent="0.3">
      <c r="A107" s="385" t="s">
        <v>1115</v>
      </c>
      <c r="B107" s="400">
        <v>6077</v>
      </c>
      <c r="C107" s="400">
        <v>16111</v>
      </c>
      <c r="D107" s="391">
        <f t="shared" si="1"/>
        <v>37.71957047979641</v>
      </c>
    </row>
    <row r="108" spans="1:4" ht="15" thickBot="1" x14ac:dyDescent="0.35">
      <c r="A108" s="385" t="s">
        <v>125</v>
      </c>
      <c r="B108" s="400">
        <v>6459</v>
      </c>
      <c r="C108" s="400">
        <v>17139</v>
      </c>
      <c r="D108" s="391">
        <f t="shared" si="1"/>
        <v>37.685979345352706</v>
      </c>
    </row>
    <row r="109" spans="1:4" ht="15" thickBot="1" x14ac:dyDescent="0.35">
      <c r="A109" s="381" t="s">
        <v>1086</v>
      </c>
      <c r="B109" s="401">
        <f>SUM(B5:B108)</f>
        <v>576414.43999999983</v>
      </c>
      <c r="C109" s="401">
        <f>SUM(C5:C108)</f>
        <v>1566906</v>
      </c>
      <c r="D109" s="386">
        <f>B109/C109*100</f>
        <v>36.786791294436291</v>
      </c>
    </row>
  </sheetData>
  <autoFilter ref="A4:D4" xr:uid="{00000000-0009-0000-0000-000008000000}">
    <sortState xmlns:xlrd2="http://schemas.microsoft.com/office/spreadsheetml/2017/richdata2" ref="A5:D102">
      <sortCondition ref="A4"/>
    </sortState>
  </autoFilter>
  <mergeCells count="1">
    <mergeCell ref="A1:D1"/>
  </mergeCells>
  <conditionalFormatting sqref="D5:D10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8"/>
  <sheetViews>
    <sheetView workbookViewId="0">
      <selection activeCell="F111" sqref="F111"/>
    </sheetView>
  </sheetViews>
  <sheetFormatPr baseColWidth="10" defaultRowHeight="14.4" x14ac:dyDescent="0.3"/>
  <cols>
    <col min="2" max="2" width="12" bestFit="1" customWidth="1"/>
    <col min="3" max="3" width="12.33203125" customWidth="1"/>
  </cols>
  <sheetData>
    <row r="1" spans="1:4" ht="16.2" thickBot="1" x14ac:dyDescent="0.35">
      <c r="A1" s="447" t="s">
        <v>1191</v>
      </c>
      <c r="B1" s="448"/>
      <c r="C1" s="448"/>
      <c r="D1" s="449"/>
    </row>
    <row r="3" spans="1:4" ht="15" thickBot="1" x14ac:dyDescent="0.35"/>
    <row r="4" spans="1:4" ht="15" thickBot="1" x14ac:dyDescent="0.35">
      <c r="A4" s="381" t="s">
        <v>1123</v>
      </c>
      <c r="B4" s="382" t="s">
        <v>1124</v>
      </c>
      <c r="C4" s="382" t="s">
        <v>1132</v>
      </c>
      <c r="D4" s="383" t="s">
        <v>1125</v>
      </c>
    </row>
    <row r="5" spans="1:4" x14ac:dyDescent="0.3">
      <c r="A5" s="384" t="s">
        <v>1092</v>
      </c>
      <c r="B5" s="399">
        <v>7038.59</v>
      </c>
      <c r="C5" s="399">
        <v>17623</v>
      </c>
      <c r="D5" s="390">
        <f>B5/C5*100</f>
        <v>39.939794586619762</v>
      </c>
    </row>
    <row r="6" spans="1:4" x14ac:dyDescent="0.3">
      <c r="A6" s="385" t="s">
        <v>1158</v>
      </c>
      <c r="B6" s="400">
        <v>5861.2</v>
      </c>
      <c r="C6" s="400">
        <v>14218</v>
      </c>
      <c r="D6" s="391">
        <f>B6/C6*100</f>
        <v>41.223800815867214</v>
      </c>
    </row>
    <row r="7" spans="1:4" x14ac:dyDescent="0.3">
      <c r="A7" s="385" t="s">
        <v>302</v>
      </c>
      <c r="B7" s="400"/>
      <c r="C7" s="400"/>
      <c r="D7" s="391"/>
    </row>
    <row r="8" spans="1:4" x14ac:dyDescent="0.3">
      <c r="A8" s="385" t="s">
        <v>180</v>
      </c>
      <c r="B8" s="400"/>
      <c r="C8" s="400"/>
      <c r="D8" s="391"/>
    </row>
    <row r="9" spans="1:4" x14ac:dyDescent="0.3">
      <c r="A9" s="385" t="s">
        <v>184</v>
      </c>
      <c r="B9" s="400">
        <v>7489</v>
      </c>
      <c r="C9" s="400">
        <v>19697</v>
      </c>
      <c r="D9" s="391">
        <f t="shared" ref="D9:D43" si="0">B9/C9*100</f>
        <v>38.021018429202421</v>
      </c>
    </row>
    <row r="10" spans="1:4" x14ac:dyDescent="0.3">
      <c r="A10" s="385" t="s">
        <v>187</v>
      </c>
      <c r="B10" s="400">
        <v>5468.88</v>
      </c>
      <c r="C10" s="400">
        <v>14600</v>
      </c>
      <c r="D10" s="391">
        <f t="shared" si="0"/>
        <v>37.458082191780825</v>
      </c>
    </row>
    <row r="11" spans="1:4" x14ac:dyDescent="0.3">
      <c r="A11" s="385" t="s">
        <v>189</v>
      </c>
      <c r="B11" s="400">
        <v>7566.97</v>
      </c>
      <c r="C11" s="400">
        <v>20159</v>
      </c>
      <c r="D11" s="391">
        <f t="shared" si="0"/>
        <v>37.53643533905452</v>
      </c>
    </row>
    <row r="12" spans="1:4" x14ac:dyDescent="0.3">
      <c r="A12" s="385" t="s">
        <v>191</v>
      </c>
      <c r="B12" s="400">
        <v>6488.62</v>
      </c>
      <c r="C12" s="400">
        <v>17426</v>
      </c>
      <c r="D12" s="391">
        <f t="shared" si="0"/>
        <v>37.235280615172726</v>
      </c>
    </row>
    <row r="13" spans="1:4" x14ac:dyDescent="0.3">
      <c r="A13" s="385" t="s">
        <v>192</v>
      </c>
      <c r="B13" s="400">
        <v>5220.7700000000004</v>
      </c>
      <c r="C13" s="400">
        <v>14568</v>
      </c>
      <c r="D13" s="391">
        <f t="shared" si="0"/>
        <v>35.837246018671067</v>
      </c>
    </row>
    <row r="14" spans="1:4" x14ac:dyDescent="0.3">
      <c r="A14" s="385" t="s">
        <v>193</v>
      </c>
      <c r="B14" s="400">
        <v>3927</v>
      </c>
      <c r="C14" s="400">
        <v>10992</v>
      </c>
      <c r="D14" s="391">
        <f t="shared" si="0"/>
        <v>35.725982532751097</v>
      </c>
    </row>
    <row r="15" spans="1:4" x14ac:dyDescent="0.3">
      <c r="A15" s="385" t="s">
        <v>195</v>
      </c>
      <c r="B15" s="400">
        <v>4821</v>
      </c>
      <c r="C15" s="400">
        <v>13317</v>
      </c>
      <c r="D15" s="391">
        <f t="shared" si="0"/>
        <v>36.201847262897047</v>
      </c>
    </row>
    <row r="16" spans="1:4" x14ac:dyDescent="0.3">
      <c r="A16" s="385" t="s">
        <v>1143</v>
      </c>
      <c r="B16" s="400">
        <v>5116.7299999999996</v>
      </c>
      <c r="C16" s="400">
        <v>15397</v>
      </c>
      <c r="D16" s="391">
        <f t="shared" si="0"/>
        <v>33.231993245437423</v>
      </c>
    </row>
    <row r="17" spans="1:4" x14ac:dyDescent="0.3">
      <c r="A17" s="385" t="s">
        <v>209</v>
      </c>
      <c r="B17" s="400">
        <v>6271.41</v>
      </c>
      <c r="C17" s="400">
        <v>17262</v>
      </c>
      <c r="D17" s="391">
        <f t="shared" si="0"/>
        <v>36.330726451164409</v>
      </c>
    </row>
    <row r="18" spans="1:4" x14ac:dyDescent="0.3">
      <c r="A18" s="385" t="s">
        <v>212</v>
      </c>
      <c r="B18" s="400">
        <v>6544.96</v>
      </c>
      <c r="C18" s="400">
        <v>17433</v>
      </c>
      <c r="D18" s="391">
        <f t="shared" si="0"/>
        <v>37.54350943612689</v>
      </c>
    </row>
    <row r="19" spans="1:4" x14ac:dyDescent="0.3">
      <c r="A19" s="385" t="s">
        <v>214</v>
      </c>
      <c r="B19" s="400">
        <v>2146.06</v>
      </c>
      <c r="C19" s="400">
        <v>5916</v>
      </c>
      <c r="D19" s="391">
        <f t="shared" si="0"/>
        <v>36.275524002704529</v>
      </c>
    </row>
    <row r="20" spans="1:4" x14ac:dyDescent="0.3">
      <c r="A20" s="385" t="s">
        <v>216</v>
      </c>
      <c r="B20" s="400">
        <v>6560</v>
      </c>
      <c r="C20" s="400">
        <v>16966</v>
      </c>
      <c r="D20" s="391">
        <f t="shared" si="0"/>
        <v>38.665566426971594</v>
      </c>
    </row>
    <row r="21" spans="1:4" x14ac:dyDescent="0.3">
      <c r="A21" s="385" t="s">
        <v>218</v>
      </c>
      <c r="B21" s="400">
        <v>3940.6</v>
      </c>
      <c r="C21" s="400">
        <v>11123</v>
      </c>
      <c r="D21" s="391">
        <f t="shared" si="0"/>
        <v>35.42749258293626</v>
      </c>
    </row>
    <row r="22" spans="1:4" x14ac:dyDescent="0.3">
      <c r="A22" s="385" t="s">
        <v>220</v>
      </c>
      <c r="B22" s="400">
        <v>4789.8599999999997</v>
      </c>
      <c r="C22" s="400">
        <v>12842</v>
      </c>
      <c r="D22" s="391">
        <f t="shared" si="0"/>
        <v>37.298395888490887</v>
      </c>
    </row>
    <row r="23" spans="1:4" x14ac:dyDescent="0.3">
      <c r="A23" s="385" t="s">
        <v>222</v>
      </c>
      <c r="B23" s="400">
        <v>3048.28</v>
      </c>
      <c r="C23" s="400">
        <v>8737</v>
      </c>
      <c r="D23" s="391">
        <f t="shared" si="0"/>
        <v>34.889321277326317</v>
      </c>
    </row>
    <row r="24" spans="1:4" x14ac:dyDescent="0.3">
      <c r="A24" s="385" t="s">
        <v>438</v>
      </c>
      <c r="B24" s="400">
        <v>4430.7</v>
      </c>
      <c r="C24" s="400">
        <v>12463</v>
      </c>
      <c r="D24" s="391">
        <f t="shared" si="0"/>
        <v>35.550830458156142</v>
      </c>
    </row>
    <row r="25" spans="1:4" x14ac:dyDescent="0.3">
      <c r="A25" s="385" t="s">
        <v>1139</v>
      </c>
      <c r="B25" s="400">
        <v>5412.6</v>
      </c>
      <c r="C25" s="400">
        <v>14265</v>
      </c>
      <c r="D25" s="391">
        <f t="shared" si="0"/>
        <v>37.943217665615144</v>
      </c>
    </row>
    <row r="26" spans="1:4" x14ac:dyDescent="0.3">
      <c r="A26" s="385" t="s">
        <v>1136</v>
      </c>
      <c r="B26" s="400">
        <v>7339.2</v>
      </c>
      <c r="C26" s="400">
        <v>18911</v>
      </c>
      <c r="D26" s="391">
        <f t="shared" si="0"/>
        <v>38.809158690709111</v>
      </c>
    </row>
    <row r="27" spans="1:4" x14ac:dyDescent="0.3">
      <c r="A27" s="385" t="s">
        <v>1152</v>
      </c>
      <c r="B27" s="400">
        <v>4346.93</v>
      </c>
      <c r="C27" s="400">
        <v>11445</v>
      </c>
      <c r="D27" s="391">
        <f t="shared" si="0"/>
        <v>37.981039755351688</v>
      </c>
    </row>
    <row r="28" spans="1:4" x14ac:dyDescent="0.3">
      <c r="A28" s="385" t="s">
        <v>1137</v>
      </c>
      <c r="B28" s="400">
        <v>5721.88</v>
      </c>
      <c r="C28" s="400">
        <v>14503</v>
      </c>
      <c r="D28" s="391">
        <f t="shared" si="0"/>
        <v>39.453078673377924</v>
      </c>
    </row>
    <row r="29" spans="1:4" x14ac:dyDescent="0.3">
      <c r="A29" s="385" t="s">
        <v>1150</v>
      </c>
      <c r="B29" s="400">
        <v>6108.96</v>
      </c>
      <c r="C29" s="400">
        <v>15697</v>
      </c>
      <c r="D29" s="391">
        <f t="shared" si="0"/>
        <v>38.918009810791872</v>
      </c>
    </row>
    <row r="30" spans="1:4" x14ac:dyDescent="0.3">
      <c r="A30" s="385" t="s">
        <v>440</v>
      </c>
      <c r="B30" s="400">
        <v>7735</v>
      </c>
      <c r="C30" s="400">
        <v>19780</v>
      </c>
      <c r="D30" s="391">
        <f t="shared" si="0"/>
        <v>39.105156723963603</v>
      </c>
    </row>
    <row r="31" spans="1:4" x14ac:dyDescent="0.3">
      <c r="A31" s="385" t="s">
        <v>422</v>
      </c>
      <c r="B31" s="400">
        <v>4028.82</v>
      </c>
      <c r="C31" s="400">
        <v>11151</v>
      </c>
      <c r="D31" s="391">
        <f t="shared" si="0"/>
        <v>36.12967446865752</v>
      </c>
    </row>
    <row r="32" spans="1:4" x14ac:dyDescent="0.3">
      <c r="A32" s="385" t="s">
        <v>424</v>
      </c>
      <c r="B32" s="400">
        <v>4913.67</v>
      </c>
      <c r="C32" s="400">
        <v>13806</v>
      </c>
      <c r="D32" s="391">
        <f t="shared" si="0"/>
        <v>35.590830073880916</v>
      </c>
    </row>
    <row r="33" spans="1:4" x14ac:dyDescent="0.3">
      <c r="A33" s="385" t="s">
        <v>433</v>
      </c>
      <c r="B33" s="400">
        <v>3643.24</v>
      </c>
      <c r="C33" s="400">
        <v>9969</v>
      </c>
      <c r="D33" s="391">
        <f t="shared" si="0"/>
        <v>36.545691644096692</v>
      </c>
    </row>
    <row r="34" spans="1:4" x14ac:dyDescent="0.3">
      <c r="A34" s="385" t="s">
        <v>1141</v>
      </c>
      <c r="B34" s="400">
        <v>4231.8599999999997</v>
      </c>
      <c r="C34" s="400">
        <v>11503</v>
      </c>
      <c r="D34" s="391">
        <f t="shared" si="0"/>
        <v>36.789185429887858</v>
      </c>
    </row>
    <row r="35" spans="1:4" x14ac:dyDescent="0.3">
      <c r="A35" s="385" t="s">
        <v>1095</v>
      </c>
      <c r="B35" s="400">
        <v>4890.1400000000003</v>
      </c>
      <c r="C35" s="400">
        <v>13591</v>
      </c>
      <c r="D35" s="391">
        <f t="shared" si="0"/>
        <v>35.980722536972998</v>
      </c>
    </row>
    <row r="36" spans="1:4" x14ac:dyDescent="0.3">
      <c r="A36" s="385" t="s">
        <v>1094</v>
      </c>
      <c r="B36" s="400">
        <v>4855.51</v>
      </c>
      <c r="C36" s="400">
        <v>12450</v>
      </c>
      <c r="D36" s="391">
        <f t="shared" si="0"/>
        <v>39.000080321285139</v>
      </c>
    </row>
    <row r="37" spans="1:4" x14ac:dyDescent="0.3">
      <c r="A37" s="385" t="s">
        <v>427</v>
      </c>
      <c r="B37" s="400">
        <v>5120.54</v>
      </c>
      <c r="C37" s="400">
        <v>14074</v>
      </c>
      <c r="D37" s="391">
        <f t="shared" si="0"/>
        <v>36.382975699872105</v>
      </c>
    </row>
    <row r="38" spans="1:4" x14ac:dyDescent="0.3">
      <c r="A38" s="385" t="s">
        <v>1144</v>
      </c>
      <c r="B38" s="400">
        <v>5633.71</v>
      </c>
      <c r="C38" s="400">
        <v>15964</v>
      </c>
      <c r="D38" s="391">
        <f t="shared" si="0"/>
        <v>35.290090202956655</v>
      </c>
    </row>
    <row r="39" spans="1:4" x14ac:dyDescent="0.3">
      <c r="A39" s="385" t="s">
        <v>540</v>
      </c>
      <c r="B39" s="400">
        <v>1058.6099999999999</v>
      </c>
      <c r="C39" s="400">
        <v>3082</v>
      </c>
      <c r="D39" s="391">
        <f t="shared" si="0"/>
        <v>34.348150551589875</v>
      </c>
    </row>
    <row r="40" spans="1:4" x14ac:dyDescent="0.3">
      <c r="A40" s="385" t="s">
        <v>581</v>
      </c>
      <c r="B40" s="400">
        <v>7061.88</v>
      </c>
      <c r="C40" s="400">
        <v>20687</v>
      </c>
      <c r="D40" s="391">
        <f t="shared" si="0"/>
        <v>34.136800889447478</v>
      </c>
    </row>
    <row r="41" spans="1:4" x14ac:dyDescent="0.3">
      <c r="A41" s="385" t="s">
        <v>519</v>
      </c>
      <c r="B41" s="400">
        <v>4356.53</v>
      </c>
      <c r="C41" s="400">
        <v>12240</v>
      </c>
      <c r="D41" s="391">
        <f t="shared" si="0"/>
        <v>35.592565359477121</v>
      </c>
    </row>
    <row r="42" spans="1:4" x14ac:dyDescent="0.3">
      <c r="A42" s="385" t="s">
        <v>522</v>
      </c>
      <c r="B42" s="400">
        <v>5859.98</v>
      </c>
      <c r="C42" s="400">
        <v>16671</v>
      </c>
      <c r="D42" s="391">
        <f t="shared" si="0"/>
        <v>35.150740807390072</v>
      </c>
    </row>
    <row r="43" spans="1:4" x14ac:dyDescent="0.3">
      <c r="A43" s="385" t="s">
        <v>768</v>
      </c>
      <c r="B43" s="400">
        <v>4054.6</v>
      </c>
      <c r="C43" s="400">
        <v>10658</v>
      </c>
      <c r="D43" s="391">
        <f t="shared" si="0"/>
        <v>38.042784762619632</v>
      </c>
    </row>
    <row r="44" spans="1:4" x14ac:dyDescent="0.3">
      <c r="A44" s="385" t="s">
        <v>748</v>
      </c>
      <c r="B44" s="400"/>
      <c r="C44" s="400"/>
      <c r="D44" s="391"/>
    </row>
    <row r="45" spans="1:4" x14ac:dyDescent="0.3">
      <c r="A45" s="385" t="s">
        <v>754</v>
      </c>
      <c r="B45" s="400">
        <v>5375.97</v>
      </c>
      <c r="C45" s="400">
        <v>15091</v>
      </c>
      <c r="D45" s="391">
        <f>B45/C45*100</f>
        <v>35.623682989861507</v>
      </c>
    </row>
    <row r="46" spans="1:4" x14ac:dyDescent="0.3">
      <c r="A46" s="385" t="s">
        <v>1090</v>
      </c>
      <c r="B46" s="400"/>
      <c r="C46" s="400"/>
      <c r="D46" s="391"/>
    </row>
    <row r="47" spans="1:4" x14ac:dyDescent="0.3">
      <c r="A47" s="385" t="s">
        <v>1151</v>
      </c>
      <c r="B47" s="400">
        <v>7269.29</v>
      </c>
      <c r="C47" s="400">
        <v>20863</v>
      </c>
      <c r="D47" s="391">
        <f t="shared" ref="D47:D71" si="1">B47/C47*100</f>
        <v>34.842975602741696</v>
      </c>
    </row>
    <row r="48" spans="1:4" x14ac:dyDescent="0.3">
      <c r="A48" s="385" t="s">
        <v>1091</v>
      </c>
      <c r="B48" s="400">
        <v>7092.93</v>
      </c>
      <c r="C48" s="400">
        <v>19745</v>
      </c>
      <c r="D48" s="391">
        <f t="shared" si="1"/>
        <v>35.922663965560901</v>
      </c>
    </row>
    <row r="49" spans="1:4" x14ac:dyDescent="0.3">
      <c r="A49" s="385" t="s">
        <v>1118</v>
      </c>
      <c r="B49" s="400">
        <v>8283.91</v>
      </c>
      <c r="C49" s="400">
        <v>21935</v>
      </c>
      <c r="D49" s="391">
        <f t="shared" si="1"/>
        <v>37.765716890813763</v>
      </c>
    </row>
    <row r="50" spans="1:4" x14ac:dyDescent="0.3">
      <c r="A50" s="385" t="s">
        <v>1096</v>
      </c>
      <c r="B50" s="400">
        <v>7917.13</v>
      </c>
      <c r="C50" s="400">
        <v>21682</v>
      </c>
      <c r="D50" s="391">
        <f t="shared" si="1"/>
        <v>36.514758786089843</v>
      </c>
    </row>
    <row r="51" spans="1:4" x14ac:dyDescent="0.3">
      <c r="A51" s="385" t="s">
        <v>1117</v>
      </c>
      <c r="B51" s="400">
        <v>7090.91</v>
      </c>
      <c r="C51" s="400">
        <v>19348</v>
      </c>
      <c r="D51" s="391">
        <f t="shared" si="1"/>
        <v>36.649317758941493</v>
      </c>
    </row>
    <row r="52" spans="1:4" x14ac:dyDescent="0.3">
      <c r="A52" s="385" t="s">
        <v>1126</v>
      </c>
      <c r="B52" s="400">
        <v>5810.97</v>
      </c>
      <c r="C52" s="400">
        <v>16813</v>
      </c>
      <c r="D52" s="391">
        <f t="shared" si="1"/>
        <v>34.562362457622079</v>
      </c>
    </row>
    <row r="53" spans="1:4" x14ac:dyDescent="0.3">
      <c r="A53" s="385" t="s">
        <v>1130</v>
      </c>
      <c r="B53" s="400">
        <v>4378.76</v>
      </c>
      <c r="C53" s="400">
        <v>12340</v>
      </c>
      <c r="D53" s="391">
        <f t="shared" si="1"/>
        <v>35.484278768233388</v>
      </c>
    </row>
    <row r="54" spans="1:4" x14ac:dyDescent="0.3">
      <c r="A54" s="385" t="s">
        <v>1128</v>
      </c>
      <c r="B54" s="400">
        <v>5969.95</v>
      </c>
      <c r="C54" s="400">
        <v>16843</v>
      </c>
      <c r="D54" s="391">
        <f t="shared" si="1"/>
        <v>35.44469512557145</v>
      </c>
    </row>
    <row r="55" spans="1:4" x14ac:dyDescent="0.3">
      <c r="A55" s="385" t="s">
        <v>1129</v>
      </c>
      <c r="B55" s="400">
        <v>6381.74</v>
      </c>
      <c r="C55" s="400">
        <v>17826</v>
      </c>
      <c r="D55" s="391">
        <f t="shared" si="1"/>
        <v>35.800179513070795</v>
      </c>
    </row>
    <row r="56" spans="1:4" x14ac:dyDescent="0.3">
      <c r="A56" s="385" t="s">
        <v>1133</v>
      </c>
      <c r="B56" s="400">
        <v>4771.78</v>
      </c>
      <c r="C56" s="400">
        <v>12843</v>
      </c>
      <c r="D56" s="391">
        <f t="shared" si="1"/>
        <v>37.154714630538031</v>
      </c>
    </row>
    <row r="57" spans="1:4" x14ac:dyDescent="0.3">
      <c r="A57" s="385" t="s">
        <v>1134</v>
      </c>
      <c r="B57" s="400">
        <v>3980</v>
      </c>
      <c r="C57" s="400">
        <v>11837</v>
      </c>
      <c r="D57" s="391">
        <f t="shared" si="1"/>
        <v>33.623384303455268</v>
      </c>
    </row>
    <row r="58" spans="1:4" x14ac:dyDescent="0.3">
      <c r="A58" s="385" t="s">
        <v>1135</v>
      </c>
      <c r="B58" s="400">
        <v>4104.0870000000004</v>
      </c>
      <c r="C58" s="400">
        <v>11313</v>
      </c>
      <c r="D58" s="391">
        <f t="shared" si="1"/>
        <v>36.277618668788122</v>
      </c>
    </row>
    <row r="59" spans="1:4" x14ac:dyDescent="0.3">
      <c r="A59" s="385" t="s">
        <v>1154</v>
      </c>
      <c r="B59" s="400">
        <v>3341.37</v>
      </c>
      <c r="C59" s="400">
        <v>8180</v>
      </c>
      <c r="D59" s="391">
        <f t="shared" si="1"/>
        <v>40.848044009779947</v>
      </c>
    </row>
    <row r="60" spans="1:4" x14ac:dyDescent="0.3">
      <c r="A60" s="385" t="s">
        <v>1159</v>
      </c>
      <c r="B60" s="400">
        <v>4696.88</v>
      </c>
      <c r="C60" s="400">
        <v>12756</v>
      </c>
      <c r="D60" s="391">
        <f t="shared" si="1"/>
        <v>36.820947005330822</v>
      </c>
    </row>
    <row r="61" spans="1:4" x14ac:dyDescent="0.3">
      <c r="A61" s="385" t="s">
        <v>1156</v>
      </c>
      <c r="B61" s="400">
        <v>6254.43</v>
      </c>
      <c r="C61" s="400">
        <v>18726</v>
      </c>
      <c r="D61" s="391">
        <f t="shared" si="1"/>
        <v>33.399711630887538</v>
      </c>
    </row>
    <row r="62" spans="1:4" x14ac:dyDescent="0.3">
      <c r="A62" s="385" t="s">
        <v>1157</v>
      </c>
      <c r="B62" s="400">
        <v>5239.34</v>
      </c>
      <c r="C62" s="400">
        <v>13633</v>
      </c>
      <c r="D62" s="391">
        <f t="shared" si="1"/>
        <v>38.431306388909263</v>
      </c>
    </row>
    <row r="63" spans="1:4" x14ac:dyDescent="0.3">
      <c r="A63" s="385" t="s">
        <v>1153</v>
      </c>
      <c r="B63" s="400">
        <v>6571.98</v>
      </c>
      <c r="C63" s="400">
        <v>18796</v>
      </c>
      <c r="D63" s="391">
        <f t="shared" si="1"/>
        <v>34.96477974037029</v>
      </c>
    </row>
    <row r="64" spans="1:4" x14ac:dyDescent="0.3">
      <c r="A64" s="385" t="s">
        <v>1173</v>
      </c>
      <c r="B64" s="400">
        <v>7171.05</v>
      </c>
      <c r="C64" s="400">
        <v>19080</v>
      </c>
      <c r="D64" s="391">
        <f t="shared" si="1"/>
        <v>37.584119496855344</v>
      </c>
    </row>
    <row r="65" spans="1:4" x14ac:dyDescent="0.3">
      <c r="A65" s="385" t="s">
        <v>1180</v>
      </c>
      <c r="B65" s="400">
        <v>6144.27</v>
      </c>
      <c r="C65" s="400">
        <v>17334</v>
      </c>
      <c r="D65" s="391">
        <f t="shared" si="1"/>
        <v>35.446348217376254</v>
      </c>
    </row>
    <row r="66" spans="1:4" x14ac:dyDescent="0.3">
      <c r="A66" s="385" t="s">
        <v>1179</v>
      </c>
      <c r="B66" s="400">
        <v>7629.6</v>
      </c>
      <c r="C66" s="400">
        <v>22455</v>
      </c>
      <c r="D66" s="391">
        <f t="shared" si="1"/>
        <v>33.977287909151634</v>
      </c>
    </row>
    <row r="67" spans="1:4" x14ac:dyDescent="0.3">
      <c r="A67" s="385" t="s">
        <v>1183</v>
      </c>
      <c r="B67" s="400">
        <v>6414.7</v>
      </c>
      <c r="C67" s="400">
        <v>18257</v>
      </c>
      <c r="D67" s="391">
        <f t="shared" si="1"/>
        <v>35.135564441036315</v>
      </c>
    </row>
    <row r="68" spans="1:4" x14ac:dyDescent="0.3">
      <c r="A68" s="385" t="s">
        <v>1185</v>
      </c>
      <c r="B68" s="400">
        <v>5612.58</v>
      </c>
      <c r="C68" s="400">
        <v>15370</v>
      </c>
      <c r="D68" s="391">
        <f t="shared" si="1"/>
        <v>36.516460637605725</v>
      </c>
    </row>
    <row r="69" spans="1:4" x14ac:dyDescent="0.3">
      <c r="A69" s="385" t="s">
        <v>1186</v>
      </c>
      <c r="B69" s="400">
        <v>5285.26</v>
      </c>
      <c r="C69" s="400">
        <v>14071</v>
      </c>
      <c r="D69" s="391">
        <f t="shared" si="1"/>
        <v>37.561367351289888</v>
      </c>
    </row>
    <row r="70" spans="1:4" x14ac:dyDescent="0.3">
      <c r="A70" s="385" t="s">
        <v>1189</v>
      </c>
      <c r="B70" s="400">
        <v>3703.97</v>
      </c>
      <c r="C70" s="400">
        <v>11059</v>
      </c>
      <c r="D70" s="391">
        <f t="shared" si="1"/>
        <v>33.492811284926304</v>
      </c>
    </row>
    <row r="71" spans="1:4" x14ac:dyDescent="0.3">
      <c r="A71" s="385" t="s">
        <v>1190</v>
      </c>
      <c r="B71" s="400">
        <v>4614.21</v>
      </c>
      <c r="C71" s="400">
        <v>13189</v>
      </c>
      <c r="D71" s="391">
        <f t="shared" si="1"/>
        <v>34.985290772613538</v>
      </c>
    </row>
    <row r="72" spans="1:4" x14ac:dyDescent="0.3">
      <c r="A72" s="385" t="s">
        <v>1187</v>
      </c>
      <c r="B72" s="400"/>
      <c r="C72" s="400"/>
      <c r="D72" s="391"/>
    </row>
    <row r="73" spans="1:4" x14ac:dyDescent="0.3">
      <c r="A73" s="385" t="s">
        <v>1155</v>
      </c>
      <c r="B73" s="400">
        <v>4967.88</v>
      </c>
      <c r="C73" s="400">
        <v>13020</v>
      </c>
      <c r="D73" s="391">
        <f t="shared" ref="D73:D89" si="2">B73/C73*100</f>
        <v>38.155760368663593</v>
      </c>
    </row>
    <row r="74" spans="1:4" x14ac:dyDescent="0.3">
      <c r="A74" s="385" t="s">
        <v>109</v>
      </c>
      <c r="B74" s="400">
        <v>4571.21</v>
      </c>
      <c r="C74" s="400">
        <v>11668</v>
      </c>
      <c r="D74" s="391">
        <f t="shared" si="2"/>
        <v>39.177322591703806</v>
      </c>
    </row>
    <row r="75" spans="1:4" x14ac:dyDescent="0.3">
      <c r="A75" s="385" t="s">
        <v>1148</v>
      </c>
      <c r="B75" s="400">
        <v>4740.34</v>
      </c>
      <c r="C75" s="400">
        <v>12760</v>
      </c>
      <c r="D75" s="391">
        <f t="shared" si="2"/>
        <v>37.15</v>
      </c>
    </row>
    <row r="76" spans="1:4" x14ac:dyDescent="0.3">
      <c r="A76" s="385" t="s">
        <v>1138</v>
      </c>
      <c r="B76" s="400">
        <v>7280.59</v>
      </c>
      <c r="C76" s="400">
        <v>18740</v>
      </c>
      <c r="D76" s="391">
        <f t="shared" si="2"/>
        <v>38.850533617929564</v>
      </c>
    </row>
    <row r="77" spans="1:4" x14ac:dyDescent="0.3">
      <c r="A77" s="385" t="s">
        <v>137</v>
      </c>
      <c r="B77" s="400">
        <v>6302.21</v>
      </c>
      <c r="C77" s="400">
        <v>15402</v>
      </c>
      <c r="D77" s="391">
        <f t="shared" si="2"/>
        <v>40.918127515907024</v>
      </c>
    </row>
    <row r="78" spans="1:4" x14ac:dyDescent="0.3">
      <c r="A78" s="385" t="s">
        <v>250</v>
      </c>
      <c r="B78" s="400">
        <v>2172.6799999999998</v>
      </c>
      <c r="C78" s="400">
        <v>5192</v>
      </c>
      <c r="D78" s="391">
        <f t="shared" si="2"/>
        <v>41.846687211093986</v>
      </c>
    </row>
    <row r="79" spans="1:4" x14ac:dyDescent="0.3">
      <c r="A79" s="385" t="s">
        <v>251</v>
      </c>
      <c r="B79" s="400">
        <v>4370.8100000000004</v>
      </c>
      <c r="C79" s="400">
        <v>10865</v>
      </c>
      <c r="D79" s="391">
        <f t="shared" si="2"/>
        <v>40.228347906120575</v>
      </c>
    </row>
    <row r="80" spans="1:4" x14ac:dyDescent="0.3">
      <c r="A80" s="385" t="s">
        <v>121</v>
      </c>
      <c r="B80" s="400">
        <v>5752.61</v>
      </c>
      <c r="C80" s="400">
        <v>14647</v>
      </c>
      <c r="D80" s="391">
        <f t="shared" si="2"/>
        <v>39.275005120502485</v>
      </c>
    </row>
    <row r="81" spans="1:4" x14ac:dyDescent="0.3">
      <c r="A81" s="385" t="s">
        <v>140</v>
      </c>
      <c r="B81" s="400">
        <v>6061.71</v>
      </c>
      <c r="C81" s="400">
        <v>15335</v>
      </c>
      <c r="D81" s="391">
        <f t="shared" si="2"/>
        <v>39.52859471796544</v>
      </c>
    </row>
    <row r="82" spans="1:4" x14ac:dyDescent="0.3">
      <c r="A82" s="385" t="s">
        <v>255</v>
      </c>
      <c r="B82" s="400">
        <v>3517.68</v>
      </c>
      <c r="C82" s="400">
        <v>8495</v>
      </c>
      <c r="D82" s="391">
        <f t="shared" si="2"/>
        <v>41.408828722778104</v>
      </c>
    </row>
    <row r="83" spans="1:4" x14ac:dyDescent="0.3">
      <c r="A83" s="385" t="s">
        <v>128</v>
      </c>
      <c r="B83" s="400">
        <v>4758.51</v>
      </c>
      <c r="C83" s="400">
        <v>13154</v>
      </c>
      <c r="D83" s="391">
        <f t="shared" si="2"/>
        <v>36.175383913638434</v>
      </c>
    </row>
    <row r="84" spans="1:4" x14ac:dyDescent="0.3">
      <c r="A84" s="385" t="s">
        <v>124</v>
      </c>
      <c r="B84" s="400">
        <v>5033.1000000000004</v>
      </c>
      <c r="C84" s="400">
        <v>14386</v>
      </c>
      <c r="D84" s="391">
        <f t="shared" si="2"/>
        <v>34.986097594883923</v>
      </c>
    </row>
    <row r="85" spans="1:4" x14ac:dyDescent="0.3">
      <c r="A85" s="385" t="s">
        <v>259</v>
      </c>
      <c r="B85" s="400">
        <v>5190.12</v>
      </c>
      <c r="C85" s="400">
        <v>14511</v>
      </c>
      <c r="D85" s="391">
        <f t="shared" si="2"/>
        <v>35.766797601819313</v>
      </c>
    </row>
    <row r="86" spans="1:4" x14ac:dyDescent="0.3">
      <c r="A86" s="385" t="s">
        <v>116</v>
      </c>
      <c r="B86" s="400">
        <v>3130.35</v>
      </c>
      <c r="C86" s="400">
        <v>8446</v>
      </c>
      <c r="D86" s="391">
        <f t="shared" si="2"/>
        <v>37.0631067961165</v>
      </c>
    </row>
    <row r="87" spans="1:4" x14ac:dyDescent="0.3">
      <c r="A87" s="385" t="s">
        <v>1140</v>
      </c>
      <c r="B87" s="400">
        <v>5930.34</v>
      </c>
      <c r="C87" s="400">
        <v>16285</v>
      </c>
      <c r="D87" s="391">
        <f t="shared" si="2"/>
        <v>36.415965612526868</v>
      </c>
    </row>
    <row r="88" spans="1:4" x14ac:dyDescent="0.3">
      <c r="A88" s="385" t="s">
        <v>1142</v>
      </c>
      <c r="B88" s="400">
        <v>4470.93</v>
      </c>
      <c r="C88" s="400">
        <v>12446</v>
      </c>
      <c r="D88" s="391">
        <f t="shared" si="2"/>
        <v>35.922625743210673</v>
      </c>
    </row>
    <row r="89" spans="1:4" x14ac:dyDescent="0.3">
      <c r="A89" s="385" t="s">
        <v>134</v>
      </c>
      <c r="B89" s="400">
        <v>5038.8599999999997</v>
      </c>
      <c r="C89" s="400">
        <v>13510</v>
      </c>
      <c r="D89" s="391">
        <f t="shared" si="2"/>
        <v>37.297261287934866</v>
      </c>
    </row>
    <row r="90" spans="1:4" x14ac:dyDescent="0.3">
      <c r="A90" s="385" t="s">
        <v>110</v>
      </c>
      <c r="B90" s="400"/>
      <c r="C90" s="400"/>
      <c r="D90" s="391"/>
    </row>
    <row r="91" spans="1:4" x14ac:dyDescent="0.3">
      <c r="A91" s="385" t="s">
        <v>119</v>
      </c>
      <c r="B91" s="400">
        <v>5453.61</v>
      </c>
      <c r="C91" s="400">
        <v>14082</v>
      </c>
      <c r="D91" s="391">
        <f t="shared" ref="D91:D108" si="3">B91/C91*100</f>
        <v>38.727524499360882</v>
      </c>
    </row>
    <row r="92" spans="1:4" x14ac:dyDescent="0.3">
      <c r="A92" s="385" t="s">
        <v>129</v>
      </c>
      <c r="B92" s="400">
        <v>4436.1499999999996</v>
      </c>
      <c r="C92" s="400">
        <v>11107</v>
      </c>
      <c r="D92" s="391">
        <f t="shared" si="3"/>
        <v>39.940127847303501</v>
      </c>
    </row>
    <row r="93" spans="1:4" x14ac:dyDescent="0.3">
      <c r="A93" s="385" t="s">
        <v>111</v>
      </c>
      <c r="B93" s="400">
        <v>3893.72</v>
      </c>
      <c r="C93" s="400">
        <v>10356</v>
      </c>
      <c r="D93" s="391">
        <f t="shared" si="3"/>
        <v>37.598686751641559</v>
      </c>
    </row>
    <row r="94" spans="1:4" x14ac:dyDescent="0.3">
      <c r="A94" s="385" t="s">
        <v>132</v>
      </c>
      <c r="B94" s="400">
        <v>4528.45</v>
      </c>
      <c r="C94" s="400">
        <v>12123</v>
      </c>
      <c r="D94" s="391">
        <f t="shared" si="3"/>
        <v>37.354202755093624</v>
      </c>
    </row>
    <row r="95" spans="1:4" x14ac:dyDescent="0.3">
      <c r="A95" s="385" t="s">
        <v>131</v>
      </c>
      <c r="B95" s="400">
        <v>6630.61</v>
      </c>
      <c r="C95" s="400">
        <v>16967</v>
      </c>
      <c r="D95" s="391">
        <f t="shared" si="3"/>
        <v>39.079448340897031</v>
      </c>
    </row>
    <row r="96" spans="1:4" x14ac:dyDescent="0.3">
      <c r="A96" s="385" t="s">
        <v>120</v>
      </c>
      <c r="B96" s="400">
        <v>4676.63</v>
      </c>
      <c r="C96" s="400">
        <v>11486</v>
      </c>
      <c r="D96" s="391">
        <f t="shared" si="3"/>
        <v>40.715915026989379</v>
      </c>
    </row>
    <row r="97" spans="1:4" x14ac:dyDescent="0.3">
      <c r="A97" s="385" t="s">
        <v>115</v>
      </c>
      <c r="B97" s="400">
        <v>4999.07</v>
      </c>
      <c r="C97" s="400">
        <v>13234</v>
      </c>
      <c r="D97" s="391">
        <f t="shared" si="3"/>
        <v>37.774444612362096</v>
      </c>
    </row>
    <row r="98" spans="1:4" x14ac:dyDescent="0.3">
      <c r="A98" s="385" t="s">
        <v>112</v>
      </c>
      <c r="B98" s="400">
        <v>4589.78</v>
      </c>
      <c r="C98" s="400">
        <v>11351</v>
      </c>
      <c r="D98" s="391">
        <f t="shared" si="3"/>
        <v>40.435027750858957</v>
      </c>
    </row>
    <row r="99" spans="1:4" x14ac:dyDescent="0.3">
      <c r="A99" s="385" t="s">
        <v>138</v>
      </c>
      <c r="B99" s="400">
        <v>6306.49</v>
      </c>
      <c r="C99" s="400">
        <v>17143</v>
      </c>
      <c r="D99" s="391">
        <f t="shared" si="3"/>
        <v>36.787551770401912</v>
      </c>
    </row>
    <row r="100" spans="1:4" x14ac:dyDescent="0.3">
      <c r="A100" s="385" t="s">
        <v>122</v>
      </c>
      <c r="B100" s="400">
        <v>4026.79</v>
      </c>
      <c r="C100" s="400">
        <v>9904</v>
      </c>
      <c r="D100" s="391">
        <f t="shared" si="3"/>
        <v>40.658218901453957</v>
      </c>
    </row>
    <row r="101" spans="1:4" x14ac:dyDescent="0.3">
      <c r="A101" s="385" t="s">
        <v>126</v>
      </c>
      <c r="B101" s="400">
        <v>3920.05</v>
      </c>
      <c r="C101" s="400">
        <v>10521</v>
      </c>
      <c r="D101" s="391">
        <f t="shared" si="3"/>
        <v>37.259290941925677</v>
      </c>
    </row>
    <row r="102" spans="1:4" x14ac:dyDescent="0.3">
      <c r="A102" s="385" t="s">
        <v>135</v>
      </c>
      <c r="B102" s="400">
        <v>5791.73</v>
      </c>
      <c r="C102" s="400">
        <v>15487</v>
      </c>
      <c r="D102" s="391">
        <f t="shared" si="3"/>
        <v>37.39736553238199</v>
      </c>
    </row>
    <row r="103" spans="1:4" x14ac:dyDescent="0.3">
      <c r="A103" s="385" t="s">
        <v>123</v>
      </c>
      <c r="B103" s="400">
        <v>4156.79</v>
      </c>
      <c r="C103" s="400">
        <v>11637</v>
      </c>
      <c r="D103" s="391">
        <f t="shared" si="3"/>
        <v>35.720460599810949</v>
      </c>
    </row>
    <row r="104" spans="1:4" x14ac:dyDescent="0.3">
      <c r="A104" s="385" t="s">
        <v>139</v>
      </c>
      <c r="B104" s="400">
        <v>5291.01</v>
      </c>
      <c r="C104" s="400">
        <v>14727</v>
      </c>
      <c r="D104" s="391">
        <f t="shared" si="3"/>
        <v>35.927276431045016</v>
      </c>
    </row>
    <row r="105" spans="1:4" x14ac:dyDescent="0.3">
      <c r="A105" s="385" t="s">
        <v>1116</v>
      </c>
      <c r="B105" s="400">
        <v>3710.2</v>
      </c>
      <c r="C105" s="400">
        <v>10118</v>
      </c>
      <c r="D105" s="391">
        <f t="shared" si="3"/>
        <v>36.669302233643009</v>
      </c>
    </row>
    <row r="106" spans="1:4" x14ac:dyDescent="0.3">
      <c r="A106" s="385" t="s">
        <v>1115</v>
      </c>
      <c r="B106" s="400">
        <v>8583.7000000000007</v>
      </c>
      <c r="C106" s="400">
        <v>23059</v>
      </c>
      <c r="D106" s="391">
        <f t="shared" si="3"/>
        <v>37.224944707055819</v>
      </c>
    </row>
    <row r="107" spans="1:4" ht="15" thickBot="1" x14ac:dyDescent="0.35">
      <c r="A107" s="385" t="s">
        <v>125</v>
      </c>
      <c r="B107" s="400">
        <v>6679.56</v>
      </c>
      <c r="C107" s="400">
        <v>17876</v>
      </c>
      <c r="D107" s="391">
        <f t="shared" si="3"/>
        <v>37.366077422242114</v>
      </c>
    </row>
    <row r="108" spans="1:4" ht="15" thickBot="1" x14ac:dyDescent="0.35">
      <c r="A108" s="381" t="s">
        <v>1086</v>
      </c>
      <c r="B108" s="401">
        <f>SUM(B5:B107)</f>
        <v>515175.62700000009</v>
      </c>
      <c r="C108" s="401">
        <f>SUM(C5:C107)</f>
        <v>1392611</v>
      </c>
      <c r="D108" s="386">
        <f t="shared" si="3"/>
        <v>36.993505508717085</v>
      </c>
    </row>
  </sheetData>
  <autoFilter ref="A4:D4" xr:uid="{00000000-0009-0000-0000-000009000000}">
    <sortState xmlns:xlrd2="http://schemas.microsoft.com/office/spreadsheetml/2017/richdata2" ref="A5:D108">
      <sortCondition sortBy="cellColor" ref="A5:A108" dxfId="33"/>
    </sortState>
  </autoFilter>
  <mergeCells count="1">
    <mergeCell ref="A1:D1"/>
  </mergeCells>
  <conditionalFormatting sqref="D5:D10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08"/>
  <sheetViews>
    <sheetView topLeftCell="A100" workbookViewId="0">
      <selection activeCell="F12" sqref="F12"/>
    </sheetView>
  </sheetViews>
  <sheetFormatPr baseColWidth="10" defaultRowHeight="14.4" x14ac:dyDescent="0.3"/>
  <cols>
    <col min="2" max="2" width="12" bestFit="1" customWidth="1"/>
    <col min="3" max="3" width="12.33203125" customWidth="1"/>
  </cols>
  <sheetData>
    <row r="1" spans="1:4" ht="16.2" thickBot="1" x14ac:dyDescent="0.35">
      <c r="A1" s="447" t="s">
        <v>1192</v>
      </c>
      <c r="B1" s="448"/>
      <c r="C1" s="448"/>
      <c r="D1" s="449"/>
    </row>
    <row r="3" spans="1:4" ht="15" thickBot="1" x14ac:dyDescent="0.35"/>
    <row r="4" spans="1:4" ht="15" thickBot="1" x14ac:dyDescent="0.35">
      <c r="A4" s="381" t="s">
        <v>1123</v>
      </c>
      <c r="B4" s="382" t="s">
        <v>1124</v>
      </c>
      <c r="C4" s="382" t="s">
        <v>1132</v>
      </c>
      <c r="D4" s="383" t="s">
        <v>1125</v>
      </c>
    </row>
    <row r="5" spans="1:4" x14ac:dyDescent="0.3">
      <c r="A5" s="384" t="s">
        <v>1092</v>
      </c>
      <c r="B5" s="399">
        <v>4852.8100000000004</v>
      </c>
      <c r="C5" s="399">
        <v>12211</v>
      </c>
      <c r="D5" s="390">
        <f>B5/C5*100</f>
        <v>39.741298828924741</v>
      </c>
    </row>
    <row r="6" spans="1:4" x14ac:dyDescent="0.3">
      <c r="A6" s="385" t="s">
        <v>1158</v>
      </c>
      <c r="B6" s="400">
        <v>6548.7</v>
      </c>
      <c r="C6" s="400">
        <v>16053</v>
      </c>
      <c r="D6" s="391">
        <f>B6/C6*100</f>
        <v>40.794244066529615</v>
      </c>
    </row>
    <row r="7" spans="1:4" x14ac:dyDescent="0.3">
      <c r="A7" s="385" t="s">
        <v>302</v>
      </c>
      <c r="B7" s="400"/>
      <c r="C7" s="400"/>
      <c r="D7" s="391"/>
    </row>
    <row r="8" spans="1:4" x14ac:dyDescent="0.3">
      <c r="A8" s="385" t="s">
        <v>180</v>
      </c>
      <c r="B8" s="400"/>
      <c r="C8" s="400"/>
      <c r="D8" s="391"/>
    </row>
    <row r="9" spans="1:4" x14ac:dyDescent="0.3">
      <c r="A9" s="385" t="s">
        <v>184</v>
      </c>
      <c r="B9" s="400">
        <v>5182.07</v>
      </c>
      <c r="C9" s="400">
        <v>14674</v>
      </c>
      <c r="D9" s="391">
        <f t="shared" ref="D9:D45" si="0">B9/C9*100</f>
        <v>35.314638135477715</v>
      </c>
    </row>
    <row r="10" spans="1:4" x14ac:dyDescent="0.3">
      <c r="A10" s="385" t="s">
        <v>187</v>
      </c>
      <c r="B10" s="400">
        <v>6453.25</v>
      </c>
      <c r="C10" s="400">
        <v>18164</v>
      </c>
      <c r="D10" s="391">
        <f t="shared" si="0"/>
        <v>35.527692138295528</v>
      </c>
    </row>
    <row r="11" spans="1:4" x14ac:dyDescent="0.3">
      <c r="A11" s="385" t="s">
        <v>189</v>
      </c>
      <c r="B11" s="400">
        <v>4331.0600000000004</v>
      </c>
      <c r="C11" s="400">
        <v>11646</v>
      </c>
      <c r="D11" s="391">
        <f t="shared" si="0"/>
        <v>37.189249527734844</v>
      </c>
    </row>
    <row r="12" spans="1:4" x14ac:dyDescent="0.3">
      <c r="A12" s="385" t="s">
        <v>191</v>
      </c>
      <c r="B12" s="400">
        <v>4783.8599999999997</v>
      </c>
      <c r="C12" s="400">
        <v>12334</v>
      </c>
      <c r="D12" s="391">
        <f t="shared" si="0"/>
        <v>38.785957515809955</v>
      </c>
    </row>
    <row r="13" spans="1:4" x14ac:dyDescent="0.3">
      <c r="A13" s="385" t="s">
        <v>192</v>
      </c>
      <c r="B13" s="400">
        <v>5296.83</v>
      </c>
      <c r="C13" s="400">
        <v>14226</v>
      </c>
      <c r="D13" s="391">
        <f t="shared" si="0"/>
        <v>37.233445803458451</v>
      </c>
    </row>
    <row r="14" spans="1:4" x14ac:dyDescent="0.3">
      <c r="A14" s="385" t="s">
        <v>193</v>
      </c>
      <c r="B14" s="400">
        <v>6150.6</v>
      </c>
      <c r="C14" s="400">
        <v>17560</v>
      </c>
      <c r="D14" s="391">
        <f t="shared" si="0"/>
        <v>35.026195899772212</v>
      </c>
    </row>
    <row r="15" spans="1:4" x14ac:dyDescent="0.3">
      <c r="A15" s="385" t="s">
        <v>195</v>
      </c>
      <c r="B15" s="400">
        <v>4321.8</v>
      </c>
      <c r="C15" s="400">
        <v>12653</v>
      </c>
      <c r="D15" s="391">
        <f t="shared" si="0"/>
        <v>34.156326562870461</v>
      </c>
    </row>
    <row r="16" spans="1:4" x14ac:dyDescent="0.3">
      <c r="A16" s="385" t="s">
        <v>1143</v>
      </c>
      <c r="B16" s="400">
        <v>4470.09</v>
      </c>
      <c r="C16" s="400">
        <v>12391</v>
      </c>
      <c r="D16" s="391">
        <f t="shared" si="0"/>
        <v>36.075296586231943</v>
      </c>
    </row>
    <row r="17" spans="1:4" x14ac:dyDescent="0.3">
      <c r="A17" s="385" t="s">
        <v>209</v>
      </c>
      <c r="B17" s="400">
        <v>6397.12</v>
      </c>
      <c r="C17" s="400">
        <v>17041</v>
      </c>
      <c r="D17" s="391">
        <f t="shared" si="0"/>
        <v>37.539581010504072</v>
      </c>
    </row>
    <row r="18" spans="1:4" x14ac:dyDescent="0.3">
      <c r="A18" s="385" t="s">
        <v>212</v>
      </c>
      <c r="B18" s="400">
        <v>4329.4399999999996</v>
      </c>
      <c r="C18" s="400">
        <v>11037</v>
      </c>
      <c r="D18" s="391">
        <f t="shared" si="0"/>
        <v>39.226601431548424</v>
      </c>
    </row>
    <row r="19" spans="1:4" x14ac:dyDescent="0.3">
      <c r="A19" s="385" t="s">
        <v>214</v>
      </c>
      <c r="B19" s="400">
        <v>2246.1</v>
      </c>
      <c r="C19" s="400">
        <v>6036</v>
      </c>
      <c r="D19" s="391">
        <f t="shared" si="0"/>
        <v>37.211729622266397</v>
      </c>
    </row>
    <row r="20" spans="1:4" x14ac:dyDescent="0.3">
      <c r="A20" s="385" t="s">
        <v>216</v>
      </c>
      <c r="B20" s="400">
        <v>4953.4799999999996</v>
      </c>
      <c r="C20" s="400">
        <v>13122</v>
      </c>
      <c r="D20" s="391">
        <f t="shared" si="0"/>
        <v>37.749428440786467</v>
      </c>
    </row>
    <row r="21" spans="1:4" x14ac:dyDescent="0.3">
      <c r="A21" s="385" t="s">
        <v>218</v>
      </c>
      <c r="B21" s="400">
        <v>6073.98</v>
      </c>
      <c r="C21" s="400">
        <v>17800</v>
      </c>
      <c r="D21" s="391">
        <f t="shared" si="0"/>
        <v>34.123483146067414</v>
      </c>
    </row>
    <row r="22" spans="1:4" x14ac:dyDescent="0.3">
      <c r="A22" s="385" t="s">
        <v>220</v>
      </c>
      <c r="B22" s="400">
        <v>6000.99</v>
      </c>
      <c r="C22" s="400">
        <v>16856</v>
      </c>
      <c r="D22" s="391">
        <f t="shared" si="0"/>
        <v>35.601506881822495</v>
      </c>
    </row>
    <row r="23" spans="1:4" x14ac:dyDescent="0.3">
      <c r="A23" s="385" t="s">
        <v>222</v>
      </c>
      <c r="B23" s="400">
        <v>4501.0600000000004</v>
      </c>
      <c r="C23" s="400">
        <v>12545</v>
      </c>
      <c r="D23" s="391">
        <f t="shared" si="0"/>
        <v>35.879314467915506</v>
      </c>
    </row>
    <row r="24" spans="1:4" x14ac:dyDescent="0.3">
      <c r="A24" s="385" t="s">
        <v>438</v>
      </c>
      <c r="B24" s="400"/>
      <c r="C24" s="400"/>
      <c r="D24" s="391"/>
    </row>
    <row r="25" spans="1:4" x14ac:dyDescent="0.3">
      <c r="A25" s="385" t="s">
        <v>1139</v>
      </c>
      <c r="B25" s="400">
        <v>4894.58</v>
      </c>
      <c r="C25" s="400">
        <v>13874</v>
      </c>
      <c r="D25" s="391">
        <f t="shared" si="0"/>
        <v>35.278794868098601</v>
      </c>
    </row>
    <row r="26" spans="1:4" x14ac:dyDescent="0.3">
      <c r="A26" s="385" t="s">
        <v>1136</v>
      </c>
      <c r="B26" s="400">
        <v>4725.0200000000004</v>
      </c>
      <c r="C26" s="400">
        <v>12634</v>
      </c>
      <c r="D26" s="391">
        <f t="shared" si="0"/>
        <v>37.399240145638757</v>
      </c>
    </row>
    <row r="27" spans="1:4" x14ac:dyDescent="0.3">
      <c r="A27" s="385" t="s">
        <v>1152</v>
      </c>
      <c r="B27" s="400">
        <v>6496.35</v>
      </c>
      <c r="C27" s="400">
        <v>17397</v>
      </c>
      <c r="D27" s="391">
        <f t="shared" si="0"/>
        <v>37.34178306604587</v>
      </c>
    </row>
    <row r="28" spans="1:4" x14ac:dyDescent="0.3">
      <c r="A28" s="385" t="s">
        <v>1137</v>
      </c>
      <c r="B28" s="400">
        <v>5672.84</v>
      </c>
      <c r="C28" s="400">
        <v>14308</v>
      </c>
      <c r="D28" s="391">
        <f t="shared" si="0"/>
        <v>39.64802907464356</v>
      </c>
    </row>
    <row r="29" spans="1:4" x14ac:dyDescent="0.3">
      <c r="A29" s="385" t="s">
        <v>1150</v>
      </c>
      <c r="B29" s="400">
        <v>4908.2299999999996</v>
      </c>
      <c r="C29" s="400">
        <v>13531</v>
      </c>
      <c r="D29" s="391">
        <f t="shared" si="0"/>
        <v>36.273963491242327</v>
      </c>
    </row>
    <row r="30" spans="1:4" x14ac:dyDescent="0.3">
      <c r="A30" s="385" t="s">
        <v>440</v>
      </c>
      <c r="B30" s="400">
        <v>6397.88</v>
      </c>
      <c r="C30" s="400">
        <v>17724</v>
      </c>
      <c r="D30" s="391">
        <f t="shared" si="0"/>
        <v>36.097269239449339</v>
      </c>
    </row>
    <row r="31" spans="1:4" x14ac:dyDescent="0.3">
      <c r="A31" s="385" t="s">
        <v>422</v>
      </c>
      <c r="B31" s="400">
        <v>5137.96</v>
      </c>
      <c r="C31" s="400">
        <v>14539</v>
      </c>
      <c r="D31" s="391">
        <f t="shared" si="0"/>
        <v>35.339156750808172</v>
      </c>
    </row>
    <row r="32" spans="1:4" x14ac:dyDescent="0.3">
      <c r="A32" s="385" t="s">
        <v>424</v>
      </c>
      <c r="B32" s="400">
        <v>7548.15</v>
      </c>
      <c r="C32" s="400">
        <v>22272</v>
      </c>
      <c r="D32" s="391">
        <f t="shared" si="0"/>
        <v>33.890759698275865</v>
      </c>
    </row>
    <row r="33" spans="1:4" x14ac:dyDescent="0.3">
      <c r="A33" s="385" t="s">
        <v>433</v>
      </c>
      <c r="B33" s="400">
        <v>6436.67</v>
      </c>
      <c r="C33" s="400">
        <v>17114</v>
      </c>
      <c r="D33" s="391">
        <f t="shared" si="0"/>
        <v>37.610552763819094</v>
      </c>
    </row>
    <row r="34" spans="1:4" x14ac:dyDescent="0.3">
      <c r="A34" s="385" t="s">
        <v>1141</v>
      </c>
      <c r="B34" s="400">
        <v>5618.63</v>
      </c>
      <c r="C34" s="400">
        <v>15601</v>
      </c>
      <c r="D34" s="391">
        <f t="shared" si="0"/>
        <v>36.014550349336581</v>
      </c>
    </row>
    <row r="35" spans="1:4" x14ac:dyDescent="0.3">
      <c r="A35" s="385" t="s">
        <v>1095</v>
      </c>
      <c r="B35" s="19">
        <v>2696.41</v>
      </c>
      <c r="C35" s="19">
        <v>8186</v>
      </c>
      <c r="D35" s="391">
        <f t="shared" si="0"/>
        <v>32.939286586855602</v>
      </c>
    </row>
    <row r="36" spans="1:4" x14ac:dyDescent="0.3">
      <c r="A36" s="385" t="s">
        <v>1094</v>
      </c>
      <c r="B36" s="19">
        <v>6965.7599999999993</v>
      </c>
      <c r="C36" s="19">
        <v>19078</v>
      </c>
      <c r="D36" s="391">
        <f t="shared" si="0"/>
        <v>36.51200335464933</v>
      </c>
    </row>
    <row r="37" spans="1:4" x14ac:dyDescent="0.3">
      <c r="A37" s="385" t="s">
        <v>427</v>
      </c>
      <c r="B37" s="19">
        <v>7155.68</v>
      </c>
      <c r="C37" s="19">
        <v>20939</v>
      </c>
      <c r="D37" s="391">
        <f t="shared" si="0"/>
        <v>34.173933807727209</v>
      </c>
    </row>
    <row r="38" spans="1:4" x14ac:dyDescent="0.3">
      <c r="A38" s="385" t="s">
        <v>1144</v>
      </c>
      <c r="B38" s="19">
        <v>6804.23</v>
      </c>
      <c r="C38" s="19">
        <v>20029</v>
      </c>
      <c r="D38" s="391">
        <f t="shared" si="0"/>
        <v>33.97189075840032</v>
      </c>
    </row>
    <row r="39" spans="1:4" x14ac:dyDescent="0.3">
      <c r="A39" s="385" t="s">
        <v>540</v>
      </c>
      <c r="B39" s="19">
        <v>5616.34</v>
      </c>
      <c r="C39" s="19">
        <v>16825</v>
      </c>
      <c r="D39" s="391">
        <f t="shared" si="0"/>
        <v>33.380921248142648</v>
      </c>
    </row>
    <row r="40" spans="1:4" x14ac:dyDescent="0.3">
      <c r="A40" s="385" t="s">
        <v>581</v>
      </c>
      <c r="B40" s="19">
        <v>7732.9199999999992</v>
      </c>
      <c r="C40" s="19">
        <v>23819</v>
      </c>
      <c r="D40" s="391">
        <f t="shared" si="0"/>
        <v>32.465342793568155</v>
      </c>
    </row>
    <row r="41" spans="1:4" x14ac:dyDescent="0.3">
      <c r="A41" s="385" t="s">
        <v>519</v>
      </c>
      <c r="B41" s="19">
        <v>6463.5700000000006</v>
      </c>
      <c r="C41" s="19">
        <v>19609</v>
      </c>
      <c r="D41" s="391">
        <f t="shared" si="0"/>
        <v>32.962262226528637</v>
      </c>
    </row>
    <row r="42" spans="1:4" x14ac:dyDescent="0.3">
      <c r="A42" s="385" t="s">
        <v>522</v>
      </c>
      <c r="B42" s="19">
        <v>2851.69</v>
      </c>
      <c r="C42" s="19">
        <v>8194</v>
      </c>
      <c r="D42" s="391">
        <f t="shared" si="0"/>
        <v>34.802172321210648</v>
      </c>
    </row>
    <row r="43" spans="1:4" x14ac:dyDescent="0.3">
      <c r="A43" s="385" t="s">
        <v>768</v>
      </c>
      <c r="B43" s="19">
        <v>2082.33</v>
      </c>
      <c r="C43" s="19">
        <v>5837</v>
      </c>
      <c r="D43" s="391">
        <f t="shared" si="0"/>
        <v>35.674661641254069</v>
      </c>
    </row>
    <row r="44" spans="1:4" x14ac:dyDescent="0.3">
      <c r="A44" s="385" t="s">
        <v>748</v>
      </c>
      <c r="B44" s="19">
        <v>7964.51</v>
      </c>
      <c r="C44" s="19">
        <v>23289</v>
      </c>
      <c r="D44" s="407">
        <f t="shared" si="0"/>
        <v>34.198591609772855</v>
      </c>
    </row>
    <row r="45" spans="1:4" x14ac:dyDescent="0.3">
      <c r="A45" s="385" t="s">
        <v>754</v>
      </c>
      <c r="B45" s="19">
        <v>5303.25</v>
      </c>
      <c r="C45" s="19">
        <v>15938</v>
      </c>
      <c r="D45" s="407">
        <f t="shared" si="0"/>
        <v>33.274250219600951</v>
      </c>
    </row>
    <row r="46" spans="1:4" x14ac:dyDescent="0.3">
      <c r="A46" s="385" t="s">
        <v>1090</v>
      </c>
      <c r="B46" s="19"/>
      <c r="C46" s="19"/>
      <c r="D46" s="407"/>
    </row>
    <row r="47" spans="1:4" x14ac:dyDescent="0.3">
      <c r="A47" s="385" t="s">
        <v>1151</v>
      </c>
      <c r="B47" s="19">
        <v>7133.4</v>
      </c>
      <c r="C47" s="19">
        <v>20657</v>
      </c>
      <c r="D47" s="407">
        <f t="shared" ref="D47" si="1">B47/C47*100</f>
        <v>34.532603959916734</v>
      </c>
    </row>
    <row r="48" spans="1:4" x14ac:dyDescent="0.3">
      <c r="A48" s="385" t="s">
        <v>1091</v>
      </c>
      <c r="B48" s="19">
        <v>3692.5600000000004</v>
      </c>
      <c r="C48" s="19">
        <v>10910</v>
      </c>
      <c r="D48" s="391">
        <f t="shared" ref="D48:D72" si="2">B48/C48*100</f>
        <v>33.845646196150327</v>
      </c>
    </row>
    <row r="49" spans="1:4" x14ac:dyDescent="0.3">
      <c r="A49" s="385" t="s">
        <v>1118</v>
      </c>
      <c r="B49" s="19">
        <v>4806.18</v>
      </c>
      <c r="C49" s="19">
        <v>12553</v>
      </c>
      <c r="D49" s="391">
        <f t="shared" si="2"/>
        <v>38.287102684617224</v>
      </c>
    </row>
    <row r="50" spans="1:4" x14ac:dyDescent="0.3">
      <c r="A50" s="385" t="s">
        <v>1096</v>
      </c>
      <c r="B50" s="19">
        <v>7467.09</v>
      </c>
      <c r="C50" s="19">
        <v>21858</v>
      </c>
      <c r="D50" s="391">
        <f t="shared" si="2"/>
        <v>34.161817183639862</v>
      </c>
    </row>
    <row r="51" spans="1:4" x14ac:dyDescent="0.3">
      <c r="A51" s="385" t="s">
        <v>1117</v>
      </c>
      <c r="B51" s="19">
        <v>7262.45</v>
      </c>
      <c r="C51" s="19">
        <v>21158</v>
      </c>
      <c r="D51" s="391">
        <f t="shared" si="2"/>
        <v>34.324841667454393</v>
      </c>
    </row>
    <row r="52" spans="1:4" x14ac:dyDescent="0.3">
      <c r="A52" s="385" t="s">
        <v>1126</v>
      </c>
      <c r="B52" s="19">
        <v>6030.56</v>
      </c>
      <c r="C52" s="19">
        <v>17996</v>
      </c>
      <c r="D52" s="391">
        <f t="shared" si="2"/>
        <v>33.510557901755952</v>
      </c>
    </row>
    <row r="53" spans="1:4" x14ac:dyDescent="0.3">
      <c r="A53" s="385" t="s">
        <v>1130</v>
      </c>
      <c r="B53" s="19">
        <v>4903.37</v>
      </c>
      <c r="C53" s="19">
        <v>13192</v>
      </c>
      <c r="D53" s="391">
        <f t="shared" si="2"/>
        <v>37.169269254093393</v>
      </c>
    </row>
    <row r="54" spans="1:4" x14ac:dyDescent="0.3">
      <c r="A54" s="385" t="s">
        <v>1128</v>
      </c>
      <c r="B54" s="19">
        <v>6402.0300000000007</v>
      </c>
      <c r="C54" s="19">
        <v>18252</v>
      </c>
      <c r="D54" s="391">
        <f t="shared" si="2"/>
        <v>35.075772518080214</v>
      </c>
    </row>
    <row r="55" spans="1:4" x14ac:dyDescent="0.3">
      <c r="A55" s="385" t="s">
        <v>1129</v>
      </c>
      <c r="B55" s="19">
        <v>7167.76</v>
      </c>
      <c r="C55" s="19">
        <v>19800</v>
      </c>
      <c r="D55" s="391">
        <f t="shared" si="2"/>
        <v>36.200808080808081</v>
      </c>
    </row>
    <row r="56" spans="1:4" x14ac:dyDescent="0.3">
      <c r="A56" s="385" t="s">
        <v>1133</v>
      </c>
      <c r="B56" s="19">
        <v>6812.13</v>
      </c>
      <c r="C56" s="19">
        <v>18397</v>
      </c>
      <c r="D56" s="391">
        <f t="shared" si="2"/>
        <v>37.028482904821445</v>
      </c>
    </row>
    <row r="57" spans="1:4" x14ac:dyDescent="0.3">
      <c r="A57" s="385" t="s">
        <v>1134</v>
      </c>
      <c r="B57" s="19">
        <v>7015.0199999999995</v>
      </c>
      <c r="C57" s="19">
        <v>19947</v>
      </c>
      <c r="D57" s="391">
        <f t="shared" si="2"/>
        <v>35.168295984358551</v>
      </c>
    </row>
    <row r="58" spans="1:4" x14ac:dyDescent="0.3">
      <c r="A58" s="385" t="s">
        <v>1135</v>
      </c>
      <c r="B58" s="19">
        <v>5497.06</v>
      </c>
      <c r="C58" s="19">
        <v>16097</v>
      </c>
      <c r="D58" s="391">
        <f t="shared" si="2"/>
        <v>34.149593091880476</v>
      </c>
    </row>
    <row r="59" spans="1:4" x14ac:dyDescent="0.3">
      <c r="A59" s="385" t="s">
        <v>1154</v>
      </c>
      <c r="B59" s="19">
        <v>5233.55</v>
      </c>
      <c r="C59" s="19">
        <v>14906</v>
      </c>
      <c r="D59" s="391">
        <f t="shared" si="2"/>
        <v>35.110358245002018</v>
      </c>
    </row>
    <row r="60" spans="1:4" x14ac:dyDescent="0.3">
      <c r="A60" s="385" t="s">
        <v>1159</v>
      </c>
      <c r="B60" s="19">
        <v>5670.6900000000005</v>
      </c>
      <c r="C60" s="19">
        <v>15716</v>
      </c>
      <c r="D60" s="391">
        <f t="shared" si="2"/>
        <v>36.082272842962588</v>
      </c>
    </row>
    <row r="61" spans="1:4" x14ac:dyDescent="0.3">
      <c r="A61" s="385" t="s">
        <v>1156</v>
      </c>
      <c r="B61" s="19">
        <v>8056.69</v>
      </c>
      <c r="C61" s="19">
        <v>23372</v>
      </c>
      <c r="D61" s="391">
        <f t="shared" si="2"/>
        <v>34.471547150436415</v>
      </c>
    </row>
    <row r="62" spans="1:4" x14ac:dyDescent="0.3">
      <c r="A62" s="385" t="s">
        <v>1157</v>
      </c>
      <c r="B62" s="19">
        <v>6825.54</v>
      </c>
      <c r="C62" s="19">
        <v>19228</v>
      </c>
      <c r="D62" s="391">
        <f t="shared" si="2"/>
        <v>35.497919700436867</v>
      </c>
    </row>
    <row r="63" spans="1:4" x14ac:dyDescent="0.3">
      <c r="A63" s="385" t="s">
        <v>1153</v>
      </c>
      <c r="B63" s="19">
        <v>5279.46</v>
      </c>
      <c r="C63" s="19">
        <v>14464</v>
      </c>
      <c r="D63" s="391">
        <f t="shared" si="2"/>
        <v>36.500691371681413</v>
      </c>
    </row>
    <row r="64" spans="1:4" x14ac:dyDescent="0.3">
      <c r="A64" s="385" t="s">
        <v>1173</v>
      </c>
      <c r="B64" s="19">
        <v>6464.75</v>
      </c>
      <c r="C64" s="19">
        <v>16446</v>
      </c>
      <c r="D64" s="391">
        <f t="shared" si="2"/>
        <v>39.308950504681988</v>
      </c>
    </row>
    <row r="65" spans="1:4" x14ac:dyDescent="0.3">
      <c r="A65" s="385" t="s">
        <v>1180</v>
      </c>
      <c r="B65" s="19">
        <v>4644.7199999999993</v>
      </c>
      <c r="C65" s="19">
        <v>13378</v>
      </c>
      <c r="D65" s="391">
        <f t="shared" si="2"/>
        <v>34.719091044999246</v>
      </c>
    </row>
    <row r="66" spans="1:4" x14ac:dyDescent="0.3">
      <c r="A66" s="385" t="s">
        <v>1179</v>
      </c>
      <c r="B66" s="19">
        <v>9948.32</v>
      </c>
      <c r="C66" s="19">
        <v>28923</v>
      </c>
      <c r="D66" s="391">
        <f t="shared" si="2"/>
        <v>34.395878712443384</v>
      </c>
    </row>
    <row r="67" spans="1:4" x14ac:dyDescent="0.3">
      <c r="A67" s="385" t="s">
        <v>1183</v>
      </c>
      <c r="B67" s="19">
        <v>7310.75</v>
      </c>
      <c r="C67" s="19">
        <v>19749</v>
      </c>
      <c r="D67" s="391">
        <f t="shared" si="2"/>
        <v>37.018330042027443</v>
      </c>
    </row>
    <row r="68" spans="1:4" x14ac:dyDescent="0.3">
      <c r="A68" s="385" t="s">
        <v>1185</v>
      </c>
      <c r="B68" s="19">
        <v>5280.48</v>
      </c>
      <c r="C68" s="19">
        <v>14153</v>
      </c>
      <c r="D68" s="391">
        <f t="shared" si="2"/>
        <v>37.309969617748884</v>
      </c>
    </row>
    <row r="69" spans="1:4" x14ac:dyDescent="0.3">
      <c r="A69" s="385" t="s">
        <v>1186</v>
      </c>
      <c r="B69" s="19">
        <v>7942.79</v>
      </c>
      <c r="C69" s="19">
        <v>21423</v>
      </c>
      <c r="D69" s="391">
        <f t="shared" si="2"/>
        <v>37.075993091537136</v>
      </c>
    </row>
    <row r="70" spans="1:4" x14ac:dyDescent="0.3">
      <c r="A70" s="385" t="s">
        <v>1189</v>
      </c>
      <c r="B70" s="19">
        <v>8890.83</v>
      </c>
      <c r="C70" s="19">
        <v>25620</v>
      </c>
      <c r="D70" s="391">
        <f t="shared" si="2"/>
        <v>34.702693208430915</v>
      </c>
    </row>
    <row r="71" spans="1:4" x14ac:dyDescent="0.3">
      <c r="A71" s="385" t="s">
        <v>1190</v>
      </c>
      <c r="B71" s="4">
        <v>7261.04</v>
      </c>
      <c r="C71" s="4">
        <v>21167</v>
      </c>
      <c r="D71" s="408">
        <f t="shared" si="2"/>
        <v>34.303585770302831</v>
      </c>
    </row>
    <row r="72" spans="1:4" x14ac:dyDescent="0.3">
      <c r="A72" s="385" t="s">
        <v>1187</v>
      </c>
      <c r="B72" s="19">
        <v>9731.2099999999991</v>
      </c>
      <c r="C72" s="19">
        <v>26012</v>
      </c>
      <c r="D72" s="407">
        <f t="shared" si="2"/>
        <v>37.410464401045665</v>
      </c>
    </row>
    <row r="73" spans="1:4" x14ac:dyDescent="0.3">
      <c r="A73" s="385" t="s">
        <v>1155</v>
      </c>
      <c r="B73" s="19">
        <v>3566.06</v>
      </c>
      <c r="C73" s="19">
        <v>9598</v>
      </c>
      <c r="D73" s="391">
        <f t="shared" ref="D73:D90" si="3">B73/C73*100</f>
        <v>37.154198791414878</v>
      </c>
    </row>
    <row r="74" spans="1:4" x14ac:dyDescent="0.3">
      <c r="A74" s="385" t="s">
        <v>109</v>
      </c>
      <c r="B74" s="19">
        <v>6614.32</v>
      </c>
      <c r="C74" s="19">
        <v>16481</v>
      </c>
      <c r="D74" s="391">
        <f t="shared" si="3"/>
        <v>40.133001638250107</v>
      </c>
    </row>
    <row r="75" spans="1:4" x14ac:dyDescent="0.3">
      <c r="A75" s="385" t="s">
        <v>1148</v>
      </c>
      <c r="B75" s="19">
        <v>3489.8199999999997</v>
      </c>
      <c r="C75" s="19">
        <v>9276</v>
      </c>
      <c r="D75" s="391">
        <f t="shared" si="3"/>
        <v>37.622035360068992</v>
      </c>
    </row>
    <row r="76" spans="1:4" x14ac:dyDescent="0.3">
      <c r="A76" s="385" t="s">
        <v>1138</v>
      </c>
      <c r="B76" s="19">
        <v>5980.1399999999994</v>
      </c>
      <c r="C76" s="19">
        <v>14620</v>
      </c>
      <c r="D76" s="391">
        <f t="shared" si="3"/>
        <v>40.903830369357038</v>
      </c>
    </row>
    <row r="77" spans="1:4" x14ac:dyDescent="0.3">
      <c r="A77" s="385" t="s">
        <v>137</v>
      </c>
      <c r="B77" s="19">
        <v>1055.1199999999999</v>
      </c>
      <c r="C77" s="19">
        <v>2848</v>
      </c>
      <c r="D77" s="391">
        <f t="shared" si="3"/>
        <v>37.047752808988761</v>
      </c>
    </row>
    <row r="78" spans="1:4" x14ac:dyDescent="0.3">
      <c r="A78" s="385" t="s">
        <v>250</v>
      </c>
      <c r="B78" s="19">
        <v>3484.4699999999993</v>
      </c>
      <c r="C78" s="19">
        <v>8362</v>
      </c>
      <c r="D78" s="391">
        <f t="shared" si="3"/>
        <v>41.670294187993292</v>
      </c>
    </row>
    <row r="79" spans="1:4" x14ac:dyDescent="0.3">
      <c r="A79" s="385" t="s">
        <v>251</v>
      </c>
      <c r="B79" s="19">
        <v>5775.36</v>
      </c>
      <c r="C79" s="19">
        <v>16463</v>
      </c>
      <c r="D79" s="391">
        <f t="shared" si="3"/>
        <v>35.080847962096826</v>
      </c>
    </row>
    <row r="80" spans="1:4" x14ac:dyDescent="0.3">
      <c r="A80" s="385" t="s">
        <v>121</v>
      </c>
      <c r="B80" s="19">
        <v>6188.03</v>
      </c>
      <c r="C80" s="19">
        <v>16420</v>
      </c>
      <c r="D80" s="391">
        <f t="shared" si="3"/>
        <v>37.685931790499389</v>
      </c>
    </row>
    <row r="81" spans="1:4" x14ac:dyDescent="0.3">
      <c r="A81" s="385" t="s">
        <v>140</v>
      </c>
      <c r="B81" s="19">
        <v>4499.38</v>
      </c>
      <c r="C81" s="19">
        <v>12313</v>
      </c>
      <c r="D81" s="391">
        <f t="shared" si="3"/>
        <v>36.541703890197354</v>
      </c>
    </row>
    <row r="82" spans="1:4" x14ac:dyDescent="0.3">
      <c r="A82" s="385" t="s">
        <v>255</v>
      </c>
      <c r="B82" s="19">
        <v>5250.04</v>
      </c>
      <c r="C82" s="19">
        <v>14461</v>
      </c>
      <c r="D82" s="391">
        <f t="shared" si="3"/>
        <v>36.304819860313948</v>
      </c>
    </row>
    <row r="83" spans="1:4" x14ac:dyDescent="0.3">
      <c r="A83" s="385" t="s">
        <v>128</v>
      </c>
      <c r="B83" s="19">
        <v>4813.6900000000005</v>
      </c>
      <c r="C83" s="19">
        <v>13826</v>
      </c>
      <c r="D83" s="391">
        <f t="shared" si="3"/>
        <v>34.816215825256769</v>
      </c>
    </row>
    <row r="84" spans="1:4" x14ac:dyDescent="0.3">
      <c r="A84" s="385" t="s">
        <v>124</v>
      </c>
      <c r="B84" s="19">
        <v>6226.04</v>
      </c>
      <c r="C84" s="19">
        <v>18349</v>
      </c>
      <c r="D84" s="409">
        <f t="shared" si="3"/>
        <v>33.931222409940595</v>
      </c>
    </row>
    <row r="85" spans="1:4" x14ac:dyDescent="0.3">
      <c r="A85" s="385" t="s">
        <v>259</v>
      </c>
      <c r="B85" s="19">
        <v>8173.8899999999994</v>
      </c>
      <c r="C85" s="19">
        <v>21219</v>
      </c>
      <c r="D85" s="409">
        <f t="shared" si="3"/>
        <v>38.521560865262259</v>
      </c>
    </row>
    <row r="86" spans="1:4" x14ac:dyDescent="0.3">
      <c r="A86" s="385" t="s">
        <v>116</v>
      </c>
      <c r="B86" s="19">
        <v>2381.3599999999997</v>
      </c>
      <c r="C86" s="19">
        <v>6594</v>
      </c>
      <c r="D86" s="409">
        <f t="shared" si="3"/>
        <v>36.114043069457075</v>
      </c>
    </row>
    <row r="87" spans="1:4" x14ac:dyDescent="0.3">
      <c r="A87" s="385" t="s">
        <v>1140</v>
      </c>
      <c r="B87" s="19">
        <v>6270.75</v>
      </c>
      <c r="C87" s="19">
        <v>17053</v>
      </c>
      <c r="D87" s="409">
        <f t="shared" si="3"/>
        <v>36.772122207236265</v>
      </c>
    </row>
    <row r="88" spans="1:4" x14ac:dyDescent="0.3">
      <c r="A88" s="385" t="s">
        <v>1142</v>
      </c>
      <c r="B88" s="19">
        <v>6988.38</v>
      </c>
      <c r="C88" s="19">
        <v>19192</v>
      </c>
      <c r="D88" s="409">
        <f t="shared" si="3"/>
        <v>36.412984576907043</v>
      </c>
    </row>
    <row r="89" spans="1:4" x14ac:dyDescent="0.3">
      <c r="A89" s="385" t="s">
        <v>134</v>
      </c>
      <c r="B89" s="19">
        <v>4553.91</v>
      </c>
      <c r="C89" s="19">
        <v>12516</v>
      </c>
      <c r="D89" s="409">
        <f t="shared" si="3"/>
        <v>36.384707574304883</v>
      </c>
    </row>
    <row r="90" spans="1:4" x14ac:dyDescent="0.3">
      <c r="A90" s="385" t="s">
        <v>110</v>
      </c>
      <c r="B90" s="19">
        <v>3337.7</v>
      </c>
      <c r="C90" s="19">
        <v>8987</v>
      </c>
      <c r="D90" s="407">
        <f t="shared" si="3"/>
        <v>37.13920106820963</v>
      </c>
    </row>
    <row r="91" spans="1:4" x14ac:dyDescent="0.3">
      <c r="A91" s="385" t="s">
        <v>119</v>
      </c>
      <c r="B91" s="19">
        <v>1434.88</v>
      </c>
      <c r="C91" s="19">
        <v>3912</v>
      </c>
      <c r="D91" s="409">
        <f t="shared" ref="D91:D108" si="4">B91/C91*100</f>
        <v>36.678936605316977</v>
      </c>
    </row>
    <row r="92" spans="1:4" x14ac:dyDescent="0.3">
      <c r="A92" s="385" t="s">
        <v>129</v>
      </c>
      <c r="B92" s="19">
        <v>5948.51</v>
      </c>
      <c r="C92" s="19">
        <v>15356</v>
      </c>
      <c r="D92" s="409">
        <f t="shared" si="4"/>
        <v>38.737366501693145</v>
      </c>
    </row>
    <row r="93" spans="1:4" x14ac:dyDescent="0.3">
      <c r="A93" s="385" t="s">
        <v>111</v>
      </c>
      <c r="B93" s="19">
        <v>2196.34</v>
      </c>
      <c r="C93" s="19">
        <v>5874</v>
      </c>
      <c r="D93" s="409">
        <f t="shared" si="4"/>
        <v>37.390875042560438</v>
      </c>
    </row>
    <row r="94" spans="1:4" x14ac:dyDescent="0.3">
      <c r="A94" s="385" t="s">
        <v>132</v>
      </c>
      <c r="B94" s="19">
        <v>8169.3200000000006</v>
      </c>
      <c r="C94" s="19">
        <v>21470</v>
      </c>
      <c r="D94" s="409">
        <f t="shared" si="4"/>
        <v>38.049930135072195</v>
      </c>
    </row>
    <row r="95" spans="1:4" x14ac:dyDescent="0.3">
      <c r="A95" s="385" t="s">
        <v>131</v>
      </c>
      <c r="B95" s="19">
        <v>6502.4400000000005</v>
      </c>
      <c r="C95" s="19">
        <v>17236</v>
      </c>
      <c r="D95" s="409">
        <f t="shared" si="4"/>
        <v>37.725922487816199</v>
      </c>
    </row>
    <row r="96" spans="1:4" x14ac:dyDescent="0.3">
      <c r="A96" s="385" t="s">
        <v>120</v>
      </c>
      <c r="B96" s="19">
        <v>2673.02</v>
      </c>
      <c r="C96" s="19">
        <v>6572</v>
      </c>
      <c r="D96" s="391">
        <f t="shared" si="4"/>
        <v>40.672854534388314</v>
      </c>
    </row>
    <row r="97" spans="1:4" x14ac:dyDescent="0.3">
      <c r="A97" s="385" t="s">
        <v>115</v>
      </c>
      <c r="B97" s="19">
        <v>7216.26</v>
      </c>
      <c r="C97" s="19">
        <v>18774</v>
      </c>
      <c r="D97" s="391">
        <f t="shared" si="4"/>
        <v>38.437519974432725</v>
      </c>
    </row>
    <row r="98" spans="1:4" x14ac:dyDescent="0.3">
      <c r="A98" s="385" t="s">
        <v>112</v>
      </c>
      <c r="B98" s="19">
        <v>4964.6400000000003</v>
      </c>
      <c r="C98" s="19">
        <v>12092</v>
      </c>
      <c r="D98" s="391">
        <f t="shared" si="4"/>
        <v>41.057227919285481</v>
      </c>
    </row>
    <row r="99" spans="1:4" x14ac:dyDescent="0.3">
      <c r="A99" s="385" t="s">
        <v>138</v>
      </c>
      <c r="B99" s="19">
        <v>7149.85</v>
      </c>
      <c r="C99" s="19">
        <v>18788</v>
      </c>
      <c r="D99" s="391">
        <f t="shared" si="4"/>
        <v>38.055407707047053</v>
      </c>
    </row>
    <row r="100" spans="1:4" x14ac:dyDescent="0.3">
      <c r="A100" s="385" t="s">
        <v>122</v>
      </c>
      <c r="B100" s="19">
        <v>4426.62</v>
      </c>
      <c r="C100" s="19">
        <v>11905</v>
      </c>
      <c r="D100" s="391">
        <f t="shared" si="4"/>
        <v>37.182864342713145</v>
      </c>
    </row>
    <row r="101" spans="1:4" x14ac:dyDescent="0.3">
      <c r="A101" s="385" t="s">
        <v>126</v>
      </c>
      <c r="B101" s="19">
        <v>4980.45</v>
      </c>
      <c r="C101" s="19">
        <v>13894</v>
      </c>
      <c r="D101" s="391">
        <f t="shared" si="4"/>
        <v>35.846048654095291</v>
      </c>
    </row>
    <row r="102" spans="1:4" x14ac:dyDescent="0.3">
      <c r="A102" s="385" t="s">
        <v>135</v>
      </c>
      <c r="B102" s="19">
        <v>6294.34</v>
      </c>
      <c r="C102" s="19">
        <v>16237</v>
      </c>
      <c r="D102" s="391">
        <f t="shared" si="4"/>
        <v>38.765412329863892</v>
      </c>
    </row>
    <row r="103" spans="1:4" x14ac:dyDescent="0.3">
      <c r="A103" s="385" t="s">
        <v>123</v>
      </c>
      <c r="B103" s="19">
        <v>7031.89</v>
      </c>
      <c r="C103" s="19">
        <v>19100</v>
      </c>
      <c r="D103" s="391">
        <f t="shared" si="4"/>
        <v>36.816178010471205</v>
      </c>
    </row>
    <row r="104" spans="1:4" x14ac:dyDescent="0.3">
      <c r="A104" s="385" t="s">
        <v>139</v>
      </c>
      <c r="B104" s="19">
        <v>6748.03</v>
      </c>
      <c r="C104" s="19">
        <v>19184</v>
      </c>
      <c r="D104" s="391">
        <f t="shared" si="4"/>
        <v>35.175302335279397</v>
      </c>
    </row>
    <row r="105" spans="1:4" x14ac:dyDescent="0.3">
      <c r="A105" s="385" t="s">
        <v>1116</v>
      </c>
      <c r="B105" s="19">
        <v>6840.6</v>
      </c>
      <c r="C105" s="19">
        <v>18491</v>
      </c>
      <c r="D105" s="391">
        <f t="shared" si="4"/>
        <v>36.99421340111406</v>
      </c>
    </row>
    <row r="106" spans="1:4" x14ac:dyDescent="0.3">
      <c r="A106" s="385" t="s">
        <v>1115</v>
      </c>
      <c r="B106" s="19">
        <v>7382.1880000000001</v>
      </c>
      <c r="C106" s="19">
        <v>19299</v>
      </c>
      <c r="D106" s="391">
        <f t="shared" si="4"/>
        <v>38.251660707808696</v>
      </c>
    </row>
    <row r="107" spans="1:4" ht="15" thickBot="1" x14ac:dyDescent="0.35">
      <c r="A107" s="385" t="s">
        <v>125</v>
      </c>
      <c r="B107" s="19">
        <v>5330.38</v>
      </c>
      <c r="C107" s="19">
        <v>14089</v>
      </c>
      <c r="D107" s="391">
        <f t="shared" si="4"/>
        <v>37.833629072325934</v>
      </c>
    </row>
    <row r="108" spans="1:4" ht="15" thickBot="1" x14ac:dyDescent="0.35">
      <c r="A108" s="381" t="s">
        <v>1086</v>
      </c>
      <c r="B108" s="410">
        <f>SUM(B5:B107)</f>
        <v>563034.88800000004</v>
      </c>
      <c r="C108" s="410">
        <f>SUM(C5:C107)</f>
        <v>1553311</v>
      </c>
      <c r="D108" s="386">
        <f t="shared" si="4"/>
        <v>36.24740235535576</v>
      </c>
    </row>
  </sheetData>
  <autoFilter ref="A4:D4" xr:uid="{00000000-0009-0000-0000-00000A000000}">
    <sortState xmlns:xlrd2="http://schemas.microsoft.com/office/spreadsheetml/2017/richdata2" ref="A5:D108">
      <sortCondition sortBy="cellColor" ref="A5:A108" dxfId="32"/>
    </sortState>
  </autoFilter>
  <mergeCells count="1">
    <mergeCell ref="A1:D1"/>
  </mergeCells>
  <conditionalFormatting sqref="D5:D10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06"/>
  <sheetViews>
    <sheetView workbookViewId="0">
      <selection activeCell="C5" sqref="C5"/>
    </sheetView>
  </sheetViews>
  <sheetFormatPr baseColWidth="10" defaultRowHeight="14.4" x14ac:dyDescent="0.3"/>
  <cols>
    <col min="2" max="2" width="13.109375" bestFit="1" customWidth="1"/>
    <col min="3" max="3" width="20.44140625" customWidth="1"/>
  </cols>
  <sheetData>
    <row r="1" spans="1:4" ht="16.2" thickBot="1" x14ac:dyDescent="0.35">
      <c r="A1" s="447" t="s">
        <v>1196</v>
      </c>
      <c r="B1" s="448"/>
      <c r="C1" s="448"/>
      <c r="D1" s="449"/>
    </row>
    <row r="3" spans="1:4" ht="15" thickBot="1" x14ac:dyDescent="0.35"/>
    <row r="4" spans="1:4" ht="15" thickBot="1" x14ac:dyDescent="0.35">
      <c r="A4" s="381" t="s">
        <v>1123</v>
      </c>
      <c r="B4" s="382" t="s">
        <v>1124</v>
      </c>
      <c r="C4" s="382" t="s">
        <v>1132</v>
      </c>
      <c r="D4" s="383" t="s">
        <v>1125</v>
      </c>
    </row>
    <row r="5" spans="1:4" x14ac:dyDescent="0.3">
      <c r="A5" s="384" t="s">
        <v>1092</v>
      </c>
      <c r="B5" s="399">
        <v>4487.34</v>
      </c>
      <c r="C5" s="411">
        <v>10711</v>
      </c>
      <c r="D5" s="390">
        <f>B5/C5*100</f>
        <v>41.894687704229298</v>
      </c>
    </row>
    <row r="6" spans="1:4" x14ac:dyDescent="0.3">
      <c r="A6" s="385" t="s">
        <v>1158</v>
      </c>
      <c r="B6" s="400">
        <v>5573.1500000000005</v>
      </c>
      <c r="C6" s="380">
        <v>14805</v>
      </c>
      <c r="D6" s="391">
        <f t="shared" ref="D6:D69" si="0">B6/C6*100</f>
        <v>37.643701452212092</v>
      </c>
    </row>
    <row r="7" spans="1:4" x14ac:dyDescent="0.3">
      <c r="A7" s="385" t="s">
        <v>187</v>
      </c>
      <c r="B7" s="400">
        <v>6180.5800000000008</v>
      </c>
      <c r="C7" s="380">
        <v>17549</v>
      </c>
      <c r="D7" s="391">
        <f t="shared" si="0"/>
        <v>35.218986836856807</v>
      </c>
    </row>
    <row r="8" spans="1:4" x14ac:dyDescent="0.3">
      <c r="A8" s="385" t="s">
        <v>189</v>
      </c>
      <c r="B8" s="400">
        <v>6675.84</v>
      </c>
      <c r="C8" s="380">
        <v>18285</v>
      </c>
      <c r="D8" s="391">
        <f t="shared" si="0"/>
        <v>36.509926168990972</v>
      </c>
    </row>
    <row r="9" spans="1:4" x14ac:dyDescent="0.3">
      <c r="A9" s="385" t="s">
        <v>191</v>
      </c>
      <c r="B9" s="400">
        <v>5071.8899999999994</v>
      </c>
      <c r="C9" s="380">
        <v>13249</v>
      </c>
      <c r="D9" s="391">
        <f t="shared" si="0"/>
        <v>38.281304249377307</v>
      </c>
    </row>
    <row r="10" spans="1:4" x14ac:dyDescent="0.3">
      <c r="A10" s="385" t="s">
        <v>192</v>
      </c>
      <c r="B10" s="400">
        <v>3064.91</v>
      </c>
      <c r="C10" s="380">
        <v>8318</v>
      </c>
      <c r="D10" s="391">
        <f t="shared" si="0"/>
        <v>36.846717961048327</v>
      </c>
    </row>
    <row r="11" spans="1:4" x14ac:dyDescent="0.3">
      <c r="A11" s="385" t="s">
        <v>193</v>
      </c>
      <c r="B11" s="400">
        <v>3286.95</v>
      </c>
      <c r="C11" s="380">
        <v>8800</v>
      </c>
      <c r="D11" s="391">
        <f t="shared" si="0"/>
        <v>37.351704545454545</v>
      </c>
    </row>
    <row r="12" spans="1:4" x14ac:dyDescent="0.3">
      <c r="A12" s="385" t="s">
        <v>195</v>
      </c>
      <c r="B12" s="400">
        <v>4471.7300000000005</v>
      </c>
      <c r="C12" s="380">
        <v>12163</v>
      </c>
      <c r="D12" s="391">
        <f t="shared" si="0"/>
        <v>36.765025076050321</v>
      </c>
    </row>
    <row r="13" spans="1:4" x14ac:dyDescent="0.3">
      <c r="A13" s="385" t="s">
        <v>184</v>
      </c>
      <c r="B13" s="400">
        <v>3079.4399999999996</v>
      </c>
      <c r="C13" s="380">
        <v>7739</v>
      </c>
      <c r="D13" s="391">
        <f t="shared" si="0"/>
        <v>39.79118749192402</v>
      </c>
    </row>
    <row r="14" spans="1:4" x14ac:dyDescent="0.3">
      <c r="A14" s="385" t="s">
        <v>216</v>
      </c>
      <c r="B14" s="400">
        <v>5577.34</v>
      </c>
      <c r="C14" s="380">
        <v>15629</v>
      </c>
      <c r="D14" s="391">
        <f t="shared" si="0"/>
        <v>35.685840424851243</v>
      </c>
    </row>
    <row r="15" spans="1:4" x14ac:dyDescent="0.3">
      <c r="A15" s="385" t="s">
        <v>1143</v>
      </c>
      <c r="B15" s="400">
        <v>2711.8900000000003</v>
      </c>
      <c r="C15" s="380">
        <v>7890</v>
      </c>
      <c r="D15" s="391">
        <f t="shared" si="0"/>
        <v>34.371229404309254</v>
      </c>
    </row>
    <row r="16" spans="1:4" x14ac:dyDescent="0.3">
      <c r="A16" s="385" t="s">
        <v>209</v>
      </c>
      <c r="B16" s="400">
        <v>6645.85</v>
      </c>
      <c r="C16" s="380">
        <v>18194</v>
      </c>
      <c r="D16" s="391">
        <f t="shared" si="0"/>
        <v>36.527701440035173</v>
      </c>
    </row>
    <row r="17" spans="1:4" x14ac:dyDescent="0.3">
      <c r="A17" s="385" t="s">
        <v>212</v>
      </c>
      <c r="B17" s="400">
        <v>3767.6</v>
      </c>
      <c r="C17" s="380">
        <v>9745</v>
      </c>
      <c r="D17" s="391">
        <f t="shared" si="0"/>
        <v>38.661877886095432</v>
      </c>
    </row>
    <row r="18" spans="1:4" x14ac:dyDescent="0.3">
      <c r="A18" s="385" t="s">
        <v>214</v>
      </c>
      <c r="B18" s="400">
        <v>3999.8599999999997</v>
      </c>
      <c r="C18" s="380">
        <v>11412</v>
      </c>
      <c r="D18" s="391">
        <f t="shared" si="0"/>
        <v>35.049596915527516</v>
      </c>
    </row>
    <row r="19" spans="1:4" x14ac:dyDescent="0.3">
      <c r="A19" s="385" t="s">
        <v>218</v>
      </c>
      <c r="B19" s="400">
        <v>6322.9800000000005</v>
      </c>
      <c r="C19" s="380">
        <v>18596</v>
      </c>
      <c r="D19" s="391">
        <f t="shared" si="0"/>
        <v>34.001828350182841</v>
      </c>
    </row>
    <row r="20" spans="1:4" x14ac:dyDescent="0.3">
      <c r="A20" s="385" t="s">
        <v>220</v>
      </c>
      <c r="B20" s="400">
        <v>4549.32</v>
      </c>
      <c r="C20" s="380">
        <v>12997</v>
      </c>
      <c r="D20" s="391">
        <f t="shared" si="0"/>
        <v>35.002846810802488</v>
      </c>
    </row>
    <row r="21" spans="1:4" x14ac:dyDescent="0.3">
      <c r="A21" s="385" t="s">
        <v>222</v>
      </c>
      <c r="B21" s="400">
        <v>6724.01</v>
      </c>
      <c r="C21" s="380">
        <v>19043</v>
      </c>
      <c r="D21" s="391">
        <f t="shared" si="0"/>
        <v>35.309615081657306</v>
      </c>
    </row>
    <row r="22" spans="1:4" x14ac:dyDescent="0.3">
      <c r="A22" s="385" t="s">
        <v>438</v>
      </c>
      <c r="B22" s="400">
        <v>5444.69</v>
      </c>
      <c r="C22" s="380">
        <v>15808</v>
      </c>
      <c r="D22" s="391">
        <f t="shared" si="0"/>
        <v>34.442623987854248</v>
      </c>
    </row>
    <row r="23" spans="1:4" x14ac:dyDescent="0.3">
      <c r="A23" s="385" t="s">
        <v>1139</v>
      </c>
      <c r="B23" s="400">
        <v>4763.7999999999993</v>
      </c>
      <c r="C23" s="380">
        <v>13450</v>
      </c>
      <c r="D23" s="391">
        <f t="shared" si="0"/>
        <v>35.418587360594792</v>
      </c>
    </row>
    <row r="24" spans="1:4" x14ac:dyDescent="0.3">
      <c r="A24" s="385" t="s">
        <v>1136</v>
      </c>
      <c r="B24" s="400">
        <v>5491.42</v>
      </c>
      <c r="C24" s="380">
        <v>15231</v>
      </c>
      <c r="D24" s="391">
        <f t="shared" si="0"/>
        <v>36.054231501542908</v>
      </c>
    </row>
    <row r="25" spans="1:4" x14ac:dyDescent="0.3">
      <c r="A25" s="385" t="s">
        <v>1152</v>
      </c>
      <c r="B25" s="400">
        <v>4976.8599999999997</v>
      </c>
      <c r="C25" s="380">
        <v>13992</v>
      </c>
      <c r="D25" s="391">
        <f t="shared" si="0"/>
        <v>35.569325328759291</v>
      </c>
    </row>
    <row r="26" spans="1:4" x14ac:dyDescent="0.3">
      <c r="A26" s="385" t="s">
        <v>1137</v>
      </c>
      <c r="B26" s="400">
        <v>6231.01</v>
      </c>
      <c r="C26" s="380">
        <v>16177</v>
      </c>
      <c r="D26" s="391">
        <f t="shared" si="0"/>
        <v>38.517710329480124</v>
      </c>
    </row>
    <row r="27" spans="1:4" x14ac:dyDescent="0.3">
      <c r="A27" s="385" t="s">
        <v>1150</v>
      </c>
      <c r="B27" s="400">
        <v>5523.59</v>
      </c>
      <c r="C27" s="380">
        <v>16124</v>
      </c>
      <c r="D27" s="391">
        <f t="shared" si="0"/>
        <v>34.25694616720417</v>
      </c>
    </row>
    <row r="28" spans="1:4" x14ac:dyDescent="0.3">
      <c r="A28" s="385" t="s">
        <v>440</v>
      </c>
      <c r="B28" s="400">
        <v>4930.01</v>
      </c>
      <c r="C28" s="380">
        <v>13276</v>
      </c>
      <c r="D28" s="391">
        <f t="shared" si="0"/>
        <v>37.134754444109674</v>
      </c>
    </row>
    <row r="29" spans="1:4" x14ac:dyDescent="0.3">
      <c r="A29" s="385" t="s">
        <v>422</v>
      </c>
      <c r="B29" s="400">
        <v>5402.37</v>
      </c>
      <c r="C29" s="380">
        <v>15417</v>
      </c>
      <c r="D29" s="391">
        <f t="shared" si="0"/>
        <v>35.041642342868265</v>
      </c>
    </row>
    <row r="30" spans="1:4" x14ac:dyDescent="0.3">
      <c r="A30" s="385" t="s">
        <v>424</v>
      </c>
      <c r="B30" s="400">
        <v>5212.43</v>
      </c>
      <c r="C30" s="380">
        <v>14687</v>
      </c>
      <c r="D30" s="391">
        <f t="shared" si="0"/>
        <v>35.49009327977123</v>
      </c>
    </row>
    <row r="31" spans="1:4" x14ac:dyDescent="0.3">
      <c r="A31" s="385" t="s">
        <v>433</v>
      </c>
      <c r="B31" s="400">
        <v>7058.2999999999993</v>
      </c>
      <c r="C31" s="380">
        <v>18953</v>
      </c>
      <c r="D31" s="391">
        <f t="shared" si="0"/>
        <v>37.241070015301005</v>
      </c>
    </row>
    <row r="32" spans="1:4" x14ac:dyDescent="0.3">
      <c r="A32" s="385" t="s">
        <v>1141</v>
      </c>
      <c r="B32" s="400">
        <v>3988.17</v>
      </c>
      <c r="C32" s="380">
        <v>10948</v>
      </c>
      <c r="D32" s="391">
        <f t="shared" si="0"/>
        <v>36.42829740591889</v>
      </c>
    </row>
    <row r="33" spans="1:4" x14ac:dyDescent="0.3">
      <c r="A33" s="385" t="s">
        <v>1094</v>
      </c>
      <c r="B33" s="400">
        <v>6221.95</v>
      </c>
      <c r="C33" s="380">
        <v>17215</v>
      </c>
      <c r="D33" s="391">
        <f t="shared" si="0"/>
        <v>36.142608190531512</v>
      </c>
    </row>
    <row r="34" spans="1:4" x14ac:dyDescent="0.3">
      <c r="A34" s="385" t="s">
        <v>427</v>
      </c>
      <c r="B34" s="400">
        <v>6505.33</v>
      </c>
      <c r="C34" s="380">
        <v>19455</v>
      </c>
      <c r="D34" s="391">
        <f t="shared" si="0"/>
        <v>33.437830891801596</v>
      </c>
    </row>
    <row r="35" spans="1:4" x14ac:dyDescent="0.3">
      <c r="A35" s="385" t="s">
        <v>1144</v>
      </c>
      <c r="B35" s="19">
        <v>5250.4800000000005</v>
      </c>
      <c r="C35" s="380">
        <v>15237</v>
      </c>
      <c r="D35" s="391">
        <f t="shared" si="0"/>
        <v>34.458751722780079</v>
      </c>
    </row>
    <row r="36" spans="1:4" x14ac:dyDescent="0.3">
      <c r="A36" s="385" t="s">
        <v>540</v>
      </c>
      <c r="B36" s="19">
        <v>6324.3600000000006</v>
      </c>
      <c r="C36" s="380">
        <v>18128</v>
      </c>
      <c r="D36" s="391">
        <f t="shared" si="0"/>
        <v>34.887246248896737</v>
      </c>
    </row>
    <row r="37" spans="1:4" x14ac:dyDescent="0.3">
      <c r="A37" s="385" t="s">
        <v>581</v>
      </c>
      <c r="B37" s="19">
        <v>9122.7999999999993</v>
      </c>
      <c r="C37" s="380">
        <v>27402</v>
      </c>
      <c r="D37" s="391">
        <f t="shared" si="0"/>
        <v>33.292460404350045</v>
      </c>
    </row>
    <row r="38" spans="1:4" x14ac:dyDescent="0.3">
      <c r="A38" s="385" t="s">
        <v>519</v>
      </c>
      <c r="B38" s="19">
        <v>5521.9500000000007</v>
      </c>
      <c r="C38" s="380">
        <v>17164</v>
      </c>
      <c r="D38" s="391">
        <f t="shared" si="0"/>
        <v>32.17169657422513</v>
      </c>
    </row>
    <row r="39" spans="1:4" x14ac:dyDescent="0.3">
      <c r="A39" s="385" t="s">
        <v>522</v>
      </c>
      <c r="B39" s="19">
        <v>5891.7300000000005</v>
      </c>
      <c r="C39" s="380">
        <v>17559</v>
      </c>
      <c r="D39" s="391">
        <f t="shared" si="0"/>
        <v>33.553903980864519</v>
      </c>
    </row>
    <row r="40" spans="1:4" x14ac:dyDescent="0.3">
      <c r="A40" s="385" t="s">
        <v>748</v>
      </c>
      <c r="B40" s="19">
        <v>6231.7800000000007</v>
      </c>
      <c r="C40" s="380">
        <v>18455</v>
      </c>
      <c r="D40" s="391">
        <f t="shared" si="0"/>
        <v>33.767434299647796</v>
      </c>
    </row>
    <row r="41" spans="1:4" x14ac:dyDescent="0.3">
      <c r="A41" s="385" t="s">
        <v>754</v>
      </c>
      <c r="B41" s="19">
        <v>5748.7800000000007</v>
      </c>
      <c r="C41" s="380">
        <v>16748</v>
      </c>
      <c r="D41" s="391">
        <f t="shared" si="0"/>
        <v>34.325173155003583</v>
      </c>
    </row>
    <row r="42" spans="1:4" x14ac:dyDescent="0.3">
      <c r="A42" s="385" t="s">
        <v>1090</v>
      </c>
      <c r="B42" s="19">
        <v>4444.6900000000005</v>
      </c>
      <c r="C42" s="380">
        <v>13414</v>
      </c>
      <c r="D42" s="391">
        <f t="shared" si="0"/>
        <v>33.134710004472943</v>
      </c>
    </row>
    <row r="43" spans="1:4" x14ac:dyDescent="0.3">
      <c r="A43" s="385" t="s">
        <v>1151</v>
      </c>
      <c r="B43" s="19">
        <v>6832.64</v>
      </c>
      <c r="C43" s="380">
        <v>19023</v>
      </c>
      <c r="D43" s="391">
        <f t="shared" si="0"/>
        <v>35.91778373547811</v>
      </c>
    </row>
    <row r="44" spans="1:4" x14ac:dyDescent="0.3">
      <c r="A44" s="385" t="s">
        <v>1091</v>
      </c>
      <c r="B44" s="19">
        <v>5002.92</v>
      </c>
      <c r="C44" s="380">
        <v>13947</v>
      </c>
      <c r="D44" s="407">
        <f t="shared" si="0"/>
        <v>35.870939987093998</v>
      </c>
    </row>
    <row r="45" spans="1:4" x14ac:dyDescent="0.3">
      <c r="A45" s="385" t="s">
        <v>1118</v>
      </c>
      <c r="B45" s="19">
        <v>5518.58</v>
      </c>
      <c r="C45" s="380">
        <v>14900</v>
      </c>
      <c r="D45" s="407">
        <f t="shared" si="0"/>
        <v>37.037449664429531</v>
      </c>
    </row>
    <row r="46" spans="1:4" x14ac:dyDescent="0.3">
      <c r="A46" s="385" t="s">
        <v>1096</v>
      </c>
      <c r="B46" s="19">
        <v>6885.5599999999995</v>
      </c>
      <c r="C46" s="380">
        <v>20529</v>
      </c>
      <c r="D46" s="407">
        <f t="shared" si="0"/>
        <v>33.540649812460423</v>
      </c>
    </row>
    <row r="47" spans="1:4" x14ac:dyDescent="0.3">
      <c r="A47" s="385" t="s">
        <v>1117</v>
      </c>
      <c r="B47" s="19">
        <v>4964.8</v>
      </c>
      <c r="C47" s="380">
        <v>14152</v>
      </c>
      <c r="D47" s="407">
        <f t="shared" si="0"/>
        <v>35.081967213114758</v>
      </c>
    </row>
    <row r="48" spans="1:4" x14ac:dyDescent="0.3">
      <c r="A48" s="385" t="s">
        <v>1126</v>
      </c>
      <c r="B48" s="19">
        <v>6053.79</v>
      </c>
      <c r="C48" s="380">
        <v>18218</v>
      </c>
      <c r="D48" s="391">
        <f t="shared" si="0"/>
        <v>33.229717861455704</v>
      </c>
    </row>
    <row r="49" spans="1:4" x14ac:dyDescent="0.3">
      <c r="A49" s="385" t="s">
        <v>1130</v>
      </c>
      <c r="B49" s="19">
        <v>2548.96</v>
      </c>
      <c r="C49" s="380">
        <v>6354</v>
      </c>
      <c r="D49" s="391">
        <f t="shared" si="0"/>
        <v>40.115832546427448</v>
      </c>
    </row>
    <row r="50" spans="1:4" x14ac:dyDescent="0.3">
      <c r="A50" s="385" t="s">
        <v>1128</v>
      </c>
      <c r="B50" s="19">
        <v>6287.92</v>
      </c>
      <c r="C50" s="380">
        <v>17796</v>
      </c>
      <c r="D50" s="391">
        <f t="shared" si="0"/>
        <v>35.333333333333336</v>
      </c>
    </row>
    <row r="51" spans="1:4" x14ac:dyDescent="0.3">
      <c r="A51" s="385" t="s">
        <v>1129</v>
      </c>
      <c r="B51" s="19">
        <v>5040.82</v>
      </c>
      <c r="C51" s="380">
        <v>14139</v>
      </c>
      <c r="D51" s="391">
        <f t="shared" si="0"/>
        <v>35.65188485748638</v>
      </c>
    </row>
    <row r="52" spans="1:4" x14ac:dyDescent="0.3">
      <c r="A52" s="385" t="s">
        <v>1133</v>
      </c>
      <c r="B52" s="19">
        <v>6687.5199999999995</v>
      </c>
      <c r="C52" s="380">
        <v>18346</v>
      </c>
      <c r="D52" s="391">
        <f t="shared" si="0"/>
        <v>36.452196664122965</v>
      </c>
    </row>
    <row r="53" spans="1:4" x14ac:dyDescent="0.3">
      <c r="A53" s="385" t="s">
        <v>1134</v>
      </c>
      <c r="B53" s="19">
        <v>4681.76</v>
      </c>
      <c r="C53" s="380">
        <v>13756</v>
      </c>
      <c r="D53" s="391">
        <f t="shared" si="0"/>
        <v>34.034312300087237</v>
      </c>
    </row>
    <row r="54" spans="1:4" x14ac:dyDescent="0.3">
      <c r="A54" s="385" t="s">
        <v>1135</v>
      </c>
      <c r="B54" s="19">
        <v>3394.54</v>
      </c>
      <c r="C54" s="380">
        <v>9666</v>
      </c>
      <c r="D54" s="391">
        <f t="shared" si="0"/>
        <v>35.118352989861364</v>
      </c>
    </row>
    <row r="55" spans="1:4" x14ac:dyDescent="0.3">
      <c r="A55" s="385" t="s">
        <v>1154</v>
      </c>
      <c r="B55" s="19">
        <v>4445.8900000000003</v>
      </c>
      <c r="C55" s="380">
        <v>12985</v>
      </c>
      <c r="D55" s="391">
        <f t="shared" si="0"/>
        <v>34.238659992298807</v>
      </c>
    </row>
    <row r="56" spans="1:4" x14ac:dyDescent="0.3">
      <c r="A56" s="385" t="s">
        <v>1159</v>
      </c>
      <c r="B56" s="19">
        <v>4800.7800000000007</v>
      </c>
      <c r="C56" s="380">
        <v>14513</v>
      </c>
      <c r="D56" s="391">
        <f t="shared" si="0"/>
        <v>33.07917039895267</v>
      </c>
    </row>
    <row r="57" spans="1:4" x14ac:dyDescent="0.3">
      <c r="A57" s="385" t="s">
        <v>1156</v>
      </c>
      <c r="B57" s="19">
        <v>4286.8999999999996</v>
      </c>
      <c r="C57" s="380">
        <v>12525</v>
      </c>
      <c r="D57" s="391">
        <f t="shared" si="0"/>
        <v>34.226746506986025</v>
      </c>
    </row>
    <row r="58" spans="1:4" x14ac:dyDescent="0.3">
      <c r="A58" s="385" t="s">
        <v>1157</v>
      </c>
      <c r="B58" s="19">
        <v>7186.7800000000007</v>
      </c>
      <c r="C58" s="380">
        <v>20423</v>
      </c>
      <c r="D58" s="391">
        <f t="shared" si="0"/>
        <v>35.189639132350784</v>
      </c>
    </row>
    <row r="59" spans="1:4" x14ac:dyDescent="0.3">
      <c r="A59" s="385" t="s">
        <v>1153</v>
      </c>
      <c r="B59" s="19">
        <v>4922.58</v>
      </c>
      <c r="C59" s="380">
        <v>12494</v>
      </c>
      <c r="D59" s="391">
        <f t="shared" si="0"/>
        <v>39.399551784856726</v>
      </c>
    </row>
    <row r="60" spans="1:4" x14ac:dyDescent="0.3">
      <c r="A60" s="385" t="s">
        <v>1173</v>
      </c>
      <c r="B60" s="19">
        <v>5924.68</v>
      </c>
      <c r="C60" s="380">
        <v>15248</v>
      </c>
      <c r="D60" s="391">
        <f t="shared" si="0"/>
        <v>38.855456453305351</v>
      </c>
    </row>
    <row r="61" spans="1:4" x14ac:dyDescent="0.3">
      <c r="A61" s="385" t="s">
        <v>1180</v>
      </c>
      <c r="B61" s="19">
        <v>4525.7699999999995</v>
      </c>
      <c r="C61" s="380">
        <v>14031</v>
      </c>
      <c r="D61" s="391">
        <f t="shared" si="0"/>
        <v>32.255505666025222</v>
      </c>
    </row>
    <row r="62" spans="1:4" x14ac:dyDescent="0.3">
      <c r="A62" s="385" t="s">
        <v>1179</v>
      </c>
      <c r="B62" s="19">
        <v>6544.5199999999995</v>
      </c>
      <c r="C62" s="380">
        <v>19168</v>
      </c>
      <c r="D62" s="391">
        <f t="shared" si="0"/>
        <v>34.142946577629381</v>
      </c>
    </row>
    <row r="63" spans="1:4" x14ac:dyDescent="0.3">
      <c r="A63" s="385" t="s">
        <v>1185</v>
      </c>
      <c r="B63" s="19">
        <v>5567.17</v>
      </c>
      <c r="C63" s="380">
        <v>16800</v>
      </c>
      <c r="D63" s="391">
        <f t="shared" si="0"/>
        <v>33.137916666666669</v>
      </c>
    </row>
    <row r="64" spans="1:4" x14ac:dyDescent="0.3">
      <c r="A64" s="385" t="s">
        <v>1183</v>
      </c>
      <c r="B64" s="19">
        <v>4214.13</v>
      </c>
      <c r="C64" s="380">
        <v>11560</v>
      </c>
      <c r="D64" s="391">
        <f t="shared" si="0"/>
        <v>36.454411764705888</v>
      </c>
    </row>
    <row r="65" spans="1:4" x14ac:dyDescent="0.3">
      <c r="A65" s="385" t="s">
        <v>1186</v>
      </c>
      <c r="B65" s="19">
        <v>5934.25</v>
      </c>
      <c r="C65" s="380">
        <v>16774</v>
      </c>
      <c r="D65" s="391">
        <f t="shared" si="0"/>
        <v>35.377667819244067</v>
      </c>
    </row>
    <row r="66" spans="1:4" x14ac:dyDescent="0.3">
      <c r="A66" s="385" t="s">
        <v>1187</v>
      </c>
      <c r="B66" s="19">
        <v>7798.7199999999993</v>
      </c>
      <c r="C66" s="380">
        <v>22236</v>
      </c>
      <c r="D66" s="391">
        <f t="shared" si="0"/>
        <v>35.072495053067094</v>
      </c>
    </row>
    <row r="67" spans="1:4" x14ac:dyDescent="0.3">
      <c r="A67" s="385" t="s">
        <v>1189</v>
      </c>
      <c r="B67" s="19">
        <v>7814.85</v>
      </c>
      <c r="C67" s="380">
        <v>22652</v>
      </c>
      <c r="D67" s="391">
        <f t="shared" si="0"/>
        <v>34.499602684089709</v>
      </c>
    </row>
    <row r="68" spans="1:4" x14ac:dyDescent="0.3">
      <c r="A68" s="385" t="s">
        <v>1190</v>
      </c>
      <c r="B68" s="19">
        <v>5222.47</v>
      </c>
      <c r="C68" s="380">
        <v>15493</v>
      </c>
      <c r="D68" s="391">
        <f t="shared" si="0"/>
        <v>33.70857806751436</v>
      </c>
    </row>
    <row r="69" spans="1:4" x14ac:dyDescent="0.3">
      <c r="A69" s="385" t="s">
        <v>1193</v>
      </c>
      <c r="B69" s="19">
        <v>4790.8500000000004</v>
      </c>
      <c r="C69" s="380">
        <v>12606</v>
      </c>
      <c r="D69" s="391">
        <f t="shared" si="0"/>
        <v>38.004521656354115</v>
      </c>
    </row>
    <row r="70" spans="1:4" x14ac:dyDescent="0.3">
      <c r="A70" s="385" t="s">
        <v>1195</v>
      </c>
      <c r="B70" s="19">
        <v>5784.82</v>
      </c>
      <c r="C70" s="380">
        <v>15382</v>
      </c>
      <c r="D70" s="391">
        <f t="shared" ref="D70:D106" si="1">B70/C70*100</f>
        <v>37.607723312963202</v>
      </c>
    </row>
    <row r="71" spans="1:4" x14ac:dyDescent="0.3">
      <c r="A71" s="385" t="s">
        <v>1194</v>
      </c>
      <c r="B71" s="4">
        <v>4625.63</v>
      </c>
      <c r="C71" s="412">
        <v>12657</v>
      </c>
      <c r="D71" s="408">
        <f t="shared" si="1"/>
        <v>36.546021964130517</v>
      </c>
    </row>
    <row r="72" spans="1:4" x14ac:dyDescent="0.3">
      <c r="A72" s="385" t="s">
        <v>109</v>
      </c>
      <c r="B72" s="19">
        <v>2912.3199999999997</v>
      </c>
      <c r="C72" s="380">
        <v>7849</v>
      </c>
      <c r="D72" s="407">
        <f t="shared" si="1"/>
        <v>37.104344502484388</v>
      </c>
    </row>
    <row r="73" spans="1:4" x14ac:dyDescent="0.3">
      <c r="A73" s="385" t="s">
        <v>1148</v>
      </c>
      <c r="B73" s="19">
        <v>5022.2299999999996</v>
      </c>
      <c r="C73" s="380">
        <v>13972</v>
      </c>
      <c r="D73" s="391">
        <f t="shared" si="1"/>
        <v>35.944961351273975</v>
      </c>
    </row>
    <row r="74" spans="1:4" x14ac:dyDescent="0.3">
      <c r="A74" s="385" t="s">
        <v>1138</v>
      </c>
      <c r="B74" s="19">
        <v>4183.43</v>
      </c>
      <c r="C74" s="380">
        <v>10526</v>
      </c>
      <c r="D74" s="391">
        <f t="shared" si="1"/>
        <v>39.743777313319399</v>
      </c>
    </row>
    <row r="75" spans="1:4" x14ac:dyDescent="0.3">
      <c r="A75" s="385" t="s">
        <v>137</v>
      </c>
      <c r="B75" s="19">
        <v>4485.22</v>
      </c>
      <c r="C75" s="380">
        <v>11358</v>
      </c>
      <c r="D75" s="391">
        <f t="shared" si="1"/>
        <v>39.489522803310443</v>
      </c>
    </row>
    <row r="76" spans="1:4" x14ac:dyDescent="0.3">
      <c r="A76" s="385" t="s">
        <v>250</v>
      </c>
      <c r="B76" s="19">
        <v>4067.12</v>
      </c>
      <c r="C76" s="380">
        <v>9600</v>
      </c>
      <c r="D76" s="391">
        <f t="shared" si="1"/>
        <v>42.365833333333327</v>
      </c>
    </row>
    <row r="77" spans="1:4" x14ac:dyDescent="0.3">
      <c r="A77" s="385" t="s">
        <v>251</v>
      </c>
      <c r="B77" s="19">
        <v>5768.09</v>
      </c>
      <c r="C77" s="380">
        <v>16095</v>
      </c>
      <c r="D77" s="391">
        <f t="shared" si="1"/>
        <v>35.837775706741226</v>
      </c>
    </row>
    <row r="78" spans="1:4" x14ac:dyDescent="0.3">
      <c r="A78" s="385" t="s">
        <v>121</v>
      </c>
      <c r="B78" s="19">
        <v>5865.17</v>
      </c>
      <c r="C78" s="380">
        <v>17611</v>
      </c>
      <c r="D78" s="391">
        <f t="shared" si="1"/>
        <v>33.304014536369316</v>
      </c>
    </row>
    <row r="79" spans="1:4" x14ac:dyDescent="0.3">
      <c r="A79" s="385" t="s">
        <v>140</v>
      </c>
      <c r="B79" s="19">
        <v>5736.43</v>
      </c>
      <c r="C79" s="380">
        <v>16583</v>
      </c>
      <c r="D79" s="391">
        <f t="shared" si="1"/>
        <v>34.592233009708742</v>
      </c>
    </row>
    <row r="80" spans="1:4" x14ac:dyDescent="0.3">
      <c r="A80" s="385" t="s">
        <v>255</v>
      </c>
      <c r="B80" s="19">
        <v>4459.4500000000007</v>
      </c>
      <c r="C80" s="380">
        <v>11627</v>
      </c>
      <c r="D80" s="391">
        <f t="shared" si="1"/>
        <v>38.354261632407329</v>
      </c>
    </row>
    <row r="81" spans="1:4" x14ac:dyDescent="0.3">
      <c r="A81" s="385" t="s">
        <v>128</v>
      </c>
      <c r="B81" s="19">
        <v>5819.5599999999995</v>
      </c>
      <c r="C81" s="380">
        <v>16182</v>
      </c>
      <c r="D81" s="391">
        <f t="shared" si="1"/>
        <v>35.963168953157826</v>
      </c>
    </row>
    <row r="82" spans="1:4" x14ac:dyDescent="0.3">
      <c r="A82" s="385" t="s">
        <v>124</v>
      </c>
      <c r="B82" s="19">
        <v>6331.89</v>
      </c>
      <c r="C82" s="380">
        <v>18757</v>
      </c>
      <c r="D82" s="391">
        <f t="shared" si="1"/>
        <v>33.757477208508824</v>
      </c>
    </row>
    <row r="83" spans="1:4" x14ac:dyDescent="0.3">
      <c r="A83" s="385" t="s">
        <v>259</v>
      </c>
      <c r="B83" s="19">
        <v>6806.96</v>
      </c>
      <c r="C83" s="380">
        <v>19769</v>
      </c>
      <c r="D83" s="391">
        <f t="shared" si="1"/>
        <v>34.432495320957052</v>
      </c>
    </row>
    <row r="84" spans="1:4" x14ac:dyDescent="0.3">
      <c r="A84" s="385" t="s">
        <v>116</v>
      </c>
      <c r="B84" s="19">
        <v>3073.14</v>
      </c>
      <c r="C84" s="380">
        <v>7251</v>
      </c>
      <c r="D84" s="409">
        <f t="shared" si="1"/>
        <v>42.382292097641702</v>
      </c>
    </row>
    <row r="85" spans="1:4" x14ac:dyDescent="0.3">
      <c r="A85" s="385" t="s">
        <v>1140</v>
      </c>
      <c r="B85" s="19">
        <v>3781.84</v>
      </c>
      <c r="C85" s="380">
        <v>10823</v>
      </c>
      <c r="D85" s="409">
        <f t="shared" si="1"/>
        <v>34.942622193476858</v>
      </c>
    </row>
    <row r="86" spans="1:4" x14ac:dyDescent="0.3">
      <c r="A86" s="385" t="s">
        <v>1142</v>
      </c>
      <c r="B86" s="19">
        <v>1420.17</v>
      </c>
      <c r="C86" s="380">
        <v>3872</v>
      </c>
      <c r="D86" s="409">
        <f t="shared" si="1"/>
        <v>36.677944214876035</v>
      </c>
    </row>
    <row r="87" spans="1:4" x14ac:dyDescent="0.3">
      <c r="A87" s="385" t="s">
        <v>134</v>
      </c>
      <c r="B87" s="19">
        <v>4272.3</v>
      </c>
      <c r="C87" s="380">
        <v>12137</v>
      </c>
      <c r="D87" s="409">
        <f t="shared" si="1"/>
        <v>35.200626184394828</v>
      </c>
    </row>
    <row r="88" spans="1:4" x14ac:dyDescent="0.3">
      <c r="A88" s="385" t="s">
        <v>110</v>
      </c>
      <c r="B88" s="19">
        <v>3326.24</v>
      </c>
      <c r="C88" s="380">
        <v>8239</v>
      </c>
      <c r="D88" s="409">
        <f t="shared" si="1"/>
        <v>40.371889792450538</v>
      </c>
    </row>
    <row r="89" spans="1:4" x14ac:dyDescent="0.3">
      <c r="A89" s="385" t="s">
        <v>119</v>
      </c>
      <c r="B89" s="19">
        <v>3308.98</v>
      </c>
      <c r="C89" s="380">
        <v>9169</v>
      </c>
      <c r="D89" s="409">
        <f t="shared" si="1"/>
        <v>36.088777402115824</v>
      </c>
    </row>
    <row r="90" spans="1:4" x14ac:dyDescent="0.3">
      <c r="A90" s="385" t="s">
        <v>129</v>
      </c>
      <c r="B90" s="19">
        <v>5116.5499999999993</v>
      </c>
      <c r="C90" s="380">
        <v>13153</v>
      </c>
      <c r="D90" s="407">
        <f t="shared" si="1"/>
        <v>38.90025089333232</v>
      </c>
    </row>
    <row r="91" spans="1:4" x14ac:dyDescent="0.3">
      <c r="A91" s="385" t="s">
        <v>111</v>
      </c>
      <c r="B91" s="19">
        <v>6007.94</v>
      </c>
      <c r="C91" s="380">
        <v>16339</v>
      </c>
      <c r="D91" s="409">
        <f t="shared" si="1"/>
        <v>36.77054899320644</v>
      </c>
    </row>
    <row r="92" spans="1:4" x14ac:dyDescent="0.3">
      <c r="A92" s="385" t="s">
        <v>132</v>
      </c>
      <c r="B92" s="19">
        <v>4424.8999999999996</v>
      </c>
      <c r="C92" s="380">
        <v>12071</v>
      </c>
      <c r="D92" s="409">
        <f t="shared" si="1"/>
        <v>36.65727777317538</v>
      </c>
    </row>
    <row r="93" spans="1:4" x14ac:dyDescent="0.3">
      <c r="A93" s="385" t="s">
        <v>131</v>
      </c>
      <c r="B93" s="19">
        <v>6554.5499999999993</v>
      </c>
      <c r="C93" s="380">
        <v>17209</v>
      </c>
      <c r="D93" s="409">
        <f t="shared" si="1"/>
        <v>38.087919112092507</v>
      </c>
    </row>
    <row r="94" spans="1:4" x14ac:dyDescent="0.3">
      <c r="A94" s="385" t="s">
        <v>120</v>
      </c>
      <c r="B94" s="19">
        <v>1281.42</v>
      </c>
      <c r="C94" s="380">
        <v>3461</v>
      </c>
      <c r="D94" s="409">
        <f t="shared" si="1"/>
        <v>37.024559375902925</v>
      </c>
    </row>
    <row r="95" spans="1:4" x14ac:dyDescent="0.3">
      <c r="A95" s="385" t="s">
        <v>115</v>
      </c>
      <c r="B95" s="19">
        <v>8151.86</v>
      </c>
      <c r="C95" s="380">
        <v>21502</v>
      </c>
      <c r="D95" s="409">
        <f t="shared" si="1"/>
        <v>37.912101199888383</v>
      </c>
    </row>
    <row r="96" spans="1:4" x14ac:dyDescent="0.3">
      <c r="A96" s="385" t="s">
        <v>112</v>
      </c>
      <c r="B96" s="19">
        <v>6738.93</v>
      </c>
      <c r="C96" s="380">
        <v>17058</v>
      </c>
      <c r="D96" s="391">
        <f t="shared" si="1"/>
        <v>39.505979599015127</v>
      </c>
    </row>
    <row r="97" spans="1:4" x14ac:dyDescent="0.3">
      <c r="A97" s="385" t="s">
        <v>138</v>
      </c>
      <c r="B97" s="19">
        <v>1483.47</v>
      </c>
      <c r="C97" s="380">
        <v>4060</v>
      </c>
      <c r="D97" s="391">
        <f t="shared" si="1"/>
        <v>36.538669950738914</v>
      </c>
    </row>
    <row r="98" spans="1:4" x14ac:dyDescent="0.3">
      <c r="A98" s="385" t="s">
        <v>122</v>
      </c>
      <c r="B98" s="19">
        <v>5637.68</v>
      </c>
      <c r="C98" s="380">
        <v>15044</v>
      </c>
      <c r="D98" s="391">
        <f t="shared" si="1"/>
        <v>37.474607817069931</v>
      </c>
    </row>
    <row r="99" spans="1:4" x14ac:dyDescent="0.3">
      <c r="A99" s="385" t="s">
        <v>126</v>
      </c>
      <c r="B99" s="19">
        <v>5308.52</v>
      </c>
      <c r="C99" s="380">
        <v>13748</v>
      </c>
      <c r="D99" s="391">
        <f t="shared" si="1"/>
        <v>38.613034623217921</v>
      </c>
    </row>
    <row r="100" spans="1:4" x14ac:dyDescent="0.3">
      <c r="A100" s="385" t="s">
        <v>135</v>
      </c>
      <c r="B100" s="19">
        <v>6089.24</v>
      </c>
      <c r="C100" s="380">
        <v>17010</v>
      </c>
      <c r="D100" s="391">
        <f t="shared" si="1"/>
        <v>35.798001175778957</v>
      </c>
    </row>
    <row r="101" spans="1:4" x14ac:dyDescent="0.3">
      <c r="A101" s="385" t="s">
        <v>123</v>
      </c>
      <c r="B101" s="19">
        <v>7461.69</v>
      </c>
      <c r="C101" s="380">
        <v>20631</v>
      </c>
      <c r="D101" s="391">
        <f t="shared" si="1"/>
        <v>36.16736949251127</v>
      </c>
    </row>
    <row r="102" spans="1:4" x14ac:dyDescent="0.3">
      <c r="A102" s="385" t="s">
        <v>139</v>
      </c>
      <c r="B102" s="19">
        <v>5697.67</v>
      </c>
      <c r="C102" s="380">
        <v>16695</v>
      </c>
      <c r="D102" s="391">
        <f t="shared" si="1"/>
        <v>34.128002395926927</v>
      </c>
    </row>
    <row r="103" spans="1:4" x14ac:dyDescent="0.3">
      <c r="A103" s="385" t="s">
        <v>1116</v>
      </c>
      <c r="B103" s="19">
        <v>5488.84</v>
      </c>
      <c r="C103" s="380">
        <v>14795</v>
      </c>
      <c r="D103" s="391">
        <f t="shared" si="1"/>
        <v>37.099290300777291</v>
      </c>
    </row>
    <row r="104" spans="1:4" x14ac:dyDescent="0.3">
      <c r="A104" s="385" t="s">
        <v>1115</v>
      </c>
      <c r="B104" s="19">
        <v>5255.51</v>
      </c>
      <c r="C104" s="380">
        <v>13847</v>
      </c>
      <c r="D104" s="391">
        <f t="shared" si="1"/>
        <v>37.954141691341086</v>
      </c>
    </row>
    <row r="105" spans="1:4" ht="15" thickBot="1" x14ac:dyDescent="0.35">
      <c r="A105" s="385" t="s">
        <v>125</v>
      </c>
      <c r="B105" s="19">
        <v>6611.9500000000007</v>
      </c>
      <c r="C105" s="380">
        <v>16533</v>
      </c>
      <c r="D105" s="391">
        <f t="shared" si="1"/>
        <v>39.992439363696853</v>
      </c>
    </row>
    <row r="106" spans="1:4" ht="15" thickBot="1" x14ac:dyDescent="0.35">
      <c r="A106" s="381" t="s">
        <v>1086</v>
      </c>
      <c r="B106" s="410">
        <f>SUM(B5:B105)</f>
        <v>528719.03999999992</v>
      </c>
      <c r="C106" s="413">
        <f>SUM(C5:C105)</f>
        <v>1472914</v>
      </c>
      <c r="D106" s="386">
        <f t="shared" si="1"/>
        <v>35.896124281526276</v>
      </c>
    </row>
  </sheetData>
  <mergeCells count="1">
    <mergeCell ref="A1:D1"/>
  </mergeCells>
  <conditionalFormatting sqref="D5:D105">
    <cfRule type="colorScale" priority="119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07"/>
  <sheetViews>
    <sheetView topLeftCell="A85" workbookViewId="0">
      <selection activeCell="D5" sqref="D5"/>
    </sheetView>
  </sheetViews>
  <sheetFormatPr baseColWidth="10" defaultRowHeight="14.4" x14ac:dyDescent="0.3"/>
  <cols>
    <col min="2" max="2" width="13.109375" bestFit="1" customWidth="1"/>
    <col min="3" max="3" width="20.44140625" customWidth="1"/>
  </cols>
  <sheetData>
    <row r="1" spans="1:4" ht="16.2" thickBot="1" x14ac:dyDescent="0.35">
      <c r="A1" s="447" t="s">
        <v>1197</v>
      </c>
      <c r="B1" s="448"/>
      <c r="C1" s="448"/>
      <c r="D1" s="449"/>
    </row>
    <row r="3" spans="1:4" ht="15" thickBot="1" x14ac:dyDescent="0.35"/>
    <row r="4" spans="1:4" ht="15" thickBot="1" x14ac:dyDescent="0.35">
      <c r="A4" s="381" t="s">
        <v>1123</v>
      </c>
      <c r="B4" s="382" t="s">
        <v>1124</v>
      </c>
      <c r="C4" s="382" t="s">
        <v>1132</v>
      </c>
      <c r="D4" s="383" t="s">
        <v>1125</v>
      </c>
    </row>
    <row r="5" spans="1:4" x14ac:dyDescent="0.3">
      <c r="A5" s="384" t="s">
        <v>1092</v>
      </c>
      <c r="B5" s="399">
        <v>6175.6100000000006</v>
      </c>
      <c r="C5" s="411">
        <v>15203</v>
      </c>
      <c r="D5" s="390">
        <f>B5/C5*100</f>
        <v>40.620995856081038</v>
      </c>
    </row>
    <row r="6" spans="1:4" x14ac:dyDescent="0.3">
      <c r="A6" s="385" t="s">
        <v>1158</v>
      </c>
      <c r="B6" s="400">
        <v>4721.95</v>
      </c>
      <c r="C6" s="380">
        <v>12935</v>
      </c>
      <c r="D6" s="391">
        <f t="shared" ref="D6:D70" si="0">B6/C6*100</f>
        <v>36.505218399690762</v>
      </c>
    </row>
    <row r="7" spans="1:4" x14ac:dyDescent="0.3">
      <c r="A7" s="385" t="s">
        <v>187</v>
      </c>
      <c r="B7" s="400">
        <v>6589.17</v>
      </c>
      <c r="C7" s="380">
        <v>18886</v>
      </c>
      <c r="D7" s="391">
        <f t="shared" si="0"/>
        <v>34.889177168272795</v>
      </c>
    </row>
    <row r="8" spans="1:4" x14ac:dyDescent="0.3">
      <c r="A8" s="385" t="s">
        <v>189</v>
      </c>
      <c r="B8" s="400">
        <v>3167</v>
      </c>
      <c r="C8" s="380">
        <v>8869</v>
      </c>
      <c r="D8" s="391">
        <f t="shared" si="0"/>
        <v>35.70864810012403</v>
      </c>
    </row>
    <row r="9" spans="1:4" x14ac:dyDescent="0.3">
      <c r="A9" s="385" t="s">
        <v>191</v>
      </c>
      <c r="B9" s="400">
        <v>7660.09</v>
      </c>
      <c r="C9" s="380">
        <v>21776</v>
      </c>
      <c r="D9" s="391">
        <f t="shared" si="0"/>
        <v>35.176754224834681</v>
      </c>
    </row>
    <row r="10" spans="1:4" x14ac:dyDescent="0.3">
      <c r="A10" s="385" t="s">
        <v>192</v>
      </c>
      <c r="B10" s="400">
        <v>1339.37</v>
      </c>
      <c r="C10" s="380">
        <v>3169</v>
      </c>
      <c r="D10" s="391">
        <f t="shared" si="0"/>
        <v>42.264752287787942</v>
      </c>
    </row>
    <row r="11" spans="1:4" x14ac:dyDescent="0.3">
      <c r="A11" s="385" t="s">
        <v>193</v>
      </c>
      <c r="B11" s="400">
        <v>7962.8799999999992</v>
      </c>
      <c r="C11" s="380">
        <v>22312</v>
      </c>
      <c r="D11" s="391">
        <f t="shared" si="0"/>
        <v>35.688777339548224</v>
      </c>
    </row>
    <row r="12" spans="1:4" x14ac:dyDescent="0.3">
      <c r="A12" s="385" t="s">
        <v>195</v>
      </c>
      <c r="B12" s="400">
        <v>2975.34</v>
      </c>
      <c r="C12" s="380">
        <v>8519</v>
      </c>
      <c r="D12" s="391">
        <f t="shared" si="0"/>
        <v>34.925930273506282</v>
      </c>
    </row>
    <row r="13" spans="1:4" x14ac:dyDescent="0.3">
      <c r="A13" s="385" t="s">
        <v>184</v>
      </c>
      <c r="B13" s="400">
        <v>1351.53</v>
      </c>
      <c r="C13" s="380">
        <v>3476</v>
      </c>
      <c r="D13" s="391">
        <f t="shared" si="0"/>
        <v>38.881760644418875</v>
      </c>
    </row>
    <row r="14" spans="1:4" x14ac:dyDescent="0.3">
      <c r="A14" s="385" t="s">
        <v>216</v>
      </c>
      <c r="B14" s="400">
        <v>4526.7</v>
      </c>
      <c r="C14" s="380">
        <v>11291</v>
      </c>
      <c r="D14" s="391">
        <f t="shared" si="0"/>
        <v>40.09122309804269</v>
      </c>
    </row>
    <row r="15" spans="1:4" x14ac:dyDescent="0.3">
      <c r="A15" s="385" t="s">
        <v>1143</v>
      </c>
      <c r="B15" s="400">
        <v>5685.37</v>
      </c>
      <c r="C15" s="380">
        <v>16269</v>
      </c>
      <c r="D15" s="391">
        <f t="shared" si="0"/>
        <v>34.946032331427865</v>
      </c>
    </row>
    <row r="16" spans="1:4" x14ac:dyDescent="0.3">
      <c r="A16" s="385" t="s">
        <v>209</v>
      </c>
      <c r="B16" s="400">
        <v>8225.14</v>
      </c>
      <c r="C16" s="380">
        <v>22220</v>
      </c>
      <c r="D16" s="391">
        <f t="shared" si="0"/>
        <v>37.01683168316832</v>
      </c>
    </row>
    <row r="17" spans="1:4" x14ac:dyDescent="0.3">
      <c r="A17" s="385" t="s">
        <v>212</v>
      </c>
      <c r="B17" s="400">
        <v>4707</v>
      </c>
      <c r="C17" s="380">
        <v>13114</v>
      </c>
      <c r="D17" s="391">
        <f t="shared" si="0"/>
        <v>35.892938843983529</v>
      </c>
    </row>
    <row r="18" spans="1:4" x14ac:dyDescent="0.3">
      <c r="A18" s="385" t="s">
        <v>214</v>
      </c>
      <c r="B18" s="400">
        <v>7219.9</v>
      </c>
      <c r="C18" s="380">
        <v>20155</v>
      </c>
      <c r="D18" s="391">
        <f t="shared" si="0"/>
        <v>35.821880426693127</v>
      </c>
    </row>
    <row r="19" spans="1:4" x14ac:dyDescent="0.3">
      <c r="A19" s="385" t="s">
        <v>218</v>
      </c>
      <c r="B19" s="400">
        <v>7520.4000000000005</v>
      </c>
      <c r="C19" s="380">
        <v>20950</v>
      </c>
      <c r="D19" s="391">
        <f t="shared" si="0"/>
        <v>35.896897374701673</v>
      </c>
    </row>
    <row r="20" spans="1:4" x14ac:dyDescent="0.3">
      <c r="A20" s="385" t="s">
        <v>220</v>
      </c>
      <c r="B20" s="400">
        <v>6225.67</v>
      </c>
      <c r="C20" s="380">
        <v>16975</v>
      </c>
      <c r="D20" s="391">
        <f t="shared" si="0"/>
        <v>36.675522827687779</v>
      </c>
    </row>
    <row r="21" spans="1:4" x14ac:dyDescent="0.3">
      <c r="A21" s="385" t="s">
        <v>222</v>
      </c>
      <c r="B21" s="400">
        <v>5870.95</v>
      </c>
      <c r="C21" s="380">
        <v>16564</v>
      </c>
      <c r="D21" s="391">
        <f t="shared" si="0"/>
        <v>35.444035257184254</v>
      </c>
    </row>
    <row r="22" spans="1:4" x14ac:dyDescent="0.3">
      <c r="A22" s="385" t="s">
        <v>438</v>
      </c>
      <c r="B22" s="400">
        <v>10126.48</v>
      </c>
      <c r="C22" s="380">
        <v>29545</v>
      </c>
      <c r="D22" s="391">
        <f t="shared" si="0"/>
        <v>34.274767304112366</v>
      </c>
    </row>
    <row r="23" spans="1:4" x14ac:dyDescent="0.3">
      <c r="A23" s="385" t="s">
        <v>1139</v>
      </c>
      <c r="B23" s="400">
        <v>8309.84</v>
      </c>
      <c r="C23" s="380">
        <v>23039</v>
      </c>
      <c r="D23" s="391">
        <f t="shared" si="0"/>
        <v>36.068579365423844</v>
      </c>
    </row>
    <row r="24" spans="1:4" x14ac:dyDescent="0.3">
      <c r="A24" s="385" t="s">
        <v>1136</v>
      </c>
      <c r="B24" s="400">
        <v>4622.67</v>
      </c>
      <c r="C24" s="380">
        <v>12255</v>
      </c>
      <c r="D24" s="391">
        <f t="shared" si="0"/>
        <v>37.720685434516525</v>
      </c>
    </row>
    <row r="25" spans="1:4" x14ac:dyDescent="0.3">
      <c r="A25" s="385" t="s">
        <v>1152</v>
      </c>
      <c r="B25" s="400">
        <v>6069.5999999999995</v>
      </c>
      <c r="C25" s="380">
        <v>17052</v>
      </c>
      <c r="D25" s="391">
        <f t="shared" si="0"/>
        <v>35.594651653764956</v>
      </c>
    </row>
    <row r="26" spans="1:4" x14ac:dyDescent="0.3">
      <c r="A26" s="385" t="s">
        <v>1137</v>
      </c>
      <c r="B26" s="400">
        <v>5722.98</v>
      </c>
      <c r="C26" s="380">
        <v>14758</v>
      </c>
      <c r="D26" s="391">
        <f t="shared" si="0"/>
        <v>38.778831820029815</v>
      </c>
    </row>
    <row r="27" spans="1:4" x14ac:dyDescent="0.3">
      <c r="A27" s="385" t="s">
        <v>1150</v>
      </c>
      <c r="B27" s="400">
        <v>6001.38</v>
      </c>
      <c r="C27" s="380">
        <v>15652</v>
      </c>
      <c r="D27" s="391">
        <f t="shared" si="0"/>
        <v>38.342576028622545</v>
      </c>
    </row>
    <row r="28" spans="1:4" x14ac:dyDescent="0.3">
      <c r="A28" s="385" t="s">
        <v>440</v>
      </c>
      <c r="B28" s="400">
        <v>3114.89</v>
      </c>
      <c r="C28" s="380">
        <v>8050</v>
      </c>
      <c r="D28" s="391">
        <f t="shared" si="0"/>
        <v>38.694285714285712</v>
      </c>
    </row>
    <row r="29" spans="1:4" x14ac:dyDescent="0.3">
      <c r="A29" s="385" t="s">
        <v>422</v>
      </c>
      <c r="B29" s="400">
        <v>6919.380000000001</v>
      </c>
      <c r="C29" s="380">
        <v>19689</v>
      </c>
      <c r="D29" s="391">
        <f t="shared" si="0"/>
        <v>35.143379552034141</v>
      </c>
    </row>
    <row r="30" spans="1:4" x14ac:dyDescent="0.3">
      <c r="A30" s="385" t="s">
        <v>424</v>
      </c>
      <c r="B30" s="400">
        <v>6898.3099999999995</v>
      </c>
      <c r="C30" s="380">
        <v>20164</v>
      </c>
      <c r="D30" s="391">
        <f t="shared" si="0"/>
        <v>34.211019638960522</v>
      </c>
    </row>
    <row r="31" spans="1:4" x14ac:dyDescent="0.3">
      <c r="A31" s="385" t="s">
        <v>433</v>
      </c>
      <c r="B31" s="400">
        <v>2894.44</v>
      </c>
      <c r="C31" s="380">
        <v>7672</v>
      </c>
      <c r="D31" s="391">
        <f t="shared" si="0"/>
        <v>37.727320125130341</v>
      </c>
    </row>
    <row r="32" spans="1:4" x14ac:dyDescent="0.3">
      <c r="A32" s="385" t="s">
        <v>1141</v>
      </c>
      <c r="B32" s="400">
        <v>3049.04</v>
      </c>
      <c r="C32" s="380">
        <v>8354</v>
      </c>
      <c r="D32" s="391">
        <f t="shared" si="0"/>
        <v>36.497965046684222</v>
      </c>
    </row>
    <row r="33" spans="1:4" x14ac:dyDescent="0.3">
      <c r="A33" s="385" t="s">
        <v>1094</v>
      </c>
      <c r="B33" s="400">
        <v>4446.25</v>
      </c>
      <c r="C33" s="380">
        <v>12640</v>
      </c>
      <c r="D33" s="391">
        <f t="shared" si="0"/>
        <v>35.176028481012658</v>
      </c>
    </row>
    <row r="34" spans="1:4" x14ac:dyDescent="0.3">
      <c r="A34" s="385" t="s">
        <v>427</v>
      </c>
      <c r="B34" s="400">
        <v>7608.77</v>
      </c>
      <c r="C34" s="380">
        <v>21711</v>
      </c>
      <c r="D34" s="391">
        <f t="shared" si="0"/>
        <v>35.045691124314864</v>
      </c>
    </row>
    <row r="35" spans="1:4" x14ac:dyDescent="0.3">
      <c r="A35" s="385" t="s">
        <v>1144</v>
      </c>
      <c r="B35" s="19">
        <v>6632.7199999999993</v>
      </c>
      <c r="C35" s="380">
        <v>18765</v>
      </c>
      <c r="D35" s="391">
        <f t="shared" si="0"/>
        <v>35.346229682920324</v>
      </c>
    </row>
    <row r="36" spans="1:4" x14ac:dyDescent="0.3">
      <c r="A36" s="385" t="s">
        <v>540</v>
      </c>
      <c r="B36" s="19">
        <v>5648</v>
      </c>
      <c r="C36" s="380">
        <v>17203</v>
      </c>
      <c r="D36" s="391">
        <f t="shared" si="0"/>
        <v>32.831482880892864</v>
      </c>
    </row>
    <row r="37" spans="1:4" x14ac:dyDescent="0.3">
      <c r="A37" s="385" t="s">
        <v>581</v>
      </c>
      <c r="B37" s="19">
        <v>7287.41</v>
      </c>
      <c r="C37" s="380">
        <v>22239</v>
      </c>
      <c r="D37" s="391">
        <f t="shared" si="0"/>
        <v>32.768604703448894</v>
      </c>
    </row>
    <row r="38" spans="1:4" x14ac:dyDescent="0.3">
      <c r="A38" s="385" t="s">
        <v>519</v>
      </c>
      <c r="B38" s="19">
        <v>6072.34</v>
      </c>
      <c r="C38" s="380">
        <v>18076</v>
      </c>
      <c r="D38" s="391">
        <f t="shared" si="0"/>
        <v>33.593383491922992</v>
      </c>
    </row>
    <row r="39" spans="1:4" x14ac:dyDescent="0.3">
      <c r="A39" s="385" t="s">
        <v>522</v>
      </c>
      <c r="B39" s="19">
        <v>5839.8499999999995</v>
      </c>
      <c r="C39" s="380">
        <v>17168</v>
      </c>
      <c r="D39" s="391">
        <f t="shared" si="0"/>
        <v>34.015901677539603</v>
      </c>
    </row>
    <row r="40" spans="1:4" x14ac:dyDescent="0.3">
      <c r="A40" s="385" t="s">
        <v>768</v>
      </c>
      <c r="B40" s="19">
        <v>4275.88</v>
      </c>
      <c r="C40" s="380">
        <v>12166</v>
      </c>
      <c r="D40" s="391">
        <f>B40/C40*100</f>
        <v>35.146144994246256</v>
      </c>
    </row>
    <row r="41" spans="1:4" x14ac:dyDescent="0.3">
      <c r="A41" s="385" t="s">
        <v>748</v>
      </c>
      <c r="B41" s="19">
        <v>7360.54</v>
      </c>
      <c r="C41" s="380">
        <v>22534</v>
      </c>
      <c r="D41" s="391">
        <f t="shared" si="0"/>
        <v>32.664151948167216</v>
      </c>
    </row>
    <row r="42" spans="1:4" x14ac:dyDescent="0.3">
      <c r="A42" s="385" t="s">
        <v>754</v>
      </c>
      <c r="B42" s="19">
        <v>6609.3400000000011</v>
      </c>
      <c r="C42" s="380">
        <v>18915</v>
      </c>
      <c r="D42" s="391">
        <f t="shared" si="0"/>
        <v>34.942320909331229</v>
      </c>
    </row>
    <row r="43" spans="1:4" x14ac:dyDescent="0.3">
      <c r="A43" s="385" t="s">
        <v>1090</v>
      </c>
      <c r="B43" s="19">
        <v>6408.1399999999994</v>
      </c>
      <c r="C43" s="380">
        <v>19650</v>
      </c>
      <c r="D43" s="391">
        <f t="shared" si="0"/>
        <v>32.611399491094147</v>
      </c>
    </row>
    <row r="44" spans="1:4" x14ac:dyDescent="0.3">
      <c r="A44" s="385" t="s">
        <v>1151</v>
      </c>
      <c r="B44" s="19">
        <v>7802.6399999999994</v>
      </c>
      <c r="C44" s="380">
        <v>22527</v>
      </c>
      <c r="D44" s="391">
        <f t="shared" si="0"/>
        <v>34.636835797043545</v>
      </c>
    </row>
    <row r="45" spans="1:4" x14ac:dyDescent="0.3">
      <c r="A45" s="385" t="s">
        <v>1091</v>
      </c>
      <c r="B45" s="19">
        <v>5802.88</v>
      </c>
      <c r="C45" s="380">
        <v>16173</v>
      </c>
      <c r="D45" s="407">
        <f t="shared" si="0"/>
        <v>35.88004699190008</v>
      </c>
    </row>
    <row r="46" spans="1:4" x14ac:dyDescent="0.3">
      <c r="A46" s="385" t="s">
        <v>1118</v>
      </c>
      <c r="B46" s="19">
        <v>3124.24</v>
      </c>
      <c r="C46" s="380">
        <v>8418</v>
      </c>
      <c r="D46" s="407">
        <f t="shared" si="0"/>
        <v>37.113803753860772</v>
      </c>
    </row>
    <row r="47" spans="1:4" x14ac:dyDescent="0.3">
      <c r="A47" s="385" t="s">
        <v>1096</v>
      </c>
      <c r="B47" s="19">
        <v>5217.1200000000008</v>
      </c>
      <c r="C47" s="380">
        <v>14363</v>
      </c>
      <c r="D47" s="407">
        <f t="shared" si="0"/>
        <v>36.323330780477619</v>
      </c>
    </row>
    <row r="48" spans="1:4" x14ac:dyDescent="0.3">
      <c r="A48" s="385" t="s">
        <v>1117</v>
      </c>
      <c r="B48" s="19">
        <v>6002.5999999999995</v>
      </c>
      <c r="C48" s="380">
        <v>17449</v>
      </c>
      <c r="D48" s="407">
        <f t="shared" si="0"/>
        <v>34.400825262192676</v>
      </c>
    </row>
    <row r="49" spans="1:4" x14ac:dyDescent="0.3">
      <c r="A49" s="385" t="s">
        <v>1126</v>
      </c>
      <c r="B49" s="19">
        <v>5861.8799999999992</v>
      </c>
      <c r="C49" s="380">
        <v>16627</v>
      </c>
      <c r="D49" s="391">
        <f t="shared" si="0"/>
        <v>35.255187345883201</v>
      </c>
    </row>
    <row r="50" spans="1:4" x14ac:dyDescent="0.3">
      <c r="A50" s="385" t="s">
        <v>1130</v>
      </c>
      <c r="B50" s="19">
        <v>4768.57</v>
      </c>
      <c r="C50" s="380">
        <v>13070</v>
      </c>
      <c r="D50" s="391">
        <f t="shared" si="0"/>
        <v>36.484850803366484</v>
      </c>
    </row>
    <row r="51" spans="1:4" x14ac:dyDescent="0.3">
      <c r="A51" s="385" t="s">
        <v>1128</v>
      </c>
      <c r="B51" s="19">
        <v>3867.67</v>
      </c>
      <c r="C51" s="380">
        <v>10622</v>
      </c>
      <c r="D51" s="391">
        <f t="shared" si="0"/>
        <v>36.411881001694596</v>
      </c>
    </row>
    <row r="52" spans="1:4" x14ac:dyDescent="0.3">
      <c r="A52" s="385" t="s">
        <v>1129</v>
      </c>
      <c r="B52" s="19">
        <v>5918.2</v>
      </c>
      <c r="C52" s="380">
        <v>16776</v>
      </c>
      <c r="D52" s="391">
        <f t="shared" si="0"/>
        <v>35.277777777777771</v>
      </c>
    </row>
    <row r="53" spans="1:4" x14ac:dyDescent="0.3">
      <c r="A53" s="385" t="s">
        <v>1133</v>
      </c>
      <c r="B53" s="19">
        <v>2589.98</v>
      </c>
      <c r="C53" s="380">
        <v>6771</v>
      </c>
      <c r="D53" s="391">
        <f t="shared" si="0"/>
        <v>38.25107074287402</v>
      </c>
    </row>
    <row r="54" spans="1:4" x14ac:dyDescent="0.3">
      <c r="A54" s="385" t="s">
        <v>1134</v>
      </c>
      <c r="B54" s="19">
        <v>5329.7199999999993</v>
      </c>
      <c r="C54" s="380">
        <v>15380</v>
      </c>
      <c r="D54" s="391">
        <f t="shared" si="0"/>
        <v>34.653576072821842</v>
      </c>
    </row>
    <row r="55" spans="1:4" x14ac:dyDescent="0.3">
      <c r="A55" s="385" t="s">
        <v>1135</v>
      </c>
      <c r="B55" s="19">
        <v>3772.83</v>
      </c>
      <c r="C55" s="380">
        <v>10498</v>
      </c>
      <c r="D55" s="391">
        <f t="shared" si="0"/>
        <v>35.938559725662031</v>
      </c>
    </row>
    <row r="56" spans="1:4" x14ac:dyDescent="0.3">
      <c r="A56" s="385" t="s">
        <v>1154</v>
      </c>
      <c r="B56" s="19">
        <v>6568.4000000000005</v>
      </c>
      <c r="C56" s="380">
        <v>19210</v>
      </c>
      <c r="D56" s="391">
        <f t="shared" si="0"/>
        <v>34.192608016657992</v>
      </c>
    </row>
    <row r="57" spans="1:4" x14ac:dyDescent="0.3">
      <c r="A57" s="385" t="s">
        <v>1159</v>
      </c>
      <c r="B57" s="19">
        <v>6225.64</v>
      </c>
      <c r="C57" s="380">
        <v>17800</v>
      </c>
      <c r="D57" s="391">
        <f t="shared" si="0"/>
        <v>34.975505617977532</v>
      </c>
    </row>
    <row r="58" spans="1:4" x14ac:dyDescent="0.3">
      <c r="A58" s="385" t="s">
        <v>1156</v>
      </c>
      <c r="B58" s="19">
        <v>5031.07</v>
      </c>
      <c r="C58" s="380">
        <v>14570</v>
      </c>
      <c r="D58" s="391">
        <f t="shared" si="0"/>
        <v>34.530336307481122</v>
      </c>
    </row>
    <row r="59" spans="1:4" x14ac:dyDescent="0.3">
      <c r="A59" s="385" t="s">
        <v>1157</v>
      </c>
      <c r="B59" s="19">
        <v>6623.62</v>
      </c>
      <c r="C59" s="380">
        <v>18351</v>
      </c>
      <c r="D59" s="391">
        <f t="shared" si="0"/>
        <v>36.094054819900819</v>
      </c>
    </row>
    <row r="60" spans="1:4" x14ac:dyDescent="0.3">
      <c r="A60" s="385" t="s">
        <v>1153</v>
      </c>
      <c r="B60" s="19">
        <v>8577.369999999999</v>
      </c>
      <c r="C60" s="380">
        <v>23669</v>
      </c>
      <c r="D60" s="391">
        <f t="shared" si="0"/>
        <v>36.238835607756975</v>
      </c>
    </row>
    <row r="61" spans="1:4" x14ac:dyDescent="0.3">
      <c r="A61" s="385" t="s">
        <v>1173</v>
      </c>
      <c r="B61" s="19">
        <v>5636.8899999999994</v>
      </c>
      <c r="C61" s="380">
        <v>15547</v>
      </c>
      <c r="D61" s="391">
        <f t="shared" si="0"/>
        <v>36.257091400270149</v>
      </c>
    </row>
    <row r="62" spans="1:4" x14ac:dyDescent="0.3">
      <c r="A62" s="385" t="s">
        <v>1180</v>
      </c>
      <c r="B62" s="19">
        <v>4826.49</v>
      </c>
      <c r="C62" s="380">
        <v>14297</v>
      </c>
      <c r="D62" s="391">
        <f t="shared" si="0"/>
        <v>33.758760579142475</v>
      </c>
    </row>
    <row r="63" spans="1:4" x14ac:dyDescent="0.3">
      <c r="A63" s="385" t="s">
        <v>1179</v>
      </c>
      <c r="B63" s="19">
        <v>8853.41</v>
      </c>
      <c r="C63" s="380">
        <v>26583</v>
      </c>
      <c r="D63" s="391">
        <f t="shared" si="0"/>
        <v>33.304781251175562</v>
      </c>
    </row>
    <row r="64" spans="1:4" x14ac:dyDescent="0.3">
      <c r="A64" s="385" t="s">
        <v>1185</v>
      </c>
      <c r="B64" s="19">
        <v>5783.15</v>
      </c>
      <c r="C64" s="380">
        <v>15718</v>
      </c>
      <c r="D64" s="391">
        <f t="shared" si="0"/>
        <v>36.793167069601729</v>
      </c>
    </row>
    <row r="65" spans="1:4" x14ac:dyDescent="0.3">
      <c r="A65" s="385" t="s">
        <v>1183</v>
      </c>
      <c r="B65" s="19">
        <v>4140.53</v>
      </c>
      <c r="C65" s="380">
        <v>11510</v>
      </c>
      <c r="D65" s="391">
        <f t="shared" si="0"/>
        <v>35.973327541268461</v>
      </c>
    </row>
    <row r="66" spans="1:4" x14ac:dyDescent="0.3">
      <c r="A66" s="385" t="s">
        <v>1186</v>
      </c>
      <c r="B66" s="19">
        <v>2524.63</v>
      </c>
      <c r="C66" s="380">
        <v>7041</v>
      </c>
      <c r="D66" s="391">
        <f t="shared" si="0"/>
        <v>35.856128390853577</v>
      </c>
    </row>
    <row r="67" spans="1:4" x14ac:dyDescent="0.3">
      <c r="A67" s="385" t="s">
        <v>1187</v>
      </c>
      <c r="B67" s="19">
        <v>9028.5400000000009</v>
      </c>
      <c r="C67" s="380">
        <v>25139</v>
      </c>
      <c r="D67" s="391">
        <f t="shared" si="0"/>
        <v>35.914475516130317</v>
      </c>
    </row>
    <row r="68" spans="1:4" x14ac:dyDescent="0.3">
      <c r="A68" s="385" t="s">
        <v>1189</v>
      </c>
      <c r="B68" s="19">
        <v>5793.27</v>
      </c>
      <c r="C68" s="380">
        <v>16379</v>
      </c>
      <c r="D68" s="391">
        <f t="shared" si="0"/>
        <v>35.37010806520545</v>
      </c>
    </row>
    <row r="69" spans="1:4" x14ac:dyDescent="0.3">
      <c r="A69" s="385" t="s">
        <v>1190</v>
      </c>
      <c r="B69" s="19">
        <v>6297.9</v>
      </c>
      <c r="C69" s="380">
        <v>18917</v>
      </c>
      <c r="D69" s="391">
        <f t="shared" si="0"/>
        <v>33.292276788074219</v>
      </c>
    </row>
    <row r="70" spans="1:4" x14ac:dyDescent="0.3">
      <c r="A70" s="385" t="s">
        <v>1193</v>
      </c>
      <c r="B70" s="19">
        <v>6608.08</v>
      </c>
      <c r="C70" s="380">
        <v>17546</v>
      </c>
      <c r="D70" s="391">
        <f t="shared" si="0"/>
        <v>37.661461301721189</v>
      </c>
    </row>
    <row r="71" spans="1:4" x14ac:dyDescent="0.3">
      <c r="A71" s="385" t="s">
        <v>1195</v>
      </c>
      <c r="B71" s="19">
        <v>6247.05</v>
      </c>
      <c r="C71" s="380">
        <v>17764</v>
      </c>
      <c r="D71" s="391">
        <f t="shared" ref="D71:D107" si="1">B71/C71*100</f>
        <v>35.16691060571943</v>
      </c>
    </row>
    <row r="72" spans="1:4" x14ac:dyDescent="0.3">
      <c r="A72" s="385" t="s">
        <v>1194</v>
      </c>
      <c r="B72" s="4">
        <v>9181.86</v>
      </c>
      <c r="C72" s="412">
        <v>25431</v>
      </c>
      <c r="D72" s="408">
        <f t="shared" si="1"/>
        <v>36.104989972867763</v>
      </c>
    </row>
    <row r="73" spans="1:4" x14ac:dyDescent="0.3">
      <c r="A73" s="385" t="s">
        <v>109</v>
      </c>
      <c r="B73" s="19">
        <v>3235.67</v>
      </c>
      <c r="C73" s="380">
        <v>8084</v>
      </c>
      <c r="D73" s="407">
        <f t="shared" si="1"/>
        <v>40.025606135576446</v>
      </c>
    </row>
    <row r="74" spans="1:4" x14ac:dyDescent="0.3">
      <c r="A74" s="385" t="s">
        <v>1148</v>
      </c>
      <c r="B74" s="19">
        <v>2612.37</v>
      </c>
      <c r="C74" s="380">
        <v>6393</v>
      </c>
      <c r="D74" s="391">
        <f t="shared" si="1"/>
        <v>40.862975129047399</v>
      </c>
    </row>
    <row r="75" spans="1:4" x14ac:dyDescent="0.3">
      <c r="A75" s="385" t="s">
        <v>1138</v>
      </c>
      <c r="B75" s="19">
        <v>6200.1500000000005</v>
      </c>
      <c r="C75" s="380">
        <v>17576</v>
      </c>
      <c r="D75" s="391">
        <f t="shared" si="1"/>
        <v>35.276228948566228</v>
      </c>
    </row>
    <row r="76" spans="1:4" x14ac:dyDescent="0.3">
      <c r="A76" s="385" t="s">
        <v>137</v>
      </c>
      <c r="B76" s="19">
        <v>6360.9500000000007</v>
      </c>
      <c r="C76" s="380">
        <v>16412.57</v>
      </c>
      <c r="D76" s="391">
        <f t="shared" si="1"/>
        <v>38.756574990997763</v>
      </c>
    </row>
    <row r="77" spans="1:4" x14ac:dyDescent="0.3">
      <c r="A77" s="385" t="s">
        <v>250</v>
      </c>
      <c r="B77" s="19">
        <v>1609.38</v>
      </c>
      <c r="C77" s="380">
        <v>3830</v>
      </c>
      <c r="D77" s="391">
        <f t="shared" si="1"/>
        <v>42.020365535248047</v>
      </c>
    </row>
    <row r="78" spans="1:4" x14ac:dyDescent="0.3">
      <c r="A78" s="385" t="s">
        <v>251</v>
      </c>
      <c r="B78" s="19">
        <v>7602.17</v>
      </c>
      <c r="C78" s="380">
        <v>19005</v>
      </c>
      <c r="D78" s="391">
        <f t="shared" si="1"/>
        <v>40.000894501446986</v>
      </c>
    </row>
    <row r="79" spans="1:4" x14ac:dyDescent="0.3">
      <c r="A79" s="385" t="s">
        <v>121</v>
      </c>
      <c r="B79" s="19">
        <v>5988.95</v>
      </c>
      <c r="C79" s="380">
        <v>16056</v>
      </c>
      <c r="D79" s="391">
        <f t="shared" si="1"/>
        <v>37.300386148480321</v>
      </c>
    </row>
    <row r="80" spans="1:4" x14ac:dyDescent="0.3">
      <c r="A80" s="385" t="s">
        <v>140</v>
      </c>
      <c r="B80" s="19">
        <v>7517.67</v>
      </c>
      <c r="C80" s="380">
        <v>19777</v>
      </c>
      <c r="D80" s="391">
        <f t="shared" si="1"/>
        <v>38.012185872478135</v>
      </c>
    </row>
    <row r="81" spans="1:4" x14ac:dyDescent="0.3">
      <c r="A81" s="385" t="s">
        <v>255</v>
      </c>
      <c r="B81" s="19">
        <v>4476.2700000000004</v>
      </c>
      <c r="C81" s="380">
        <v>12156</v>
      </c>
      <c r="D81" s="391">
        <f t="shared" si="1"/>
        <v>36.823543928923989</v>
      </c>
    </row>
    <row r="82" spans="1:4" x14ac:dyDescent="0.3">
      <c r="A82" s="385" t="s">
        <v>128</v>
      </c>
      <c r="B82" s="19">
        <v>6281.32</v>
      </c>
      <c r="C82" s="380">
        <v>17738</v>
      </c>
      <c r="D82" s="391">
        <f t="shared" si="1"/>
        <v>35.411658586086361</v>
      </c>
    </row>
    <row r="83" spans="1:4" x14ac:dyDescent="0.3">
      <c r="A83" s="385" t="s">
        <v>124</v>
      </c>
      <c r="B83" s="19">
        <v>6765.08</v>
      </c>
      <c r="C83" s="380">
        <v>20443</v>
      </c>
      <c r="D83" s="391">
        <f t="shared" si="1"/>
        <v>33.092403267622167</v>
      </c>
    </row>
    <row r="84" spans="1:4" x14ac:dyDescent="0.3">
      <c r="A84" s="385" t="s">
        <v>259</v>
      </c>
      <c r="B84" s="19">
        <v>5672.8700000000008</v>
      </c>
      <c r="C84" s="380">
        <v>16479</v>
      </c>
      <c r="D84" s="391">
        <f t="shared" si="1"/>
        <v>34.424843740518241</v>
      </c>
    </row>
    <row r="85" spans="1:4" x14ac:dyDescent="0.3">
      <c r="A85" s="385" t="s">
        <v>116</v>
      </c>
      <c r="B85" s="19">
        <v>3140.76</v>
      </c>
      <c r="C85" s="380">
        <v>7972</v>
      </c>
      <c r="D85" s="409">
        <f t="shared" si="1"/>
        <v>39.397390868038137</v>
      </c>
    </row>
    <row r="86" spans="1:4" x14ac:dyDescent="0.3">
      <c r="A86" s="385" t="s">
        <v>1140</v>
      </c>
      <c r="B86" s="19">
        <v>4369.49</v>
      </c>
      <c r="C86" s="380">
        <v>12460</v>
      </c>
      <c r="D86" s="409">
        <f t="shared" si="1"/>
        <v>35.06813804173354</v>
      </c>
    </row>
    <row r="87" spans="1:4" x14ac:dyDescent="0.3">
      <c r="A87" s="385" t="s">
        <v>1142</v>
      </c>
      <c r="B87" s="19">
        <v>6176.0099999999993</v>
      </c>
      <c r="C87" s="380">
        <v>17278</v>
      </c>
      <c r="D87" s="409">
        <f t="shared" si="1"/>
        <v>35.744935756453287</v>
      </c>
    </row>
    <row r="88" spans="1:4" x14ac:dyDescent="0.3">
      <c r="A88" s="385" t="s">
        <v>134</v>
      </c>
      <c r="B88" s="19">
        <v>5432.61</v>
      </c>
      <c r="C88" s="380">
        <v>15220</v>
      </c>
      <c r="D88" s="409">
        <f t="shared" si="1"/>
        <v>35.693889618922469</v>
      </c>
    </row>
    <row r="89" spans="1:4" x14ac:dyDescent="0.3">
      <c r="A89" s="385" t="s">
        <v>110</v>
      </c>
      <c r="B89" s="19">
        <v>4934.4399999999996</v>
      </c>
      <c r="C89" s="380">
        <v>12841</v>
      </c>
      <c r="D89" s="409">
        <f t="shared" si="1"/>
        <v>38.427225293980214</v>
      </c>
    </row>
    <row r="90" spans="1:4" x14ac:dyDescent="0.3">
      <c r="A90" s="385" t="s">
        <v>119</v>
      </c>
      <c r="B90" s="19">
        <v>4314.91</v>
      </c>
      <c r="C90" s="380">
        <v>12113</v>
      </c>
      <c r="D90" s="409">
        <f t="shared" si="1"/>
        <v>35.622141500866839</v>
      </c>
    </row>
    <row r="91" spans="1:4" x14ac:dyDescent="0.3">
      <c r="A91" s="385" t="s">
        <v>129</v>
      </c>
      <c r="B91" s="19">
        <v>6321.7599999999993</v>
      </c>
      <c r="C91" s="380">
        <v>16346</v>
      </c>
      <c r="D91" s="407">
        <f t="shared" si="1"/>
        <v>38.674660467392627</v>
      </c>
    </row>
    <row r="92" spans="1:4" x14ac:dyDescent="0.3">
      <c r="A92" s="385" t="s">
        <v>111</v>
      </c>
      <c r="B92" s="19">
        <v>6463.68</v>
      </c>
      <c r="C92" s="380">
        <v>18117</v>
      </c>
      <c r="D92" s="409">
        <f t="shared" si="1"/>
        <v>35.677430038085781</v>
      </c>
    </row>
    <row r="93" spans="1:4" x14ac:dyDescent="0.3">
      <c r="A93" s="385" t="s">
        <v>132</v>
      </c>
      <c r="B93" s="19">
        <v>7005.2400000000007</v>
      </c>
      <c r="C93" s="380">
        <v>19242</v>
      </c>
      <c r="D93" s="409">
        <f t="shared" si="1"/>
        <v>36.405986903648277</v>
      </c>
    </row>
    <row r="94" spans="1:4" x14ac:dyDescent="0.3">
      <c r="A94" s="385" t="s">
        <v>131</v>
      </c>
      <c r="B94" s="19">
        <v>7531.2199999999993</v>
      </c>
      <c r="C94" s="380">
        <v>19424</v>
      </c>
      <c r="D94" s="409">
        <f t="shared" si="1"/>
        <v>38.772755354200982</v>
      </c>
    </row>
    <row r="95" spans="1:4" x14ac:dyDescent="0.3">
      <c r="A95" s="385" t="s">
        <v>120</v>
      </c>
      <c r="B95" s="19">
        <v>2508.9299999999998</v>
      </c>
      <c r="C95" s="380">
        <v>6894</v>
      </c>
      <c r="D95" s="409">
        <f t="shared" si="1"/>
        <v>36.392950391644909</v>
      </c>
    </row>
    <row r="96" spans="1:4" x14ac:dyDescent="0.3">
      <c r="A96" s="385" t="s">
        <v>115</v>
      </c>
      <c r="B96" s="19">
        <v>4941.1100000000006</v>
      </c>
      <c r="C96" s="380">
        <v>12773</v>
      </c>
      <c r="D96" s="409">
        <f t="shared" si="1"/>
        <v>38.684020981758401</v>
      </c>
    </row>
    <row r="97" spans="1:4" x14ac:dyDescent="0.3">
      <c r="A97" s="385" t="s">
        <v>112</v>
      </c>
      <c r="B97" s="19">
        <v>5156.91</v>
      </c>
      <c r="C97" s="380">
        <v>13010</v>
      </c>
      <c r="D97" s="391">
        <f t="shared" si="1"/>
        <v>39.638047655649501</v>
      </c>
    </row>
    <row r="98" spans="1:4" x14ac:dyDescent="0.3">
      <c r="A98" s="385" t="s">
        <v>138</v>
      </c>
      <c r="B98" s="19">
        <v>4377.04</v>
      </c>
      <c r="C98" s="380">
        <v>11978</v>
      </c>
      <c r="D98" s="391">
        <f t="shared" si="1"/>
        <v>36.542327600601105</v>
      </c>
    </row>
    <row r="99" spans="1:4" x14ac:dyDescent="0.3">
      <c r="A99" s="385" t="s">
        <v>122</v>
      </c>
      <c r="B99" s="19">
        <v>6520.85</v>
      </c>
      <c r="C99" s="380">
        <v>18894</v>
      </c>
      <c r="D99" s="391">
        <f t="shared" si="1"/>
        <v>34.512808298930878</v>
      </c>
    </row>
    <row r="100" spans="1:4" x14ac:dyDescent="0.3">
      <c r="A100" s="385" t="s">
        <v>126</v>
      </c>
      <c r="B100" s="19">
        <v>8893.4000000000015</v>
      </c>
      <c r="C100" s="380">
        <v>24058</v>
      </c>
      <c r="D100" s="391">
        <f t="shared" si="1"/>
        <v>36.966497630725755</v>
      </c>
    </row>
    <row r="101" spans="1:4" x14ac:dyDescent="0.3">
      <c r="A101" s="385" t="s">
        <v>135</v>
      </c>
      <c r="B101" s="19">
        <v>1525.46</v>
      </c>
      <c r="C101" s="380">
        <v>4221</v>
      </c>
      <c r="D101" s="391">
        <f t="shared" si="1"/>
        <v>36.139777303956407</v>
      </c>
    </row>
    <row r="102" spans="1:4" x14ac:dyDescent="0.3">
      <c r="A102" s="385" t="s">
        <v>123</v>
      </c>
      <c r="B102" s="19">
        <v>6622</v>
      </c>
      <c r="C102" s="380">
        <v>18443</v>
      </c>
      <c r="D102" s="391">
        <f t="shared" si="1"/>
        <v>35.905221493249471</v>
      </c>
    </row>
    <row r="103" spans="1:4" x14ac:dyDescent="0.3">
      <c r="A103" s="385" t="s">
        <v>139</v>
      </c>
      <c r="B103" s="19">
        <v>1634.2</v>
      </c>
      <c r="C103" s="380">
        <v>4329</v>
      </c>
      <c r="D103" s="391">
        <f t="shared" si="1"/>
        <v>37.750057750057749</v>
      </c>
    </row>
    <row r="104" spans="1:4" x14ac:dyDescent="0.3">
      <c r="A104" s="385" t="s">
        <v>1116</v>
      </c>
      <c r="B104" s="19">
        <v>7032.079999999999</v>
      </c>
      <c r="C104" s="380">
        <v>19662</v>
      </c>
      <c r="D104" s="391">
        <f t="shared" si="1"/>
        <v>35.764825551825851</v>
      </c>
    </row>
    <row r="105" spans="1:4" x14ac:dyDescent="0.3">
      <c r="A105" s="385" t="s">
        <v>1115</v>
      </c>
      <c r="B105" s="19">
        <v>5417</v>
      </c>
      <c r="C105" s="380">
        <v>14414</v>
      </c>
      <c r="D105" s="391">
        <f t="shared" si="1"/>
        <v>37.581517968641599</v>
      </c>
    </row>
    <row r="106" spans="1:4" ht="15" thickBot="1" x14ac:dyDescent="0.35">
      <c r="A106" s="385" t="s">
        <v>125</v>
      </c>
      <c r="B106" s="19">
        <v>9698.6700000000019</v>
      </c>
      <c r="C106" s="380">
        <v>26802</v>
      </c>
      <c r="D106" s="391">
        <f t="shared" si="1"/>
        <v>36.18636668905306</v>
      </c>
    </row>
    <row r="107" spans="1:4" ht="15" thickBot="1" x14ac:dyDescent="0.35">
      <c r="A107" s="381" t="s">
        <v>1086</v>
      </c>
      <c r="B107" s="410">
        <f>SUM(B5:B106)</f>
        <v>576189.16999999993</v>
      </c>
      <c r="C107" s="413">
        <f>SUM(C5:C106)</f>
        <v>1604566.57</v>
      </c>
      <c r="D107" s="386">
        <f t="shared" si="1"/>
        <v>35.909334070196905</v>
      </c>
    </row>
  </sheetData>
  <mergeCells count="1">
    <mergeCell ref="A1:D1"/>
  </mergeCells>
  <conditionalFormatting sqref="D5:D10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08"/>
  <sheetViews>
    <sheetView topLeftCell="A91" workbookViewId="0">
      <selection activeCell="F114" sqref="F114"/>
    </sheetView>
  </sheetViews>
  <sheetFormatPr baseColWidth="10" defaultRowHeight="14.4" x14ac:dyDescent="0.3"/>
  <cols>
    <col min="2" max="2" width="12.6640625" style="419" customWidth="1"/>
    <col min="3" max="3" width="13.88671875" style="416" customWidth="1"/>
    <col min="4" max="4" width="10.33203125" style="416" customWidth="1"/>
  </cols>
  <sheetData>
    <row r="1" spans="1:4" ht="16.2" thickBot="1" x14ac:dyDescent="0.35">
      <c r="A1" s="447" t="s">
        <v>1198</v>
      </c>
      <c r="B1" s="448"/>
      <c r="C1" s="448"/>
      <c r="D1" s="449"/>
    </row>
    <row r="3" spans="1:4" ht="15" thickBot="1" x14ac:dyDescent="0.35"/>
    <row r="4" spans="1:4" x14ac:dyDescent="0.3">
      <c r="A4" s="414" t="s">
        <v>1123</v>
      </c>
      <c r="B4" s="420" t="s">
        <v>1124</v>
      </c>
      <c r="C4" s="417" t="s">
        <v>1132</v>
      </c>
      <c r="D4" s="423" t="s">
        <v>1125</v>
      </c>
    </row>
    <row r="5" spans="1:4" x14ac:dyDescent="0.3">
      <c r="A5" s="13" t="s">
        <v>1092</v>
      </c>
      <c r="B5" s="421">
        <v>5317.85</v>
      </c>
      <c r="C5" s="380">
        <v>13971</v>
      </c>
      <c r="D5" s="424">
        <f t="shared" ref="D5:D70" si="0">B5/C5*100</f>
        <v>38.063488655071218</v>
      </c>
    </row>
    <row r="6" spans="1:4" x14ac:dyDescent="0.3">
      <c r="A6" s="13" t="s">
        <v>1158</v>
      </c>
      <c r="B6" s="421">
        <v>5352.96</v>
      </c>
      <c r="C6" s="380">
        <v>14428</v>
      </c>
      <c r="D6" s="424">
        <f t="shared" si="0"/>
        <v>37.101192126420848</v>
      </c>
    </row>
    <row r="7" spans="1:4" x14ac:dyDescent="0.3">
      <c r="A7" s="13" t="s">
        <v>187</v>
      </c>
      <c r="B7" s="421">
        <v>5119.32</v>
      </c>
      <c r="C7" s="380">
        <v>13348</v>
      </c>
      <c r="D7" s="424">
        <f t="shared" si="0"/>
        <v>38.352712016781538</v>
      </c>
    </row>
    <row r="8" spans="1:4" x14ac:dyDescent="0.3">
      <c r="A8" s="13" t="s">
        <v>189</v>
      </c>
      <c r="B8" s="421">
        <v>4284.3099999999995</v>
      </c>
      <c r="C8" s="380">
        <v>11781</v>
      </c>
      <c r="D8" s="424">
        <f t="shared" si="0"/>
        <v>36.366267719208892</v>
      </c>
    </row>
    <row r="9" spans="1:4" x14ac:dyDescent="0.3">
      <c r="A9" s="13" t="s">
        <v>191</v>
      </c>
      <c r="B9" s="421">
        <v>6355.59</v>
      </c>
      <c r="C9" s="380">
        <v>17700</v>
      </c>
      <c r="D9" s="424">
        <f t="shared" si="0"/>
        <v>35.907288135593227</v>
      </c>
    </row>
    <row r="10" spans="1:4" x14ac:dyDescent="0.3">
      <c r="A10" s="13" t="s">
        <v>192</v>
      </c>
      <c r="B10" s="421">
        <v>2502.4499999999998</v>
      </c>
      <c r="C10" s="380">
        <v>7022</v>
      </c>
      <c r="D10" s="424">
        <f t="shared" si="0"/>
        <v>35.637282825405862</v>
      </c>
    </row>
    <row r="11" spans="1:4" x14ac:dyDescent="0.3">
      <c r="A11" s="13" t="s">
        <v>193</v>
      </c>
      <c r="B11" s="421">
        <v>5975.74</v>
      </c>
      <c r="C11" s="380">
        <v>16423</v>
      </c>
      <c r="D11" s="424">
        <f t="shared" si="0"/>
        <v>36.386409304024845</v>
      </c>
    </row>
    <row r="12" spans="1:4" x14ac:dyDescent="0.3">
      <c r="A12" s="13" t="s">
        <v>195</v>
      </c>
      <c r="B12" s="421">
        <v>5752.5300000000007</v>
      </c>
      <c r="C12" s="380">
        <v>16563</v>
      </c>
      <c r="D12" s="424">
        <f t="shared" si="0"/>
        <v>34.731208114472018</v>
      </c>
    </row>
    <row r="13" spans="1:4" x14ac:dyDescent="0.3">
      <c r="A13" s="13" t="s">
        <v>184</v>
      </c>
      <c r="B13" s="421">
        <v>7208.6600000000008</v>
      </c>
      <c r="C13" s="380">
        <v>19833</v>
      </c>
      <c r="D13" s="424">
        <f t="shared" si="0"/>
        <v>36.346795744466299</v>
      </c>
    </row>
    <row r="14" spans="1:4" x14ac:dyDescent="0.3">
      <c r="A14" s="13" t="s">
        <v>216</v>
      </c>
      <c r="B14" s="421">
        <v>4910.3499999999995</v>
      </c>
      <c r="C14" s="380">
        <v>13317</v>
      </c>
      <c r="D14" s="424">
        <f t="shared" si="0"/>
        <v>36.872794172861752</v>
      </c>
    </row>
    <row r="15" spans="1:4" x14ac:dyDescent="0.3">
      <c r="A15" s="13" t="s">
        <v>1143</v>
      </c>
      <c r="B15" s="421">
        <v>5488.34</v>
      </c>
      <c r="C15" s="380">
        <v>15531</v>
      </c>
      <c r="D15" s="424">
        <f t="shared" si="0"/>
        <v>35.337969222844634</v>
      </c>
    </row>
    <row r="16" spans="1:4" x14ac:dyDescent="0.3">
      <c r="A16" s="13" t="s">
        <v>209</v>
      </c>
      <c r="B16" s="421">
        <v>8259.24</v>
      </c>
      <c r="C16" s="380">
        <v>21950</v>
      </c>
      <c r="D16" s="424">
        <f t="shared" si="0"/>
        <v>37.627517084282459</v>
      </c>
    </row>
    <row r="17" spans="1:4" x14ac:dyDescent="0.3">
      <c r="A17" s="13" t="s">
        <v>212</v>
      </c>
      <c r="B17" s="421">
        <v>6045.43</v>
      </c>
      <c r="C17" s="380">
        <v>17045</v>
      </c>
      <c r="D17" s="424">
        <f t="shared" si="0"/>
        <v>35.46746846582576</v>
      </c>
    </row>
    <row r="18" spans="1:4" x14ac:dyDescent="0.3">
      <c r="A18" s="13" t="s">
        <v>214</v>
      </c>
      <c r="B18" s="421">
        <v>6608.51</v>
      </c>
      <c r="C18" s="380">
        <v>18199</v>
      </c>
      <c r="D18" s="424">
        <f t="shared" si="0"/>
        <v>36.31248969723611</v>
      </c>
    </row>
    <row r="19" spans="1:4" x14ac:dyDescent="0.3">
      <c r="A19" s="13" t="s">
        <v>218</v>
      </c>
      <c r="B19" s="421">
        <v>6849.59</v>
      </c>
      <c r="C19" s="380">
        <v>19156</v>
      </c>
      <c r="D19" s="424">
        <f t="shared" si="0"/>
        <v>35.756890791396948</v>
      </c>
    </row>
    <row r="20" spans="1:4" x14ac:dyDescent="0.3">
      <c r="A20" s="13" t="s">
        <v>220</v>
      </c>
      <c r="B20" s="421">
        <v>8654.8700000000008</v>
      </c>
      <c r="C20" s="380">
        <v>24567</v>
      </c>
      <c r="D20" s="424">
        <f t="shared" si="0"/>
        <v>35.229657670859289</v>
      </c>
    </row>
    <row r="21" spans="1:4" x14ac:dyDescent="0.3">
      <c r="A21" s="13" t="s">
        <v>222</v>
      </c>
      <c r="B21" s="421">
        <v>6236.2699999999995</v>
      </c>
      <c r="C21" s="380">
        <v>18162</v>
      </c>
      <c r="D21" s="424">
        <f t="shared" si="0"/>
        <v>34.336912234335422</v>
      </c>
    </row>
    <row r="22" spans="1:4" x14ac:dyDescent="0.3">
      <c r="A22" s="13" t="s">
        <v>438</v>
      </c>
      <c r="B22" s="421">
        <v>7391.95</v>
      </c>
      <c r="C22" s="380">
        <v>21320</v>
      </c>
      <c r="D22" s="424">
        <f t="shared" si="0"/>
        <v>34.671435272045024</v>
      </c>
    </row>
    <row r="23" spans="1:4" x14ac:dyDescent="0.3">
      <c r="A23" s="13" t="s">
        <v>1139</v>
      </c>
      <c r="B23" s="421">
        <v>8042.0499999999993</v>
      </c>
      <c r="C23" s="380">
        <v>21735</v>
      </c>
      <c r="D23" s="424">
        <f t="shared" si="0"/>
        <v>37.000460087416606</v>
      </c>
    </row>
    <row r="24" spans="1:4" x14ac:dyDescent="0.3">
      <c r="A24" s="13" t="s">
        <v>1136</v>
      </c>
      <c r="B24" s="421">
        <v>6458.4000000000005</v>
      </c>
      <c r="C24" s="380">
        <v>18545</v>
      </c>
      <c r="D24" s="424">
        <f t="shared" si="0"/>
        <v>34.825559449986521</v>
      </c>
    </row>
    <row r="25" spans="1:4" x14ac:dyDescent="0.3">
      <c r="A25" s="13" t="s">
        <v>1152</v>
      </c>
      <c r="B25" s="421">
        <v>6171.33</v>
      </c>
      <c r="C25" s="380">
        <v>16461</v>
      </c>
      <c r="D25" s="424">
        <f t="shared" si="0"/>
        <v>37.490614178968471</v>
      </c>
    </row>
    <row r="26" spans="1:4" x14ac:dyDescent="0.3">
      <c r="A26" s="13" t="s">
        <v>1137</v>
      </c>
      <c r="B26" s="421">
        <v>6542.36</v>
      </c>
      <c r="C26" s="380">
        <v>17457</v>
      </c>
      <c r="D26" s="424">
        <f t="shared" si="0"/>
        <v>37.477000630119726</v>
      </c>
    </row>
    <row r="27" spans="1:4" x14ac:dyDescent="0.3">
      <c r="A27" s="13" t="s">
        <v>1150</v>
      </c>
      <c r="B27" s="421">
        <v>7156.24</v>
      </c>
      <c r="C27" s="380">
        <v>18403</v>
      </c>
      <c r="D27" s="424">
        <f t="shared" si="0"/>
        <v>38.886268543172307</v>
      </c>
    </row>
    <row r="28" spans="1:4" x14ac:dyDescent="0.3">
      <c r="A28" s="13" t="s">
        <v>440</v>
      </c>
      <c r="B28" s="421">
        <v>3251.23</v>
      </c>
      <c r="C28" s="380">
        <v>10124</v>
      </c>
      <c r="D28" s="424">
        <f t="shared" si="0"/>
        <v>32.114085341762149</v>
      </c>
    </row>
    <row r="29" spans="1:4" x14ac:dyDescent="0.3">
      <c r="A29" s="13" t="s">
        <v>422</v>
      </c>
      <c r="B29" s="421">
        <v>5124</v>
      </c>
      <c r="C29" s="380">
        <v>14829</v>
      </c>
      <c r="D29" s="424">
        <f t="shared" si="0"/>
        <v>34.553914626744891</v>
      </c>
    </row>
    <row r="30" spans="1:4" x14ac:dyDescent="0.3">
      <c r="A30" s="13" t="s">
        <v>424</v>
      </c>
      <c r="B30" s="421">
        <v>6179.26</v>
      </c>
      <c r="C30" s="380">
        <v>18389</v>
      </c>
      <c r="D30" s="424">
        <f t="shared" si="0"/>
        <v>33.60302354668552</v>
      </c>
    </row>
    <row r="31" spans="1:4" x14ac:dyDescent="0.3">
      <c r="A31" s="13" t="s">
        <v>433</v>
      </c>
      <c r="B31" s="421">
        <v>3693.5099999999998</v>
      </c>
      <c r="C31" s="380">
        <v>11002</v>
      </c>
      <c r="D31" s="424">
        <f t="shared" si="0"/>
        <v>33.571259770950732</v>
      </c>
    </row>
    <row r="32" spans="1:4" x14ac:dyDescent="0.3">
      <c r="A32" s="13" t="s">
        <v>1141</v>
      </c>
      <c r="B32" s="421">
        <v>4262.82</v>
      </c>
      <c r="C32" s="380">
        <v>12808</v>
      </c>
      <c r="D32" s="424">
        <f t="shared" si="0"/>
        <v>33.28247970018738</v>
      </c>
    </row>
    <row r="33" spans="1:4" x14ac:dyDescent="0.3">
      <c r="A33" s="13" t="s">
        <v>1095</v>
      </c>
      <c r="B33" s="421">
        <v>8305.9700000000012</v>
      </c>
      <c r="C33" s="380">
        <v>22299</v>
      </c>
      <c r="D33" s="424">
        <f t="shared" si="0"/>
        <v>37.248172563792103</v>
      </c>
    </row>
    <row r="34" spans="1:4" x14ac:dyDescent="0.3">
      <c r="A34" s="13" t="s">
        <v>1094</v>
      </c>
      <c r="B34" s="421">
        <v>3679.31</v>
      </c>
      <c r="C34" s="380">
        <v>10612</v>
      </c>
      <c r="D34" s="424">
        <f t="shared" si="0"/>
        <v>34.67122125895213</v>
      </c>
    </row>
    <row r="35" spans="1:4" x14ac:dyDescent="0.3">
      <c r="A35" s="13" t="s">
        <v>427</v>
      </c>
      <c r="B35" s="421">
        <v>4828.0600000000004</v>
      </c>
      <c r="C35" s="380">
        <v>13864</v>
      </c>
      <c r="D35" s="424">
        <f t="shared" si="0"/>
        <v>34.824437391806114</v>
      </c>
    </row>
    <row r="36" spans="1:4" x14ac:dyDescent="0.3">
      <c r="A36" s="13" t="s">
        <v>1144</v>
      </c>
      <c r="B36" s="421">
        <v>6637.1100000000006</v>
      </c>
      <c r="C36" s="380">
        <v>19332</v>
      </c>
      <c r="D36" s="424">
        <f t="shared" si="0"/>
        <v>34.332247051520795</v>
      </c>
    </row>
    <row r="37" spans="1:4" x14ac:dyDescent="0.3">
      <c r="A37" s="13" t="s">
        <v>540</v>
      </c>
      <c r="B37" s="421">
        <v>7032.07</v>
      </c>
      <c r="C37" s="380">
        <v>20918</v>
      </c>
      <c r="D37" s="424">
        <f t="shared" si="0"/>
        <v>33.61731523090161</v>
      </c>
    </row>
    <row r="38" spans="1:4" x14ac:dyDescent="0.3">
      <c r="A38" s="13" t="s">
        <v>581</v>
      </c>
      <c r="B38" s="421">
        <v>7044.34</v>
      </c>
      <c r="C38" s="380">
        <v>20867</v>
      </c>
      <c r="D38" s="424">
        <f t="shared" si="0"/>
        <v>33.758278621747259</v>
      </c>
    </row>
    <row r="39" spans="1:4" x14ac:dyDescent="0.3">
      <c r="A39" s="13" t="s">
        <v>519</v>
      </c>
      <c r="B39" s="421">
        <v>7206.9400000000005</v>
      </c>
      <c r="C39" s="380">
        <v>21273</v>
      </c>
      <c r="D39" s="424">
        <f t="shared" si="0"/>
        <v>33.87834344004137</v>
      </c>
    </row>
    <row r="40" spans="1:4" x14ac:dyDescent="0.3">
      <c r="A40" s="13" t="s">
        <v>522</v>
      </c>
      <c r="B40" s="421">
        <v>8563.5400000000009</v>
      </c>
      <c r="C40" s="380">
        <v>24036</v>
      </c>
      <c r="D40" s="424">
        <f t="shared" si="0"/>
        <v>35.627974704609755</v>
      </c>
    </row>
    <row r="41" spans="1:4" x14ac:dyDescent="0.3">
      <c r="A41" s="13" t="s">
        <v>768</v>
      </c>
      <c r="B41" s="421">
        <v>4494.58</v>
      </c>
      <c r="C41" s="380">
        <v>13064</v>
      </c>
      <c r="D41" s="424">
        <f t="shared" si="0"/>
        <v>34.404317207593387</v>
      </c>
    </row>
    <row r="42" spans="1:4" x14ac:dyDescent="0.3">
      <c r="A42" s="13" t="s">
        <v>748</v>
      </c>
      <c r="B42" s="421">
        <v>5425.2300000000005</v>
      </c>
      <c r="C42" s="380">
        <v>15875</v>
      </c>
      <c r="D42" s="424">
        <f t="shared" si="0"/>
        <v>34.174677165354332</v>
      </c>
    </row>
    <row r="43" spans="1:4" x14ac:dyDescent="0.3">
      <c r="A43" s="13" t="s">
        <v>754</v>
      </c>
      <c r="B43" s="421">
        <v>4313.4399999999996</v>
      </c>
      <c r="C43" s="380">
        <v>12258</v>
      </c>
      <c r="D43" s="424">
        <f t="shared" si="0"/>
        <v>35.188774677761458</v>
      </c>
    </row>
    <row r="44" spans="1:4" x14ac:dyDescent="0.3">
      <c r="A44" s="13" t="s">
        <v>1090</v>
      </c>
      <c r="B44" s="421">
        <v>8393.07</v>
      </c>
      <c r="C44" s="380">
        <v>25086</v>
      </c>
      <c r="D44" s="424">
        <f t="shared" si="0"/>
        <v>33.457187275771346</v>
      </c>
    </row>
    <row r="45" spans="1:4" x14ac:dyDescent="0.3">
      <c r="A45" s="13" t="s">
        <v>1151</v>
      </c>
      <c r="B45" s="421">
        <v>7025.5000000000009</v>
      </c>
      <c r="C45" s="380">
        <v>19796</v>
      </c>
      <c r="D45" s="424">
        <f t="shared" si="0"/>
        <v>35.489492826833704</v>
      </c>
    </row>
    <row r="46" spans="1:4" x14ac:dyDescent="0.3">
      <c r="A46" s="13" t="s">
        <v>1091</v>
      </c>
      <c r="B46" s="421">
        <v>4816.4399999999996</v>
      </c>
      <c r="C46" s="380">
        <v>13607</v>
      </c>
      <c r="D46" s="424">
        <f t="shared" si="0"/>
        <v>35.396781068567648</v>
      </c>
    </row>
    <row r="47" spans="1:4" x14ac:dyDescent="0.3">
      <c r="A47" s="13" t="s">
        <v>1118</v>
      </c>
      <c r="B47" s="421">
        <v>5224.93</v>
      </c>
      <c r="C47" s="380">
        <v>13896</v>
      </c>
      <c r="D47" s="424">
        <f t="shared" si="0"/>
        <v>37.60024467472654</v>
      </c>
    </row>
    <row r="48" spans="1:4" x14ac:dyDescent="0.3">
      <c r="A48" s="13" t="s">
        <v>1096</v>
      </c>
      <c r="B48" s="421">
        <v>2854.33</v>
      </c>
      <c r="C48" s="380">
        <v>8247</v>
      </c>
      <c r="D48" s="424">
        <f t="shared" si="0"/>
        <v>34.610525039408266</v>
      </c>
    </row>
    <row r="49" spans="1:4" x14ac:dyDescent="0.3">
      <c r="A49" s="13" t="s">
        <v>1117</v>
      </c>
      <c r="B49" s="421">
        <v>7158.42</v>
      </c>
      <c r="C49" s="380">
        <v>20280</v>
      </c>
      <c r="D49" s="424">
        <f t="shared" si="0"/>
        <v>35.297928994082838</v>
      </c>
    </row>
    <row r="50" spans="1:4" x14ac:dyDescent="0.3">
      <c r="A50" s="13" t="s">
        <v>1126</v>
      </c>
      <c r="B50" s="421">
        <v>8256.75</v>
      </c>
      <c r="C50" s="380">
        <v>23960</v>
      </c>
      <c r="D50" s="424">
        <f t="shared" si="0"/>
        <v>34.460559265442406</v>
      </c>
    </row>
    <row r="51" spans="1:4" x14ac:dyDescent="0.3">
      <c r="A51" s="13" t="s">
        <v>1130</v>
      </c>
      <c r="B51" s="421">
        <v>5939.5700000000006</v>
      </c>
      <c r="C51" s="380">
        <v>15703</v>
      </c>
      <c r="D51" s="424">
        <f t="shared" si="0"/>
        <v>37.824428453161815</v>
      </c>
    </row>
    <row r="52" spans="1:4" x14ac:dyDescent="0.3">
      <c r="A52" s="13" t="s">
        <v>1128</v>
      </c>
      <c r="B52" s="421">
        <v>8527.8300000000017</v>
      </c>
      <c r="C52" s="380">
        <v>24244</v>
      </c>
      <c r="D52" s="424">
        <f t="shared" si="0"/>
        <v>35.175012374195688</v>
      </c>
    </row>
    <row r="53" spans="1:4" x14ac:dyDescent="0.3">
      <c r="A53" s="13" t="s">
        <v>1129</v>
      </c>
      <c r="B53" s="421">
        <v>5639.9900000000007</v>
      </c>
      <c r="C53" s="380">
        <v>16182</v>
      </c>
      <c r="D53" s="424">
        <f t="shared" si="0"/>
        <v>34.853479174391303</v>
      </c>
    </row>
    <row r="54" spans="1:4" x14ac:dyDescent="0.3">
      <c r="A54" s="13" t="s">
        <v>1133</v>
      </c>
      <c r="B54" s="421">
        <v>6164.3</v>
      </c>
      <c r="C54" s="380">
        <v>17622</v>
      </c>
      <c r="D54" s="424">
        <f t="shared" si="0"/>
        <v>34.980705935762117</v>
      </c>
    </row>
    <row r="55" spans="1:4" x14ac:dyDescent="0.3">
      <c r="A55" s="13" t="s">
        <v>1135</v>
      </c>
      <c r="B55" s="421">
        <v>4506.42</v>
      </c>
      <c r="C55" s="380">
        <v>12482</v>
      </c>
      <c r="D55" s="424">
        <f t="shared" si="0"/>
        <v>36.10334882230412</v>
      </c>
    </row>
    <row r="56" spans="1:4" x14ac:dyDescent="0.3">
      <c r="A56" s="13" t="s">
        <v>1154</v>
      </c>
      <c r="B56" s="421">
        <v>5271.7</v>
      </c>
      <c r="C56" s="380">
        <v>16088</v>
      </c>
      <c r="D56" s="424">
        <f t="shared" si="0"/>
        <v>32.767901541521631</v>
      </c>
    </row>
    <row r="57" spans="1:4" x14ac:dyDescent="0.3">
      <c r="A57" s="13" t="s">
        <v>1159</v>
      </c>
      <c r="B57" s="421">
        <v>4828.7800000000007</v>
      </c>
      <c r="C57" s="380">
        <v>12964</v>
      </c>
      <c r="D57" s="424">
        <f t="shared" si="0"/>
        <v>37.247608762727559</v>
      </c>
    </row>
    <row r="58" spans="1:4" x14ac:dyDescent="0.3">
      <c r="A58" s="13" t="s">
        <v>1156</v>
      </c>
      <c r="B58" s="421">
        <v>6331.3700000000008</v>
      </c>
      <c r="C58" s="380">
        <v>18094</v>
      </c>
      <c r="D58" s="424">
        <f t="shared" si="0"/>
        <v>34.991544158284519</v>
      </c>
    </row>
    <row r="59" spans="1:4" x14ac:dyDescent="0.3">
      <c r="A59" s="13" t="s">
        <v>1157</v>
      </c>
      <c r="B59" s="421">
        <v>8587.5499999999993</v>
      </c>
      <c r="C59" s="380">
        <v>24783</v>
      </c>
      <c r="D59" s="424">
        <f t="shared" si="0"/>
        <v>34.650970423274011</v>
      </c>
    </row>
    <row r="60" spans="1:4" x14ac:dyDescent="0.3">
      <c r="A60" s="13" t="s">
        <v>1153</v>
      </c>
      <c r="B60" s="421">
        <v>8557.75</v>
      </c>
      <c r="C60" s="380">
        <v>23488</v>
      </c>
      <c r="D60" s="424">
        <f t="shared" si="0"/>
        <v>36.43456232970027</v>
      </c>
    </row>
    <row r="61" spans="1:4" x14ac:dyDescent="0.3">
      <c r="A61" s="13" t="s">
        <v>1173</v>
      </c>
      <c r="B61" s="421">
        <v>8828.1200000000008</v>
      </c>
      <c r="C61" s="380">
        <v>25374</v>
      </c>
      <c r="D61" s="424">
        <f t="shared" si="0"/>
        <v>34.791991802632623</v>
      </c>
    </row>
    <row r="62" spans="1:4" x14ac:dyDescent="0.3">
      <c r="A62" s="13" t="s">
        <v>1180</v>
      </c>
      <c r="B62" s="421">
        <v>3415.65</v>
      </c>
      <c r="C62" s="380">
        <v>10040</v>
      </c>
      <c r="D62" s="424">
        <f t="shared" si="0"/>
        <v>34.020418326693232</v>
      </c>
    </row>
    <row r="63" spans="1:4" x14ac:dyDescent="0.3">
      <c r="A63" s="13" t="s">
        <v>1179</v>
      </c>
      <c r="B63" s="421">
        <v>4726.9799999999996</v>
      </c>
      <c r="C63" s="380">
        <v>13870</v>
      </c>
      <c r="D63" s="424">
        <f t="shared" si="0"/>
        <v>34.080605623648161</v>
      </c>
    </row>
    <row r="64" spans="1:4" x14ac:dyDescent="0.3">
      <c r="A64" s="13" t="s">
        <v>1185</v>
      </c>
      <c r="B64" s="421">
        <v>5615.82</v>
      </c>
      <c r="C64" s="380">
        <v>14778</v>
      </c>
      <c r="D64" s="424">
        <f t="shared" si="0"/>
        <v>38.001218026796586</v>
      </c>
    </row>
    <row r="65" spans="1:4" x14ac:dyDescent="0.3">
      <c r="A65" s="13" t="s">
        <v>1183</v>
      </c>
      <c r="B65" s="421">
        <v>5560.29</v>
      </c>
      <c r="C65" s="380">
        <v>15147</v>
      </c>
      <c r="D65" s="424">
        <f t="shared" si="0"/>
        <v>36.708853238265007</v>
      </c>
    </row>
    <row r="66" spans="1:4" x14ac:dyDescent="0.3">
      <c r="A66" s="13" t="s">
        <v>1186</v>
      </c>
      <c r="B66" s="421">
        <v>4993.67</v>
      </c>
      <c r="C66" s="380">
        <v>13433</v>
      </c>
      <c r="D66" s="424">
        <f t="shared" si="0"/>
        <v>37.174644532122386</v>
      </c>
    </row>
    <row r="67" spans="1:4" x14ac:dyDescent="0.3">
      <c r="A67" s="13" t="s">
        <v>1187</v>
      </c>
      <c r="B67" s="421">
        <v>6959.4699999999993</v>
      </c>
      <c r="C67" s="380">
        <v>19571</v>
      </c>
      <c r="D67" s="424">
        <f t="shared" si="0"/>
        <v>35.560114455061054</v>
      </c>
    </row>
    <row r="68" spans="1:4" x14ac:dyDescent="0.3">
      <c r="A68" s="13" t="s">
        <v>1189</v>
      </c>
      <c r="B68" s="421">
        <v>7217.99</v>
      </c>
      <c r="C68" s="380">
        <v>21058</v>
      </c>
      <c r="D68" s="424">
        <f t="shared" si="0"/>
        <v>34.276711938455698</v>
      </c>
    </row>
    <row r="69" spans="1:4" x14ac:dyDescent="0.3">
      <c r="A69" s="13" t="s">
        <v>1190</v>
      </c>
      <c r="B69" s="421">
        <v>5481.08</v>
      </c>
      <c r="C69" s="380">
        <v>16159</v>
      </c>
      <c r="D69" s="424">
        <f t="shared" si="0"/>
        <v>33.919673247106871</v>
      </c>
    </row>
    <row r="70" spans="1:4" x14ac:dyDescent="0.3">
      <c r="A70" s="13" t="s">
        <v>1193</v>
      </c>
      <c r="B70" s="421">
        <v>6550.9899999999989</v>
      </c>
      <c r="C70" s="380">
        <v>18002</v>
      </c>
      <c r="D70" s="424">
        <f t="shared" si="0"/>
        <v>36.390345517164754</v>
      </c>
    </row>
    <row r="71" spans="1:4" x14ac:dyDescent="0.3">
      <c r="A71" s="13" t="s">
        <v>1195</v>
      </c>
      <c r="B71" s="421">
        <v>5497</v>
      </c>
      <c r="C71" s="380">
        <v>15784</v>
      </c>
      <c r="D71" s="424">
        <f t="shared" ref="D71:D107" si="1">B71/C71*100</f>
        <v>34.826406487582361</v>
      </c>
    </row>
    <row r="72" spans="1:4" x14ac:dyDescent="0.3">
      <c r="A72" s="13" t="s">
        <v>1194</v>
      </c>
      <c r="B72" s="421">
        <v>8510.4700000000012</v>
      </c>
      <c r="C72" s="380">
        <v>25283</v>
      </c>
      <c r="D72" s="424">
        <f t="shared" si="1"/>
        <v>33.660839299133812</v>
      </c>
    </row>
    <row r="73" spans="1:4" x14ac:dyDescent="0.3">
      <c r="A73" s="13" t="s">
        <v>1155</v>
      </c>
      <c r="B73" s="421">
        <v>1534.07</v>
      </c>
      <c r="C73" s="380">
        <v>4676</v>
      </c>
      <c r="D73" s="424">
        <f t="shared" si="1"/>
        <v>32.807313943541487</v>
      </c>
    </row>
    <row r="74" spans="1:4" x14ac:dyDescent="0.3">
      <c r="A74" s="13" t="s">
        <v>109</v>
      </c>
      <c r="B74" s="421">
        <v>4667.59</v>
      </c>
      <c r="C74" s="380">
        <v>11345</v>
      </c>
      <c r="D74" s="424">
        <f t="shared" si="1"/>
        <v>41.142265315116795</v>
      </c>
    </row>
    <row r="75" spans="1:4" x14ac:dyDescent="0.3">
      <c r="A75" s="13" t="s">
        <v>1148</v>
      </c>
      <c r="B75" s="421">
        <v>7348.9299999999994</v>
      </c>
      <c r="C75" s="380">
        <v>18864</v>
      </c>
      <c r="D75" s="424">
        <f t="shared" si="1"/>
        <v>38.957432145886337</v>
      </c>
    </row>
    <row r="76" spans="1:4" x14ac:dyDescent="0.3">
      <c r="A76" s="13" t="s">
        <v>1138</v>
      </c>
      <c r="B76" s="421">
        <v>7583.8199999999988</v>
      </c>
      <c r="C76" s="380">
        <v>20493</v>
      </c>
      <c r="D76" s="424">
        <f t="shared" si="1"/>
        <v>37.006880398184741</v>
      </c>
    </row>
    <row r="77" spans="1:4" x14ac:dyDescent="0.3">
      <c r="A77" s="13" t="s">
        <v>137</v>
      </c>
      <c r="B77" s="421">
        <v>5094.07</v>
      </c>
      <c r="C77" s="380">
        <v>13191</v>
      </c>
      <c r="D77" s="424">
        <f t="shared" si="1"/>
        <v>38.617769691456296</v>
      </c>
    </row>
    <row r="78" spans="1:4" x14ac:dyDescent="0.3">
      <c r="A78" s="13" t="s">
        <v>250</v>
      </c>
      <c r="B78" s="421">
        <v>2814.1099999999997</v>
      </c>
      <c r="C78" s="380">
        <v>7254</v>
      </c>
      <c r="D78" s="424">
        <f t="shared" si="1"/>
        <v>38.793906810035836</v>
      </c>
    </row>
    <row r="79" spans="1:4" x14ac:dyDescent="0.3">
      <c r="A79" s="13" t="s">
        <v>251</v>
      </c>
      <c r="B79" s="421">
        <v>8581.73</v>
      </c>
      <c r="C79" s="380">
        <v>20781</v>
      </c>
      <c r="D79" s="425">
        <f t="shared" si="1"/>
        <v>41.296039651604829</v>
      </c>
    </row>
    <row r="80" spans="1:4" x14ac:dyDescent="0.3">
      <c r="A80" s="13" t="s">
        <v>121</v>
      </c>
      <c r="B80" s="421">
        <v>6784.08</v>
      </c>
      <c r="C80" s="380">
        <v>18126</v>
      </c>
      <c r="D80" s="424">
        <f t="shared" si="1"/>
        <v>37.427341939755046</v>
      </c>
    </row>
    <row r="81" spans="1:4" x14ac:dyDescent="0.3">
      <c r="A81" s="13" t="s">
        <v>140</v>
      </c>
      <c r="B81" s="421">
        <v>3037.44</v>
      </c>
      <c r="C81" s="380">
        <v>7195</v>
      </c>
      <c r="D81" s="424">
        <f t="shared" si="1"/>
        <v>42.215983321751217</v>
      </c>
    </row>
    <row r="82" spans="1:4" x14ac:dyDescent="0.3">
      <c r="A82" s="13" t="s">
        <v>255</v>
      </c>
      <c r="B82" s="421">
        <v>4624.6499999999996</v>
      </c>
      <c r="C82" s="380">
        <v>12646</v>
      </c>
      <c r="D82" s="424">
        <f t="shared" si="1"/>
        <v>36.570061679582473</v>
      </c>
    </row>
    <row r="83" spans="1:4" x14ac:dyDescent="0.3">
      <c r="A83" s="13" t="s">
        <v>128</v>
      </c>
      <c r="B83" s="421">
        <v>4995.58</v>
      </c>
      <c r="C83" s="380">
        <v>14036</v>
      </c>
      <c r="D83" s="424">
        <f t="shared" si="1"/>
        <v>35.591194072385299</v>
      </c>
    </row>
    <row r="84" spans="1:4" x14ac:dyDescent="0.3">
      <c r="A84" s="13" t="s">
        <v>124</v>
      </c>
      <c r="B84" s="421">
        <v>6805.14</v>
      </c>
      <c r="C84" s="380">
        <v>19623</v>
      </c>
      <c r="D84" s="424">
        <f t="shared" si="1"/>
        <v>34.67940681852928</v>
      </c>
    </row>
    <row r="85" spans="1:4" x14ac:dyDescent="0.3">
      <c r="A85" s="13" t="s">
        <v>259</v>
      </c>
      <c r="B85" s="421">
        <v>1516.81</v>
      </c>
      <c r="C85" s="380">
        <v>4232</v>
      </c>
      <c r="D85" s="424">
        <f t="shared" si="1"/>
        <v>35.841446124763706</v>
      </c>
    </row>
    <row r="86" spans="1:4" x14ac:dyDescent="0.3">
      <c r="A86" s="13" t="s">
        <v>116</v>
      </c>
      <c r="B86" s="421">
        <v>7569.8499999999995</v>
      </c>
      <c r="C86" s="380">
        <v>20337</v>
      </c>
      <c r="D86" s="424">
        <f t="shared" si="1"/>
        <v>37.222058317352605</v>
      </c>
    </row>
    <row r="87" spans="1:4" x14ac:dyDescent="0.3">
      <c r="A87" s="13" t="s">
        <v>1140</v>
      </c>
      <c r="B87" s="421">
        <v>6102.5</v>
      </c>
      <c r="C87" s="380">
        <v>16916</v>
      </c>
      <c r="D87" s="424">
        <f t="shared" si="1"/>
        <v>36.07531331283991</v>
      </c>
    </row>
    <row r="88" spans="1:4" x14ac:dyDescent="0.3">
      <c r="A88" s="13" t="s">
        <v>1142</v>
      </c>
      <c r="B88" s="421">
        <v>7037.4599999999991</v>
      </c>
      <c r="C88" s="380">
        <v>20416</v>
      </c>
      <c r="D88" s="424">
        <f t="shared" si="1"/>
        <v>34.470317398119114</v>
      </c>
    </row>
    <row r="89" spans="1:4" x14ac:dyDescent="0.3">
      <c r="A89" s="13" t="s">
        <v>134</v>
      </c>
      <c r="B89" s="421">
        <v>3926.6499999999996</v>
      </c>
      <c r="C89" s="380">
        <v>10742</v>
      </c>
      <c r="D89" s="424">
        <f t="shared" si="1"/>
        <v>36.55417985477564</v>
      </c>
    </row>
    <row r="90" spans="1:4" x14ac:dyDescent="0.3">
      <c r="A90" s="13" t="s">
        <v>110</v>
      </c>
      <c r="B90" s="421">
        <v>1718.08</v>
      </c>
      <c r="C90" s="380">
        <v>4266</v>
      </c>
      <c r="D90" s="424">
        <f t="shared" si="1"/>
        <v>40.273792780121894</v>
      </c>
    </row>
    <row r="91" spans="1:4" x14ac:dyDescent="0.3">
      <c r="A91" s="13" t="s">
        <v>119</v>
      </c>
      <c r="B91" s="421">
        <v>6301.63</v>
      </c>
      <c r="C91" s="380">
        <v>16943</v>
      </c>
      <c r="D91" s="424">
        <f t="shared" si="1"/>
        <v>37.193118101870979</v>
      </c>
    </row>
    <row r="92" spans="1:4" x14ac:dyDescent="0.3">
      <c r="A92" s="13" t="s">
        <v>129</v>
      </c>
      <c r="B92" s="421">
        <v>4846.3700000000008</v>
      </c>
      <c r="C92" s="380">
        <v>12346</v>
      </c>
      <c r="D92" s="424">
        <f t="shared" si="1"/>
        <v>39.254576381014097</v>
      </c>
    </row>
    <row r="93" spans="1:4" x14ac:dyDescent="0.3">
      <c r="A93" s="13" t="s">
        <v>111</v>
      </c>
      <c r="B93" s="421">
        <v>6331.4</v>
      </c>
      <c r="C93" s="380">
        <v>16458</v>
      </c>
      <c r="D93" s="424">
        <f t="shared" si="1"/>
        <v>38.470044962935958</v>
      </c>
    </row>
    <row r="94" spans="1:4" x14ac:dyDescent="0.3">
      <c r="A94" s="13" t="s">
        <v>132</v>
      </c>
      <c r="B94" s="421">
        <v>5991.08</v>
      </c>
      <c r="C94" s="380">
        <v>16086</v>
      </c>
      <c r="D94" s="424">
        <f t="shared" si="1"/>
        <v>37.244063160512248</v>
      </c>
    </row>
    <row r="95" spans="1:4" x14ac:dyDescent="0.3">
      <c r="A95" s="13" t="s">
        <v>131</v>
      </c>
      <c r="B95" s="421">
        <v>6268.37</v>
      </c>
      <c r="C95" s="380">
        <v>15451</v>
      </c>
      <c r="D95" s="424">
        <f t="shared" si="1"/>
        <v>40.569348262248397</v>
      </c>
    </row>
    <row r="96" spans="1:4" x14ac:dyDescent="0.3">
      <c r="A96" s="13" t="s">
        <v>120</v>
      </c>
      <c r="B96" s="421">
        <v>1017.51</v>
      </c>
      <c r="C96" s="380">
        <v>2635</v>
      </c>
      <c r="D96" s="424">
        <f t="shared" si="1"/>
        <v>38.615180265654644</v>
      </c>
    </row>
    <row r="97" spans="1:4" x14ac:dyDescent="0.3">
      <c r="A97" s="13" t="s">
        <v>115</v>
      </c>
      <c r="B97" s="421">
        <v>4151.12</v>
      </c>
      <c r="C97" s="380">
        <v>11315</v>
      </c>
      <c r="D97" s="424">
        <f t="shared" si="1"/>
        <v>36.686875828546178</v>
      </c>
    </row>
    <row r="98" spans="1:4" x14ac:dyDescent="0.3">
      <c r="A98" s="13" t="s">
        <v>112</v>
      </c>
      <c r="B98" s="421">
        <v>1496.36</v>
      </c>
      <c r="C98" s="380">
        <v>3806</v>
      </c>
      <c r="D98" s="424">
        <f t="shared" si="1"/>
        <v>39.315817130846028</v>
      </c>
    </row>
    <row r="99" spans="1:4" x14ac:dyDescent="0.3">
      <c r="A99" s="13" t="s">
        <v>138</v>
      </c>
      <c r="B99" s="421">
        <v>5463.18</v>
      </c>
      <c r="C99" s="380">
        <v>14687</v>
      </c>
      <c r="D99" s="424">
        <f t="shared" si="1"/>
        <v>37.197385442908697</v>
      </c>
    </row>
    <row r="100" spans="1:4" x14ac:dyDescent="0.3">
      <c r="A100" s="13" t="s">
        <v>122</v>
      </c>
      <c r="B100" s="421">
        <v>5540.4800000000005</v>
      </c>
      <c r="C100" s="380">
        <v>15469</v>
      </c>
      <c r="D100" s="424">
        <f t="shared" si="1"/>
        <v>35.816665589243009</v>
      </c>
    </row>
    <row r="101" spans="1:4" x14ac:dyDescent="0.3">
      <c r="A101" s="13" t="s">
        <v>126</v>
      </c>
      <c r="B101" s="421">
        <v>4147.46</v>
      </c>
      <c r="C101" s="380">
        <v>10888</v>
      </c>
      <c r="D101" s="424">
        <f t="shared" si="1"/>
        <v>38.092027920646579</v>
      </c>
    </row>
    <row r="102" spans="1:4" x14ac:dyDescent="0.3">
      <c r="A102" s="13" t="s">
        <v>135</v>
      </c>
      <c r="B102" s="421">
        <v>5682.79</v>
      </c>
      <c r="C102" s="380">
        <v>14534</v>
      </c>
      <c r="D102" s="424">
        <f t="shared" si="1"/>
        <v>39.099972478326684</v>
      </c>
    </row>
    <row r="103" spans="1:4" x14ac:dyDescent="0.3">
      <c r="A103" s="13" t="s">
        <v>123</v>
      </c>
      <c r="B103" s="421">
        <v>7496</v>
      </c>
      <c r="C103" s="380">
        <v>21481</v>
      </c>
      <c r="D103" s="424">
        <f t="shared" si="1"/>
        <v>34.895954564498858</v>
      </c>
    </row>
    <row r="104" spans="1:4" x14ac:dyDescent="0.3">
      <c r="A104" s="13" t="s">
        <v>139</v>
      </c>
      <c r="B104" s="421">
        <v>5514.53</v>
      </c>
      <c r="C104" s="380">
        <v>15756</v>
      </c>
      <c r="D104" s="424">
        <f t="shared" si="1"/>
        <v>34.999555724803251</v>
      </c>
    </row>
    <row r="105" spans="1:4" x14ac:dyDescent="0.3">
      <c r="A105" s="13" t="s">
        <v>1116</v>
      </c>
      <c r="B105" s="421">
        <v>3716.5099999999993</v>
      </c>
      <c r="C105" s="380">
        <v>10597</v>
      </c>
      <c r="D105" s="424">
        <f t="shared" si="1"/>
        <v>35.071340945550624</v>
      </c>
    </row>
    <row r="106" spans="1:4" x14ac:dyDescent="0.3">
      <c r="A106" s="13" t="s">
        <v>1115</v>
      </c>
      <c r="B106" s="421">
        <v>6879.67</v>
      </c>
      <c r="C106" s="380">
        <v>18251</v>
      </c>
      <c r="D106" s="424">
        <f t="shared" si="1"/>
        <v>37.694756451701281</v>
      </c>
    </row>
    <row r="107" spans="1:4" x14ac:dyDescent="0.3">
      <c r="A107" s="13" t="s">
        <v>125</v>
      </c>
      <c r="B107" s="421">
        <v>6497.44</v>
      </c>
      <c r="C107" s="380">
        <v>17810</v>
      </c>
      <c r="D107" s="424">
        <f t="shared" si="1"/>
        <v>36.481976417742843</v>
      </c>
    </row>
    <row r="108" spans="1:4" x14ac:dyDescent="0.3">
      <c r="A108" s="415" t="s">
        <v>1086</v>
      </c>
      <c r="B108" s="422">
        <f>SUM(B5:B107)</f>
        <v>593252.44000000018</v>
      </c>
      <c r="C108" s="418">
        <f>SUM(C5:C107)</f>
        <v>1649140</v>
      </c>
      <c r="D108" s="426">
        <f>B108/C108*100</f>
        <v>35.973443127933358</v>
      </c>
    </row>
  </sheetData>
  <mergeCells count="1">
    <mergeCell ref="A1:D1"/>
  </mergeCells>
  <conditionalFormatting sqref="D1:D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D10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D107">
    <cfRule type="colorScale" priority="1">
      <colorScale>
        <cfvo type="min"/>
        <cfvo type="percentile" val="34"/>
        <cfvo type="percent" val="38"/>
        <color rgb="FF63BE7B"/>
        <color rgb="FFFFEB84"/>
        <color rgb="FFF8696B"/>
      </colorScale>
    </cfRule>
    <cfRule type="colorScale" priority="8">
      <colorScale>
        <cfvo type="min"/>
        <cfvo type="percentile" val="50"/>
        <cfvo type="max"/>
        <color rgb="FFFFFF99"/>
        <color rgb="FF92D050"/>
        <color rgb="FFEE0000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">
      <colorScale>
        <cfvo type="min"/>
        <cfvo type="max"/>
        <color rgb="FF92D050"/>
        <color rgb="FFEE0000"/>
      </colorScale>
    </cfRule>
  </conditionalFormatting>
  <conditionalFormatting sqref="D7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63FAB-304B-457D-87A7-41093890C734}">
  <dimension ref="A1:D109"/>
  <sheetViews>
    <sheetView topLeftCell="A84" workbookViewId="0">
      <selection sqref="A1:D109"/>
    </sheetView>
  </sheetViews>
  <sheetFormatPr baseColWidth="10" defaultRowHeight="14.4" x14ac:dyDescent="0.3"/>
  <sheetData>
    <row r="1" spans="1:4" ht="16.2" thickBot="1" x14ac:dyDescent="0.35">
      <c r="A1" s="447" t="s">
        <v>1199</v>
      </c>
      <c r="B1" s="448"/>
      <c r="C1" s="448"/>
      <c r="D1" s="449"/>
    </row>
    <row r="2" spans="1:4" x14ac:dyDescent="0.3">
      <c r="B2" s="419"/>
      <c r="C2" s="416"/>
      <c r="D2" s="416"/>
    </row>
    <row r="3" spans="1:4" x14ac:dyDescent="0.3">
      <c r="B3" s="419"/>
      <c r="C3" s="416"/>
      <c r="D3" s="416"/>
    </row>
    <row r="4" spans="1:4" x14ac:dyDescent="0.3">
      <c r="A4" s="415" t="s">
        <v>1123</v>
      </c>
      <c r="B4" s="427" t="s">
        <v>1124</v>
      </c>
      <c r="C4" s="418" t="s">
        <v>1132</v>
      </c>
      <c r="D4" s="418" t="s">
        <v>1125</v>
      </c>
    </row>
    <row r="5" spans="1:4" x14ac:dyDescent="0.3">
      <c r="A5" s="13" t="s">
        <v>1092</v>
      </c>
      <c r="B5" s="8">
        <v>8185.2300000000005</v>
      </c>
      <c r="C5" s="8">
        <v>20975</v>
      </c>
      <c r="D5" s="424">
        <f t="shared" ref="D5:D70" si="0">B5/C5*100</f>
        <v>39.023742550655541</v>
      </c>
    </row>
    <row r="6" spans="1:4" x14ac:dyDescent="0.3">
      <c r="A6" s="13" t="s">
        <v>1158</v>
      </c>
      <c r="B6" s="8">
        <v>6100.07</v>
      </c>
      <c r="C6" s="8">
        <v>15917</v>
      </c>
      <c r="D6" s="424">
        <f t="shared" si="0"/>
        <v>38.324244518439407</v>
      </c>
    </row>
    <row r="7" spans="1:4" x14ac:dyDescent="0.3">
      <c r="A7" s="13" t="s">
        <v>187</v>
      </c>
      <c r="B7" s="8">
        <v>5707.7199999999993</v>
      </c>
      <c r="C7" s="8">
        <v>16108</v>
      </c>
      <c r="D7" s="424">
        <f t="shared" si="0"/>
        <v>35.43407002731562</v>
      </c>
    </row>
    <row r="8" spans="1:4" x14ac:dyDescent="0.3">
      <c r="A8" s="13" t="s">
        <v>189</v>
      </c>
      <c r="B8" s="8">
        <v>7175.34</v>
      </c>
      <c r="C8" s="8">
        <v>19123</v>
      </c>
      <c r="D8" s="424">
        <f t="shared" si="0"/>
        <v>37.522041520681903</v>
      </c>
    </row>
    <row r="9" spans="1:4" x14ac:dyDescent="0.3">
      <c r="A9" s="13" t="s">
        <v>191</v>
      </c>
      <c r="B9" s="8">
        <v>3269.7</v>
      </c>
      <c r="C9" s="8">
        <v>8941</v>
      </c>
      <c r="D9" s="424">
        <f t="shared" si="0"/>
        <v>36.56973492897886</v>
      </c>
    </row>
    <row r="10" spans="1:4" x14ac:dyDescent="0.3">
      <c r="A10" s="13" t="s">
        <v>192</v>
      </c>
      <c r="B10" s="8">
        <v>6212.15</v>
      </c>
      <c r="C10" s="8">
        <v>16177</v>
      </c>
      <c r="D10" s="424">
        <f t="shared" si="0"/>
        <v>38.401125054089135</v>
      </c>
    </row>
    <row r="11" spans="1:4" x14ac:dyDescent="0.3">
      <c r="A11" s="13" t="s">
        <v>193</v>
      </c>
      <c r="B11" s="8">
        <v>6849.65</v>
      </c>
      <c r="C11" s="8">
        <v>18551</v>
      </c>
      <c r="D11" s="424">
        <f t="shared" si="0"/>
        <v>36.923346450326129</v>
      </c>
    </row>
    <row r="12" spans="1:4" x14ac:dyDescent="0.3">
      <c r="A12" s="13" t="s">
        <v>195</v>
      </c>
      <c r="B12" s="8">
        <v>6721.8899999999994</v>
      </c>
      <c r="C12" s="8">
        <v>19817</v>
      </c>
      <c r="D12" s="424">
        <f t="shared" si="0"/>
        <v>33.919816319321797</v>
      </c>
    </row>
    <row r="13" spans="1:4" x14ac:dyDescent="0.3">
      <c r="A13" s="13" t="s">
        <v>184</v>
      </c>
      <c r="B13" s="8">
        <v>6970.079999999999</v>
      </c>
      <c r="C13" s="8">
        <v>19164</v>
      </c>
      <c r="D13" s="424">
        <f t="shared" si="0"/>
        <v>36.370695053224793</v>
      </c>
    </row>
    <row r="14" spans="1:4" x14ac:dyDescent="0.3">
      <c r="A14" s="13" t="s">
        <v>216</v>
      </c>
      <c r="B14" s="8">
        <v>7413.3700000000008</v>
      </c>
      <c r="C14" s="8">
        <v>19729</v>
      </c>
      <c r="D14" s="424">
        <f t="shared" si="0"/>
        <v>37.576004865933399</v>
      </c>
    </row>
    <row r="15" spans="1:4" x14ac:dyDescent="0.3">
      <c r="A15" s="13" t="s">
        <v>1143</v>
      </c>
      <c r="B15" s="8">
        <v>5885.7099999999991</v>
      </c>
      <c r="C15" s="8">
        <v>17367</v>
      </c>
      <c r="D15" s="424">
        <f t="shared" si="0"/>
        <v>33.890194046179531</v>
      </c>
    </row>
    <row r="16" spans="1:4" x14ac:dyDescent="0.3">
      <c r="A16" s="13" t="s">
        <v>209</v>
      </c>
      <c r="B16" s="8">
        <v>8779.8700000000008</v>
      </c>
      <c r="C16" s="8">
        <v>24276</v>
      </c>
      <c r="D16" s="424">
        <f t="shared" si="0"/>
        <v>36.166872631405504</v>
      </c>
    </row>
    <row r="17" spans="1:4" x14ac:dyDescent="0.3">
      <c r="A17" s="13" t="s">
        <v>212</v>
      </c>
      <c r="B17" s="8">
        <v>8636.0400000000009</v>
      </c>
      <c r="C17" s="8">
        <v>23100</v>
      </c>
      <c r="D17" s="424">
        <f t="shared" si="0"/>
        <v>37.38545454545455</v>
      </c>
    </row>
    <row r="18" spans="1:4" x14ac:dyDescent="0.3">
      <c r="A18" s="13" t="s">
        <v>214</v>
      </c>
      <c r="B18" s="8">
        <v>3491.25</v>
      </c>
      <c r="C18" s="8">
        <v>9228</v>
      </c>
      <c r="D18" s="424">
        <f t="shared" si="0"/>
        <v>37.833224967490246</v>
      </c>
    </row>
    <row r="19" spans="1:4" x14ac:dyDescent="0.3">
      <c r="A19" s="13" t="s">
        <v>218</v>
      </c>
      <c r="B19" s="8">
        <v>6897.5300000000007</v>
      </c>
      <c r="C19" s="8">
        <v>18643</v>
      </c>
      <c r="D19" s="424">
        <f t="shared" si="0"/>
        <v>36.997961701442904</v>
      </c>
    </row>
    <row r="20" spans="1:4" x14ac:dyDescent="0.3">
      <c r="A20" s="13" t="s">
        <v>220</v>
      </c>
      <c r="B20" s="8">
        <v>6612.71</v>
      </c>
      <c r="C20" s="8">
        <v>17552</v>
      </c>
      <c r="D20" s="424">
        <f t="shared" si="0"/>
        <v>37.674965815861441</v>
      </c>
    </row>
    <row r="21" spans="1:4" x14ac:dyDescent="0.3">
      <c r="A21" s="13" t="s">
        <v>222</v>
      </c>
      <c r="B21" s="8">
        <v>6583.9699999999993</v>
      </c>
      <c r="C21" s="8">
        <v>18482</v>
      </c>
      <c r="D21" s="424">
        <f t="shared" si="0"/>
        <v>35.623687912563575</v>
      </c>
    </row>
    <row r="22" spans="1:4" x14ac:dyDescent="0.3">
      <c r="A22" s="13" t="s">
        <v>438</v>
      </c>
      <c r="B22" s="8">
        <v>6223.5999999999995</v>
      </c>
      <c r="C22" s="8">
        <v>18765</v>
      </c>
      <c r="D22" s="424">
        <f t="shared" si="0"/>
        <v>33.166000532907006</v>
      </c>
    </row>
    <row r="23" spans="1:4" x14ac:dyDescent="0.3">
      <c r="A23" s="13" t="s">
        <v>1139</v>
      </c>
      <c r="B23" s="8">
        <v>6626.0999999999995</v>
      </c>
      <c r="C23" s="8">
        <v>18014</v>
      </c>
      <c r="D23" s="424">
        <f t="shared" si="0"/>
        <v>36.783057621849672</v>
      </c>
    </row>
    <row r="24" spans="1:4" x14ac:dyDescent="0.3">
      <c r="A24" s="13" t="s">
        <v>1136</v>
      </c>
      <c r="B24" s="8">
        <v>5871.7999999999993</v>
      </c>
      <c r="C24" s="8">
        <v>15886</v>
      </c>
      <c r="D24" s="424">
        <f t="shared" si="0"/>
        <v>36.962104998111542</v>
      </c>
    </row>
    <row r="25" spans="1:4" x14ac:dyDescent="0.3">
      <c r="A25" s="13" t="s">
        <v>1152</v>
      </c>
      <c r="B25" s="8">
        <v>5072.2300000000005</v>
      </c>
      <c r="C25" s="8">
        <v>13649</v>
      </c>
      <c r="D25" s="424">
        <f t="shared" si="0"/>
        <v>37.161916623928498</v>
      </c>
    </row>
    <row r="26" spans="1:4" x14ac:dyDescent="0.3">
      <c r="A26" s="13" t="s">
        <v>1137</v>
      </c>
      <c r="B26" s="8">
        <v>5211.4400000000005</v>
      </c>
      <c r="C26" s="8">
        <v>13807</v>
      </c>
      <c r="D26" s="424">
        <f t="shared" si="0"/>
        <v>37.744912001158838</v>
      </c>
    </row>
    <row r="27" spans="1:4" x14ac:dyDescent="0.3">
      <c r="A27" s="13" t="s">
        <v>1150</v>
      </c>
      <c r="B27" s="8">
        <v>6173.62</v>
      </c>
      <c r="C27" s="8">
        <v>16321</v>
      </c>
      <c r="D27" s="424">
        <f t="shared" si="0"/>
        <v>37.826236137491577</v>
      </c>
    </row>
    <row r="28" spans="1:4" x14ac:dyDescent="0.3">
      <c r="A28" s="13" t="s">
        <v>440</v>
      </c>
      <c r="B28" s="8">
        <v>7806.54</v>
      </c>
      <c r="C28" s="8">
        <v>22029</v>
      </c>
      <c r="D28" s="424">
        <f t="shared" si="0"/>
        <v>35.437559580552907</v>
      </c>
    </row>
    <row r="29" spans="1:4" x14ac:dyDescent="0.3">
      <c r="A29" s="13" t="s">
        <v>422</v>
      </c>
      <c r="B29" s="8">
        <v>6650.93</v>
      </c>
      <c r="C29" s="8">
        <v>18790</v>
      </c>
      <c r="D29" s="424">
        <f t="shared" si="0"/>
        <v>35.396114954763178</v>
      </c>
    </row>
    <row r="30" spans="1:4" x14ac:dyDescent="0.3">
      <c r="A30" s="13" t="s">
        <v>424</v>
      </c>
      <c r="B30" s="8">
        <v>6973.0199999999995</v>
      </c>
      <c r="C30" s="8">
        <v>20021</v>
      </c>
      <c r="D30" s="424">
        <f t="shared" si="0"/>
        <v>34.828530043454371</v>
      </c>
    </row>
    <row r="31" spans="1:4" x14ac:dyDescent="0.3">
      <c r="A31" s="13" t="s">
        <v>433</v>
      </c>
      <c r="B31" s="8">
        <v>6876.8600000000006</v>
      </c>
      <c r="C31" s="8">
        <v>19501</v>
      </c>
      <c r="D31" s="424">
        <f t="shared" si="0"/>
        <v>35.264140300497417</v>
      </c>
    </row>
    <row r="32" spans="1:4" x14ac:dyDescent="0.3">
      <c r="A32" s="13" t="s">
        <v>1141</v>
      </c>
      <c r="B32" s="8">
        <v>7593.3099999999995</v>
      </c>
      <c r="C32" s="8">
        <v>21099</v>
      </c>
      <c r="D32" s="424">
        <f t="shared" si="0"/>
        <v>35.988956822598226</v>
      </c>
    </row>
    <row r="33" spans="1:4" x14ac:dyDescent="0.3">
      <c r="A33" s="13" t="s">
        <v>1095</v>
      </c>
      <c r="B33" s="8">
        <v>6062.74</v>
      </c>
      <c r="C33" s="8">
        <v>16959</v>
      </c>
      <c r="D33" s="424">
        <f t="shared" si="0"/>
        <v>35.749395601155726</v>
      </c>
    </row>
    <row r="34" spans="1:4" x14ac:dyDescent="0.3">
      <c r="A34" s="13" t="s">
        <v>1094</v>
      </c>
      <c r="B34" s="8">
        <v>6241.08</v>
      </c>
      <c r="C34" s="8">
        <v>17158</v>
      </c>
      <c r="D34" s="424">
        <f t="shared" si="0"/>
        <v>36.374169483622801</v>
      </c>
    </row>
    <row r="35" spans="1:4" x14ac:dyDescent="0.3">
      <c r="A35" s="13" t="s">
        <v>427</v>
      </c>
      <c r="B35" s="8">
        <v>3775.4199999999996</v>
      </c>
      <c r="C35" s="8">
        <v>11264</v>
      </c>
      <c r="D35" s="424">
        <f t="shared" si="0"/>
        <v>33.517578125</v>
      </c>
    </row>
    <row r="36" spans="1:4" x14ac:dyDescent="0.3">
      <c r="A36" s="13" t="s">
        <v>1144</v>
      </c>
      <c r="B36" s="8">
        <v>7320.83</v>
      </c>
      <c r="C36" s="8">
        <v>20646</v>
      </c>
      <c r="D36" s="424">
        <f t="shared" si="0"/>
        <v>35.45882979753948</v>
      </c>
    </row>
    <row r="37" spans="1:4" x14ac:dyDescent="0.3">
      <c r="A37" s="13" t="s">
        <v>540</v>
      </c>
      <c r="B37" s="8">
        <v>6448.7099999999991</v>
      </c>
      <c r="C37" s="8">
        <v>18920</v>
      </c>
      <c r="D37" s="424">
        <f t="shared" si="0"/>
        <v>34.084090909090904</v>
      </c>
    </row>
    <row r="38" spans="1:4" x14ac:dyDescent="0.3">
      <c r="A38" s="13" t="s">
        <v>581</v>
      </c>
      <c r="B38" s="8">
        <v>8654.51</v>
      </c>
      <c r="C38" s="8">
        <v>25109</v>
      </c>
      <c r="D38" s="424">
        <f t="shared" si="0"/>
        <v>34.467760563941219</v>
      </c>
    </row>
    <row r="39" spans="1:4" x14ac:dyDescent="0.3">
      <c r="A39" s="13" t="s">
        <v>519</v>
      </c>
      <c r="B39" s="8">
        <v>9226.14</v>
      </c>
      <c r="C39" s="8">
        <v>26745</v>
      </c>
      <c r="D39" s="424">
        <f t="shared" si="0"/>
        <v>34.49669097027482</v>
      </c>
    </row>
    <row r="40" spans="1:4" x14ac:dyDescent="0.3">
      <c r="A40" s="13" t="s">
        <v>522</v>
      </c>
      <c r="B40" s="8">
        <v>6523.8</v>
      </c>
      <c r="C40" s="8">
        <v>19718</v>
      </c>
      <c r="D40" s="424">
        <f t="shared" si="0"/>
        <v>33.085505629374182</v>
      </c>
    </row>
    <row r="41" spans="1:4" x14ac:dyDescent="0.3">
      <c r="A41" s="13" t="s">
        <v>768</v>
      </c>
      <c r="B41" s="8">
        <v>5611.03</v>
      </c>
      <c r="C41" s="8">
        <v>15201</v>
      </c>
      <c r="D41" s="424">
        <f t="shared" si="0"/>
        <v>36.912242615617394</v>
      </c>
    </row>
    <row r="42" spans="1:4" x14ac:dyDescent="0.3">
      <c r="A42" s="13" t="s">
        <v>748</v>
      </c>
      <c r="B42" s="8">
        <v>6370.73</v>
      </c>
      <c r="C42" s="8">
        <v>18763</v>
      </c>
      <c r="D42" s="424">
        <f t="shared" si="0"/>
        <v>33.9536854447583</v>
      </c>
    </row>
    <row r="43" spans="1:4" x14ac:dyDescent="0.3">
      <c r="A43" s="13" t="s">
        <v>754</v>
      </c>
      <c r="B43" s="8">
        <v>4344.7700000000004</v>
      </c>
      <c r="C43" s="8">
        <v>11862</v>
      </c>
      <c r="D43" s="424">
        <f t="shared" si="0"/>
        <v>36.627634462991068</v>
      </c>
    </row>
    <row r="44" spans="1:4" x14ac:dyDescent="0.3">
      <c r="A44" s="13" t="s">
        <v>1090</v>
      </c>
      <c r="B44" s="8">
        <v>4947.63</v>
      </c>
      <c r="C44" s="8">
        <v>13567</v>
      </c>
      <c r="D44" s="424">
        <f t="shared" si="0"/>
        <v>36.468121176383875</v>
      </c>
    </row>
    <row r="45" spans="1:4" x14ac:dyDescent="0.3">
      <c r="A45" s="13" t="s">
        <v>1151</v>
      </c>
      <c r="B45" s="8">
        <v>6908.1500000000005</v>
      </c>
      <c r="C45" s="8">
        <v>20534</v>
      </c>
      <c r="D45" s="424">
        <f t="shared" si="0"/>
        <v>33.642495373526835</v>
      </c>
    </row>
    <row r="46" spans="1:4" x14ac:dyDescent="0.3">
      <c r="A46" s="13" t="s">
        <v>1091</v>
      </c>
      <c r="B46" s="8">
        <v>7418.5499999999993</v>
      </c>
      <c r="C46" s="8">
        <v>21277</v>
      </c>
      <c r="D46" s="424">
        <f t="shared" si="0"/>
        <v>34.866522536071813</v>
      </c>
    </row>
    <row r="47" spans="1:4" x14ac:dyDescent="0.3">
      <c r="A47" s="13" t="s">
        <v>1118</v>
      </c>
      <c r="B47" s="8">
        <v>7552.18</v>
      </c>
      <c r="C47" s="8">
        <v>20128</v>
      </c>
      <c r="D47" s="424">
        <f t="shared" si="0"/>
        <v>37.520767090620033</v>
      </c>
    </row>
    <row r="48" spans="1:4" x14ac:dyDescent="0.3">
      <c r="A48" s="13" t="s">
        <v>1096</v>
      </c>
      <c r="B48" s="8">
        <v>7817.3700000000008</v>
      </c>
      <c r="C48" s="8">
        <v>22938</v>
      </c>
      <c r="D48" s="424">
        <f t="shared" si="0"/>
        <v>34.08043421396809</v>
      </c>
    </row>
    <row r="49" spans="1:4" x14ac:dyDescent="0.3">
      <c r="A49" s="13" t="s">
        <v>1117</v>
      </c>
      <c r="B49" s="8">
        <v>3493.8500000000004</v>
      </c>
      <c r="C49" s="8">
        <v>10574</v>
      </c>
      <c r="D49" s="424">
        <f t="shared" si="0"/>
        <v>33.041895214677517</v>
      </c>
    </row>
    <row r="50" spans="1:4" x14ac:dyDescent="0.3">
      <c r="A50" s="13" t="s">
        <v>1126</v>
      </c>
      <c r="B50" s="8">
        <v>6454.9000000000005</v>
      </c>
      <c r="C50" s="8">
        <v>18774</v>
      </c>
      <c r="D50" s="424">
        <f t="shared" si="0"/>
        <v>34.38212421433898</v>
      </c>
    </row>
    <row r="51" spans="1:4" x14ac:dyDescent="0.3">
      <c r="A51" s="13" t="s">
        <v>1130</v>
      </c>
      <c r="B51" s="8">
        <v>7956.9100000000008</v>
      </c>
      <c r="C51" s="8">
        <v>21852</v>
      </c>
      <c r="D51" s="424">
        <f t="shared" si="0"/>
        <v>36.412731100128134</v>
      </c>
    </row>
    <row r="52" spans="1:4" x14ac:dyDescent="0.3">
      <c r="A52" s="13" t="s">
        <v>1128</v>
      </c>
      <c r="B52" s="8">
        <v>5782.04</v>
      </c>
      <c r="C52" s="8">
        <v>16384</v>
      </c>
      <c r="D52" s="424">
        <f t="shared" si="0"/>
        <v>35.290771484375</v>
      </c>
    </row>
    <row r="53" spans="1:4" x14ac:dyDescent="0.3">
      <c r="A53" s="13" t="s">
        <v>1129</v>
      </c>
      <c r="B53" s="8">
        <v>6430.4299999999994</v>
      </c>
      <c r="C53" s="8">
        <v>18775</v>
      </c>
      <c r="D53" s="424">
        <f t="shared" si="0"/>
        <v>34.249960053262313</v>
      </c>
    </row>
    <row r="54" spans="1:4" x14ac:dyDescent="0.3">
      <c r="A54" s="13" t="s">
        <v>1133</v>
      </c>
      <c r="B54" s="8">
        <v>7046.1100000000006</v>
      </c>
      <c r="C54" s="8">
        <v>20228</v>
      </c>
      <c r="D54" s="424">
        <f t="shared" si="0"/>
        <v>34.833448684991104</v>
      </c>
    </row>
    <row r="55" spans="1:4" x14ac:dyDescent="0.3">
      <c r="A55" s="13" t="s">
        <v>1134</v>
      </c>
      <c r="B55" s="8">
        <v>6980.48</v>
      </c>
      <c r="C55" s="8">
        <v>19731</v>
      </c>
      <c r="D55" s="424">
        <f t="shared" si="0"/>
        <v>35.378237291571637</v>
      </c>
    </row>
    <row r="56" spans="1:4" x14ac:dyDescent="0.3">
      <c r="A56" s="13" t="s">
        <v>1135</v>
      </c>
      <c r="B56" s="8">
        <v>7378</v>
      </c>
      <c r="C56" s="8">
        <v>21036</v>
      </c>
      <c r="D56" s="424">
        <f t="shared" si="0"/>
        <v>35.073207834189006</v>
      </c>
    </row>
    <row r="57" spans="1:4" x14ac:dyDescent="0.3">
      <c r="A57" s="13" t="s">
        <v>1154</v>
      </c>
      <c r="B57" s="8">
        <v>5544.73</v>
      </c>
      <c r="C57" s="8">
        <v>15957</v>
      </c>
      <c r="D57" s="424">
        <f t="shared" si="0"/>
        <v>34.74794760919972</v>
      </c>
    </row>
    <row r="58" spans="1:4" x14ac:dyDescent="0.3">
      <c r="A58" s="13" t="s">
        <v>1159</v>
      </c>
      <c r="B58" s="8">
        <v>6646.0499999999993</v>
      </c>
      <c r="C58" s="8">
        <v>19328</v>
      </c>
      <c r="D58" s="424">
        <f t="shared" si="0"/>
        <v>34.385606374172184</v>
      </c>
    </row>
    <row r="59" spans="1:4" x14ac:dyDescent="0.3">
      <c r="A59" s="13" t="s">
        <v>1156</v>
      </c>
      <c r="B59" s="8">
        <v>5245.97</v>
      </c>
      <c r="C59" s="8">
        <v>15364</v>
      </c>
      <c r="D59" s="424">
        <f t="shared" si="0"/>
        <v>34.144558708669621</v>
      </c>
    </row>
    <row r="60" spans="1:4" x14ac:dyDescent="0.3">
      <c r="A60" s="13" t="s">
        <v>1157</v>
      </c>
      <c r="B60" s="8">
        <v>8247.73</v>
      </c>
      <c r="C60" s="8">
        <v>22561</v>
      </c>
      <c r="D60" s="424">
        <f t="shared" si="0"/>
        <v>36.557466424360619</v>
      </c>
    </row>
    <row r="61" spans="1:4" x14ac:dyDescent="0.3">
      <c r="A61" s="13" t="s">
        <v>1153</v>
      </c>
      <c r="B61" s="8">
        <v>8280.48</v>
      </c>
      <c r="C61" s="8">
        <v>24263</v>
      </c>
      <c r="D61" s="424">
        <f t="shared" si="0"/>
        <v>34.128013848246297</v>
      </c>
    </row>
    <row r="62" spans="1:4" x14ac:dyDescent="0.3">
      <c r="A62" s="13" t="s">
        <v>1173</v>
      </c>
      <c r="B62" s="8">
        <v>6362.5399999999991</v>
      </c>
      <c r="C62" s="8">
        <v>18140</v>
      </c>
      <c r="D62" s="424">
        <f t="shared" si="0"/>
        <v>35.074641675854465</v>
      </c>
    </row>
    <row r="63" spans="1:4" x14ac:dyDescent="0.3">
      <c r="A63" s="13" t="s">
        <v>1180</v>
      </c>
      <c r="B63" s="8">
        <v>7457.0599999999995</v>
      </c>
      <c r="C63" s="8">
        <v>20726</v>
      </c>
      <c r="D63" s="424">
        <f t="shared" si="0"/>
        <v>35.979253112033192</v>
      </c>
    </row>
    <row r="64" spans="1:4" x14ac:dyDescent="0.3">
      <c r="A64" s="13" t="s">
        <v>1179</v>
      </c>
      <c r="B64" s="8">
        <v>11366.660000000002</v>
      </c>
      <c r="C64" s="8">
        <v>33275</v>
      </c>
      <c r="D64" s="424">
        <f t="shared" si="0"/>
        <v>34.159759579263714</v>
      </c>
    </row>
    <row r="65" spans="1:4" x14ac:dyDescent="0.3">
      <c r="A65" s="13" t="s">
        <v>1185</v>
      </c>
      <c r="B65" s="8">
        <v>7092.5099999999993</v>
      </c>
      <c r="C65" s="8">
        <v>19855</v>
      </c>
      <c r="D65" s="424">
        <f t="shared" si="0"/>
        <v>35.721531100478465</v>
      </c>
    </row>
    <row r="66" spans="1:4" x14ac:dyDescent="0.3">
      <c r="A66" s="13" t="s">
        <v>1183</v>
      </c>
      <c r="B66" s="8">
        <v>9222.8900000000012</v>
      </c>
      <c r="C66" s="8">
        <v>24445</v>
      </c>
      <c r="D66" s="424">
        <f t="shared" si="0"/>
        <v>37.729147064839438</v>
      </c>
    </row>
    <row r="67" spans="1:4" x14ac:dyDescent="0.3">
      <c r="A67" s="13" t="s">
        <v>1186</v>
      </c>
      <c r="B67" s="8">
        <v>7947.3</v>
      </c>
      <c r="C67" s="8">
        <v>21323</v>
      </c>
      <c r="D67" s="424">
        <f t="shared" si="0"/>
        <v>37.271021901233411</v>
      </c>
    </row>
    <row r="68" spans="1:4" x14ac:dyDescent="0.3">
      <c r="A68" s="13" t="s">
        <v>1187</v>
      </c>
      <c r="B68" s="8">
        <v>7444.7999999999993</v>
      </c>
      <c r="C68" s="8">
        <v>20758</v>
      </c>
      <c r="D68" s="424">
        <f t="shared" si="0"/>
        <v>35.864726852297906</v>
      </c>
    </row>
    <row r="69" spans="1:4" x14ac:dyDescent="0.3">
      <c r="A69" s="13" t="s">
        <v>1189</v>
      </c>
      <c r="B69" s="8">
        <v>7556.34</v>
      </c>
      <c r="C69" s="8">
        <v>22006</v>
      </c>
      <c r="D69" s="424">
        <f t="shared" si="0"/>
        <v>34.337635190402615</v>
      </c>
    </row>
    <row r="70" spans="1:4" x14ac:dyDescent="0.3">
      <c r="A70" s="13" t="s">
        <v>1190</v>
      </c>
      <c r="B70" s="8">
        <v>8635.6200000000008</v>
      </c>
      <c r="C70" s="8">
        <v>24757</v>
      </c>
      <c r="D70" s="424">
        <f t="shared" si="0"/>
        <v>34.88152845659814</v>
      </c>
    </row>
    <row r="71" spans="1:4" x14ac:dyDescent="0.3">
      <c r="A71" s="13" t="s">
        <v>1193</v>
      </c>
      <c r="B71" s="8">
        <v>6566.23</v>
      </c>
      <c r="C71" s="8">
        <v>18205</v>
      </c>
      <c r="D71" s="424">
        <f t="shared" ref="D71:D106" si="1">B71/C71*100</f>
        <v>36.068277945619329</v>
      </c>
    </row>
    <row r="72" spans="1:4" x14ac:dyDescent="0.3">
      <c r="A72" s="13" t="s">
        <v>1195</v>
      </c>
      <c r="B72" s="8">
        <v>6931.72</v>
      </c>
      <c r="C72" s="8">
        <v>19662</v>
      </c>
      <c r="D72" s="424">
        <f t="shared" si="1"/>
        <v>35.254399348998064</v>
      </c>
    </row>
    <row r="73" spans="1:4" x14ac:dyDescent="0.3">
      <c r="A73" s="13" t="s">
        <v>1194</v>
      </c>
      <c r="B73" s="8">
        <v>6520.1299999999992</v>
      </c>
      <c r="C73" s="8">
        <v>18803</v>
      </c>
      <c r="D73" s="424">
        <f t="shared" si="1"/>
        <v>34.676009147476464</v>
      </c>
    </row>
    <row r="74" spans="1:4" x14ac:dyDescent="0.3">
      <c r="A74" s="13" t="s">
        <v>1155</v>
      </c>
      <c r="B74" s="8">
        <v>6820.4500000000007</v>
      </c>
      <c r="C74" s="8">
        <v>18531</v>
      </c>
      <c r="D74" s="424">
        <f t="shared" si="1"/>
        <v>36.805623010091203</v>
      </c>
    </row>
    <row r="75" spans="1:4" x14ac:dyDescent="0.3">
      <c r="A75" s="13" t="s">
        <v>109</v>
      </c>
      <c r="B75" s="8">
        <v>3800.2200000000003</v>
      </c>
      <c r="C75" s="8">
        <v>9272</v>
      </c>
      <c r="D75" s="424">
        <f t="shared" si="1"/>
        <v>40.985979292493532</v>
      </c>
    </row>
    <row r="76" spans="1:4" x14ac:dyDescent="0.3">
      <c r="A76" s="13" t="s">
        <v>1148</v>
      </c>
      <c r="B76" s="8">
        <v>4923.25</v>
      </c>
      <c r="C76" s="8">
        <v>13173</v>
      </c>
      <c r="D76" s="424">
        <f t="shared" si="1"/>
        <v>37.373794883473771</v>
      </c>
    </row>
    <row r="77" spans="1:4" x14ac:dyDescent="0.3">
      <c r="A77" s="13" t="s">
        <v>1138</v>
      </c>
      <c r="B77" s="8">
        <v>5183.72</v>
      </c>
      <c r="C77" s="8">
        <v>9542</v>
      </c>
      <c r="D77" s="424">
        <v>34.33</v>
      </c>
    </row>
    <row r="78" spans="1:4" x14ac:dyDescent="0.3">
      <c r="A78" s="13" t="s">
        <v>137</v>
      </c>
      <c r="B78" s="8">
        <v>5085.25</v>
      </c>
      <c r="C78" s="8">
        <v>13072</v>
      </c>
      <c r="D78" s="425">
        <f t="shared" si="1"/>
        <v>38.901851285189721</v>
      </c>
    </row>
    <row r="79" spans="1:4" x14ac:dyDescent="0.3">
      <c r="A79" s="13" t="s">
        <v>250</v>
      </c>
      <c r="B79" s="8">
        <v>7366.4299999999994</v>
      </c>
      <c r="C79" s="8">
        <v>18810</v>
      </c>
      <c r="D79" s="424">
        <f t="shared" si="1"/>
        <v>39.162307283359908</v>
      </c>
    </row>
    <row r="80" spans="1:4" x14ac:dyDescent="0.3">
      <c r="A80" s="13" t="s">
        <v>251</v>
      </c>
      <c r="B80" s="8">
        <v>7449.51</v>
      </c>
      <c r="C80" s="8">
        <v>17948</v>
      </c>
      <c r="D80" s="424">
        <f t="shared" si="1"/>
        <v>41.506073100066857</v>
      </c>
    </row>
    <row r="81" spans="1:4" x14ac:dyDescent="0.3">
      <c r="A81" s="13" t="s">
        <v>121</v>
      </c>
      <c r="B81" s="8">
        <v>7395.1200000000008</v>
      </c>
      <c r="C81" s="8">
        <v>20008</v>
      </c>
      <c r="D81" s="424">
        <f t="shared" si="1"/>
        <v>36.960815673730515</v>
      </c>
    </row>
    <row r="82" spans="1:4" x14ac:dyDescent="0.3">
      <c r="A82" s="13" t="s">
        <v>140</v>
      </c>
      <c r="B82" s="8">
        <v>6994.39</v>
      </c>
      <c r="C82" s="8">
        <v>19918</v>
      </c>
      <c r="D82" s="424">
        <f t="shared" si="1"/>
        <v>35.115925293704187</v>
      </c>
    </row>
    <row r="83" spans="1:4" x14ac:dyDescent="0.3">
      <c r="A83" s="13" t="s">
        <v>255</v>
      </c>
      <c r="B83" s="8">
        <v>3074.7799999999997</v>
      </c>
      <c r="C83" s="8">
        <v>8160</v>
      </c>
      <c r="D83" s="424">
        <f t="shared" si="1"/>
        <v>37.681127450980391</v>
      </c>
    </row>
    <row r="84" spans="1:4" x14ac:dyDescent="0.3">
      <c r="A84" s="13" t="s">
        <v>128</v>
      </c>
      <c r="B84" s="8">
        <v>6452.119999999999</v>
      </c>
      <c r="C84" s="8">
        <v>18733</v>
      </c>
      <c r="D84" s="424">
        <f t="shared" si="1"/>
        <v>34.442534564671959</v>
      </c>
    </row>
    <row r="85" spans="1:4" x14ac:dyDescent="0.3">
      <c r="A85" s="13" t="s">
        <v>124</v>
      </c>
      <c r="B85" s="8">
        <v>7266.4600000000009</v>
      </c>
      <c r="C85" s="8">
        <v>21088</v>
      </c>
      <c r="D85" s="424">
        <f t="shared" si="1"/>
        <v>34.457795902883163</v>
      </c>
    </row>
    <row r="86" spans="1:4" x14ac:dyDescent="0.3">
      <c r="A86" s="13" t="s">
        <v>259</v>
      </c>
      <c r="B86" s="8">
        <v>5557.82</v>
      </c>
      <c r="C86" s="8">
        <v>15769</v>
      </c>
      <c r="D86" s="424">
        <f t="shared" si="1"/>
        <v>35.245227978946033</v>
      </c>
    </row>
    <row r="87" spans="1:4" x14ac:dyDescent="0.3">
      <c r="A87" s="13" t="s">
        <v>116</v>
      </c>
      <c r="B87" s="8">
        <v>4628.49</v>
      </c>
      <c r="C87" s="8">
        <v>11619</v>
      </c>
      <c r="D87" s="424">
        <f t="shared" si="1"/>
        <v>39.835528014459079</v>
      </c>
    </row>
    <row r="88" spans="1:4" x14ac:dyDescent="0.3">
      <c r="A88" s="13" t="s">
        <v>1140</v>
      </c>
      <c r="B88" s="8">
        <v>7669.8700000000008</v>
      </c>
      <c r="C88" s="8">
        <v>20743</v>
      </c>
      <c r="D88" s="424">
        <f t="shared" si="1"/>
        <v>36.975702646675991</v>
      </c>
    </row>
    <row r="89" spans="1:4" x14ac:dyDescent="0.3">
      <c r="A89" s="13" t="s">
        <v>1142</v>
      </c>
      <c r="B89" s="8">
        <v>6435.8600000000006</v>
      </c>
      <c r="C89" s="8">
        <v>18293</v>
      </c>
      <c r="D89" s="424">
        <f t="shared" si="1"/>
        <v>35.182091510413819</v>
      </c>
    </row>
    <row r="90" spans="1:4" x14ac:dyDescent="0.3">
      <c r="A90" s="13" t="s">
        <v>134</v>
      </c>
      <c r="B90" s="8">
        <v>6773.19</v>
      </c>
      <c r="C90" s="8">
        <v>18154</v>
      </c>
      <c r="D90" s="424">
        <f t="shared" si="1"/>
        <v>37.309628731959897</v>
      </c>
    </row>
    <row r="91" spans="1:4" x14ac:dyDescent="0.3">
      <c r="A91" s="13" t="s">
        <v>110</v>
      </c>
      <c r="B91" s="8">
        <v>6372.77</v>
      </c>
      <c r="C91" s="8">
        <v>16083</v>
      </c>
      <c r="D91" s="424">
        <f t="shared" si="1"/>
        <v>39.624261642728349</v>
      </c>
    </row>
    <row r="92" spans="1:4" x14ac:dyDescent="0.3">
      <c r="A92" s="13" t="s">
        <v>119</v>
      </c>
      <c r="B92" s="8">
        <v>5884.4599999999991</v>
      </c>
      <c r="C92" s="8">
        <v>15462</v>
      </c>
      <c r="D92" s="424">
        <f t="shared" si="1"/>
        <v>38.05756047083171</v>
      </c>
    </row>
    <row r="93" spans="1:4" x14ac:dyDescent="0.3">
      <c r="A93" s="13" t="s">
        <v>129</v>
      </c>
      <c r="B93" s="8">
        <v>7489.7800000000007</v>
      </c>
      <c r="C93" s="8">
        <v>18798</v>
      </c>
      <c r="D93" s="424">
        <f t="shared" si="1"/>
        <v>39.843493988722209</v>
      </c>
    </row>
    <row r="94" spans="1:4" x14ac:dyDescent="0.3">
      <c r="A94" s="13" t="s">
        <v>111</v>
      </c>
      <c r="B94" s="8">
        <v>7427.3099999999995</v>
      </c>
      <c r="C94" s="8">
        <v>19322</v>
      </c>
      <c r="D94" s="424">
        <f t="shared" si="1"/>
        <v>38.439654280095226</v>
      </c>
    </row>
    <row r="95" spans="1:4" x14ac:dyDescent="0.3">
      <c r="A95" s="13" t="s">
        <v>132</v>
      </c>
      <c r="B95" s="8">
        <v>8144.11</v>
      </c>
      <c r="C95" s="8">
        <v>21239</v>
      </c>
      <c r="D95" s="424">
        <f t="shared" si="1"/>
        <v>38.345072743537827</v>
      </c>
    </row>
    <row r="96" spans="1:4" x14ac:dyDescent="0.3">
      <c r="A96" s="13" t="s">
        <v>131</v>
      </c>
      <c r="B96" s="8">
        <v>6421.05</v>
      </c>
      <c r="C96" s="8">
        <v>17096</v>
      </c>
      <c r="D96" s="424">
        <f t="shared" si="1"/>
        <v>37.558785680861021</v>
      </c>
    </row>
    <row r="97" spans="1:4" x14ac:dyDescent="0.3">
      <c r="A97" s="13" t="s">
        <v>120</v>
      </c>
      <c r="B97" s="8">
        <v>7107</v>
      </c>
      <c r="C97" s="8">
        <v>18163</v>
      </c>
      <c r="D97" s="424">
        <f t="shared" si="1"/>
        <v>39.128998513461433</v>
      </c>
    </row>
    <row r="98" spans="1:4" x14ac:dyDescent="0.3">
      <c r="A98" s="13" t="s">
        <v>115</v>
      </c>
      <c r="B98" s="8">
        <v>7825.8499999999995</v>
      </c>
      <c r="C98" s="8">
        <v>21143</v>
      </c>
      <c r="D98" s="424">
        <f t="shared" si="1"/>
        <v>37.013905311450593</v>
      </c>
    </row>
    <row r="99" spans="1:4" x14ac:dyDescent="0.3">
      <c r="A99" s="13" t="s">
        <v>112</v>
      </c>
      <c r="B99" s="8">
        <v>1319.09</v>
      </c>
      <c r="C99" s="8">
        <v>3371</v>
      </c>
      <c r="D99" s="424">
        <f t="shared" si="1"/>
        <v>39.130525066745768</v>
      </c>
    </row>
    <row r="100" spans="1:4" x14ac:dyDescent="0.3">
      <c r="A100" s="13" t="s">
        <v>138</v>
      </c>
      <c r="B100" s="8">
        <v>7837.16</v>
      </c>
      <c r="C100" s="8">
        <v>21409</v>
      </c>
      <c r="D100" s="424">
        <f t="shared" si="1"/>
        <v>36.606847587463214</v>
      </c>
    </row>
    <row r="101" spans="1:4" x14ac:dyDescent="0.3">
      <c r="A101" s="13" t="s">
        <v>122</v>
      </c>
      <c r="B101" s="8">
        <v>4162.34</v>
      </c>
      <c r="C101" s="8">
        <v>10596</v>
      </c>
      <c r="D101" s="424">
        <f t="shared" si="1"/>
        <v>39.282181955454895</v>
      </c>
    </row>
    <row r="102" spans="1:4" x14ac:dyDescent="0.3">
      <c r="A102" s="13" t="s">
        <v>126</v>
      </c>
      <c r="B102" s="8">
        <v>10628.75</v>
      </c>
      <c r="C102" s="8">
        <v>26811</v>
      </c>
      <c r="D102" s="424">
        <f t="shared" si="1"/>
        <v>39.643243444854726</v>
      </c>
    </row>
    <row r="103" spans="1:4" x14ac:dyDescent="0.3">
      <c r="A103" s="13" t="s">
        <v>135</v>
      </c>
      <c r="B103" s="8">
        <v>6950.89</v>
      </c>
      <c r="C103" s="8">
        <v>17832</v>
      </c>
      <c r="D103" s="424">
        <f t="shared" si="1"/>
        <v>38.979867653656356</v>
      </c>
    </row>
    <row r="104" spans="1:4" x14ac:dyDescent="0.3">
      <c r="A104" s="13" t="s">
        <v>123</v>
      </c>
      <c r="B104" s="8">
        <v>6856.16</v>
      </c>
      <c r="C104" s="8">
        <v>18420</v>
      </c>
      <c r="D104" s="424">
        <f t="shared" si="1"/>
        <v>37.221281216069492</v>
      </c>
    </row>
    <row r="105" spans="1:4" x14ac:dyDescent="0.3">
      <c r="A105" s="13" t="s">
        <v>139</v>
      </c>
      <c r="B105" s="8">
        <v>7106.1599999999989</v>
      </c>
      <c r="C105" s="8">
        <v>19833</v>
      </c>
      <c r="D105" s="424">
        <f t="shared" si="1"/>
        <v>35.82998033580396</v>
      </c>
    </row>
    <row r="106" spans="1:4" x14ac:dyDescent="0.3">
      <c r="A106" s="13" t="s">
        <v>1116</v>
      </c>
      <c r="B106" s="8">
        <v>5648.7900000000009</v>
      </c>
      <c r="C106" s="8">
        <v>14908</v>
      </c>
      <c r="D106" s="424">
        <f t="shared" si="1"/>
        <v>37.890998121813794</v>
      </c>
    </row>
    <row r="107" spans="1:4" x14ac:dyDescent="0.3">
      <c r="A107" s="13" t="s">
        <v>1115</v>
      </c>
      <c r="B107" s="8">
        <v>5765.0400000000009</v>
      </c>
      <c r="C107" s="8">
        <v>16484</v>
      </c>
      <c r="D107" s="424">
        <f t="shared" ref="D107:D108" si="2">B107/C107*100</f>
        <v>34.973550109196808</v>
      </c>
    </row>
    <row r="108" spans="1:4" x14ac:dyDescent="0.3">
      <c r="A108" s="13" t="s">
        <v>125</v>
      </c>
      <c r="B108" s="8">
        <v>6050.8799999999992</v>
      </c>
      <c r="C108" s="8">
        <v>16542</v>
      </c>
      <c r="D108" s="424">
        <f t="shared" si="2"/>
        <v>36.578890097932529</v>
      </c>
    </row>
    <row r="109" spans="1:4" x14ac:dyDescent="0.3">
      <c r="A109" s="415" t="s">
        <v>1086</v>
      </c>
      <c r="B109" s="422">
        <f>SUM(B8:B108)</f>
        <v>668268.34999999986</v>
      </c>
      <c r="C109" s="418">
        <f>SUM(C8:C108)</f>
        <v>1841948</v>
      </c>
      <c r="D109" s="426">
        <f>B109/C109*100</f>
        <v>36.280522034281091</v>
      </c>
    </row>
  </sheetData>
  <mergeCells count="1">
    <mergeCell ref="A1:D1"/>
  </mergeCells>
  <conditionalFormatting sqref="D1:D109">
    <cfRule type="colorScale" priority="127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D106">
    <cfRule type="colorScale" priority="127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D106">
    <cfRule type="colorScale" priority="12783">
      <colorScale>
        <cfvo type="min"/>
        <cfvo type="percentile" val="34"/>
        <cfvo type="percent" val="38"/>
        <color rgb="FF63BE7B"/>
        <color rgb="FFFFEB84"/>
        <color rgb="FFF8696B"/>
      </colorScale>
    </cfRule>
    <cfRule type="colorScale" priority="12784">
      <colorScale>
        <cfvo type="min"/>
        <cfvo type="percentile" val="50"/>
        <cfvo type="max"/>
        <color rgb="FFFFFF99"/>
        <color rgb="FF92D050"/>
        <color rgb="FFEE0000"/>
      </colorScale>
    </cfRule>
    <cfRule type="colorScale" priority="127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786">
      <colorScale>
        <cfvo type="min"/>
        <cfvo type="max"/>
        <color rgb="FF92D050"/>
        <color rgb="FFEE0000"/>
      </colorScale>
    </cfRule>
  </conditionalFormatting>
  <conditionalFormatting sqref="D7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7:D108">
    <cfRule type="colorScale" priority="3">
      <colorScale>
        <cfvo type="min"/>
        <cfvo type="percentile" val="34"/>
        <cfvo type="percent" val="38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FFFF99"/>
        <color rgb="FF92D050"/>
        <color rgb="FFEE0000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max"/>
        <color rgb="FF92D050"/>
        <color rgb="FFEE0000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FB7DC-07BC-4AFB-A73B-475D33B9388B}">
  <dimension ref="A1:D108"/>
  <sheetViews>
    <sheetView topLeftCell="A97" workbookViewId="0">
      <selection activeCell="F98" sqref="F98"/>
    </sheetView>
  </sheetViews>
  <sheetFormatPr baseColWidth="10" defaultRowHeight="14.4" x14ac:dyDescent="0.3"/>
  <sheetData>
    <row r="1" spans="1:4" ht="16.2" thickBot="1" x14ac:dyDescent="0.35">
      <c r="A1" s="447" t="s">
        <v>1204</v>
      </c>
      <c r="B1" s="448"/>
      <c r="C1" s="448"/>
      <c r="D1" s="449"/>
    </row>
    <row r="2" spans="1:4" x14ac:dyDescent="0.3">
      <c r="B2" s="419"/>
      <c r="C2" s="416"/>
      <c r="D2" s="416"/>
    </row>
    <row r="3" spans="1:4" x14ac:dyDescent="0.3">
      <c r="B3" s="419"/>
      <c r="C3" s="416"/>
      <c r="D3" s="416"/>
    </row>
    <row r="4" spans="1:4" x14ac:dyDescent="0.3">
      <c r="A4" s="415" t="s">
        <v>1123</v>
      </c>
      <c r="B4" s="427" t="s">
        <v>1124</v>
      </c>
      <c r="C4" s="418" t="s">
        <v>1132</v>
      </c>
      <c r="D4" s="418" t="s">
        <v>1125</v>
      </c>
    </row>
    <row r="5" spans="1:4" x14ac:dyDescent="0.3">
      <c r="A5" s="12" t="s">
        <v>1092</v>
      </c>
      <c r="B5">
        <v>7036.59</v>
      </c>
      <c r="C5">
        <v>18628</v>
      </c>
      <c r="D5" s="424">
        <f t="shared" ref="D5:D70" si="0">B5/C5*100</f>
        <v>37.774264547992267</v>
      </c>
    </row>
    <row r="6" spans="1:4" x14ac:dyDescent="0.3">
      <c r="A6" s="12" t="s">
        <v>1158</v>
      </c>
      <c r="B6">
        <v>5873.76</v>
      </c>
      <c r="C6">
        <v>16017</v>
      </c>
      <c r="D6" s="424">
        <f t="shared" si="0"/>
        <v>36.672035961790598</v>
      </c>
    </row>
    <row r="7" spans="1:4" x14ac:dyDescent="0.3">
      <c r="A7" s="12" t="s">
        <v>189</v>
      </c>
      <c r="B7">
        <v>6566.15</v>
      </c>
      <c r="C7">
        <v>18396</v>
      </c>
      <c r="D7" s="424">
        <f t="shared" si="0"/>
        <v>35.69335725157643</v>
      </c>
    </row>
    <row r="8" spans="1:4" x14ac:dyDescent="0.3">
      <c r="A8" s="12" t="s">
        <v>191</v>
      </c>
      <c r="B8">
        <v>7044.6399999999994</v>
      </c>
      <c r="C8">
        <v>20259</v>
      </c>
      <c r="D8" s="424">
        <f t="shared" si="0"/>
        <v>34.772891060763115</v>
      </c>
    </row>
    <row r="9" spans="1:4" x14ac:dyDescent="0.3">
      <c r="A9" s="12" t="s">
        <v>192</v>
      </c>
      <c r="B9">
        <v>6377.5199999999995</v>
      </c>
      <c r="C9">
        <v>16733</v>
      </c>
      <c r="D9" s="424">
        <f t="shared" si="0"/>
        <v>38.113428554353668</v>
      </c>
    </row>
    <row r="10" spans="1:4" x14ac:dyDescent="0.3">
      <c r="A10" s="12" t="s">
        <v>193</v>
      </c>
      <c r="B10">
        <v>6897.4299999999994</v>
      </c>
      <c r="C10">
        <v>19752</v>
      </c>
      <c r="D10" s="424">
        <f t="shared" si="0"/>
        <v>34.920159983799103</v>
      </c>
    </row>
    <row r="11" spans="1:4" x14ac:dyDescent="0.3">
      <c r="A11" s="12" t="s">
        <v>195</v>
      </c>
      <c r="B11">
        <v>6257.06</v>
      </c>
      <c r="C11">
        <v>18714</v>
      </c>
      <c r="D11" s="424">
        <f t="shared" si="0"/>
        <v>33.435182216522392</v>
      </c>
    </row>
    <row r="12" spans="1:4" x14ac:dyDescent="0.3">
      <c r="A12" s="12" t="s">
        <v>184</v>
      </c>
      <c r="B12">
        <v>6509.4599999999991</v>
      </c>
      <c r="C12">
        <v>16356</v>
      </c>
      <c r="D12" s="424">
        <f t="shared" si="0"/>
        <v>39.798606016140859</v>
      </c>
    </row>
    <row r="13" spans="1:4" x14ac:dyDescent="0.3">
      <c r="A13" s="12" t="s">
        <v>216</v>
      </c>
      <c r="B13">
        <v>5839.74</v>
      </c>
      <c r="C13">
        <v>15457</v>
      </c>
      <c r="D13" s="424">
        <f t="shared" si="0"/>
        <v>37.780552500485214</v>
      </c>
    </row>
    <row r="14" spans="1:4" x14ac:dyDescent="0.3">
      <c r="A14" s="12" t="s">
        <v>1143</v>
      </c>
      <c r="B14">
        <v>7102.12</v>
      </c>
      <c r="C14">
        <v>21204.63</v>
      </c>
      <c r="D14" s="424">
        <f t="shared" si="0"/>
        <v>33.49325123805508</v>
      </c>
    </row>
    <row r="15" spans="1:4" x14ac:dyDescent="0.3">
      <c r="A15" s="12" t="s">
        <v>209</v>
      </c>
      <c r="B15">
        <v>5751.9100000000008</v>
      </c>
      <c r="C15">
        <v>15975</v>
      </c>
      <c r="D15" s="424">
        <f t="shared" si="0"/>
        <v>36.005696400625979</v>
      </c>
    </row>
    <row r="16" spans="1:4" x14ac:dyDescent="0.3">
      <c r="A16" s="12" t="s">
        <v>212</v>
      </c>
      <c r="B16">
        <v>5399.22</v>
      </c>
      <c r="C16">
        <v>14292</v>
      </c>
      <c r="D16" s="424">
        <f t="shared" si="0"/>
        <v>37.777917716204875</v>
      </c>
    </row>
    <row r="17" spans="1:4" x14ac:dyDescent="0.3">
      <c r="A17" s="12" t="s">
        <v>214</v>
      </c>
      <c r="B17">
        <v>5210.08</v>
      </c>
      <c r="C17">
        <v>14396</v>
      </c>
      <c r="D17" s="424">
        <f t="shared" si="0"/>
        <v>36.191164212281194</v>
      </c>
    </row>
    <row r="18" spans="1:4" x14ac:dyDescent="0.3">
      <c r="A18" s="12" t="s">
        <v>218</v>
      </c>
      <c r="B18">
        <v>7683.9400000000005</v>
      </c>
      <c r="C18">
        <v>21232</v>
      </c>
      <c r="D18" s="424">
        <f t="shared" si="0"/>
        <v>36.190373021853809</v>
      </c>
    </row>
    <row r="19" spans="1:4" x14ac:dyDescent="0.3">
      <c r="A19" s="12" t="s">
        <v>220</v>
      </c>
      <c r="B19">
        <v>6134.6</v>
      </c>
      <c r="C19">
        <v>16776</v>
      </c>
      <c r="D19" s="424">
        <f t="shared" si="0"/>
        <v>36.567715784453988</v>
      </c>
    </row>
    <row r="20" spans="1:4" x14ac:dyDescent="0.3">
      <c r="A20" s="12" t="s">
        <v>222</v>
      </c>
      <c r="B20">
        <v>6480.67</v>
      </c>
      <c r="C20">
        <v>17924</v>
      </c>
      <c r="D20" s="424">
        <f t="shared" si="0"/>
        <v>36.156382503905377</v>
      </c>
    </row>
    <row r="21" spans="1:4" x14ac:dyDescent="0.3">
      <c r="A21" s="12" t="s">
        <v>438</v>
      </c>
      <c r="B21">
        <v>6917.42</v>
      </c>
      <c r="C21">
        <v>17279</v>
      </c>
      <c r="D21" s="424">
        <f t="shared" si="0"/>
        <v>40.033682504774582</v>
      </c>
    </row>
    <row r="22" spans="1:4" x14ac:dyDescent="0.3">
      <c r="A22" s="12" t="s">
        <v>1139</v>
      </c>
      <c r="B22">
        <v>7912.3099999999995</v>
      </c>
      <c r="C22">
        <v>21976</v>
      </c>
      <c r="D22" s="424">
        <f t="shared" si="0"/>
        <v>36.004322897706587</v>
      </c>
    </row>
    <row r="23" spans="1:4" x14ac:dyDescent="0.3">
      <c r="A23" s="12" t="s">
        <v>1136</v>
      </c>
      <c r="B23">
        <v>7467.5999999999995</v>
      </c>
      <c r="C23">
        <v>20496</v>
      </c>
      <c r="D23" s="424">
        <f t="shared" si="0"/>
        <v>36.43442622950819</v>
      </c>
    </row>
    <row r="24" spans="1:4" x14ac:dyDescent="0.3">
      <c r="A24" s="12" t="s">
        <v>1152</v>
      </c>
      <c r="B24">
        <v>4833.6400000000003</v>
      </c>
      <c r="C24">
        <v>13398</v>
      </c>
      <c r="D24" s="424">
        <f t="shared" si="0"/>
        <v>36.077324973876699</v>
      </c>
    </row>
    <row r="25" spans="1:4" x14ac:dyDescent="0.3">
      <c r="A25" s="12" t="s">
        <v>1137</v>
      </c>
      <c r="B25">
        <v>6384.35</v>
      </c>
      <c r="C25">
        <v>17104</v>
      </c>
      <c r="D25" s="424">
        <f t="shared" si="0"/>
        <v>37.326648737137511</v>
      </c>
    </row>
    <row r="26" spans="1:4" x14ac:dyDescent="0.3">
      <c r="A26" s="12" t="s">
        <v>1150</v>
      </c>
      <c r="B26">
        <v>5101.5200000000004</v>
      </c>
      <c r="C26">
        <v>13152</v>
      </c>
      <c r="D26" s="424">
        <f t="shared" si="0"/>
        <v>38.788929440389296</v>
      </c>
    </row>
    <row r="27" spans="1:4" x14ac:dyDescent="0.3">
      <c r="A27" s="12" t="s">
        <v>440</v>
      </c>
      <c r="B27">
        <v>7729.91</v>
      </c>
      <c r="C27">
        <v>22031</v>
      </c>
      <c r="D27" s="424">
        <f t="shared" si="0"/>
        <v>35.086514456901632</v>
      </c>
    </row>
    <row r="28" spans="1:4" x14ac:dyDescent="0.3">
      <c r="A28" s="12" t="s">
        <v>422</v>
      </c>
      <c r="B28">
        <v>6191.25</v>
      </c>
      <c r="C28">
        <v>17595</v>
      </c>
      <c r="D28" s="424">
        <f t="shared" si="0"/>
        <v>35.187553282182435</v>
      </c>
    </row>
    <row r="29" spans="1:4" x14ac:dyDescent="0.3">
      <c r="A29" s="12" t="s">
        <v>424</v>
      </c>
      <c r="B29">
        <v>4305.55</v>
      </c>
      <c r="C29">
        <v>12954</v>
      </c>
      <c r="D29" s="424">
        <f t="shared" si="0"/>
        <v>33.237224023467654</v>
      </c>
    </row>
    <row r="30" spans="1:4" x14ac:dyDescent="0.3">
      <c r="A30" s="12" t="s">
        <v>433</v>
      </c>
      <c r="B30">
        <v>6644.5199999999995</v>
      </c>
      <c r="C30">
        <v>18757</v>
      </c>
      <c r="D30" s="424">
        <f t="shared" si="0"/>
        <v>35.424214959748355</v>
      </c>
    </row>
    <row r="31" spans="1:4" x14ac:dyDescent="0.3">
      <c r="A31" s="12" t="s">
        <v>1141</v>
      </c>
      <c r="B31">
        <v>5846.19</v>
      </c>
      <c r="C31">
        <v>16326</v>
      </c>
      <c r="D31" s="424">
        <f t="shared" si="0"/>
        <v>35.809077545020216</v>
      </c>
    </row>
    <row r="32" spans="1:4" x14ac:dyDescent="0.3">
      <c r="A32" s="12" t="s">
        <v>1095</v>
      </c>
      <c r="B32">
        <v>5283.15</v>
      </c>
      <c r="C32">
        <v>15119</v>
      </c>
      <c r="D32" s="424">
        <f t="shared" si="0"/>
        <v>34.943779350486146</v>
      </c>
    </row>
    <row r="33" spans="1:4" x14ac:dyDescent="0.3">
      <c r="A33" s="12" t="s">
        <v>1094</v>
      </c>
      <c r="B33">
        <v>5455.23</v>
      </c>
      <c r="C33">
        <v>15942</v>
      </c>
      <c r="D33" s="424">
        <f t="shared" si="0"/>
        <v>34.219232216785841</v>
      </c>
    </row>
    <row r="34" spans="1:4" x14ac:dyDescent="0.3">
      <c r="A34" s="12" t="s">
        <v>427</v>
      </c>
      <c r="B34">
        <v>5403.98</v>
      </c>
      <c r="C34">
        <v>15876</v>
      </c>
      <c r="D34" s="424">
        <f t="shared" si="0"/>
        <v>34.03867472915092</v>
      </c>
    </row>
    <row r="35" spans="1:4" x14ac:dyDescent="0.3">
      <c r="A35" s="12" t="s">
        <v>1144</v>
      </c>
      <c r="B35">
        <v>5857</v>
      </c>
      <c r="C35">
        <v>17186</v>
      </c>
      <c r="D35" s="424">
        <f t="shared" si="0"/>
        <v>34.080065169323873</v>
      </c>
    </row>
    <row r="36" spans="1:4" x14ac:dyDescent="0.3">
      <c r="A36" s="12" t="s">
        <v>540</v>
      </c>
      <c r="B36">
        <v>4718.63</v>
      </c>
      <c r="C36">
        <v>14187</v>
      </c>
      <c r="D36" s="424">
        <f t="shared" si="0"/>
        <v>33.260238246281808</v>
      </c>
    </row>
    <row r="37" spans="1:4" x14ac:dyDescent="0.3">
      <c r="A37" s="12" t="s">
        <v>581</v>
      </c>
      <c r="B37">
        <v>6468.86</v>
      </c>
      <c r="C37">
        <v>19230</v>
      </c>
      <c r="D37" s="424">
        <f t="shared" si="0"/>
        <v>33.639417576703067</v>
      </c>
    </row>
    <row r="38" spans="1:4" x14ac:dyDescent="0.3">
      <c r="A38" s="12" t="s">
        <v>519</v>
      </c>
      <c r="B38">
        <v>5501.56</v>
      </c>
      <c r="C38">
        <v>16516</v>
      </c>
      <c r="D38" s="424">
        <f t="shared" si="0"/>
        <v>33.310486800678135</v>
      </c>
    </row>
    <row r="39" spans="1:4" x14ac:dyDescent="0.3">
      <c r="A39" s="12" t="s">
        <v>522</v>
      </c>
      <c r="B39">
        <v>7083.7199999999993</v>
      </c>
      <c r="C39">
        <v>21394</v>
      </c>
      <c r="D39" s="424">
        <f t="shared" si="0"/>
        <v>33.110778723006447</v>
      </c>
    </row>
    <row r="40" spans="1:4" x14ac:dyDescent="0.3">
      <c r="A40" s="12" t="s">
        <v>768</v>
      </c>
      <c r="B40">
        <v>5848.2599999999993</v>
      </c>
      <c r="C40">
        <v>16424</v>
      </c>
      <c r="D40" s="424">
        <f t="shared" si="0"/>
        <v>35.60801266439357</v>
      </c>
    </row>
    <row r="41" spans="1:4" x14ac:dyDescent="0.3">
      <c r="A41" s="12" t="s">
        <v>748</v>
      </c>
      <c r="B41">
        <v>7422.03</v>
      </c>
      <c r="C41">
        <v>21486</v>
      </c>
      <c r="D41" s="424">
        <f t="shared" si="0"/>
        <v>34.543563250488688</v>
      </c>
    </row>
    <row r="42" spans="1:4" x14ac:dyDescent="0.3">
      <c r="A42" s="12" t="s">
        <v>754</v>
      </c>
      <c r="B42">
        <v>6660.0199999999995</v>
      </c>
      <c r="C42">
        <v>19046</v>
      </c>
      <c r="D42" s="424">
        <f t="shared" si="0"/>
        <v>34.968077286569354</v>
      </c>
    </row>
    <row r="43" spans="1:4" x14ac:dyDescent="0.3">
      <c r="A43" s="12" t="s">
        <v>1090</v>
      </c>
      <c r="B43">
        <v>3833.16</v>
      </c>
      <c r="C43">
        <v>11355</v>
      </c>
      <c r="D43" s="424">
        <f t="shared" si="0"/>
        <v>33.757463672391012</v>
      </c>
    </row>
    <row r="44" spans="1:4" x14ac:dyDescent="0.3">
      <c r="A44" s="12" t="s">
        <v>1151</v>
      </c>
      <c r="B44">
        <v>4858.05</v>
      </c>
      <c r="C44">
        <v>13968</v>
      </c>
      <c r="D44" s="424">
        <f t="shared" si="0"/>
        <v>34.779853951890033</v>
      </c>
    </row>
    <row r="45" spans="1:4" x14ac:dyDescent="0.3">
      <c r="A45" s="12" t="s">
        <v>1091</v>
      </c>
      <c r="B45">
        <v>5294.39</v>
      </c>
      <c r="C45">
        <v>15262</v>
      </c>
      <c r="D45" s="424">
        <f t="shared" si="0"/>
        <v>34.690014414886647</v>
      </c>
    </row>
    <row r="46" spans="1:4" x14ac:dyDescent="0.3">
      <c r="A46" s="12" t="s">
        <v>1118</v>
      </c>
      <c r="B46">
        <v>5805.3700000000008</v>
      </c>
      <c r="C46">
        <v>16116</v>
      </c>
      <c r="D46" s="424">
        <f t="shared" si="0"/>
        <v>36.022400099280219</v>
      </c>
    </row>
    <row r="47" spans="1:4" x14ac:dyDescent="0.3">
      <c r="A47" s="12" t="s">
        <v>1096</v>
      </c>
      <c r="B47">
        <v>7356.52</v>
      </c>
      <c r="C47">
        <v>22980</v>
      </c>
      <c r="D47" s="424">
        <f t="shared" si="0"/>
        <v>32.012706701479551</v>
      </c>
    </row>
    <row r="48" spans="1:4" x14ac:dyDescent="0.3">
      <c r="A48" s="12" t="s">
        <v>1117</v>
      </c>
      <c r="B48">
        <v>6643.2799999999988</v>
      </c>
      <c r="C48">
        <v>19591</v>
      </c>
      <c r="D48" s="424">
        <f t="shared" si="0"/>
        <v>33.909856566790872</v>
      </c>
    </row>
    <row r="49" spans="1:4" x14ac:dyDescent="0.3">
      <c r="A49" s="12" t="s">
        <v>1126</v>
      </c>
      <c r="B49">
        <v>5890.35</v>
      </c>
      <c r="C49">
        <v>18033</v>
      </c>
      <c r="D49" s="424">
        <f t="shared" si="0"/>
        <v>32.664282149392783</v>
      </c>
    </row>
    <row r="50" spans="1:4" x14ac:dyDescent="0.3">
      <c r="A50" s="12" t="s">
        <v>1130</v>
      </c>
      <c r="B50">
        <v>3795.23</v>
      </c>
      <c r="C50">
        <v>10445</v>
      </c>
      <c r="D50" s="424">
        <f t="shared" si="0"/>
        <v>36.335375777884153</v>
      </c>
    </row>
    <row r="51" spans="1:4" x14ac:dyDescent="0.3">
      <c r="A51" s="12" t="s">
        <v>1129</v>
      </c>
      <c r="B51">
        <v>3833.97</v>
      </c>
      <c r="C51">
        <v>11170</v>
      </c>
      <c r="D51" s="424">
        <f t="shared" si="0"/>
        <v>34.323813786929271</v>
      </c>
    </row>
    <row r="52" spans="1:4" x14ac:dyDescent="0.3">
      <c r="A52" s="12" t="s">
        <v>1133</v>
      </c>
      <c r="B52">
        <v>7999.6899999999987</v>
      </c>
      <c r="C52">
        <v>21538</v>
      </c>
      <c r="D52" s="424">
        <f t="shared" si="0"/>
        <v>37.142213761723461</v>
      </c>
    </row>
    <row r="53" spans="1:4" x14ac:dyDescent="0.3">
      <c r="A53" s="12" t="s">
        <v>1134</v>
      </c>
      <c r="B53">
        <v>6684.9800000000005</v>
      </c>
      <c r="C53">
        <v>19875</v>
      </c>
      <c r="D53" s="424">
        <f t="shared" si="0"/>
        <v>33.635119496855346</v>
      </c>
    </row>
    <row r="54" spans="1:4" x14ac:dyDescent="0.3">
      <c r="A54" s="12" t="s">
        <v>1135</v>
      </c>
      <c r="B54">
        <v>5253.19</v>
      </c>
      <c r="C54">
        <v>14931</v>
      </c>
      <c r="D54" s="424">
        <f t="shared" si="0"/>
        <v>35.18310896791909</v>
      </c>
    </row>
    <row r="55" spans="1:4" x14ac:dyDescent="0.3">
      <c r="A55" s="12" t="s">
        <v>1154</v>
      </c>
      <c r="B55">
        <v>7513.86</v>
      </c>
      <c r="C55">
        <v>21619</v>
      </c>
      <c r="D55" s="424">
        <f t="shared" si="0"/>
        <v>34.755816642767932</v>
      </c>
    </row>
    <row r="56" spans="1:4" x14ac:dyDescent="0.3">
      <c r="A56" s="12" t="s">
        <v>1159</v>
      </c>
      <c r="B56">
        <v>6181.94</v>
      </c>
      <c r="C56">
        <v>16778</v>
      </c>
      <c r="D56" s="424">
        <f t="shared" si="0"/>
        <v>36.845511979973772</v>
      </c>
    </row>
    <row r="57" spans="1:4" x14ac:dyDescent="0.3">
      <c r="A57" s="12" t="s">
        <v>1156</v>
      </c>
      <c r="B57">
        <v>6419.6699999999992</v>
      </c>
      <c r="C57">
        <v>18432</v>
      </c>
      <c r="D57" s="424">
        <f t="shared" si="0"/>
        <v>34.828938802083329</v>
      </c>
    </row>
    <row r="58" spans="1:4" x14ac:dyDescent="0.3">
      <c r="A58" s="12" t="s">
        <v>1157</v>
      </c>
      <c r="B58">
        <v>6681.37</v>
      </c>
      <c r="C58">
        <v>18680</v>
      </c>
      <c r="D58" s="424">
        <f t="shared" si="0"/>
        <v>35.767505353319059</v>
      </c>
    </row>
    <row r="59" spans="1:4" x14ac:dyDescent="0.3">
      <c r="A59" s="12" t="s">
        <v>1153</v>
      </c>
      <c r="B59">
        <v>5639.4600000000009</v>
      </c>
      <c r="C59">
        <v>15407</v>
      </c>
      <c r="D59" s="424">
        <f t="shared" si="0"/>
        <v>36.603232297007857</v>
      </c>
    </row>
    <row r="60" spans="1:4" x14ac:dyDescent="0.3">
      <c r="A60" s="12" t="s">
        <v>1173</v>
      </c>
      <c r="B60">
        <v>7498.6299999999983</v>
      </c>
      <c r="C60">
        <v>21930</v>
      </c>
      <c r="D60" s="424">
        <f t="shared" si="0"/>
        <v>34.193479252165979</v>
      </c>
    </row>
    <row r="61" spans="1:4" x14ac:dyDescent="0.3">
      <c r="A61" s="12" t="s">
        <v>1180</v>
      </c>
      <c r="B61">
        <v>7870.14</v>
      </c>
      <c r="C61">
        <v>22100</v>
      </c>
      <c r="D61" s="424">
        <f t="shared" si="0"/>
        <v>35.611493212669686</v>
      </c>
    </row>
    <row r="62" spans="1:4" x14ac:dyDescent="0.3">
      <c r="A62" s="12" t="s">
        <v>1179</v>
      </c>
      <c r="B62">
        <v>6376.45</v>
      </c>
      <c r="C62">
        <v>18997</v>
      </c>
      <c r="D62" s="424">
        <f t="shared" si="0"/>
        <v>33.565562983628993</v>
      </c>
    </row>
    <row r="63" spans="1:4" x14ac:dyDescent="0.3">
      <c r="A63" s="12" t="s">
        <v>1185</v>
      </c>
      <c r="B63">
        <v>7144.2800000000007</v>
      </c>
      <c r="C63">
        <v>20335</v>
      </c>
      <c r="D63" s="424">
        <f t="shared" si="0"/>
        <v>35.132923530858129</v>
      </c>
    </row>
    <row r="64" spans="1:4" x14ac:dyDescent="0.3">
      <c r="A64" s="12" t="s">
        <v>1183</v>
      </c>
      <c r="B64">
        <v>4283.0200000000004</v>
      </c>
      <c r="C64">
        <v>13063</v>
      </c>
      <c r="D64" s="424">
        <f t="shared" si="0"/>
        <v>32.787414835795765</v>
      </c>
    </row>
    <row r="65" spans="1:4" x14ac:dyDescent="0.3">
      <c r="A65" s="12" t="s">
        <v>1186</v>
      </c>
      <c r="B65">
        <v>4629.21</v>
      </c>
      <c r="C65">
        <v>13726</v>
      </c>
      <c r="D65" s="424">
        <f t="shared" si="0"/>
        <v>33.72584875418913</v>
      </c>
    </row>
    <row r="66" spans="1:4" x14ac:dyDescent="0.3">
      <c r="A66" s="12" t="s">
        <v>1187</v>
      </c>
      <c r="B66">
        <v>5510.88</v>
      </c>
      <c r="C66">
        <v>15672</v>
      </c>
      <c r="D66" s="424">
        <f t="shared" si="0"/>
        <v>35.16385911179173</v>
      </c>
    </row>
    <row r="67" spans="1:4" x14ac:dyDescent="0.3">
      <c r="A67" s="12" t="s">
        <v>1189</v>
      </c>
      <c r="B67">
        <v>6594.61</v>
      </c>
      <c r="C67">
        <v>19290</v>
      </c>
      <c r="D67" s="424">
        <f t="shared" si="0"/>
        <v>34.186677034733023</v>
      </c>
    </row>
    <row r="68" spans="1:4" x14ac:dyDescent="0.3">
      <c r="A68" s="12" t="s">
        <v>1190</v>
      </c>
      <c r="B68">
        <v>5765.09</v>
      </c>
      <c r="C68">
        <v>17108</v>
      </c>
      <c r="D68" s="424">
        <f t="shared" si="0"/>
        <v>33.698211363104981</v>
      </c>
    </row>
    <row r="69" spans="1:4" x14ac:dyDescent="0.3">
      <c r="A69" s="12" t="s">
        <v>1193</v>
      </c>
      <c r="B69">
        <v>3729.49</v>
      </c>
      <c r="C69">
        <v>9927</v>
      </c>
      <c r="D69" s="424">
        <f t="shared" si="0"/>
        <v>37.569154830260906</v>
      </c>
    </row>
    <row r="70" spans="1:4" x14ac:dyDescent="0.3">
      <c r="A70" s="12" t="s">
        <v>1195</v>
      </c>
      <c r="B70">
        <v>6590.3499999999995</v>
      </c>
      <c r="C70">
        <v>18788</v>
      </c>
      <c r="D70" s="424">
        <f t="shared" si="0"/>
        <v>35.077443048754517</v>
      </c>
    </row>
    <row r="71" spans="1:4" x14ac:dyDescent="0.3">
      <c r="A71" s="12" t="s">
        <v>1194</v>
      </c>
      <c r="B71">
        <v>7056.2099999999991</v>
      </c>
      <c r="C71">
        <v>20073</v>
      </c>
      <c r="D71" s="424">
        <f t="shared" ref="D71:D107" si="1">B71/C71*100</f>
        <v>35.152742489911823</v>
      </c>
    </row>
    <row r="72" spans="1:4" x14ac:dyDescent="0.3">
      <c r="A72" s="12" t="s">
        <v>1203</v>
      </c>
      <c r="B72">
        <v>1190.27</v>
      </c>
      <c r="C72">
        <v>3134</v>
      </c>
      <c r="D72" s="424">
        <f t="shared" si="1"/>
        <v>37.979259731971922</v>
      </c>
    </row>
    <row r="73" spans="1:4" x14ac:dyDescent="0.3">
      <c r="A73" s="12" t="s">
        <v>1155</v>
      </c>
      <c r="B73">
        <v>3472.37</v>
      </c>
      <c r="C73">
        <v>8760</v>
      </c>
      <c r="D73" s="424">
        <f t="shared" si="1"/>
        <v>39.638926940639266</v>
      </c>
    </row>
    <row r="74" spans="1:4" x14ac:dyDescent="0.3">
      <c r="A74" s="12" t="s">
        <v>109</v>
      </c>
      <c r="B74">
        <v>3942.96</v>
      </c>
      <c r="C74">
        <v>10588</v>
      </c>
      <c r="D74" s="424">
        <f t="shared" si="1"/>
        <v>37.239894219871559</v>
      </c>
    </row>
    <row r="75" spans="1:4" x14ac:dyDescent="0.3">
      <c r="A75" s="12" t="s">
        <v>1148</v>
      </c>
      <c r="B75">
        <v>4023.19</v>
      </c>
      <c r="C75">
        <v>10573</v>
      </c>
      <c r="D75" s="424">
        <f t="shared" si="1"/>
        <v>38.051546391752581</v>
      </c>
    </row>
    <row r="76" spans="1:4" x14ac:dyDescent="0.3">
      <c r="A76" s="12" t="s">
        <v>1138</v>
      </c>
      <c r="B76">
        <v>5972.88</v>
      </c>
      <c r="C76">
        <v>17743</v>
      </c>
      <c r="D76" s="424">
        <f t="shared" si="1"/>
        <v>33.663303838133352</v>
      </c>
    </row>
    <row r="77" spans="1:4" x14ac:dyDescent="0.3">
      <c r="A77" s="12" t="s">
        <v>137</v>
      </c>
      <c r="B77">
        <v>6040.08</v>
      </c>
      <c r="C77">
        <v>15469</v>
      </c>
      <c r="D77" s="424">
        <f t="shared" si="1"/>
        <v>39.046350766048228</v>
      </c>
    </row>
    <row r="78" spans="1:4" x14ac:dyDescent="0.3">
      <c r="A78" s="12" t="s">
        <v>250</v>
      </c>
      <c r="B78">
        <v>3004.4</v>
      </c>
      <c r="C78">
        <v>7869</v>
      </c>
      <c r="D78" s="425">
        <f t="shared" si="1"/>
        <v>38.180200787901896</v>
      </c>
    </row>
    <row r="79" spans="1:4" x14ac:dyDescent="0.3">
      <c r="A79" s="12" t="s">
        <v>251</v>
      </c>
      <c r="B79">
        <v>8085.29</v>
      </c>
      <c r="C79">
        <v>20076</v>
      </c>
      <c r="D79" s="424">
        <f t="shared" si="1"/>
        <v>40.273411038055393</v>
      </c>
    </row>
    <row r="80" spans="1:4" x14ac:dyDescent="0.3">
      <c r="A80" s="12" t="s">
        <v>121</v>
      </c>
      <c r="B80">
        <v>6595.6399999999994</v>
      </c>
      <c r="C80">
        <v>19405</v>
      </c>
      <c r="D80" s="424">
        <f t="shared" si="1"/>
        <v>33.989384179335218</v>
      </c>
    </row>
    <row r="81" spans="1:4" x14ac:dyDescent="0.3">
      <c r="A81" s="12" t="s">
        <v>140</v>
      </c>
      <c r="B81">
        <v>4539.2199999999993</v>
      </c>
      <c r="C81">
        <v>12995</v>
      </c>
      <c r="D81" s="424">
        <f t="shared" si="1"/>
        <v>34.930511735282799</v>
      </c>
    </row>
    <row r="82" spans="1:4" x14ac:dyDescent="0.3">
      <c r="A82" s="12" t="s">
        <v>255</v>
      </c>
      <c r="B82">
        <v>3989.79</v>
      </c>
      <c r="C82">
        <v>10717</v>
      </c>
      <c r="D82" s="424">
        <f t="shared" si="1"/>
        <v>37.228608752449375</v>
      </c>
    </row>
    <row r="83" spans="1:4" x14ac:dyDescent="0.3">
      <c r="A83" s="12" t="s">
        <v>128</v>
      </c>
      <c r="B83">
        <v>5026.2900000000009</v>
      </c>
      <c r="C83">
        <v>13473</v>
      </c>
      <c r="D83" s="424">
        <f t="shared" si="1"/>
        <v>37.306390558895572</v>
      </c>
    </row>
    <row r="84" spans="1:4" x14ac:dyDescent="0.3">
      <c r="A84" s="12" t="s">
        <v>124</v>
      </c>
      <c r="B84">
        <v>5395.92</v>
      </c>
      <c r="C84">
        <v>15899</v>
      </c>
      <c r="D84" s="424">
        <f t="shared" si="1"/>
        <v>33.938738285426759</v>
      </c>
    </row>
    <row r="85" spans="1:4" x14ac:dyDescent="0.3">
      <c r="A85" s="12" t="s">
        <v>259</v>
      </c>
      <c r="B85">
        <v>5805.63</v>
      </c>
      <c r="C85">
        <v>16111</v>
      </c>
      <c r="D85" s="424">
        <f t="shared" si="1"/>
        <v>36.035193346161009</v>
      </c>
    </row>
    <row r="86" spans="1:4" x14ac:dyDescent="0.3">
      <c r="A86" s="12" t="s">
        <v>116</v>
      </c>
      <c r="B86">
        <v>4208.6499999999996</v>
      </c>
      <c r="C86">
        <v>10622</v>
      </c>
      <c r="D86" s="424">
        <f t="shared" si="1"/>
        <v>39.622010920730553</v>
      </c>
    </row>
    <row r="87" spans="1:4" x14ac:dyDescent="0.3">
      <c r="A87" s="12" t="s">
        <v>1140</v>
      </c>
      <c r="B87">
        <v>5438.82</v>
      </c>
      <c r="C87">
        <v>15405</v>
      </c>
      <c r="D87" s="424">
        <f t="shared" si="1"/>
        <v>35.305550146056476</v>
      </c>
    </row>
    <row r="88" spans="1:4" x14ac:dyDescent="0.3">
      <c r="A88" s="12" t="s">
        <v>1142</v>
      </c>
      <c r="B88">
        <v>6655.27</v>
      </c>
      <c r="C88">
        <v>18060</v>
      </c>
      <c r="D88" s="424">
        <f t="shared" si="1"/>
        <v>36.850885935769661</v>
      </c>
    </row>
    <row r="89" spans="1:4" x14ac:dyDescent="0.3">
      <c r="A89" s="12" t="s">
        <v>134</v>
      </c>
      <c r="B89">
        <v>4951.5299999999988</v>
      </c>
      <c r="C89">
        <v>13631</v>
      </c>
      <c r="D89" s="424">
        <f t="shared" si="1"/>
        <v>36.325508033159707</v>
      </c>
    </row>
    <row r="90" spans="1:4" x14ac:dyDescent="0.3">
      <c r="A90" s="12" t="s">
        <v>110</v>
      </c>
      <c r="B90">
        <v>4249.95</v>
      </c>
      <c r="C90">
        <v>11292</v>
      </c>
      <c r="D90" s="424">
        <f t="shared" si="1"/>
        <v>37.636822529224226</v>
      </c>
    </row>
    <row r="91" spans="1:4" x14ac:dyDescent="0.3">
      <c r="A91" s="12" t="s">
        <v>119</v>
      </c>
      <c r="B91">
        <v>6689.9800000000005</v>
      </c>
      <c r="C91">
        <v>17724</v>
      </c>
      <c r="D91" s="424">
        <f t="shared" si="1"/>
        <v>37.745317084179646</v>
      </c>
    </row>
    <row r="92" spans="1:4" x14ac:dyDescent="0.3">
      <c r="A92" s="12" t="s">
        <v>129</v>
      </c>
      <c r="B92">
        <v>5452.07</v>
      </c>
      <c r="C92">
        <v>13636</v>
      </c>
      <c r="D92" s="424">
        <f t="shared" si="1"/>
        <v>39.982912877676732</v>
      </c>
    </row>
    <row r="93" spans="1:4" x14ac:dyDescent="0.3">
      <c r="A93" s="12" t="s">
        <v>111</v>
      </c>
      <c r="B93">
        <v>6065.0700000000006</v>
      </c>
      <c r="C93">
        <v>17233</v>
      </c>
      <c r="D93" s="424">
        <f t="shared" si="1"/>
        <v>35.194510532118613</v>
      </c>
    </row>
    <row r="94" spans="1:4" x14ac:dyDescent="0.3">
      <c r="A94" s="12" t="s">
        <v>132</v>
      </c>
      <c r="B94">
        <v>7123.27</v>
      </c>
      <c r="C94">
        <v>18796</v>
      </c>
      <c r="D94" s="424">
        <f t="shared" si="1"/>
        <v>37.897797403702917</v>
      </c>
    </row>
    <row r="95" spans="1:4" x14ac:dyDescent="0.3">
      <c r="A95" s="12" t="s">
        <v>131</v>
      </c>
      <c r="B95">
        <v>6828.08</v>
      </c>
      <c r="C95">
        <v>17609</v>
      </c>
      <c r="D95" s="424">
        <f t="shared" si="1"/>
        <v>38.77608041342495</v>
      </c>
    </row>
    <row r="96" spans="1:4" x14ac:dyDescent="0.3">
      <c r="A96" s="12" t="s">
        <v>120</v>
      </c>
      <c r="B96">
        <v>5401.0999999999995</v>
      </c>
      <c r="C96">
        <v>13428</v>
      </c>
      <c r="D96" s="424">
        <f t="shared" si="1"/>
        <v>40.222669049746798</v>
      </c>
    </row>
    <row r="97" spans="1:4" x14ac:dyDescent="0.3">
      <c r="A97" s="12" t="s">
        <v>115</v>
      </c>
      <c r="B97">
        <v>6554.73</v>
      </c>
      <c r="C97">
        <v>16926</v>
      </c>
      <c r="D97" s="424">
        <f t="shared" si="1"/>
        <v>38.725806451612897</v>
      </c>
    </row>
    <row r="98" spans="1:4" x14ac:dyDescent="0.3">
      <c r="A98" s="12" t="s">
        <v>112</v>
      </c>
      <c r="B98">
        <v>8912.8199999999979</v>
      </c>
      <c r="C98">
        <v>22646</v>
      </c>
      <c r="D98" s="424">
        <f t="shared" si="1"/>
        <v>39.357149165415514</v>
      </c>
    </row>
    <row r="99" spans="1:4" x14ac:dyDescent="0.3">
      <c r="A99" s="12" t="s">
        <v>138</v>
      </c>
      <c r="B99">
        <v>4568.1899999999996</v>
      </c>
      <c r="C99">
        <v>13045</v>
      </c>
      <c r="D99" s="424">
        <f t="shared" si="1"/>
        <v>35.018704484476807</v>
      </c>
    </row>
    <row r="100" spans="1:4" x14ac:dyDescent="0.3">
      <c r="A100" s="12" t="s">
        <v>122</v>
      </c>
      <c r="B100">
        <v>6247.76</v>
      </c>
      <c r="C100">
        <v>16876</v>
      </c>
      <c r="D100" s="424">
        <f t="shared" si="1"/>
        <v>37.021569092201943</v>
      </c>
    </row>
    <row r="101" spans="1:4" x14ac:dyDescent="0.3">
      <c r="A101" s="12" t="s">
        <v>126</v>
      </c>
      <c r="B101">
        <v>4270.6100000000006</v>
      </c>
      <c r="C101">
        <v>10835</v>
      </c>
      <c r="D101" s="424">
        <f t="shared" si="1"/>
        <v>39.414951545916018</v>
      </c>
    </row>
    <row r="102" spans="1:4" x14ac:dyDescent="0.3">
      <c r="A102" s="12" t="s">
        <v>135</v>
      </c>
      <c r="B102">
        <v>2489.12</v>
      </c>
      <c r="C102">
        <v>6505</v>
      </c>
      <c r="D102" s="424">
        <f t="shared" si="1"/>
        <v>38.264719446579555</v>
      </c>
    </row>
    <row r="103" spans="1:4" x14ac:dyDescent="0.3">
      <c r="A103" s="12" t="s">
        <v>123</v>
      </c>
      <c r="B103">
        <v>5651.0599999999995</v>
      </c>
      <c r="C103">
        <v>15230</v>
      </c>
      <c r="D103" s="424">
        <f t="shared" si="1"/>
        <v>37.104793171372286</v>
      </c>
    </row>
    <row r="104" spans="1:4" x14ac:dyDescent="0.3">
      <c r="A104" s="12" t="s">
        <v>139</v>
      </c>
      <c r="B104">
        <v>5259.53</v>
      </c>
      <c r="C104">
        <v>14762</v>
      </c>
      <c r="D104" s="424">
        <f t="shared" si="1"/>
        <v>35.628844330036578</v>
      </c>
    </row>
    <row r="105" spans="1:4" x14ac:dyDescent="0.3">
      <c r="A105" s="12" t="s">
        <v>1116</v>
      </c>
      <c r="B105">
        <v>6396.33</v>
      </c>
      <c r="C105">
        <v>17596.66</v>
      </c>
      <c r="D105" s="424">
        <f t="shared" si="1"/>
        <v>36.349682269248824</v>
      </c>
    </row>
    <row r="106" spans="1:4" x14ac:dyDescent="0.3">
      <c r="A106" s="12" t="s">
        <v>1115</v>
      </c>
      <c r="B106">
        <v>5693.7</v>
      </c>
      <c r="C106">
        <v>15629</v>
      </c>
      <c r="D106" s="424">
        <f t="shared" si="1"/>
        <v>36.430353829419666</v>
      </c>
    </row>
    <row r="107" spans="1:4" x14ac:dyDescent="0.3">
      <c r="A107" s="12" t="s">
        <v>125</v>
      </c>
      <c r="B107">
        <v>6506.9299999999994</v>
      </c>
      <c r="C107">
        <v>17753</v>
      </c>
      <c r="D107" s="424">
        <f t="shared" si="1"/>
        <v>36.65256576353292</v>
      </c>
    </row>
    <row r="108" spans="1:4" x14ac:dyDescent="0.3">
      <c r="A108" s="428" t="s">
        <v>1205</v>
      </c>
      <c r="B108" s="429">
        <v>600690.86999999988</v>
      </c>
      <c r="C108" s="429">
        <v>1660216.2899999998</v>
      </c>
      <c r="D108" s="426">
        <f>B108/C108*100</f>
        <v>36.181482715122613</v>
      </c>
    </row>
  </sheetData>
  <mergeCells count="1">
    <mergeCell ref="A1:D1"/>
  </mergeCells>
  <conditionalFormatting sqref="D1:D108">
    <cfRule type="colorScale" priority="128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D10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D106">
    <cfRule type="colorScale" priority="11">
      <colorScale>
        <cfvo type="min"/>
        <cfvo type="percentile" val="34"/>
        <cfvo type="percent" val="38"/>
        <color rgb="FF63BE7B"/>
        <color rgb="FFFFEB84"/>
        <color rgb="FFF8696B"/>
      </colorScale>
    </cfRule>
    <cfRule type="colorScale" priority="12">
      <colorScale>
        <cfvo type="min"/>
        <cfvo type="percentile" val="50"/>
        <cfvo type="max"/>
        <color rgb="FFFFFF99"/>
        <color rgb="FF92D050"/>
        <color rgb="FFEE0000"/>
      </colorScale>
    </cfRule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">
      <colorScale>
        <cfvo type="min"/>
        <cfvo type="max"/>
        <color rgb="FF92D050"/>
        <color rgb="FFEE0000"/>
      </colorScale>
    </cfRule>
  </conditionalFormatting>
  <conditionalFormatting sqref="D5:D10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7">
    <cfRule type="colorScale" priority="12884">
      <colorScale>
        <cfvo type="min"/>
        <cfvo type="percentile" val="34"/>
        <cfvo type="percent" val="38"/>
        <color rgb="FF63BE7B"/>
        <color rgb="FFFFEB84"/>
        <color rgb="FFF8696B"/>
      </colorScale>
    </cfRule>
    <cfRule type="colorScale" priority="128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886">
      <colorScale>
        <cfvo type="min"/>
        <cfvo type="percentile" val="50"/>
        <cfvo type="max"/>
        <color rgb="FFFFFF99"/>
        <color rgb="FF92D050"/>
        <color rgb="FFEE0000"/>
      </colorScale>
    </cfRule>
    <cfRule type="colorScale" priority="128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888">
      <colorScale>
        <cfvo type="min"/>
        <cfvo type="max"/>
        <color rgb="FF92D050"/>
        <color rgb="FFEE0000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9F5B1-7839-452E-BD19-12581DBD36FD}">
  <dimension ref="A1:D113"/>
  <sheetViews>
    <sheetView topLeftCell="A87" workbookViewId="0">
      <selection activeCell="C5" sqref="C5:C112"/>
    </sheetView>
  </sheetViews>
  <sheetFormatPr baseColWidth="10" defaultRowHeight="14.4" x14ac:dyDescent="0.3"/>
  <sheetData>
    <row r="1" spans="1:4" ht="16.2" thickBot="1" x14ac:dyDescent="0.35">
      <c r="A1" s="447" t="s">
        <v>1206</v>
      </c>
      <c r="B1" s="448"/>
      <c r="C1" s="448"/>
      <c r="D1" s="449"/>
    </row>
    <row r="2" spans="1:4" x14ac:dyDescent="0.3">
      <c r="B2" s="419"/>
      <c r="C2" s="416"/>
      <c r="D2" s="416"/>
    </row>
    <row r="3" spans="1:4" x14ac:dyDescent="0.3">
      <c r="B3" s="419"/>
      <c r="C3" s="416"/>
      <c r="D3" s="416"/>
    </row>
    <row r="4" spans="1:4" x14ac:dyDescent="0.3">
      <c r="A4" s="415" t="s">
        <v>1123</v>
      </c>
      <c r="B4" s="427" t="s">
        <v>1124</v>
      </c>
      <c r="C4" s="418" t="s">
        <v>1132</v>
      </c>
      <c r="D4" s="418" t="s">
        <v>1125</v>
      </c>
    </row>
    <row r="5" spans="1:4" x14ac:dyDescent="0.3">
      <c r="A5" s="13" t="s">
        <v>1092</v>
      </c>
      <c r="B5" s="8">
        <v>5643.94</v>
      </c>
      <c r="C5" s="8">
        <v>14206</v>
      </c>
      <c r="D5" s="424">
        <f t="shared" ref="D5:D70" si="0">B5/C5*100</f>
        <v>39.729269322821345</v>
      </c>
    </row>
    <row r="6" spans="1:4" x14ac:dyDescent="0.3">
      <c r="A6" s="13" t="s">
        <v>1158</v>
      </c>
      <c r="B6" s="8">
        <v>6158.58</v>
      </c>
      <c r="C6" s="8">
        <v>16025</v>
      </c>
      <c r="D6" s="424">
        <f t="shared" si="0"/>
        <v>38.431076443057719</v>
      </c>
    </row>
    <row r="7" spans="1:4" x14ac:dyDescent="0.3">
      <c r="A7" s="13" t="s">
        <v>187</v>
      </c>
      <c r="B7" s="8">
        <v>8488.18</v>
      </c>
      <c r="C7" s="8">
        <v>23471</v>
      </c>
      <c r="D7" s="424">
        <f t="shared" si="0"/>
        <v>36.164543479187081</v>
      </c>
    </row>
    <row r="8" spans="1:4" x14ac:dyDescent="0.3">
      <c r="A8" s="13" t="s">
        <v>189</v>
      </c>
      <c r="B8" s="8">
        <v>6373.2000000000007</v>
      </c>
      <c r="C8" s="8">
        <v>17768</v>
      </c>
      <c r="D8" s="424">
        <f t="shared" si="0"/>
        <v>35.868977937865829</v>
      </c>
    </row>
    <row r="9" spans="1:4" x14ac:dyDescent="0.3">
      <c r="A9" s="13" t="s">
        <v>191</v>
      </c>
      <c r="B9" s="8">
        <v>4106.38</v>
      </c>
      <c r="C9" s="8">
        <v>11619</v>
      </c>
      <c r="D9" s="424">
        <f t="shared" si="0"/>
        <v>35.341939925983304</v>
      </c>
    </row>
    <row r="10" spans="1:4" x14ac:dyDescent="0.3">
      <c r="A10" s="13" t="s">
        <v>192</v>
      </c>
      <c r="B10" s="8">
        <v>4431.09</v>
      </c>
      <c r="C10" s="8">
        <v>12094</v>
      </c>
      <c r="D10" s="424">
        <f t="shared" si="0"/>
        <v>36.638746485860757</v>
      </c>
    </row>
    <row r="11" spans="1:4" x14ac:dyDescent="0.3">
      <c r="A11" s="13" t="s">
        <v>193</v>
      </c>
      <c r="B11" s="8">
        <v>3884.29</v>
      </c>
      <c r="C11" s="8">
        <v>10636</v>
      </c>
      <c r="D11" s="424">
        <f t="shared" si="0"/>
        <v>36.520214366303122</v>
      </c>
    </row>
    <row r="12" spans="1:4" x14ac:dyDescent="0.3">
      <c r="A12" s="13" t="s">
        <v>195</v>
      </c>
      <c r="B12" s="8">
        <v>5368.9500000000007</v>
      </c>
      <c r="C12" s="8">
        <v>16070</v>
      </c>
      <c r="D12" s="424">
        <f t="shared" si="0"/>
        <v>33.409769757311764</v>
      </c>
    </row>
    <row r="13" spans="1:4" x14ac:dyDescent="0.3">
      <c r="A13" s="13" t="s">
        <v>184</v>
      </c>
      <c r="B13" s="8">
        <v>4509.1899999999996</v>
      </c>
      <c r="C13" s="8">
        <v>11197</v>
      </c>
      <c r="D13" s="424">
        <f t="shared" si="0"/>
        <v>40.271411985353218</v>
      </c>
    </row>
    <row r="14" spans="1:4" x14ac:dyDescent="0.3">
      <c r="A14" s="13" t="s">
        <v>216</v>
      </c>
      <c r="B14" s="8">
        <v>2588.87</v>
      </c>
      <c r="C14" s="8">
        <v>7513</v>
      </c>
      <c r="D14" s="424">
        <f t="shared" si="0"/>
        <v>34.458538533209108</v>
      </c>
    </row>
    <row r="15" spans="1:4" x14ac:dyDescent="0.3">
      <c r="A15" s="13" t="s">
        <v>1143</v>
      </c>
      <c r="B15" s="8">
        <v>7695.81</v>
      </c>
      <c r="C15" s="8">
        <v>21814</v>
      </c>
      <c r="D15" s="424">
        <f t="shared" si="0"/>
        <v>35.279224351334008</v>
      </c>
    </row>
    <row r="16" spans="1:4" x14ac:dyDescent="0.3">
      <c r="A16" s="13" t="s">
        <v>209</v>
      </c>
      <c r="B16" s="8">
        <v>5381.05</v>
      </c>
      <c r="C16" s="8">
        <v>14801</v>
      </c>
      <c r="D16" s="424">
        <f t="shared" si="0"/>
        <v>36.355989460171614</v>
      </c>
    </row>
    <row r="17" spans="1:4" x14ac:dyDescent="0.3">
      <c r="A17" s="13" t="s">
        <v>212</v>
      </c>
      <c r="B17" s="8">
        <v>5666.55</v>
      </c>
      <c r="C17" s="8">
        <v>15485</v>
      </c>
      <c r="D17" s="424">
        <f t="shared" si="0"/>
        <v>36.593800452050374</v>
      </c>
    </row>
    <row r="18" spans="1:4" x14ac:dyDescent="0.3">
      <c r="A18" s="13" t="s">
        <v>214</v>
      </c>
      <c r="B18" s="8">
        <v>3715.05</v>
      </c>
      <c r="C18" s="8">
        <v>10470</v>
      </c>
      <c r="D18" s="424">
        <f t="shared" si="0"/>
        <v>35.48280802292264</v>
      </c>
    </row>
    <row r="19" spans="1:4" x14ac:dyDescent="0.3">
      <c r="A19" s="13" t="s">
        <v>218</v>
      </c>
      <c r="B19" s="8">
        <v>3347.19</v>
      </c>
      <c r="C19" s="8">
        <v>8654</v>
      </c>
      <c r="D19" s="424">
        <f t="shared" si="0"/>
        <v>38.677952391957476</v>
      </c>
    </row>
    <row r="20" spans="1:4" x14ac:dyDescent="0.3">
      <c r="A20" s="13" t="s">
        <v>220</v>
      </c>
      <c r="B20" s="8">
        <v>5056.59</v>
      </c>
      <c r="C20" s="8">
        <v>14055</v>
      </c>
      <c r="D20" s="424">
        <f t="shared" si="0"/>
        <v>35.977161152614727</v>
      </c>
    </row>
    <row r="21" spans="1:4" x14ac:dyDescent="0.3">
      <c r="A21" s="13" t="s">
        <v>222</v>
      </c>
      <c r="B21" s="8">
        <v>3073.59</v>
      </c>
      <c r="C21" s="8">
        <v>9290</v>
      </c>
      <c r="D21" s="424">
        <f t="shared" si="0"/>
        <v>33.084930032292789</v>
      </c>
    </row>
    <row r="22" spans="1:4" x14ac:dyDescent="0.3">
      <c r="A22" s="13" t="s">
        <v>438</v>
      </c>
      <c r="B22" s="8">
        <v>8347.11</v>
      </c>
      <c r="C22" s="8">
        <v>25055</v>
      </c>
      <c r="D22" s="424">
        <f t="shared" si="0"/>
        <v>33.315146677309919</v>
      </c>
    </row>
    <row r="23" spans="1:4" x14ac:dyDescent="0.3">
      <c r="A23" s="13" t="s">
        <v>1139</v>
      </c>
      <c r="B23" s="8">
        <v>5704.7199999999993</v>
      </c>
      <c r="C23" s="8">
        <v>16028</v>
      </c>
      <c r="D23" s="424">
        <f t="shared" si="0"/>
        <v>35.592213626154226</v>
      </c>
    </row>
    <row r="24" spans="1:4" x14ac:dyDescent="0.3">
      <c r="A24" s="13" t="s">
        <v>1136</v>
      </c>
      <c r="B24" s="8">
        <v>6330.8300000000008</v>
      </c>
      <c r="C24" s="8">
        <v>17747</v>
      </c>
      <c r="D24" s="424">
        <f t="shared" si="0"/>
        <v>35.672677072181216</v>
      </c>
    </row>
    <row r="25" spans="1:4" x14ac:dyDescent="0.3">
      <c r="A25" s="13" t="s">
        <v>1152</v>
      </c>
      <c r="B25" s="8">
        <v>4768.92</v>
      </c>
      <c r="C25" s="8">
        <v>12468</v>
      </c>
      <c r="D25" s="424">
        <f t="shared" si="0"/>
        <v>38.249278152069301</v>
      </c>
    </row>
    <row r="26" spans="1:4" x14ac:dyDescent="0.3">
      <c r="A26" s="13" t="s">
        <v>1137</v>
      </c>
      <c r="B26" s="8">
        <v>4309.0300000000007</v>
      </c>
      <c r="C26" s="8">
        <v>11243</v>
      </c>
      <c r="D26" s="424">
        <f t="shared" si="0"/>
        <v>38.326336387085306</v>
      </c>
    </row>
    <row r="27" spans="1:4" x14ac:dyDescent="0.3">
      <c r="A27" s="13" t="s">
        <v>1150</v>
      </c>
      <c r="B27" s="8">
        <v>7095.8900000000012</v>
      </c>
      <c r="C27" s="8">
        <v>18460</v>
      </c>
      <c r="D27" s="424">
        <f t="shared" si="0"/>
        <v>38.439274106175517</v>
      </c>
    </row>
    <row r="28" spans="1:4" x14ac:dyDescent="0.3">
      <c r="A28" s="13" t="s">
        <v>440</v>
      </c>
      <c r="B28" s="8">
        <v>3094.38</v>
      </c>
      <c r="C28" s="8">
        <v>8495</v>
      </c>
      <c r="D28" s="424">
        <f t="shared" si="0"/>
        <v>36.425897586815772</v>
      </c>
    </row>
    <row r="29" spans="1:4" x14ac:dyDescent="0.3">
      <c r="A29" s="13" t="s">
        <v>422</v>
      </c>
      <c r="B29" s="8">
        <v>5194.07</v>
      </c>
      <c r="C29" s="8">
        <v>14980</v>
      </c>
      <c r="D29" s="424">
        <f t="shared" si="0"/>
        <v>34.67336448598131</v>
      </c>
    </row>
    <row r="30" spans="1:4" x14ac:dyDescent="0.3">
      <c r="A30" s="13" t="s">
        <v>424</v>
      </c>
      <c r="B30" s="8">
        <v>5424.05</v>
      </c>
      <c r="C30" s="8">
        <v>15558</v>
      </c>
      <c r="D30" s="424">
        <f t="shared" si="0"/>
        <v>34.863414320606765</v>
      </c>
    </row>
    <row r="31" spans="1:4" x14ac:dyDescent="0.3">
      <c r="A31" s="13" t="s">
        <v>433</v>
      </c>
      <c r="B31" s="8">
        <v>5314.82</v>
      </c>
      <c r="C31" s="8">
        <v>14958</v>
      </c>
      <c r="D31" s="424">
        <f t="shared" si="0"/>
        <v>35.531621874582157</v>
      </c>
    </row>
    <row r="32" spans="1:4" x14ac:dyDescent="0.3">
      <c r="A32" s="13" t="s">
        <v>1141</v>
      </c>
      <c r="B32" s="8">
        <v>7478.9599999999991</v>
      </c>
      <c r="C32" s="8">
        <v>19935</v>
      </c>
      <c r="D32" s="424">
        <f t="shared" si="0"/>
        <v>37.516729370453973</v>
      </c>
    </row>
    <row r="33" spans="1:4" x14ac:dyDescent="0.3">
      <c r="A33" s="13" t="s">
        <v>1095</v>
      </c>
      <c r="B33" s="8">
        <v>5739.82</v>
      </c>
      <c r="C33" s="8">
        <v>15901</v>
      </c>
      <c r="D33" s="424">
        <f t="shared" si="0"/>
        <v>36.09722658952267</v>
      </c>
    </row>
    <row r="34" spans="1:4" x14ac:dyDescent="0.3">
      <c r="A34" s="13" t="s">
        <v>1094</v>
      </c>
      <c r="B34" s="8">
        <v>6860.73</v>
      </c>
      <c r="C34" s="8">
        <v>19375</v>
      </c>
      <c r="D34" s="424">
        <f t="shared" si="0"/>
        <v>35.410219354838709</v>
      </c>
    </row>
    <row r="35" spans="1:4" x14ac:dyDescent="0.3">
      <c r="A35" s="13" t="s">
        <v>427</v>
      </c>
      <c r="B35" s="8">
        <v>3716.45</v>
      </c>
      <c r="C35" s="8">
        <v>11321</v>
      </c>
      <c r="D35" s="424">
        <f t="shared" si="0"/>
        <v>32.827930394841445</v>
      </c>
    </row>
    <row r="36" spans="1:4" x14ac:dyDescent="0.3">
      <c r="A36" s="13" t="s">
        <v>1144</v>
      </c>
      <c r="B36" s="8">
        <v>5396.8899999999994</v>
      </c>
      <c r="C36" s="8">
        <v>15239</v>
      </c>
      <c r="D36" s="424">
        <f t="shared" si="0"/>
        <v>35.414987860095806</v>
      </c>
    </row>
    <row r="37" spans="1:4" x14ac:dyDescent="0.3">
      <c r="A37" s="13" t="s">
        <v>540</v>
      </c>
      <c r="B37" s="8">
        <v>7687.49</v>
      </c>
      <c r="C37" s="8">
        <v>21926</v>
      </c>
      <c r="D37" s="424">
        <f t="shared" si="0"/>
        <v>35.061069050442399</v>
      </c>
    </row>
    <row r="38" spans="1:4" x14ac:dyDescent="0.3">
      <c r="A38" s="13" t="s">
        <v>581</v>
      </c>
      <c r="B38" s="8">
        <v>6406.5999999999995</v>
      </c>
      <c r="C38" s="8">
        <v>19220</v>
      </c>
      <c r="D38" s="424">
        <f t="shared" si="0"/>
        <v>33.332986472424551</v>
      </c>
    </row>
    <row r="39" spans="1:4" x14ac:dyDescent="0.3">
      <c r="A39" s="13" t="s">
        <v>519</v>
      </c>
      <c r="B39" s="8">
        <v>5520.93</v>
      </c>
      <c r="C39" s="8">
        <v>16016</v>
      </c>
      <c r="D39" s="424">
        <f t="shared" si="0"/>
        <v>34.471341158841163</v>
      </c>
    </row>
    <row r="40" spans="1:4" x14ac:dyDescent="0.3">
      <c r="A40" s="13" t="s">
        <v>522</v>
      </c>
      <c r="B40" s="8">
        <v>5476.86</v>
      </c>
      <c r="C40" s="8">
        <v>15540</v>
      </c>
      <c r="D40" s="424">
        <f t="shared" si="0"/>
        <v>35.243629343629337</v>
      </c>
    </row>
    <row r="41" spans="1:4" x14ac:dyDescent="0.3">
      <c r="A41" s="13" t="s">
        <v>768</v>
      </c>
      <c r="B41" s="8">
        <v>5831.7</v>
      </c>
      <c r="C41" s="8">
        <v>15451</v>
      </c>
      <c r="D41" s="424">
        <f t="shared" si="0"/>
        <v>37.743188143162257</v>
      </c>
    </row>
    <row r="42" spans="1:4" x14ac:dyDescent="0.3">
      <c r="A42" s="13" t="s">
        <v>748</v>
      </c>
      <c r="B42" s="8">
        <v>6578.2499999999991</v>
      </c>
      <c r="C42" s="8">
        <v>19836</v>
      </c>
      <c r="D42" s="424">
        <f t="shared" si="0"/>
        <v>33.163188142770714</v>
      </c>
    </row>
    <row r="43" spans="1:4" x14ac:dyDescent="0.3">
      <c r="A43" s="13" t="s">
        <v>754</v>
      </c>
      <c r="B43" s="8">
        <v>4765.95</v>
      </c>
      <c r="C43" s="8">
        <v>13318</v>
      </c>
      <c r="D43" s="424">
        <f t="shared" si="0"/>
        <v>35.785778645442257</v>
      </c>
    </row>
    <row r="44" spans="1:4" x14ac:dyDescent="0.3">
      <c r="A44" s="13" t="s">
        <v>1090</v>
      </c>
      <c r="B44" s="8">
        <v>3493.78</v>
      </c>
      <c r="C44" s="8">
        <v>10553</v>
      </c>
      <c r="D44" s="424">
        <f t="shared" si="0"/>
        <v>33.106983796076946</v>
      </c>
    </row>
    <row r="45" spans="1:4" x14ac:dyDescent="0.3">
      <c r="A45" s="13" t="s">
        <v>1151</v>
      </c>
      <c r="B45" s="8">
        <v>4811.8099999999995</v>
      </c>
      <c r="C45" s="8">
        <v>13924</v>
      </c>
      <c r="D45" s="424">
        <f t="shared" si="0"/>
        <v>34.557670209709848</v>
      </c>
    </row>
    <row r="46" spans="1:4" x14ac:dyDescent="0.3">
      <c r="A46" s="13" t="s">
        <v>1091</v>
      </c>
      <c r="B46" s="8">
        <v>5154.6299999999992</v>
      </c>
      <c r="C46" s="8">
        <v>15254</v>
      </c>
      <c r="D46" s="424">
        <f t="shared" si="0"/>
        <v>33.79198898649534</v>
      </c>
    </row>
    <row r="47" spans="1:4" x14ac:dyDescent="0.3">
      <c r="A47" s="13" t="s">
        <v>1118</v>
      </c>
      <c r="B47" s="8">
        <v>2931.56</v>
      </c>
      <c r="C47" s="8">
        <v>8028</v>
      </c>
      <c r="D47" s="424">
        <f t="shared" si="0"/>
        <v>36.516691579471846</v>
      </c>
    </row>
    <row r="48" spans="1:4" x14ac:dyDescent="0.3">
      <c r="A48" s="13" t="s">
        <v>1096</v>
      </c>
      <c r="B48" s="8">
        <v>4259.57</v>
      </c>
      <c r="C48" s="8">
        <v>11954</v>
      </c>
      <c r="D48" s="424">
        <f t="shared" si="0"/>
        <v>35.633009871172824</v>
      </c>
    </row>
    <row r="49" spans="1:4" x14ac:dyDescent="0.3">
      <c r="A49" s="13" t="s">
        <v>1117</v>
      </c>
      <c r="B49" s="8">
        <v>5838.83</v>
      </c>
      <c r="C49" s="8">
        <v>16700</v>
      </c>
      <c r="D49" s="424">
        <f t="shared" si="0"/>
        <v>34.963053892215569</v>
      </c>
    </row>
    <row r="50" spans="1:4" x14ac:dyDescent="0.3">
      <c r="A50" s="13" t="s">
        <v>1126</v>
      </c>
      <c r="B50" s="8">
        <v>6654.9</v>
      </c>
      <c r="C50" s="8">
        <v>19586</v>
      </c>
      <c r="D50" s="424">
        <f t="shared" si="0"/>
        <v>33.977841315225163</v>
      </c>
    </row>
    <row r="51" spans="1:4" x14ac:dyDescent="0.3">
      <c r="A51" s="13" t="s">
        <v>1130</v>
      </c>
      <c r="B51" s="8">
        <v>5330.37</v>
      </c>
      <c r="C51" s="8">
        <v>15015</v>
      </c>
      <c r="D51" s="424">
        <f t="shared" si="0"/>
        <v>35.500299700299699</v>
      </c>
    </row>
    <row r="52" spans="1:4" x14ac:dyDescent="0.3">
      <c r="A52" s="13" t="s">
        <v>1129</v>
      </c>
      <c r="B52" s="8">
        <v>5281.53</v>
      </c>
      <c r="C52" s="8">
        <v>15394</v>
      </c>
      <c r="D52" s="424">
        <f t="shared" si="0"/>
        <v>34.309016499935034</v>
      </c>
    </row>
    <row r="53" spans="1:4" x14ac:dyDescent="0.3">
      <c r="A53" s="13" t="s">
        <v>1133</v>
      </c>
      <c r="B53" s="8">
        <v>6398.18</v>
      </c>
      <c r="C53" s="8">
        <v>16817</v>
      </c>
      <c r="D53" s="424">
        <f t="shared" si="0"/>
        <v>38.045905928524711</v>
      </c>
    </row>
    <row r="54" spans="1:4" x14ac:dyDescent="0.3">
      <c r="A54" s="13" t="s">
        <v>1134</v>
      </c>
      <c r="B54" s="8">
        <v>5148.7699999999995</v>
      </c>
      <c r="C54" s="8">
        <v>14440</v>
      </c>
      <c r="D54" s="424">
        <f t="shared" si="0"/>
        <v>35.656301939058167</v>
      </c>
    </row>
    <row r="55" spans="1:4" x14ac:dyDescent="0.3">
      <c r="A55" s="13" t="s">
        <v>1135</v>
      </c>
      <c r="B55" s="8">
        <v>3101.43</v>
      </c>
      <c r="C55" s="8">
        <v>9044</v>
      </c>
      <c r="D55" s="424">
        <f t="shared" si="0"/>
        <v>34.292680229986729</v>
      </c>
    </row>
    <row r="56" spans="1:4" x14ac:dyDescent="0.3">
      <c r="A56" s="13" t="s">
        <v>1154</v>
      </c>
      <c r="B56" s="8">
        <v>4637.4799999999996</v>
      </c>
      <c r="C56" s="8">
        <v>13882</v>
      </c>
      <c r="D56" s="424">
        <f t="shared" si="0"/>
        <v>33.406425587091192</v>
      </c>
    </row>
    <row r="57" spans="1:4" x14ac:dyDescent="0.3">
      <c r="A57" s="13" t="s">
        <v>1159</v>
      </c>
      <c r="B57" s="8">
        <v>5899.0500000000011</v>
      </c>
      <c r="C57" s="8">
        <v>16756</v>
      </c>
      <c r="D57" s="424">
        <f t="shared" si="0"/>
        <v>35.205597994748153</v>
      </c>
    </row>
    <row r="58" spans="1:4" x14ac:dyDescent="0.3">
      <c r="A58" s="13" t="s">
        <v>1156</v>
      </c>
      <c r="B58" s="8">
        <v>6705.1399999999994</v>
      </c>
      <c r="C58" s="8">
        <v>19402</v>
      </c>
      <c r="D58" s="424">
        <f t="shared" si="0"/>
        <v>34.559014534584058</v>
      </c>
    </row>
    <row r="59" spans="1:4" x14ac:dyDescent="0.3">
      <c r="A59" s="13" t="s">
        <v>1157</v>
      </c>
      <c r="B59" s="8">
        <v>7041.329999999999</v>
      </c>
      <c r="C59" s="8">
        <v>19558</v>
      </c>
      <c r="D59" s="424">
        <f t="shared" si="0"/>
        <v>36.002300848757535</v>
      </c>
    </row>
    <row r="60" spans="1:4" x14ac:dyDescent="0.3">
      <c r="A60" s="13" t="s">
        <v>1153</v>
      </c>
      <c r="B60" s="8">
        <v>6523.3899999999994</v>
      </c>
      <c r="C60" s="8">
        <v>18359</v>
      </c>
      <c r="D60" s="424">
        <f t="shared" si="0"/>
        <v>35.532381938014055</v>
      </c>
    </row>
    <row r="61" spans="1:4" x14ac:dyDescent="0.3">
      <c r="A61" s="13" t="s">
        <v>1173</v>
      </c>
      <c r="B61" s="8">
        <v>5484.4</v>
      </c>
      <c r="C61" s="8">
        <v>15706</v>
      </c>
      <c r="D61" s="424">
        <f t="shared" si="0"/>
        <v>34.919139182478034</v>
      </c>
    </row>
    <row r="62" spans="1:4" x14ac:dyDescent="0.3">
      <c r="A62" s="13" t="s">
        <v>1179</v>
      </c>
      <c r="B62" s="8">
        <v>7671.98</v>
      </c>
      <c r="C62" s="8">
        <v>21808</v>
      </c>
      <c r="D62" s="424">
        <f t="shared" si="0"/>
        <v>35.179658840792364</v>
      </c>
    </row>
    <row r="63" spans="1:4" x14ac:dyDescent="0.3">
      <c r="A63" s="13" t="s">
        <v>1185</v>
      </c>
      <c r="B63" s="8">
        <v>5016.87</v>
      </c>
      <c r="C63" s="8">
        <v>14695</v>
      </c>
      <c r="D63" s="424">
        <f t="shared" si="0"/>
        <v>34.139979584892821</v>
      </c>
    </row>
    <row r="64" spans="1:4" x14ac:dyDescent="0.3">
      <c r="A64" s="13" t="s">
        <v>1183</v>
      </c>
      <c r="B64" s="8">
        <v>6055.4100000000008</v>
      </c>
      <c r="C64" s="8">
        <v>17810</v>
      </c>
      <c r="D64" s="424">
        <f t="shared" si="0"/>
        <v>34.00005614823133</v>
      </c>
    </row>
    <row r="65" spans="1:4" x14ac:dyDescent="0.3">
      <c r="A65" s="13" t="s">
        <v>1186</v>
      </c>
      <c r="B65" s="8">
        <v>4279.54</v>
      </c>
      <c r="C65" s="8">
        <v>12265</v>
      </c>
      <c r="D65" s="424">
        <f t="shared" si="0"/>
        <v>34.892295148797395</v>
      </c>
    </row>
    <row r="66" spans="1:4" x14ac:dyDescent="0.3">
      <c r="A66" s="13" t="s">
        <v>1187</v>
      </c>
      <c r="B66" s="8">
        <v>6006.380000000001</v>
      </c>
      <c r="C66" s="8">
        <v>17073</v>
      </c>
      <c r="D66" s="424">
        <f t="shared" si="0"/>
        <v>35.180577520060922</v>
      </c>
    </row>
    <row r="67" spans="1:4" x14ac:dyDescent="0.3">
      <c r="A67" s="13" t="s">
        <v>1189</v>
      </c>
      <c r="B67" s="8">
        <v>6724.03</v>
      </c>
      <c r="C67" s="8">
        <v>19462</v>
      </c>
      <c r="D67" s="424">
        <f t="shared" si="0"/>
        <v>34.549532422155991</v>
      </c>
    </row>
    <row r="68" spans="1:4" x14ac:dyDescent="0.3">
      <c r="A68" s="13" t="s">
        <v>1190</v>
      </c>
      <c r="B68" s="8">
        <v>5577.3399999999992</v>
      </c>
      <c r="C68" s="8">
        <v>17157</v>
      </c>
      <c r="D68" s="424">
        <f t="shared" si="0"/>
        <v>32.507664510112491</v>
      </c>
    </row>
    <row r="69" spans="1:4" x14ac:dyDescent="0.3">
      <c r="A69" s="13" t="s">
        <v>1193</v>
      </c>
      <c r="B69" s="8">
        <v>6484.55</v>
      </c>
      <c r="C69" s="8">
        <v>17321</v>
      </c>
      <c r="D69" s="424">
        <f t="shared" si="0"/>
        <v>37.437503608336705</v>
      </c>
    </row>
    <row r="70" spans="1:4" x14ac:dyDescent="0.3">
      <c r="A70" s="13" t="s">
        <v>1195</v>
      </c>
      <c r="B70" s="8">
        <v>4825.51</v>
      </c>
      <c r="C70" s="8">
        <v>13720</v>
      </c>
      <c r="D70" s="424">
        <f t="shared" si="0"/>
        <v>35.171355685131196</v>
      </c>
    </row>
    <row r="71" spans="1:4" x14ac:dyDescent="0.3">
      <c r="A71" s="13" t="s">
        <v>1194</v>
      </c>
      <c r="B71" s="8">
        <v>7207.92</v>
      </c>
      <c r="C71" s="8">
        <v>19620</v>
      </c>
      <c r="D71" s="424">
        <f t="shared" ref="D71:D107" si="1">B71/C71*100</f>
        <v>36.737614678899085</v>
      </c>
    </row>
    <row r="72" spans="1:4" x14ac:dyDescent="0.3">
      <c r="A72" s="13" t="s">
        <v>1207</v>
      </c>
      <c r="B72" s="8">
        <v>5677.46</v>
      </c>
      <c r="C72" s="8">
        <v>15378</v>
      </c>
      <c r="D72" s="424">
        <f t="shared" si="1"/>
        <v>36.919365327090645</v>
      </c>
    </row>
    <row r="73" spans="1:4" x14ac:dyDescent="0.3">
      <c r="A73" s="13" t="s">
        <v>1203</v>
      </c>
      <c r="B73" s="8">
        <v>6845.47</v>
      </c>
      <c r="C73" s="8">
        <v>19147</v>
      </c>
      <c r="D73" s="424">
        <f t="shared" si="1"/>
        <v>35.752180498250382</v>
      </c>
    </row>
    <row r="74" spans="1:4" x14ac:dyDescent="0.3">
      <c r="A74" s="13" t="s">
        <v>1208</v>
      </c>
      <c r="B74" s="8">
        <v>2440.5299999999997</v>
      </c>
      <c r="C74" s="8">
        <v>6347</v>
      </c>
      <c r="D74" s="424">
        <f t="shared" si="1"/>
        <v>38.451709469040487</v>
      </c>
    </row>
    <row r="75" spans="1:4" x14ac:dyDescent="0.3">
      <c r="A75" s="13" t="s">
        <v>1209</v>
      </c>
      <c r="B75" s="8">
        <v>3567.94</v>
      </c>
      <c r="C75" s="8">
        <v>10621</v>
      </c>
      <c r="D75" s="424">
        <f t="shared" si="1"/>
        <v>33.593258638546274</v>
      </c>
    </row>
    <row r="76" spans="1:4" x14ac:dyDescent="0.3">
      <c r="A76" s="13" t="s">
        <v>1210</v>
      </c>
      <c r="B76" s="8">
        <v>2016.46</v>
      </c>
      <c r="C76" s="8">
        <v>5837</v>
      </c>
      <c r="D76" s="424">
        <f t="shared" si="1"/>
        <v>34.546170978242245</v>
      </c>
    </row>
    <row r="77" spans="1:4" x14ac:dyDescent="0.3">
      <c r="A77" s="13" t="s">
        <v>1211</v>
      </c>
      <c r="B77" s="8">
        <v>1959.83</v>
      </c>
      <c r="C77" s="8">
        <v>5193</v>
      </c>
      <c r="D77" s="424">
        <f t="shared" si="1"/>
        <v>37.739842095128054</v>
      </c>
    </row>
    <row r="78" spans="1:4" x14ac:dyDescent="0.3">
      <c r="A78" s="13" t="s">
        <v>1155</v>
      </c>
      <c r="B78" s="8">
        <v>1193.02</v>
      </c>
      <c r="C78" s="8">
        <v>2872</v>
      </c>
      <c r="D78" s="425">
        <f t="shared" si="1"/>
        <v>41.539693593314766</v>
      </c>
    </row>
    <row r="79" spans="1:4" x14ac:dyDescent="0.3">
      <c r="A79" s="13" t="s">
        <v>109</v>
      </c>
      <c r="B79" s="8">
        <v>3304.7400000000002</v>
      </c>
      <c r="C79" s="8">
        <v>8822</v>
      </c>
      <c r="D79" s="424">
        <f t="shared" si="1"/>
        <v>37.46021310360463</v>
      </c>
    </row>
    <row r="80" spans="1:4" x14ac:dyDescent="0.3">
      <c r="A80" s="13" t="s">
        <v>1148</v>
      </c>
      <c r="B80" s="8">
        <v>5619.97</v>
      </c>
      <c r="C80" s="8">
        <v>15133</v>
      </c>
      <c r="D80" s="424">
        <f t="shared" si="1"/>
        <v>37.137183638406135</v>
      </c>
    </row>
    <row r="81" spans="1:4" x14ac:dyDescent="0.3">
      <c r="A81" s="13" t="s">
        <v>1138</v>
      </c>
      <c r="B81" s="8">
        <v>5679.86</v>
      </c>
      <c r="C81" s="8">
        <v>15850</v>
      </c>
      <c r="D81" s="424">
        <f t="shared" si="1"/>
        <v>35.835078864353306</v>
      </c>
    </row>
    <row r="82" spans="1:4" x14ac:dyDescent="0.3">
      <c r="A82" s="13" t="s">
        <v>137</v>
      </c>
      <c r="B82" s="8">
        <v>4258.33</v>
      </c>
      <c r="C82" s="8">
        <v>10855</v>
      </c>
      <c r="D82" s="424">
        <f t="shared" si="1"/>
        <v>39.229203132197142</v>
      </c>
    </row>
    <row r="83" spans="1:4" x14ac:dyDescent="0.3">
      <c r="A83" s="13" t="s">
        <v>250</v>
      </c>
      <c r="B83" s="8">
        <v>3901.04</v>
      </c>
      <c r="C83" s="8">
        <v>9972</v>
      </c>
      <c r="D83" s="424">
        <f t="shared" si="1"/>
        <v>39.119935820296831</v>
      </c>
    </row>
    <row r="84" spans="1:4" x14ac:dyDescent="0.3">
      <c r="A84" s="13" t="s">
        <v>251</v>
      </c>
      <c r="B84" s="8">
        <v>4398.4000000000005</v>
      </c>
      <c r="C84" s="8">
        <v>10459</v>
      </c>
      <c r="D84" s="424">
        <f t="shared" si="1"/>
        <v>42.053733626541742</v>
      </c>
    </row>
    <row r="85" spans="1:4" x14ac:dyDescent="0.3">
      <c r="A85" s="13" t="s">
        <v>121</v>
      </c>
      <c r="B85" s="8">
        <v>4977.75</v>
      </c>
      <c r="C85" s="8">
        <v>14174</v>
      </c>
      <c r="D85" s="424">
        <f t="shared" si="1"/>
        <v>35.118879638775226</v>
      </c>
    </row>
    <row r="86" spans="1:4" x14ac:dyDescent="0.3">
      <c r="A86" s="13" t="s">
        <v>140</v>
      </c>
      <c r="B86" s="8">
        <v>3827.34</v>
      </c>
      <c r="C86" s="8">
        <v>10476</v>
      </c>
      <c r="D86" s="424">
        <f t="shared" si="1"/>
        <v>36.534364261168385</v>
      </c>
    </row>
    <row r="87" spans="1:4" x14ac:dyDescent="0.3">
      <c r="A87" s="13" t="s">
        <v>255</v>
      </c>
      <c r="B87" s="8">
        <v>1866.88</v>
      </c>
      <c r="C87" s="8">
        <v>4814</v>
      </c>
      <c r="D87" s="424">
        <f t="shared" si="1"/>
        <v>38.780224345658496</v>
      </c>
    </row>
    <row r="88" spans="1:4" x14ac:dyDescent="0.3">
      <c r="A88" s="13" t="s">
        <v>128</v>
      </c>
      <c r="B88" s="8">
        <v>2386.8199999999997</v>
      </c>
      <c r="C88" s="8">
        <v>6564</v>
      </c>
      <c r="D88" s="424">
        <f t="shared" si="1"/>
        <v>36.362279098110903</v>
      </c>
    </row>
    <row r="89" spans="1:4" x14ac:dyDescent="0.3">
      <c r="A89" s="13" t="s">
        <v>124</v>
      </c>
      <c r="B89" s="8">
        <v>6746.2000000000007</v>
      </c>
      <c r="C89" s="8">
        <v>19657</v>
      </c>
      <c r="D89" s="424">
        <f t="shared" si="1"/>
        <v>34.319580810907055</v>
      </c>
    </row>
    <row r="90" spans="1:4" x14ac:dyDescent="0.3">
      <c r="A90" s="13" t="s">
        <v>259</v>
      </c>
      <c r="B90" s="8">
        <v>4638.07</v>
      </c>
      <c r="C90" s="8">
        <v>13627</v>
      </c>
      <c r="D90" s="424">
        <f t="shared" si="1"/>
        <v>34.035884640786676</v>
      </c>
    </row>
    <row r="91" spans="1:4" x14ac:dyDescent="0.3">
      <c r="A91" s="13" t="s">
        <v>116</v>
      </c>
      <c r="B91" s="8">
        <v>5892.33</v>
      </c>
      <c r="C91" s="8">
        <v>14616</v>
      </c>
      <c r="D91" s="424">
        <f t="shared" si="1"/>
        <v>40.314244663382595</v>
      </c>
    </row>
    <row r="92" spans="1:4" x14ac:dyDescent="0.3">
      <c r="A92" s="13" t="s">
        <v>1140</v>
      </c>
      <c r="B92" s="8">
        <v>4399.92</v>
      </c>
      <c r="C92" s="8">
        <v>12957</v>
      </c>
      <c r="D92" s="424">
        <f t="shared" si="1"/>
        <v>33.957860615883305</v>
      </c>
    </row>
    <row r="93" spans="1:4" x14ac:dyDescent="0.3">
      <c r="A93" s="13" t="s">
        <v>1142</v>
      </c>
      <c r="B93" s="8">
        <v>7537.56</v>
      </c>
      <c r="C93" s="8">
        <v>20814</v>
      </c>
      <c r="D93" s="424">
        <f t="shared" si="1"/>
        <v>36.213894494090518</v>
      </c>
    </row>
    <row r="94" spans="1:4" x14ac:dyDescent="0.3">
      <c r="A94" s="13" t="s">
        <v>134</v>
      </c>
      <c r="B94" s="8">
        <v>5467.94</v>
      </c>
      <c r="C94" s="8">
        <v>13572</v>
      </c>
      <c r="D94" s="424">
        <f t="shared" si="1"/>
        <v>40.288387857353371</v>
      </c>
    </row>
    <row r="95" spans="1:4" x14ac:dyDescent="0.3">
      <c r="A95" s="13" t="s">
        <v>110</v>
      </c>
      <c r="B95" s="8">
        <v>4875.04</v>
      </c>
      <c r="C95" s="8">
        <v>12915</v>
      </c>
      <c r="D95" s="424">
        <f t="shared" si="1"/>
        <v>37.74711575687185</v>
      </c>
    </row>
    <row r="96" spans="1:4" x14ac:dyDescent="0.3">
      <c r="A96" s="13" t="s">
        <v>119</v>
      </c>
      <c r="B96" s="8">
        <v>4170.3900000000003</v>
      </c>
      <c r="C96" s="8">
        <v>10591</v>
      </c>
      <c r="D96" s="424">
        <f t="shared" si="1"/>
        <v>39.376734963648389</v>
      </c>
    </row>
    <row r="97" spans="1:4" x14ac:dyDescent="0.3">
      <c r="A97" s="13" t="s">
        <v>129</v>
      </c>
      <c r="B97" s="8">
        <v>6592.6</v>
      </c>
      <c r="C97" s="8">
        <v>16800</v>
      </c>
      <c r="D97" s="424">
        <f t="shared" si="1"/>
        <v>39.241666666666667</v>
      </c>
    </row>
    <row r="98" spans="1:4" x14ac:dyDescent="0.3">
      <c r="A98" s="13" t="s">
        <v>111</v>
      </c>
      <c r="B98" s="8">
        <v>5833.35</v>
      </c>
      <c r="C98" s="8">
        <v>16324</v>
      </c>
      <c r="D98" s="424">
        <f t="shared" si="1"/>
        <v>35.734807645185008</v>
      </c>
    </row>
    <row r="99" spans="1:4" x14ac:dyDescent="0.3">
      <c r="A99" s="13" t="s">
        <v>132</v>
      </c>
      <c r="B99" s="8">
        <v>3114.83</v>
      </c>
      <c r="C99" s="8">
        <v>8342</v>
      </c>
      <c r="D99" s="424">
        <f t="shared" si="1"/>
        <v>37.339127307600094</v>
      </c>
    </row>
    <row r="100" spans="1:4" x14ac:dyDescent="0.3">
      <c r="A100" s="13" t="s">
        <v>131</v>
      </c>
      <c r="B100" s="8">
        <v>5962.26</v>
      </c>
      <c r="C100" s="8">
        <v>15202</v>
      </c>
      <c r="D100" s="424">
        <f t="shared" si="1"/>
        <v>39.220234179713195</v>
      </c>
    </row>
    <row r="101" spans="1:4" x14ac:dyDescent="0.3">
      <c r="A101" s="13" t="s">
        <v>120</v>
      </c>
      <c r="B101" s="8">
        <v>1697.8400000000001</v>
      </c>
      <c r="C101" s="8">
        <v>4410</v>
      </c>
      <c r="D101" s="424">
        <f t="shared" si="1"/>
        <v>38.499773242630383</v>
      </c>
    </row>
    <row r="102" spans="1:4" x14ac:dyDescent="0.3">
      <c r="A102" s="13" t="s">
        <v>115</v>
      </c>
      <c r="B102" s="8">
        <v>6587.9100000000008</v>
      </c>
      <c r="C102" s="8">
        <v>17974</v>
      </c>
      <c r="D102" s="424">
        <f t="shared" si="1"/>
        <v>36.652442416824307</v>
      </c>
    </row>
    <row r="103" spans="1:4" x14ac:dyDescent="0.3">
      <c r="A103" s="13" t="s">
        <v>112</v>
      </c>
      <c r="B103" s="8">
        <v>6198.31</v>
      </c>
      <c r="C103" s="8">
        <v>16374</v>
      </c>
      <c r="D103" s="424">
        <f t="shared" si="1"/>
        <v>37.85458653963601</v>
      </c>
    </row>
    <row r="104" spans="1:4" x14ac:dyDescent="0.3">
      <c r="A104" s="13" t="s">
        <v>138</v>
      </c>
      <c r="B104" s="8">
        <v>5726.5099999999993</v>
      </c>
      <c r="C104" s="8">
        <v>15854</v>
      </c>
      <c r="D104" s="424">
        <f t="shared" si="1"/>
        <v>36.120285101551652</v>
      </c>
    </row>
    <row r="105" spans="1:4" x14ac:dyDescent="0.3">
      <c r="A105" s="13" t="s">
        <v>122</v>
      </c>
      <c r="B105" s="8">
        <v>5019.8499999999995</v>
      </c>
      <c r="C105" s="8">
        <v>13959</v>
      </c>
      <c r="D105" s="424">
        <f t="shared" si="1"/>
        <v>35.961386918833718</v>
      </c>
    </row>
    <row r="106" spans="1:4" x14ac:dyDescent="0.3">
      <c r="A106" s="13" t="s">
        <v>126</v>
      </c>
      <c r="B106" s="8">
        <v>6499.7000000000007</v>
      </c>
      <c r="C106" s="8">
        <v>16424</v>
      </c>
      <c r="D106" s="424">
        <f t="shared" si="1"/>
        <v>39.574403312226011</v>
      </c>
    </row>
    <row r="107" spans="1:4" x14ac:dyDescent="0.3">
      <c r="A107" s="13" t="s">
        <v>135</v>
      </c>
      <c r="B107" s="8">
        <v>4098.9400000000005</v>
      </c>
      <c r="C107" s="8">
        <v>10514</v>
      </c>
      <c r="D107" s="424">
        <f t="shared" si="1"/>
        <v>38.985543085409937</v>
      </c>
    </row>
    <row r="108" spans="1:4" x14ac:dyDescent="0.3">
      <c r="A108" s="13" t="s">
        <v>123</v>
      </c>
      <c r="B108" s="8">
        <v>5394.34</v>
      </c>
      <c r="C108" s="8">
        <v>14424</v>
      </c>
      <c r="D108" s="426">
        <f>B108/C108*100</f>
        <v>37.3983638380477</v>
      </c>
    </row>
    <row r="109" spans="1:4" x14ac:dyDescent="0.3">
      <c r="A109" s="13" t="s">
        <v>139</v>
      </c>
      <c r="B109" s="8">
        <v>6252.9199999999992</v>
      </c>
      <c r="C109" s="8">
        <v>17322</v>
      </c>
      <c r="D109" s="426">
        <f t="shared" ref="D109:D113" si="2">B109/C109*100</f>
        <v>36.098141092252625</v>
      </c>
    </row>
    <row r="110" spans="1:4" x14ac:dyDescent="0.3">
      <c r="A110" s="13" t="s">
        <v>1116</v>
      </c>
      <c r="B110" s="8">
        <v>4830.67</v>
      </c>
      <c r="C110" s="8">
        <v>13102</v>
      </c>
      <c r="D110" s="426">
        <f t="shared" si="2"/>
        <v>36.869714547397344</v>
      </c>
    </row>
    <row r="111" spans="1:4" x14ac:dyDescent="0.3">
      <c r="A111" s="13" t="s">
        <v>1115</v>
      </c>
      <c r="B111" s="8">
        <v>5177.6900000000005</v>
      </c>
      <c r="C111" s="8">
        <v>13860</v>
      </c>
      <c r="D111" s="426">
        <f t="shared" si="2"/>
        <v>37.357070707070712</v>
      </c>
    </row>
    <row r="112" spans="1:4" x14ac:dyDescent="0.3">
      <c r="A112" s="13" t="s">
        <v>125</v>
      </c>
      <c r="B112" s="8">
        <v>5728.0700000000006</v>
      </c>
      <c r="C112" s="8">
        <v>15041</v>
      </c>
      <c r="D112" s="426">
        <f t="shared" si="2"/>
        <v>38.083039691509882</v>
      </c>
    </row>
    <row r="113" spans="1:4" x14ac:dyDescent="0.3">
      <c r="A113" s="433" t="s">
        <v>1086</v>
      </c>
      <c r="B113" s="434">
        <v>559443.71</v>
      </c>
      <c r="C113" s="434">
        <v>1551730</v>
      </c>
      <c r="D113" s="426">
        <f t="shared" si="2"/>
        <v>36.052902889033525</v>
      </c>
    </row>
  </sheetData>
  <mergeCells count="1">
    <mergeCell ref="A1:D1"/>
  </mergeCells>
  <conditionalFormatting sqref="D1:D11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D10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D106">
    <cfRule type="colorScale" priority="4">
      <colorScale>
        <cfvo type="min"/>
        <cfvo type="percentile" val="34"/>
        <cfvo type="percent" val="38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FFFF99"/>
        <color rgb="FF92D050"/>
        <color rgb="FFEE0000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max"/>
        <color rgb="FF92D050"/>
        <color rgb="FFEE0000"/>
      </colorScale>
    </cfRule>
  </conditionalFormatting>
  <conditionalFormatting sqref="D5:D10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7">
    <cfRule type="colorScale" priority="9">
      <colorScale>
        <cfvo type="min"/>
        <cfvo type="percentile" val="34"/>
        <cfvo type="percent" val="38"/>
        <color rgb="FF63BE7B"/>
        <color rgb="FFFFEB84"/>
        <color rgb="FFF8696B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">
      <colorScale>
        <cfvo type="min"/>
        <cfvo type="percentile" val="50"/>
        <cfvo type="max"/>
        <color rgb="FFFFFF99"/>
        <color rgb="FF92D050"/>
        <color rgb="FFEE0000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">
      <colorScale>
        <cfvo type="min"/>
        <cfvo type="max"/>
        <color rgb="FF92D050"/>
        <color rgb="FFEE0000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4EC29-73A9-437A-BFFA-5016A174F3AF}">
  <dimension ref="A1:D116"/>
  <sheetViews>
    <sheetView topLeftCell="A89" workbookViewId="0">
      <selection activeCell="J118" sqref="J118"/>
    </sheetView>
  </sheetViews>
  <sheetFormatPr baseColWidth="10" defaultRowHeight="14.4" x14ac:dyDescent="0.3"/>
  <sheetData>
    <row r="1" spans="1:4" ht="16.2" thickBot="1" x14ac:dyDescent="0.35">
      <c r="A1" s="447" t="s">
        <v>1212</v>
      </c>
      <c r="B1" s="448"/>
      <c r="C1" s="448"/>
      <c r="D1" s="449"/>
    </row>
    <row r="2" spans="1:4" x14ac:dyDescent="0.3">
      <c r="B2" s="419"/>
      <c r="C2" s="416"/>
      <c r="D2" s="416"/>
    </row>
    <row r="3" spans="1:4" x14ac:dyDescent="0.3">
      <c r="B3" s="419"/>
      <c r="C3" s="416"/>
      <c r="D3" s="416"/>
    </row>
    <row r="4" spans="1:4" x14ac:dyDescent="0.3">
      <c r="A4" s="415" t="s">
        <v>1123</v>
      </c>
      <c r="B4" s="427" t="s">
        <v>1124</v>
      </c>
      <c r="C4" s="418" t="s">
        <v>1132</v>
      </c>
      <c r="D4" s="418" t="s">
        <v>1125</v>
      </c>
    </row>
    <row r="5" spans="1:4" x14ac:dyDescent="0.3">
      <c r="A5" s="13" t="s">
        <v>1092</v>
      </c>
      <c r="B5" s="8">
        <v>6458.54</v>
      </c>
      <c r="C5" s="8">
        <v>16401.810000000001</v>
      </c>
      <c r="D5" s="424">
        <f t="shared" ref="D5:D70" si="0">B5/C5*100</f>
        <v>39.376995587682089</v>
      </c>
    </row>
    <row r="6" spans="1:4" x14ac:dyDescent="0.3">
      <c r="A6" s="13" t="s">
        <v>1158</v>
      </c>
      <c r="B6" s="8">
        <v>3964.6600000000003</v>
      </c>
      <c r="C6" s="8">
        <v>11137</v>
      </c>
      <c r="D6" s="424">
        <f t="shared" si="0"/>
        <v>35.598994343180394</v>
      </c>
    </row>
    <row r="7" spans="1:4" x14ac:dyDescent="0.3">
      <c r="A7" s="13" t="s">
        <v>187</v>
      </c>
      <c r="B7" s="8">
        <v>5749.8700000000008</v>
      </c>
      <c r="C7" s="8">
        <v>16057</v>
      </c>
      <c r="D7" s="424">
        <f t="shared" si="0"/>
        <v>35.809117518839138</v>
      </c>
    </row>
    <row r="8" spans="1:4" x14ac:dyDescent="0.3">
      <c r="A8" s="13" t="s">
        <v>189</v>
      </c>
      <c r="B8" s="8">
        <v>4460.13</v>
      </c>
      <c r="C8" s="8">
        <v>12287</v>
      </c>
      <c r="D8" s="424">
        <f t="shared" si="0"/>
        <v>36.299584927158783</v>
      </c>
    </row>
    <row r="9" spans="1:4" x14ac:dyDescent="0.3">
      <c r="A9" s="13" t="s">
        <v>191</v>
      </c>
      <c r="B9" s="8">
        <v>6263.17</v>
      </c>
      <c r="C9" s="8">
        <v>17700</v>
      </c>
      <c r="D9" s="424">
        <f t="shared" si="0"/>
        <v>35.385141242937848</v>
      </c>
    </row>
    <row r="10" spans="1:4" x14ac:dyDescent="0.3">
      <c r="A10" s="13" t="s">
        <v>192</v>
      </c>
      <c r="B10" s="8">
        <v>5914.2699999999995</v>
      </c>
      <c r="C10" s="8">
        <v>15827</v>
      </c>
      <c r="D10" s="424">
        <f t="shared" si="0"/>
        <v>37.368231503127561</v>
      </c>
    </row>
    <row r="11" spans="1:4" x14ac:dyDescent="0.3">
      <c r="A11" s="13" t="s">
        <v>193</v>
      </c>
      <c r="B11" s="8">
        <v>6770.5599999999995</v>
      </c>
      <c r="C11" s="8">
        <v>19099</v>
      </c>
      <c r="D11" s="424">
        <f t="shared" si="0"/>
        <v>35.449814126394045</v>
      </c>
    </row>
    <row r="12" spans="1:4" x14ac:dyDescent="0.3">
      <c r="A12" s="13" t="s">
        <v>195</v>
      </c>
      <c r="B12" s="8">
        <v>6205.4299999999994</v>
      </c>
      <c r="C12" s="8">
        <v>17490</v>
      </c>
      <c r="D12" s="424">
        <f t="shared" si="0"/>
        <v>35.479874213836474</v>
      </c>
    </row>
    <row r="13" spans="1:4" x14ac:dyDescent="0.3">
      <c r="A13" s="13" t="s">
        <v>184</v>
      </c>
      <c r="B13" s="8">
        <v>5259.7</v>
      </c>
      <c r="C13" s="8">
        <v>13205</v>
      </c>
      <c r="D13" s="424">
        <f t="shared" si="0"/>
        <v>39.83112457402499</v>
      </c>
    </row>
    <row r="14" spans="1:4" x14ac:dyDescent="0.3">
      <c r="A14" s="13" t="s">
        <v>216</v>
      </c>
      <c r="B14" s="8">
        <v>6636.24</v>
      </c>
      <c r="C14" s="8">
        <v>17413</v>
      </c>
      <c r="D14" s="424">
        <f t="shared" si="0"/>
        <v>38.110836731177855</v>
      </c>
    </row>
    <row r="15" spans="1:4" x14ac:dyDescent="0.3">
      <c r="A15" s="13" t="s">
        <v>1143</v>
      </c>
      <c r="B15" s="8">
        <v>5550.77</v>
      </c>
      <c r="C15" s="8">
        <v>16831</v>
      </c>
      <c r="D15" s="424">
        <f t="shared" si="0"/>
        <v>32.979442695027032</v>
      </c>
    </row>
    <row r="16" spans="1:4" x14ac:dyDescent="0.3">
      <c r="A16" s="13" t="s">
        <v>209</v>
      </c>
      <c r="B16" s="8">
        <v>5713.93</v>
      </c>
      <c r="C16" s="8">
        <v>15618</v>
      </c>
      <c r="D16" s="424">
        <f t="shared" si="0"/>
        <v>36.585542322960691</v>
      </c>
    </row>
    <row r="17" spans="1:4" x14ac:dyDescent="0.3">
      <c r="A17" s="13" t="s">
        <v>212</v>
      </c>
      <c r="B17" s="8">
        <v>5082.9000000000005</v>
      </c>
      <c r="C17" s="8">
        <v>13843</v>
      </c>
      <c r="D17" s="424">
        <f t="shared" si="0"/>
        <v>36.71819692263238</v>
      </c>
    </row>
    <row r="18" spans="1:4" x14ac:dyDescent="0.3">
      <c r="A18" s="13" t="s">
        <v>214</v>
      </c>
      <c r="B18" s="8">
        <v>6569.3</v>
      </c>
      <c r="C18" s="8">
        <v>18444</v>
      </c>
      <c r="D18" s="424">
        <f t="shared" si="0"/>
        <v>35.617545001084366</v>
      </c>
    </row>
    <row r="19" spans="1:4" x14ac:dyDescent="0.3">
      <c r="A19" s="13" t="s">
        <v>218</v>
      </c>
      <c r="B19" s="8">
        <v>5515.17</v>
      </c>
      <c r="C19" s="8">
        <v>14626</v>
      </c>
      <c r="D19" s="424">
        <f t="shared" si="0"/>
        <v>37.707985778750171</v>
      </c>
    </row>
    <row r="20" spans="1:4" x14ac:dyDescent="0.3">
      <c r="A20" s="13" t="s">
        <v>220</v>
      </c>
      <c r="B20" s="8">
        <v>4918.7</v>
      </c>
      <c r="C20" s="8">
        <v>12999</v>
      </c>
      <c r="D20" s="424">
        <f t="shared" si="0"/>
        <v>37.839064543426417</v>
      </c>
    </row>
    <row r="21" spans="1:4" x14ac:dyDescent="0.3">
      <c r="A21" s="13" t="s">
        <v>222</v>
      </c>
      <c r="B21" s="8">
        <v>6683.8900000000012</v>
      </c>
      <c r="C21" s="8">
        <v>19223</v>
      </c>
      <c r="D21" s="424">
        <f t="shared" si="0"/>
        <v>34.770275191177241</v>
      </c>
    </row>
    <row r="22" spans="1:4" x14ac:dyDescent="0.3">
      <c r="A22" s="13" t="s">
        <v>438</v>
      </c>
      <c r="B22" s="8">
        <v>5354.78</v>
      </c>
      <c r="C22" s="8">
        <v>15912</v>
      </c>
      <c r="D22" s="424">
        <f t="shared" si="0"/>
        <v>33.652463549522373</v>
      </c>
    </row>
    <row r="23" spans="1:4" x14ac:dyDescent="0.3">
      <c r="A23" s="13" t="s">
        <v>1139</v>
      </c>
      <c r="B23" s="8">
        <v>7056.9699999999993</v>
      </c>
      <c r="C23" s="8">
        <v>20186.89</v>
      </c>
      <c r="D23" s="424">
        <f t="shared" si="0"/>
        <v>34.958183256559082</v>
      </c>
    </row>
    <row r="24" spans="1:4" x14ac:dyDescent="0.3">
      <c r="A24" s="13" t="s">
        <v>1136</v>
      </c>
      <c r="B24" s="8">
        <v>6751.87</v>
      </c>
      <c r="C24" s="8">
        <v>18897.82</v>
      </c>
      <c r="D24" s="424">
        <f t="shared" si="0"/>
        <v>35.728300936298474</v>
      </c>
    </row>
    <row r="25" spans="1:4" x14ac:dyDescent="0.3">
      <c r="A25" s="13" t="s">
        <v>1152</v>
      </c>
      <c r="B25" s="8">
        <v>6659.12</v>
      </c>
      <c r="C25" s="8">
        <v>17862</v>
      </c>
      <c r="D25" s="424">
        <f t="shared" si="0"/>
        <v>37.280931586608439</v>
      </c>
    </row>
    <row r="26" spans="1:4" x14ac:dyDescent="0.3">
      <c r="A26" s="13" t="s">
        <v>1137</v>
      </c>
      <c r="B26" s="8">
        <v>5809.08</v>
      </c>
      <c r="C26" s="8">
        <v>15809</v>
      </c>
      <c r="D26" s="424">
        <f t="shared" si="0"/>
        <v>36.745398190903913</v>
      </c>
    </row>
    <row r="27" spans="1:4" x14ac:dyDescent="0.3">
      <c r="A27" s="13" t="s">
        <v>1150</v>
      </c>
      <c r="B27" s="8">
        <v>5709.4499999999989</v>
      </c>
      <c r="C27" s="8">
        <v>14036.02</v>
      </c>
      <c r="D27" s="424">
        <f t="shared" si="0"/>
        <v>40.677129271688116</v>
      </c>
    </row>
    <row r="28" spans="1:4" x14ac:dyDescent="0.3">
      <c r="A28" s="13" t="s">
        <v>440</v>
      </c>
      <c r="B28" s="8">
        <v>6076.7000000000007</v>
      </c>
      <c r="C28" s="8">
        <v>19345</v>
      </c>
      <c r="D28" s="424">
        <f t="shared" si="0"/>
        <v>31.412251227707422</v>
      </c>
    </row>
    <row r="29" spans="1:4" x14ac:dyDescent="0.3">
      <c r="A29" s="13" t="s">
        <v>422</v>
      </c>
      <c r="B29" s="8">
        <v>5549.09</v>
      </c>
      <c r="C29" s="8">
        <v>15934</v>
      </c>
      <c r="D29" s="424">
        <f t="shared" si="0"/>
        <v>34.825467553658846</v>
      </c>
    </row>
    <row r="30" spans="1:4" x14ac:dyDescent="0.3">
      <c r="A30" s="13" t="s">
        <v>424</v>
      </c>
      <c r="B30" s="8">
        <v>6795.66</v>
      </c>
      <c r="C30" s="8">
        <v>19553</v>
      </c>
      <c r="D30" s="424">
        <f t="shared" si="0"/>
        <v>34.755075947424949</v>
      </c>
    </row>
    <row r="31" spans="1:4" x14ac:dyDescent="0.3">
      <c r="A31" s="13" t="s">
        <v>433</v>
      </c>
      <c r="B31" s="8">
        <v>5883.8700000000008</v>
      </c>
      <c r="C31" s="8">
        <v>16964</v>
      </c>
      <c r="D31" s="424">
        <f t="shared" si="0"/>
        <v>34.684449422306059</v>
      </c>
    </row>
    <row r="32" spans="1:4" x14ac:dyDescent="0.3">
      <c r="A32" s="13" t="s">
        <v>1141</v>
      </c>
      <c r="B32" s="8">
        <v>4596.67</v>
      </c>
      <c r="C32" s="8">
        <v>12818.68</v>
      </c>
      <c r="D32" s="424">
        <f t="shared" si="0"/>
        <v>35.859152424430597</v>
      </c>
    </row>
    <row r="33" spans="1:4" x14ac:dyDescent="0.3">
      <c r="A33" s="13" t="s">
        <v>1095</v>
      </c>
      <c r="B33" s="8">
        <v>7074.0199999999995</v>
      </c>
      <c r="C33" s="8">
        <v>19563</v>
      </c>
      <c r="D33" s="424">
        <f t="shared" si="0"/>
        <v>36.160200378265088</v>
      </c>
    </row>
    <row r="34" spans="1:4" x14ac:dyDescent="0.3">
      <c r="A34" s="13" t="s">
        <v>1094</v>
      </c>
      <c r="B34" s="8">
        <v>5548.89</v>
      </c>
      <c r="C34" s="8">
        <v>15792</v>
      </c>
      <c r="D34" s="424">
        <f t="shared" si="0"/>
        <v>35.137348024316111</v>
      </c>
    </row>
    <row r="35" spans="1:4" x14ac:dyDescent="0.3">
      <c r="A35" s="13" t="s">
        <v>427</v>
      </c>
      <c r="B35" s="8">
        <v>7229.4000000000005</v>
      </c>
      <c r="C35" s="8">
        <v>21191</v>
      </c>
      <c r="D35" s="424">
        <f t="shared" si="0"/>
        <v>34.115426360247277</v>
      </c>
    </row>
    <row r="36" spans="1:4" x14ac:dyDescent="0.3">
      <c r="A36" s="13" t="s">
        <v>1144</v>
      </c>
      <c r="B36" s="8">
        <v>6411.9599999999991</v>
      </c>
      <c r="C36" s="8">
        <v>17631</v>
      </c>
      <c r="D36" s="424">
        <f t="shared" si="0"/>
        <v>36.36753445635528</v>
      </c>
    </row>
    <row r="37" spans="1:4" x14ac:dyDescent="0.3">
      <c r="A37" s="13" t="s">
        <v>540</v>
      </c>
      <c r="B37" s="8">
        <v>5176.42</v>
      </c>
      <c r="C37" s="8">
        <v>15389</v>
      </c>
      <c r="D37" s="424">
        <f t="shared" si="0"/>
        <v>33.637143414126975</v>
      </c>
    </row>
    <row r="38" spans="1:4" x14ac:dyDescent="0.3">
      <c r="A38" s="13" t="s">
        <v>581</v>
      </c>
      <c r="B38" s="8">
        <v>1877.6399999999999</v>
      </c>
      <c r="C38" s="8">
        <v>5574</v>
      </c>
      <c r="D38" s="424">
        <f t="shared" si="0"/>
        <v>33.685683530678148</v>
      </c>
    </row>
    <row r="39" spans="1:4" x14ac:dyDescent="0.3">
      <c r="A39" s="13" t="s">
        <v>519</v>
      </c>
      <c r="B39" s="8">
        <v>5873.18</v>
      </c>
      <c r="C39" s="8">
        <v>17473</v>
      </c>
      <c r="D39" s="424">
        <f t="shared" si="0"/>
        <v>33.612888456475709</v>
      </c>
    </row>
    <row r="40" spans="1:4" x14ac:dyDescent="0.3">
      <c r="A40" s="13" t="s">
        <v>522</v>
      </c>
      <c r="B40" s="8">
        <v>5398.94</v>
      </c>
      <c r="C40" s="8">
        <v>16533</v>
      </c>
      <c r="D40" s="424">
        <f t="shared" si="0"/>
        <v>32.655537410028423</v>
      </c>
    </row>
    <row r="41" spans="1:4" x14ac:dyDescent="0.3">
      <c r="A41" s="13" t="s">
        <v>768</v>
      </c>
      <c r="B41" s="8">
        <v>7498.75</v>
      </c>
      <c r="C41" s="8">
        <v>19478</v>
      </c>
      <c r="D41" s="424">
        <f t="shared" si="0"/>
        <v>38.498562480747509</v>
      </c>
    </row>
    <row r="42" spans="1:4" x14ac:dyDescent="0.3">
      <c r="A42" s="13" t="s">
        <v>748</v>
      </c>
      <c r="B42" s="8">
        <v>7221.6</v>
      </c>
      <c r="C42" s="8">
        <v>21631.119999999999</v>
      </c>
      <c r="D42" s="424">
        <f t="shared" si="0"/>
        <v>33.385233866762334</v>
      </c>
    </row>
    <row r="43" spans="1:4" x14ac:dyDescent="0.3">
      <c r="A43" s="13" t="s">
        <v>754</v>
      </c>
      <c r="B43" s="8">
        <v>8372.4600000000009</v>
      </c>
      <c r="C43" s="8">
        <v>24066</v>
      </c>
      <c r="D43" s="424">
        <f t="shared" si="0"/>
        <v>34.789578658688605</v>
      </c>
    </row>
    <row r="44" spans="1:4" x14ac:dyDescent="0.3">
      <c r="A44" s="13" t="s">
        <v>1090</v>
      </c>
      <c r="B44" s="8">
        <v>5165.3999999999996</v>
      </c>
      <c r="C44" s="8">
        <v>13768</v>
      </c>
      <c r="D44" s="424">
        <f t="shared" si="0"/>
        <v>37.517431725740849</v>
      </c>
    </row>
    <row r="45" spans="1:4" x14ac:dyDescent="0.3">
      <c r="A45" s="13" t="s">
        <v>1151</v>
      </c>
      <c r="B45" s="8">
        <v>6449.06</v>
      </c>
      <c r="C45" s="8">
        <v>18221.47</v>
      </c>
      <c r="D45" s="424">
        <f t="shared" si="0"/>
        <v>35.39264395243633</v>
      </c>
    </row>
    <row r="46" spans="1:4" x14ac:dyDescent="0.3">
      <c r="A46" s="13" t="s">
        <v>1091</v>
      </c>
      <c r="B46" s="8">
        <v>7840.29</v>
      </c>
      <c r="C46" s="8">
        <v>23817</v>
      </c>
      <c r="D46" s="424">
        <f t="shared" si="0"/>
        <v>32.918881471218036</v>
      </c>
    </row>
    <row r="47" spans="1:4" x14ac:dyDescent="0.3">
      <c r="A47" s="13" t="s">
        <v>1118</v>
      </c>
      <c r="B47" s="8">
        <v>8508.4800000000014</v>
      </c>
      <c r="C47" s="8">
        <v>24397</v>
      </c>
      <c r="D47" s="424">
        <f t="shared" si="0"/>
        <v>34.875107595196134</v>
      </c>
    </row>
    <row r="48" spans="1:4" x14ac:dyDescent="0.3">
      <c r="A48" s="13" t="s">
        <v>1096</v>
      </c>
      <c r="B48" s="8">
        <v>6813.71</v>
      </c>
      <c r="C48" s="8">
        <v>21466.720000000001</v>
      </c>
      <c r="D48" s="424">
        <f t="shared" si="0"/>
        <v>31.740806234021779</v>
      </c>
    </row>
    <row r="49" spans="1:4" x14ac:dyDescent="0.3">
      <c r="A49" s="13" t="s">
        <v>1117</v>
      </c>
      <c r="B49" s="8">
        <v>7141.3</v>
      </c>
      <c r="C49" s="8">
        <v>21060</v>
      </c>
      <c r="D49" s="424">
        <f t="shared" si="0"/>
        <v>33.909306742640076</v>
      </c>
    </row>
    <row r="50" spans="1:4" x14ac:dyDescent="0.3">
      <c r="A50" s="13" t="s">
        <v>1126</v>
      </c>
      <c r="B50" s="8">
        <v>6138.9100000000008</v>
      </c>
      <c r="C50" s="8">
        <v>18481</v>
      </c>
      <c r="D50" s="424">
        <f t="shared" si="0"/>
        <v>33.21741247767978</v>
      </c>
    </row>
    <row r="51" spans="1:4" x14ac:dyDescent="0.3">
      <c r="A51" s="13" t="s">
        <v>1130</v>
      </c>
      <c r="B51" s="8">
        <v>5871.61</v>
      </c>
      <c r="C51" s="8">
        <v>17054</v>
      </c>
      <c r="D51" s="424">
        <f t="shared" si="0"/>
        <v>34.429518001641839</v>
      </c>
    </row>
    <row r="52" spans="1:4" x14ac:dyDescent="0.3">
      <c r="A52" s="13" t="s">
        <v>1129</v>
      </c>
      <c r="B52" s="8">
        <v>6686.3</v>
      </c>
      <c r="C52" s="8">
        <v>19532</v>
      </c>
      <c r="D52" s="424">
        <f t="shared" si="0"/>
        <v>34.232541470407533</v>
      </c>
    </row>
    <row r="53" spans="1:4" x14ac:dyDescent="0.3">
      <c r="A53" s="13" t="s">
        <v>1133</v>
      </c>
      <c r="B53" s="8">
        <v>7104.1</v>
      </c>
      <c r="C53" s="8">
        <v>19297</v>
      </c>
      <c r="D53" s="424">
        <f t="shared" si="0"/>
        <v>36.814530756076074</v>
      </c>
    </row>
    <row r="54" spans="1:4" x14ac:dyDescent="0.3">
      <c r="A54" s="13" t="s">
        <v>1134</v>
      </c>
      <c r="B54" s="8">
        <v>6588.08</v>
      </c>
      <c r="C54" s="8">
        <v>19503</v>
      </c>
      <c r="D54" s="424">
        <f t="shared" si="0"/>
        <v>33.779828744295749</v>
      </c>
    </row>
    <row r="55" spans="1:4" x14ac:dyDescent="0.3">
      <c r="A55" s="13" t="s">
        <v>1135</v>
      </c>
      <c r="B55" s="8">
        <v>6563.3099999999995</v>
      </c>
      <c r="C55" s="8">
        <v>18477.400000000001</v>
      </c>
      <c r="D55" s="424">
        <f t="shared" si="0"/>
        <v>35.520744260556128</v>
      </c>
    </row>
    <row r="56" spans="1:4" x14ac:dyDescent="0.3">
      <c r="A56" s="13" t="s">
        <v>1154</v>
      </c>
      <c r="B56" s="8">
        <v>5718.0300000000007</v>
      </c>
      <c r="C56" s="8">
        <v>16648.580000000002</v>
      </c>
      <c r="D56" s="424">
        <f t="shared" si="0"/>
        <v>34.345451684167664</v>
      </c>
    </row>
    <row r="57" spans="1:4" x14ac:dyDescent="0.3">
      <c r="A57" s="13" t="s">
        <v>1159</v>
      </c>
      <c r="B57" s="8">
        <v>4511.05</v>
      </c>
      <c r="C57" s="8">
        <v>12992</v>
      </c>
      <c r="D57" s="424">
        <f t="shared" si="0"/>
        <v>34.721751847290641</v>
      </c>
    </row>
    <row r="58" spans="1:4" x14ac:dyDescent="0.3">
      <c r="A58" s="13" t="s">
        <v>1156</v>
      </c>
      <c r="B58" s="8">
        <v>6534.11</v>
      </c>
      <c r="C58" s="8">
        <v>18577.78</v>
      </c>
      <c r="D58" s="424">
        <f t="shared" si="0"/>
        <v>35.171640529708071</v>
      </c>
    </row>
    <row r="59" spans="1:4" x14ac:dyDescent="0.3">
      <c r="A59" s="13" t="s">
        <v>1157</v>
      </c>
      <c r="B59" s="8">
        <v>8382.0399999999991</v>
      </c>
      <c r="C59" s="8">
        <v>23429.79</v>
      </c>
      <c r="D59" s="424">
        <f t="shared" si="0"/>
        <v>35.775139256476471</v>
      </c>
    </row>
    <row r="60" spans="1:4" x14ac:dyDescent="0.3">
      <c r="A60" s="13" t="s">
        <v>1153</v>
      </c>
      <c r="B60" s="8">
        <v>7980.35</v>
      </c>
      <c r="C60" s="8">
        <v>21827.84</v>
      </c>
      <c r="D60" s="424">
        <f t="shared" si="0"/>
        <v>36.560420087374659</v>
      </c>
    </row>
    <row r="61" spans="1:4" x14ac:dyDescent="0.3">
      <c r="A61" s="13" t="s">
        <v>1173</v>
      </c>
      <c r="B61" s="8">
        <v>6599.9400000000005</v>
      </c>
      <c r="C61" s="8">
        <v>18893</v>
      </c>
      <c r="D61" s="424">
        <f t="shared" si="0"/>
        <v>34.933255703170488</v>
      </c>
    </row>
    <row r="62" spans="1:4" x14ac:dyDescent="0.3">
      <c r="A62" s="13" t="s">
        <v>1180</v>
      </c>
      <c r="B62" s="8">
        <v>7075.9400000000005</v>
      </c>
      <c r="C62" s="8">
        <v>20546</v>
      </c>
      <c r="D62" s="424">
        <f t="shared" si="0"/>
        <v>34.439501606152049</v>
      </c>
    </row>
    <row r="63" spans="1:4" x14ac:dyDescent="0.3">
      <c r="A63" s="13" t="s">
        <v>1179</v>
      </c>
      <c r="B63" s="8">
        <v>6448.9600000000009</v>
      </c>
      <c r="C63" s="8">
        <v>18549</v>
      </c>
      <c r="D63" s="424">
        <f t="shared" si="0"/>
        <v>34.767157259151446</v>
      </c>
    </row>
    <row r="64" spans="1:4" x14ac:dyDescent="0.3">
      <c r="A64" s="13" t="s">
        <v>1185</v>
      </c>
      <c r="B64" s="8">
        <v>6878.43</v>
      </c>
      <c r="C64" s="8">
        <v>19531</v>
      </c>
      <c r="D64" s="424">
        <f t="shared" si="0"/>
        <v>35.218012390558599</v>
      </c>
    </row>
    <row r="65" spans="1:4" x14ac:dyDescent="0.3">
      <c r="A65" s="13" t="s">
        <v>1183</v>
      </c>
      <c r="B65" s="8">
        <v>5640.1</v>
      </c>
      <c r="C65" s="8">
        <v>16490</v>
      </c>
      <c r="D65" s="424">
        <f t="shared" si="0"/>
        <v>34.203153426318984</v>
      </c>
    </row>
    <row r="66" spans="1:4" x14ac:dyDescent="0.3">
      <c r="A66" s="13" t="s">
        <v>1186</v>
      </c>
      <c r="B66" s="8">
        <v>5451.9700000000012</v>
      </c>
      <c r="C66" s="8">
        <v>16587</v>
      </c>
      <c r="D66" s="424">
        <f t="shared" si="0"/>
        <v>32.868933502140237</v>
      </c>
    </row>
    <row r="67" spans="1:4" x14ac:dyDescent="0.3">
      <c r="A67" s="13" t="s">
        <v>1187</v>
      </c>
      <c r="B67" s="8">
        <v>5027.34</v>
      </c>
      <c r="C67" s="8">
        <v>13538</v>
      </c>
      <c r="D67" s="424">
        <f t="shared" si="0"/>
        <v>37.135027330477179</v>
      </c>
    </row>
    <row r="68" spans="1:4" x14ac:dyDescent="0.3">
      <c r="A68" s="13" t="s">
        <v>1189</v>
      </c>
      <c r="B68" s="8">
        <v>4723.82</v>
      </c>
      <c r="C68" s="8">
        <v>13860</v>
      </c>
      <c r="D68" s="424">
        <f t="shared" si="0"/>
        <v>34.082395382395383</v>
      </c>
    </row>
    <row r="69" spans="1:4" x14ac:dyDescent="0.3">
      <c r="A69" s="13" t="s">
        <v>1190</v>
      </c>
      <c r="B69" s="8">
        <v>6598.26</v>
      </c>
      <c r="C69" s="8">
        <v>19629</v>
      </c>
      <c r="D69" s="424">
        <f t="shared" si="0"/>
        <v>33.614855570839062</v>
      </c>
    </row>
    <row r="70" spans="1:4" x14ac:dyDescent="0.3">
      <c r="A70" s="13" t="s">
        <v>1193</v>
      </c>
      <c r="B70" s="8">
        <v>5999.7300000000005</v>
      </c>
      <c r="C70" s="8">
        <v>16772</v>
      </c>
      <c r="D70" s="424">
        <f t="shared" si="0"/>
        <v>35.772299069878372</v>
      </c>
    </row>
    <row r="71" spans="1:4" x14ac:dyDescent="0.3">
      <c r="A71" s="13" t="s">
        <v>1195</v>
      </c>
      <c r="B71" s="8">
        <v>8997.7899999999991</v>
      </c>
      <c r="C71" s="8">
        <v>25086</v>
      </c>
      <c r="D71" s="424">
        <f t="shared" ref="D71:D105" si="1">B71/C71*100</f>
        <v>35.867774854500517</v>
      </c>
    </row>
    <row r="72" spans="1:4" x14ac:dyDescent="0.3">
      <c r="A72" s="13" t="s">
        <v>1194</v>
      </c>
      <c r="B72" s="8">
        <v>6575.7899999999991</v>
      </c>
      <c r="C72" s="8">
        <v>18540</v>
      </c>
      <c r="D72" s="424">
        <f t="shared" si="1"/>
        <v>35.468122977346269</v>
      </c>
    </row>
    <row r="73" spans="1:4" x14ac:dyDescent="0.3">
      <c r="A73" s="13" t="s">
        <v>1207</v>
      </c>
      <c r="B73" s="8">
        <v>6603.0300000000007</v>
      </c>
      <c r="C73" s="8">
        <v>18475</v>
      </c>
      <c r="D73" s="424">
        <f t="shared" si="1"/>
        <v>35.740351826792967</v>
      </c>
    </row>
    <row r="74" spans="1:4" x14ac:dyDescent="0.3">
      <c r="A74" s="13" t="s">
        <v>1203</v>
      </c>
      <c r="B74" s="8">
        <v>8600.19</v>
      </c>
      <c r="C74" s="8">
        <v>25288</v>
      </c>
      <c r="D74" s="424">
        <f t="shared" si="1"/>
        <v>34.00897658968681</v>
      </c>
    </row>
    <row r="75" spans="1:4" x14ac:dyDescent="0.3">
      <c r="A75" s="13" t="s">
        <v>1208</v>
      </c>
      <c r="B75" s="8">
        <v>6178.83</v>
      </c>
      <c r="C75" s="8">
        <v>17266</v>
      </c>
      <c r="D75" s="424">
        <f t="shared" si="1"/>
        <v>35.786111432873859</v>
      </c>
    </row>
    <row r="76" spans="1:4" x14ac:dyDescent="0.3">
      <c r="A76" s="13" t="s">
        <v>1209</v>
      </c>
      <c r="B76" s="8">
        <v>5960.72</v>
      </c>
      <c r="C76" s="8">
        <v>17645</v>
      </c>
      <c r="D76" s="424">
        <f t="shared" si="1"/>
        <v>33.781354491357327</v>
      </c>
    </row>
    <row r="77" spans="1:4" x14ac:dyDescent="0.3">
      <c r="A77" s="13" t="s">
        <v>1213</v>
      </c>
      <c r="B77" s="8">
        <v>6611.7399999999989</v>
      </c>
      <c r="C77" s="8">
        <v>18460</v>
      </c>
      <c r="D77" s="425">
        <f t="shared" si="1"/>
        <v>35.81657638136511</v>
      </c>
    </row>
    <row r="78" spans="1:4" x14ac:dyDescent="0.3">
      <c r="A78" s="13" t="s">
        <v>1210</v>
      </c>
      <c r="B78" s="8">
        <v>6642.49</v>
      </c>
      <c r="C78" s="8">
        <v>18526</v>
      </c>
      <c r="D78" s="424">
        <f t="shared" si="1"/>
        <v>35.854960595919252</v>
      </c>
    </row>
    <row r="79" spans="1:4" x14ac:dyDescent="0.3">
      <c r="A79" s="13" t="s">
        <v>1214</v>
      </c>
      <c r="B79" s="8">
        <v>5480.6299999999992</v>
      </c>
      <c r="C79" s="8">
        <v>15627</v>
      </c>
      <c r="D79" s="424">
        <f t="shared" si="1"/>
        <v>35.071542842516152</v>
      </c>
    </row>
    <row r="80" spans="1:4" x14ac:dyDescent="0.3">
      <c r="A80" s="13" t="s">
        <v>1215</v>
      </c>
      <c r="B80" s="8">
        <v>4484.2800000000007</v>
      </c>
      <c r="C80" s="8">
        <v>13138.04</v>
      </c>
      <c r="D80" s="424">
        <f t="shared" si="1"/>
        <v>34.132031870811787</v>
      </c>
    </row>
    <row r="81" spans="1:4" x14ac:dyDescent="0.3">
      <c r="A81" s="13" t="s">
        <v>1216</v>
      </c>
      <c r="B81" s="8">
        <v>5468.2199999999993</v>
      </c>
      <c r="C81" s="8">
        <v>16675</v>
      </c>
      <c r="D81" s="424">
        <f t="shared" si="1"/>
        <v>32.79292353823088</v>
      </c>
    </row>
    <row r="82" spans="1:4" x14ac:dyDescent="0.3">
      <c r="A82" s="13" t="s">
        <v>1211</v>
      </c>
      <c r="B82" s="8">
        <v>6672.5</v>
      </c>
      <c r="C82" s="8">
        <v>18854</v>
      </c>
      <c r="D82" s="424">
        <f t="shared" si="1"/>
        <v>35.390368091651645</v>
      </c>
    </row>
    <row r="83" spans="1:4" x14ac:dyDescent="0.3">
      <c r="A83" s="13" t="s">
        <v>1217</v>
      </c>
      <c r="B83" s="8">
        <v>910.26</v>
      </c>
      <c r="C83" s="8">
        <v>2341</v>
      </c>
      <c r="D83" s="424">
        <f t="shared" si="1"/>
        <v>38.883383169585642</v>
      </c>
    </row>
    <row r="84" spans="1:4" x14ac:dyDescent="0.3">
      <c r="A84" s="13" t="s">
        <v>1218</v>
      </c>
      <c r="B84" s="8">
        <v>724.31</v>
      </c>
      <c r="C84" s="8">
        <v>1862</v>
      </c>
      <c r="D84" s="424">
        <f t="shared" si="1"/>
        <v>38.899570354457566</v>
      </c>
    </row>
    <row r="85" spans="1:4" x14ac:dyDescent="0.3">
      <c r="A85" s="13" t="s">
        <v>1155</v>
      </c>
      <c r="B85" s="8">
        <v>4327.83</v>
      </c>
      <c r="C85" s="8">
        <v>12100</v>
      </c>
      <c r="D85" s="424">
        <f t="shared" si="1"/>
        <v>35.767190082644632</v>
      </c>
    </row>
    <row r="86" spans="1:4" x14ac:dyDescent="0.3">
      <c r="A86" s="13" t="s">
        <v>109</v>
      </c>
      <c r="B86" s="8">
        <v>2939.42</v>
      </c>
      <c r="C86" s="8">
        <v>7619</v>
      </c>
      <c r="D86" s="424">
        <f t="shared" si="1"/>
        <v>38.580128625803908</v>
      </c>
    </row>
    <row r="87" spans="1:4" x14ac:dyDescent="0.3">
      <c r="A87" s="13" t="s">
        <v>1148</v>
      </c>
      <c r="B87" s="8">
        <v>2796.04</v>
      </c>
      <c r="C87" s="8">
        <v>7813</v>
      </c>
      <c r="D87" s="424">
        <f t="shared" si="1"/>
        <v>35.787021630615641</v>
      </c>
    </row>
    <row r="88" spans="1:4" x14ac:dyDescent="0.3">
      <c r="A88" s="13" t="s">
        <v>1138</v>
      </c>
      <c r="B88" s="8">
        <v>7906.4</v>
      </c>
      <c r="C88" s="8">
        <v>21764</v>
      </c>
      <c r="D88" s="424">
        <f t="shared" si="1"/>
        <v>36.327880904245539</v>
      </c>
    </row>
    <row r="89" spans="1:4" x14ac:dyDescent="0.3">
      <c r="A89" s="13" t="s">
        <v>137</v>
      </c>
      <c r="B89" s="8">
        <v>5978.1399999999994</v>
      </c>
      <c r="C89" s="8">
        <v>16018</v>
      </c>
      <c r="D89" s="424">
        <f t="shared" si="1"/>
        <v>37.321388438007233</v>
      </c>
    </row>
    <row r="90" spans="1:4" x14ac:dyDescent="0.3">
      <c r="A90" s="13" t="s">
        <v>250</v>
      </c>
      <c r="B90" s="8">
        <v>5704.3199999999988</v>
      </c>
      <c r="C90" s="8">
        <v>14882</v>
      </c>
      <c r="D90" s="424">
        <f t="shared" si="1"/>
        <v>38.330331944631091</v>
      </c>
    </row>
    <row r="91" spans="1:4" x14ac:dyDescent="0.3">
      <c r="A91" s="13" t="s">
        <v>121</v>
      </c>
      <c r="B91" s="8">
        <v>5981.81</v>
      </c>
      <c r="C91" s="8">
        <v>15761</v>
      </c>
      <c r="D91" s="424">
        <f t="shared" si="1"/>
        <v>37.953239007677183</v>
      </c>
    </row>
    <row r="92" spans="1:4" x14ac:dyDescent="0.3">
      <c r="A92" s="13" t="s">
        <v>255</v>
      </c>
      <c r="B92" s="8">
        <v>3115.63</v>
      </c>
      <c r="C92" s="8">
        <v>8118</v>
      </c>
      <c r="D92" s="424">
        <f t="shared" si="1"/>
        <v>38.379280610987934</v>
      </c>
    </row>
    <row r="93" spans="1:4" x14ac:dyDescent="0.3">
      <c r="A93" s="13" t="s">
        <v>128</v>
      </c>
      <c r="B93" s="8">
        <v>7733.1</v>
      </c>
      <c r="C93" s="8">
        <v>20083</v>
      </c>
      <c r="D93" s="424">
        <f t="shared" si="1"/>
        <v>38.505701339441323</v>
      </c>
    </row>
    <row r="94" spans="1:4" x14ac:dyDescent="0.3">
      <c r="A94" s="13" t="s">
        <v>124</v>
      </c>
      <c r="B94" s="8">
        <v>7443.7000000000007</v>
      </c>
      <c r="C94" s="8">
        <v>22320</v>
      </c>
      <c r="D94" s="424">
        <f t="shared" si="1"/>
        <v>33.349910394265237</v>
      </c>
    </row>
    <row r="95" spans="1:4" x14ac:dyDescent="0.3">
      <c r="A95" s="13" t="s">
        <v>259</v>
      </c>
      <c r="B95" s="8">
        <v>5920.39</v>
      </c>
      <c r="C95" s="8">
        <v>16790</v>
      </c>
      <c r="D95" s="424">
        <f t="shared" si="1"/>
        <v>35.261405598570576</v>
      </c>
    </row>
    <row r="96" spans="1:4" x14ac:dyDescent="0.3">
      <c r="A96" s="13" t="s">
        <v>116</v>
      </c>
      <c r="B96" s="8">
        <v>4315.54</v>
      </c>
      <c r="C96" s="8">
        <v>10825</v>
      </c>
      <c r="D96" s="424">
        <f t="shared" si="1"/>
        <v>39.866420323325634</v>
      </c>
    </row>
    <row r="97" spans="1:4" x14ac:dyDescent="0.3">
      <c r="A97" s="13" t="s">
        <v>1140</v>
      </c>
      <c r="B97" s="8">
        <v>6776.5300000000007</v>
      </c>
      <c r="C97" s="8">
        <v>19085</v>
      </c>
      <c r="D97" s="424">
        <f t="shared" si="1"/>
        <v>35.507099816609902</v>
      </c>
    </row>
    <row r="98" spans="1:4" x14ac:dyDescent="0.3">
      <c r="A98" s="13" t="s">
        <v>1142</v>
      </c>
      <c r="B98" s="8">
        <v>7093.12</v>
      </c>
      <c r="C98" s="8">
        <v>19151</v>
      </c>
      <c r="D98" s="424">
        <f t="shared" si="1"/>
        <v>37.037857030964439</v>
      </c>
    </row>
    <row r="99" spans="1:4" x14ac:dyDescent="0.3">
      <c r="A99" s="13" t="s">
        <v>134</v>
      </c>
      <c r="B99" s="8">
        <v>3633.6899999999996</v>
      </c>
      <c r="C99" s="8">
        <v>9664</v>
      </c>
      <c r="D99" s="424">
        <f t="shared" si="1"/>
        <v>37.600269039735096</v>
      </c>
    </row>
    <row r="100" spans="1:4" x14ac:dyDescent="0.3">
      <c r="A100" s="13" t="s">
        <v>110</v>
      </c>
      <c r="B100" s="8">
        <v>4777.8999999999996</v>
      </c>
      <c r="C100" s="8">
        <v>13073</v>
      </c>
      <c r="D100" s="424">
        <f t="shared" si="1"/>
        <v>36.547846706953258</v>
      </c>
    </row>
    <row r="101" spans="1:4" x14ac:dyDescent="0.3">
      <c r="A101" s="13" t="s">
        <v>119</v>
      </c>
      <c r="B101" s="8">
        <v>7376.6800000000012</v>
      </c>
      <c r="C101" s="8">
        <v>19042</v>
      </c>
      <c r="D101" s="424">
        <f t="shared" si="1"/>
        <v>38.738998004411307</v>
      </c>
    </row>
    <row r="102" spans="1:4" x14ac:dyDescent="0.3">
      <c r="A102" s="13" t="s">
        <v>129</v>
      </c>
      <c r="B102" s="8">
        <v>5159.8599999999997</v>
      </c>
      <c r="C102" s="8">
        <v>13043</v>
      </c>
      <c r="D102" s="424">
        <f t="shared" si="1"/>
        <v>39.560377213831174</v>
      </c>
    </row>
    <row r="103" spans="1:4" x14ac:dyDescent="0.3">
      <c r="A103" s="13" t="s">
        <v>111</v>
      </c>
      <c r="B103" s="8">
        <v>5802.3</v>
      </c>
      <c r="C103" s="8">
        <v>16145</v>
      </c>
      <c r="D103" s="424">
        <f t="shared" si="1"/>
        <v>35.938680706100961</v>
      </c>
    </row>
    <row r="104" spans="1:4" x14ac:dyDescent="0.3">
      <c r="A104" s="13" t="s">
        <v>131</v>
      </c>
      <c r="B104" s="8">
        <v>6358.5700000000006</v>
      </c>
      <c r="C104" s="8">
        <v>17461</v>
      </c>
      <c r="D104" s="424">
        <f t="shared" si="1"/>
        <v>36.415841017123881</v>
      </c>
    </row>
    <row r="105" spans="1:4" x14ac:dyDescent="0.3">
      <c r="A105" s="13" t="s">
        <v>120</v>
      </c>
      <c r="B105" s="8">
        <v>6348.6599999999989</v>
      </c>
      <c r="C105" s="8">
        <v>16463</v>
      </c>
      <c r="D105" s="424">
        <f t="shared" si="1"/>
        <v>38.563202332503181</v>
      </c>
    </row>
    <row r="106" spans="1:4" x14ac:dyDescent="0.3">
      <c r="A106" s="13" t="s">
        <v>115</v>
      </c>
      <c r="B106" s="8">
        <v>5918.35</v>
      </c>
      <c r="C106" s="8">
        <v>15013</v>
      </c>
      <c r="D106" s="426">
        <f>B106/C106*100</f>
        <v>39.421501365483252</v>
      </c>
    </row>
    <row r="107" spans="1:4" x14ac:dyDescent="0.3">
      <c r="A107" s="13" t="s">
        <v>112</v>
      </c>
      <c r="B107" s="8">
        <v>5565.59</v>
      </c>
      <c r="C107" s="8">
        <v>14052</v>
      </c>
      <c r="D107" s="426">
        <f t="shared" ref="D107:D111" si="2">B107/C107*100</f>
        <v>39.607102191858814</v>
      </c>
    </row>
    <row r="108" spans="1:4" x14ac:dyDescent="0.3">
      <c r="A108" s="13" t="s">
        <v>138</v>
      </c>
      <c r="B108" s="8">
        <v>5616.61</v>
      </c>
      <c r="C108" s="8">
        <v>15095</v>
      </c>
      <c r="D108" s="426">
        <f t="shared" si="2"/>
        <v>37.208413381914539</v>
      </c>
    </row>
    <row r="109" spans="1:4" x14ac:dyDescent="0.3">
      <c r="A109" s="13" t="s">
        <v>126</v>
      </c>
      <c r="B109" s="8">
        <v>6820.36</v>
      </c>
      <c r="C109" s="8">
        <v>17770</v>
      </c>
      <c r="D109" s="426">
        <f t="shared" si="2"/>
        <v>38.381316826111423</v>
      </c>
    </row>
    <row r="110" spans="1:4" x14ac:dyDescent="0.3">
      <c r="A110" s="13" t="s">
        <v>135</v>
      </c>
      <c r="B110" s="8">
        <v>5789.65</v>
      </c>
      <c r="C110" s="8">
        <v>14284</v>
      </c>
      <c r="D110" s="426">
        <f t="shared" si="2"/>
        <v>40.532413889666756</v>
      </c>
    </row>
    <row r="111" spans="1:4" x14ac:dyDescent="0.3">
      <c r="A111" s="13" t="s">
        <v>123</v>
      </c>
      <c r="B111" s="8">
        <v>5257.9699999999993</v>
      </c>
      <c r="C111" s="8">
        <v>14227</v>
      </c>
      <c r="D111" s="426">
        <f t="shared" si="2"/>
        <v>36.957686089829195</v>
      </c>
    </row>
    <row r="112" spans="1:4" x14ac:dyDescent="0.3">
      <c r="A112" s="13" t="s">
        <v>139</v>
      </c>
      <c r="B112" s="8">
        <v>1766.96</v>
      </c>
      <c r="C112" s="8">
        <v>5560</v>
      </c>
      <c r="D112" s="436">
        <f>B112/C112*100</f>
        <v>31.779856115107911</v>
      </c>
    </row>
    <row r="113" spans="1:4" x14ac:dyDescent="0.3">
      <c r="A113" s="13" t="s">
        <v>1116</v>
      </c>
      <c r="B113" s="8">
        <v>7567.44</v>
      </c>
      <c r="C113" s="8">
        <v>21334</v>
      </c>
      <c r="D113" s="436">
        <f>B113/C113*100</f>
        <v>35.471266522921155</v>
      </c>
    </row>
    <row r="114" spans="1:4" x14ac:dyDescent="0.3">
      <c r="A114" s="13" t="s">
        <v>1115</v>
      </c>
      <c r="B114" s="8">
        <v>7126.3799999999992</v>
      </c>
      <c r="C114" s="8">
        <v>18128</v>
      </c>
      <c r="D114" s="436">
        <f>B114/C114*100</f>
        <v>39.311451897616941</v>
      </c>
    </row>
    <row r="115" spans="1:4" x14ac:dyDescent="0.3">
      <c r="A115" s="13" t="s">
        <v>125</v>
      </c>
      <c r="B115" s="8">
        <v>6210.37</v>
      </c>
      <c r="C115" s="8">
        <v>16208</v>
      </c>
      <c r="D115" s="436">
        <f>B115/C115*100</f>
        <v>38.316695459032573</v>
      </c>
    </row>
    <row r="116" spans="1:4" x14ac:dyDescent="0.3">
      <c r="A116" s="433" t="s">
        <v>1086</v>
      </c>
      <c r="B116" s="437">
        <v>661124.46</v>
      </c>
      <c r="C116" s="438">
        <f>SUM(C5:C115)</f>
        <v>1849459.96</v>
      </c>
      <c r="D116" s="436">
        <f>B116/C116*100</f>
        <v>35.746892298225255</v>
      </c>
    </row>
  </sheetData>
  <mergeCells count="1">
    <mergeCell ref="A1:D1"/>
  </mergeCells>
  <conditionalFormatting sqref="D1:D111">
    <cfRule type="colorScale" priority="129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D104">
    <cfRule type="colorScale" priority="129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D104">
    <cfRule type="colorScale" priority="12909">
      <colorScale>
        <cfvo type="min"/>
        <cfvo type="percentile" val="34"/>
        <cfvo type="percent" val="38"/>
        <color rgb="FF63BE7B"/>
        <color rgb="FFFFEB84"/>
        <color rgb="FFF8696B"/>
      </colorScale>
    </cfRule>
    <cfRule type="colorScale" priority="12910">
      <colorScale>
        <cfvo type="min"/>
        <cfvo type="percentile" val="50"/>
        <cfvo type="max"/>
        <color rgb="FFFFFF99"/>
        <color rgb="FF92D050"/>
        <color rgb="FFEE0000"/>
      </colorScale>
    </cfRule>
    <cfRule type="colorScale" priority="129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912">
      <colorScale>
        <cfvo type="min"/>
        <cfvo type="max"/>
        <color rgb="FF92D050"/>
        <color rgb="FFEE0000"/>
      </colorScale>
    </cfRule>
  </conditionalFormatting>
  <conditionalFormatting sqref="D5:D105">
    <cfRule type="colorScale" priority="129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D1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5">
    <cfRule type="colorScale" priority="12">
      <colorScale>
        <cfvo type="min"/>
        <cfvo type="percentile" val="34"/>
        <cfvo type="percent" val="38"/>
        <color rgb="FF63BE7B"/>
        <color rgb="FFFFEB84"/>
        <color rgb="FFF8696B"/>
      </colorScale>
    </cfRule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">
      <colorScale>
        <cfvo type="min"/>
        <cfvo type="percentile" val="50"/>
        <cfvo type="max"/>
        <color rgb="FFFFFF99"/>
        <color rgb="FF92D050"/>
        <color rgb="FFEE0000"/>
      </colorScale>
    </cfRule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">
      <colorScale>
        <cfvo type="min"/>
        <cfvo type="max"/>
        <color rgb="FF92D050"/>
        <color rgb="FFEE0000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157"/>
  <sheetViews>
    <sheetView tabSelected="1"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V1" sqref="V1:V1048576"/>
    </sheetView>
  </sheetViews>
  <sheetFormatPr baseColWidth="10" defaultRowHeight="14.4" x14ac:dyDescent="0.3"/>
  <cols>
    <col min="2" max="2" width="10.109375" bestFit="1" customWidth="1"/>
    <col min="3" max="3" width="25.109375" customWidth="1"/>
    <col min="4" max="4" width="9.44140625" customWidth="1"/>
    <col min="5" max="5" width="9.44140625" bestFit="1" customWidth="1"/>
    <col min="6" max="7" width="8.88671875" bestFit="1" customWidth="1"/>
    <col min="8" max="8" width="10.6640625" customWidth="1"/>
    <col min="9" max="9" width="13.6640625" bestFit="1" customWidth="1"/>
    <col min="10" max="10" width="13.33203125" customWidth="1"/>
    <col min="11" max="11" width="15" customWidth="1"/>
    <col min="12" max="12" width="9.44140625" bestFit="1" customWidth="1"/>
    <col min="13" max="13" width="8.88671875" bestFit="1" customWidth="1"/>
    <col min="14" max="14" width="10.5546875" bestFit="1" customWidth="1"/>
    <col min="15" max="15" width="9.44140625" bestFit="1" customWidth="1"/>
    <col min="16" max="16" width="8.88671875" customWidth="1"/>
    <col min="17" max="17" width="9.44140625" style="4" customWidth="1"/>
    <col min="18" max="18" width="9.6640625" bestFit="1" customWidth="1"/>
  </cols>
  <sheetData>
    <row r="1" spans="1:22" ht="15" thickBot="1" x14ac:dyDescent="0.35"/>
    <row r="2" spans="1:22" ht="15" thickBot="1" x14ac:dyDescent="0.35">
      <c r="B2" s="348" t="s">
        <v>1114</v>
      </c>
      <c r="C2" s="349" t="s">
        <v>1172</v>
      </c>
      <c r="D2" s="347">
        <v>45413</v>
      </c>
      <c r="E2" s="347">
        <v>45444</v>
      </c>
      <c r="F2" s="347">
        <v>45474</v>
      </c>
      <c r="G2" s="347">
        <v>45505</v>
      </c>
      <c r="H2" s="347">
        <v>45536</v>
      </c>
      <c r="I2" s="347">
        <v>45566</v>
      </c>
      <c r="J2" s="347">
        <v>45597</v>
      </c>
      <c r="K2" s="347">
        <v>45627</v>
      </c>
      <c r="L2" s="347">
        <v>45658</v>
      </c>
      <c r="M2" s="347">
        <v>45689</v>
      </c>
      <c r="N2" s="347">
        <v>45717</v>
      </c>
      <c r="O2" s="347">
        <v>45748</v>
      </c>
      <c r="P2" s="347">
        <v>45778</v>
      </c>
      <c r="Q2" s="347">
        <v>45809</v>
      </c>
      <c r="R2" s="347">
        <v>45839</v>
      </c>
      <c r="S2" s="347">
        <v>45870</v>
      </c>
      <c r="T2" s="347">
        <v>45901</v>
      </c>
      <c r="U2" s="347">
        <v>45931</v>
      </c>
    </row>
    <row r="3" spans="1:22" x14ac:dyDescent="0.3">
      <c r="A3" s="457" t="s">
        <v>1200</v>
      </c>
      <c r="B3" s="323" t="s">
        <v>120</v>
      </c>
      <c r="C3" s="327" t="s">
        <v>1097</v>
      </c>
      <c r="D3" s="367">
        <f>VLOOKUP(Tabla3[[#This Row],[PATENTE]],'MAYO 2024'!$A:$D,4,0)</f>
        <v>41.227537112596579</v>
      </c>
      <c r="E3" s="367">
        <f>VLOOKUP(Tabla3[[#This Row],[PATENTE]],'JUNIO 2024'!$A:$D,4,0)</f>
        <v>41.632936278478084</v>
      </c>
      <c r="F3" s="367">
        <f>VLOOKUP(Tabla3[[#This Row],[PATENTE]],'JULIO 2024'!$A:$D,4,0)</f>
        <v>41.812195820211848</v>
      </c>
      <c r="G3" s="367">
        <f>VLOOKUP(Tabla3[[#This Row],[PATENTE]],'AGOSTO 2024'!$A:$D,4,0)</f>
        <v>42.230776331579428</v>
      </c>
      <c r="H3" s="367"/>
      <c r="I3" s="367">
        <f>VLOOKUP(Tabla3[[#This Row],[PATENTE]],'OCTUBRE 2024'!$A:$D,4,0)</f>
        <v>40.124393203883493</v>
      </c>
      <c r="J3" s="350">
        <f>VLOOKUP(Tabla3[[#This Row],[PATENTE]],'NOVIEMBRE 2024'!$A:$D,4,0)</f>
        <v>40.634072697712234</v>
      </c>
      <c r="K3" s="350">
        <f>VLOOKUP(Tabla3[[#This Row],[PATENTE]],'DICIEMBRE 2024'!$A:$D,4,0)</f>
        <v>39.987104158718054</v>
      </c>
      <c r="L3" s="350">
        <f>VLOOKUP(Tabla3[[#This Row],[PATENTE]],'ENERO 2025'!$A:$D,4,0)</f>
        <v>38.473163841807903</v>
      </c>
      <c r="M3" s="350">
        <f>VLOOKUP(Tabla3[[#This Row],[PATENTE]],'FEBRERO 2025'!$A:$D,4,0)</f>
        <v>40.715915026989379</v>
      </c>
      <c r="N3" s="350">
        <f>VLOOKUP(Tabla3[[#This Row],[PATENTE]],'MARZO 2025'!$A:$D,4,0)</f>
        <v>40.672854534388314</v>
      </c>
      <c r="O3" s="350">
        <f>VLOOKUP(Tabla3[[#This Row],[PATENTE]],'ABRIL 2025'!$A:$D,4,0)</f>
        <v>37.024559375902925</v>
      </c>
      <c r="P3" s="350">
        <f>VLOOKUP(Tabla3[[#This Row],[PATENTE]],'MAYO 2025'!$A:$D,4,0)</f>
        <v>36.392950391644909</v>
      </c>
      <c r="Q3" s="350">
        <f>VLOOKUP(Tabla3[[#This Row],[PATENTE]],'JUNIO 2025'!$A:$D,4,0)</f>
        <v>38.615180265654644</v>
      </c>
      <c r="R3" s="350">
        <f>VLOOKUP(Tabla3[[#This Row],[PATENTE]],'JULIO 2025'!$A:$D,4,0)</f>
        <v>39.128998513461433</v>
      </c>
      <c r="S3" s="430">
        <f>VLOOKUP(Tabla3[[#This Row],[PATENTE]],'AGOSTO 2025'!$A:$D,4,0)</f>
        <v>40.222669049746798</v>
      </c>
      <c r="T3" s="430">
        <f>VLOOKUP(Tabla3[[#This Row],[PATENTE]],'SEPTIEMBRE 2025'!$A:$D,4,0)</f>
        <v>38.499773242630383</v>
      </c>
      <c r="U3" s="430">
        <f>VLOOKUP(Tabla3[[#This Row],[PATENTE]],'OCTUBRE 2025'!$A:$D,4,0)</f>
        <v>38.563202332503181</v>
      </c>
      <c r="V3" s="460">
        <f t="shared" ref="V3:V14" si="0">AVERAGE(D3:U3)</f>
        <v>39.762251892818206</v>
      </c>
    </row>
    <row r="4" spans="1:22" x14ac:dyDescent="0.3">
      <c r="A4" s="457"/>
      <c r="B4" s="324" t="s">
        <v>116</v>
      </c>
      <c r="C4" s="328" t="s">
        <v>1097</v>
      </c>
      <c r="D4" s="350">
        <f>VLOOKUP(Tabla3[[#This Row],[PATENTE]],'MAYO 2024'!$A:$D,4,0)</f>
        <v>36.01393915024795</v>
      </c>
      <c r="E4" s="350">
        <f>VLOOKUP(Tabla3[[#This Row],[PATENTE]],'JUNIO 2024'!$A:$D,4,0)</f>
        <v>38.747537754432045</v>
      </c>
      <c r="F4" s="350">
        <f>VLOOKUP(Tabla3[[#This Row],[PATENTE]],'JULIO 2024'!$A:$D,4,0)</f>
        <v>40.230615580170692</v>
      </c>
      <c r="G4" s="350">
        <f>VLOOKUP(Tabla3[[#This Row],[PATENTE]],'AGOSTO 2024'!$A:$D,4,0)</f>
        <v>40.325259515570934</v>
      </c>
      <c r="H4" s="350">
        <f>VLOOKUP(Tabla3[[#This Row],[PATENTE]],'SEPTIEMBRE 2024'!$A:$D,4,0)</f>
        <v>39.563114754098358</v>
      </c>
      <c r="I4" s="350">
        <f>VLOOKUP(Tabla3[[#This Row],[PATENTE]],'OCTUBRE 2024'!$A:$D,4,0)</f>
        <v>39.761499148211243</v>
      </c>
      <c r="J4" s="350">
        <f>VLOOKUP(Tabla3[[#This Row],[PATENTE]],'NOVIEMBRE 2024'!$A:$D,4,0)</f>
        <v>39.226600263659002</v>
      </c>
      <c r="K4" s="350">
        <f>VLOOKUP(Tabla3[[#This Row],[PATENTE]],'DICIEMBRE 2024'!$A:$D,4,0)</f>
        <v>40.66754641427012</v>
      </c>
      <c r="L4" s="350"/>
      <c r="M4" s="350"/>
      <c r="N4" s="350"/>
      <c r="O4" s="350"/>
      <c r="P4" s="350">
        <f>VLOOKUP(Tabla3[[#This Row],[PATENTE]],'MAYO 2025'!$A:$D,4,0)</f>
        <v>39.397390868038137</v>
      </c>
      <c r="Q4" s="350">
        <f>VLOOKUP(Tabla3[[#This Row],[PATENTE]],'JUNIO 2025'!$A:$D,4,0)</f>
        <v>37.222058317352605</v>
      </c>
      <c r="R4" s="350">
        <f>VLOOKUP(Tabla3[[#This Row],[PATENTE]],'JULIO 2025'!$A:$D,4,0)</f>
        <v>39.835528014459079</v>
      </c>
      <c r="S4" s="430">
        <f>VLOOKUP(Tabla3[[#This Row],[PATENTE]],'AGOSTO 2025'!$A:$D,4,0)</f>
        <v>39.622010920730553</v>
      </c>
      <c r="T4" s="435">
        <f>VLOOKUP(Tabla3[[#This Row],[PATENTE]],'SEPTIEMBRE 2025'!$A:$D,4,0)</f>
        <v>40.314244663382595</v>
      </c>
      <c r="U4" s="435">
        <f>VLOOKUP(Tabla3[[#This Row],[PATENTE]],'OCTUBRE 2025'!$A:$D,4,0)</f>
        <v>39.866420323325634</v>
      </c>
      <c r="V4" s="460">
        <f t="shared" si="0"/>
        <v>39.3424118348535</v>
      </c>
    </row>
    <row r="5" spans="1:22" x14ac:dyDescent="0.3">
      <c r="A5" s="457"/>
      <c r="B5" s="324" t="s">
        <v>109</v>
      </c>
      <c r="C5" s="328" t="s">
        <v>1097</v>
      </c>
      <c r="D5" s="350">
        <f>VLOOKUP(Tabla3[[#This Row],[PATENTE]],'MAYO 2024'!$A:$D,4,0)</f>
        <v>37.523245402575931</v>
      </c>
      <c r="E5" s="350">
        <f>VLOOKUP(Tabla3[[#This Row],[PATENTE]],'JUNIO 2024'!$A:$D,4,0)</f>
        <v>39.6044588277598</v>
      </c>
      <c r="F5" s="350">
        <f>VLOOKUP(Tabla3[[#This Row],[PATENTE]],'JULIO 2024'!$A:$D,4,0)</f>
        <v>40.293501048218026</v>
      </c>
      <c r="G5" s="350">
        <f>VLOOKUP(Tabla3[[#This Row],[PATENTE]],'AGOSTO 2024'!$A:$D,4,0)</f>
        <v>39.346109412164452</v>
      </c>
      <c r="H5" s="350">
        <f>VLOOKUP(Tabla3[[#This Row],[PATENTE]],'SEPTIEMBRE 2024'!$A:$D,4,0)</f>
        <v>39.155348047538205</v>
      </c>
      <c r="I5" s="350">
        <f>VLOOKUP(Tabla3[[#This Row],[PATENTE]],'OCTUBRE 2024'!$A:$D,4,0)</f>
        <v>38.69732532751091</v>
      </c>
      <c r="J5" s="350">
        <f>VLOOKUP(Tabla3[[#This Row],[PATENTE]],'NOVIEMBRE 2024'!$A:$D,4,0)</f>
        <v>38.971971872833514</v>
      </c>
      <c r="K5" s="350">
        <f>VLOOKUP(Tabla3[[#This Row],[PATENTE]],'DICIEMBRE 2024'!$A:$D,4,0)</f>
        <v>40.786081405952082</v>
      </c>
      <c r="L5" s="350">
        <f>VLOOKUP(Tabla3[[#This Row],[PATENTE]],'ENERO 2025'!$A:$D,4,0)</f>
        <v>38.444691051136367</v>
      </c>
      <c r="M5" s="350">
        <f>VLOOKUP(Tabla3[[#This Row],[PATENTE]],'FEBRERO 2025'!$A:$D,4,0)</f>
        <v>39.177322591703806</v>
      </c>
      <c r="N5" s="350">
        <f>VLOOKUP(Tabla3[[#This Row],[PATENTE]],'MARZO 2025'!$A:$D,4,0)</f>
        <v>40.133001638250107</v>
      </c>
      <c r="O5" s="350">
        <f>VLOOKUP(Tabla3[[#This Row],[PATENTE]],'ABRIL 2025'!$A:$D,4,0)</f>
        <v>37.104344502484388</v>
      </c>
      <c r="P5" s="350">
        <f>VLOOKUP(Tabla3[[#This Row],[PATENTE]],'MAYO 2025'!$A:$D,4,0)</f>
        <v>40.025606135576446</v>
      </c>
      <c r="Q5" s="350">
        <f>VLOOKUP(Tabla3[[#This Row],[PATENTE]],'JUNIO 2025'!$A:$D,4,0)</f>
        <v>41.142265315116795</v>
      </c>
      <c r="R5" s="350">
        <f>VLOOKUP(Tabla3[[#This Row],[PATENTE]],'JULIO 2025'!$A:$D,4,0)</f>
        <v>40.985979292493532</v>
      </c>
      <c r="S5" s="350">
        <f>VLOOKUP(Tabla3[[#This Row],[PATENTE]],'AGOSTO 2025'!$A:$D,4,0)</f>
        <v>37.239894219871559</v>
      </c>
      <c r="T5" s="350">
        <f>VLOOKUP(Tabla3[[#This Row],[PATENTE]],'SEPTIEMBRE 2025'!$A:$D,4,0)</f>
        <v>37.46021310360463</v>
      </c>
      <c r="U5" s="350">
        <f>VLOOKUP(Tabla3[[#This Row],[PATENTE]],'OCTUBRE 2025'!$A:$D,4,0)</f>
        <v>38.580128625803908</v>
      </c>
      <c r="V5" s="460">
        <f t="shared" si="0"/>
        <v>39.148415990033023</v>
      </c>
    </row>
    <row r="6" spans="1:22" x14ac:dyDescent="0.3">
      <c r="A6" s="457"/>
      <c r="B6" s="324" t="s">
        <v>121</v>
      </c>
      <c r="C6" s="328" t="s">
        <v>1097</v>
      </c>
      <c r="D6" s="350">
        <f>VLOOKUP(Tabla3[[#This Row],[PATENTE]],'MAYO 2024'!$A:$D,4,0)</f>
        <v>39.704891524053359</v>
      </c>
      <c r="E6" s="350">
        <f>VLOOKUP(Tabla3[[#This Row],[PATENTE]],'JUNIO 2024'!$A:$D,4,0)</f>
        <v>38.976587442355445</v>
      </c>
      <c r="F6" s="350">
        <f>VLOOKUP(Tabla3[[#This Row],[PATENTE]],'JULIO 2024'!$A:$D,4,0)</f>
        <v>39.544957339750603</v>
      </c>
      <c r="G6" s="350">
        <f>VLOOKUP(Tabla3[[#This Row],[PATENTE]],'AGOSTO 2024'!$A:$D,4,0)</f>
        <v>40.620033254973912</v>
      </c>
      <c r="H6" s="350">
        <f>VLOOKUP(Tabla3[[#This Row],[PATENTE]],'SEPTIEMBRE 2024'!$A:$D,4,0)</f>
        <v>42.280271778694491</v>
      </c>
      <c r="I6" s="350">
        <f>VLOOKUP(Tabla3[[#This Row],[PATENTE]],'OCTUBRE 2024'!$A:$D,4,0)</f>
        <v>42.733022867866829</v>
      </c>
      <c r="J6" s="350">
        <f>VLOOKUP(Tabla3[[#This Row],[PATENTE]],'NOVIEMBRE 2024'!$A:$D,4,0)</f>
        <v>43.274685816876122</v>
      </c>
      <c r="K6" s="350">
        <f>VLOOKUP(Tabla3[[#This Row],[PATENTE]],'DICIEMBRE 2024'!$A:$D,4,0)</f>
        <v>40.665755919854284</v>
      </c>
      <c r="L6" s="350">
        <f>VLOOKUP(Tabla3[[#This Row],[PATENTE]],'ENERO 2025'!$A:$D,4,0)</f>
        <v>40.172413793103452</v>
      </c>
      <c r="M6" s="350">
        <f>VLOOKUP(Tabla3[[#This Row],[PATENTE]],'FEBRERO 2025'!$A:$D,4,0)</f>
        <v>39.275005120502485</v>
      </c>
      <c r="N6" s="350">
        <f>VLOOKUP(Tabla3[[#This Row],[PATENTE]],'MARZO 2025'!$A:$D,4,0)</f>
        <v>37.685931790499389</v>
      </c>
      <c r="O6" s="350">
        <f>VLOOKUP(Tabla3[[#This Row],[PATENTE]],'ABRIL 2025'!$A:$D,4,0)</f>
        <v>33.304014536369316</v>
      </c>
      <c r="P6" s="350">
        <f>VLOOKUP(Tabla3[[#This Row],[PATENTE]],'MAYO 2025'!$A:$D,4,0)</f>
        <v>37.300386148480321</v>
      </c>
      <c r="Q6" s="350">
        <f>VLOOKUP(Tabla3[[#This Row],[PATENTE]],'JUNIO 2025'!$A:$D,4,0)</f>
        <v>37.427341939755046</v>
      </c>
      <c r="R6" s="350">
        <f>VLOOKUP(Tabla3[[#This Row],[PATENTE]],'JULIO 2025'!$A:$D,4,0)</f>
        <v>36.960815673730515</v>
      </c>
      <c r="S6" s="350">
        <f>VLOOKUP(Tabla3[[#This Row],[PATENTE]],'AGOSTO 2025'!$A:$D,4,0)</f>
        <v>33.989384179335218</v>
      </c>
      <c r="T6" s="350">
        <f>VLOOKUP(Tabla3[[#This Row],[PATENTE]],'SEPTIEMBRE 2025'!$A:$D,4,0)</f>
        <v>35.118879638775226</v>
      </c>
      <c r="U6" s="350">
        <f>VLOOKUP(Tabla3[[#This Row],[PATENTE]],'OCTUBRE 2025'!$A:$D,4,0)</f>
        <v>37.953239007677183</v>
      </c>
      <c r="V6" s="460">
        <f t="shared" si="0"/>
        <v>38.721534320702951</v>
      </c>
    </row>
    <row r="7" spans="1:22" x14ac:dyDescent="0.3">
      <c r="A7" s="457"/>
      <c r="B7" s="324" t="s">
        <v>137</v>
      </c>
      <c r="C7" s="328" t="s">
        <v>1097</v>
      </c>
      <c r="D7" s="350">
        <f>VLOOKUP(Tabla3[[#This Row],[PATENTE]],'MAYO 2024'!$A:$D,4,0)</f>
        <v>38.797221016066004</v>
      </c>
      <c r="E7" s="350">
        <f>VLOOKUP(Tabla3[[#This Row],[PATENTE]],'JUNIO 2024'!$A:$D,4,0)</f>
        <v>38.480924654558095</v>
      </c>
      <c r="F7" s="350">
        <f>VLOOKUP(Tabla3[[#This Row],[PATENTE]],'JULIO 2024'!$A:$D,4,0)</f>
        <v>40.825025285363388</v>
      </c>
      <c r="G7" s="350">
        <f>VLOOKUP(Tabla3[[#This Row],[PATENTE]],'AGOSTO 2024'!$A:$D,4,0)</f>
        <v>41.44287407677578</v>
      </c>
      <c r="H7" s="350">
        <f>VLOOKUP(Tabla3[[#This Row],[PATENTE]],'SEPTIEMBRE 2024'!$A:$D,4,0)</f>
        <v>41.427127659574467</v>
      </c>
      <c r="I7" s="350">
        <f>VLOOKUP(Tabla3[[#This Row],[PATENTE]],'OCTUBRE 2024'!$A:$D,4,0)</f>
        <v>39.200602182913059</v>
      </c>
      <c r="J7" s="350">
        <f>VLOOKUP(Tabla3[[#This Row],[PATENTE]],'NOVIEMBRE 2024'!$A:$D,4,0)</f>
        <v>41.37991882830422</v>
      </c>
      <c r="K7" s="350">
        <f>VLOOKUP(Tabla3[[#This Row],[PATENTE]],'DICIEMBRE 2024'!$A:$D,4,0)</f>
        <v>42.599359267734549</v>
      </c>
      <c r="L7" s="350">
        <f>VLOOKUP(Tabla3[[#This Row],[PATENTE]],'ENERO 2025'!$A:$D,4,0)</f>
        <v>40.895594254072712</v>
      </c>
      <c r="M7" s="350">
        <f>VLOOKUP(Tabla3[[#This Row],[PATENTE]],'FEBRERO 2025'!$A:$D,4,0)</f>
        <v>40.918127515907024</v>
      </c>
      <c r="N7" s="350">
        <f>VLOOKUP(Tabla3[[#This Row],[PATENTE]],'MARZO 2025'!$A:$D,4,0)</f>
        <v>37.047752808988761</v>
      </c>
      <c r="O7" s="350">
        <f>VLOOKUP(Tabla3[[#This Row],[PATENTE]],'ABRIL 2025'!$A:$D,4,0)</f>
        <v>39.489522803310443</v>
      </c>
      <c r="P7" s="350">
        <f>VLOOKUP(Tabla3[[#This Row],[PATENTE]],'MAYO 2025'!$A:$D,4,0)</f>
        <v>38.756574990997763</v>
      </c>
      <c r="Q7" s="350">
        <f>VLOOKUP(Tabla3[[#This Row],[PATENTE]],'JUNIO 2025'!$A:$D,4,0)</f>
        <v>38.617769691456296</v>
      </c>
      <c r="R7" s="350">
        <f>VLOOKUP(Tabla3[[#This Row],[PATENTE]],'JULIO 2025'!$A:$D,4,0)</f>
        <v>38.901851285189721</v>
      </c>
      <c r="S7" s="430">
        <f>VLOOKUP(Tabla3[[#This Row],[PATENTE]],'AGOSTO 2025'!$A:$D,4,0)</f>
        <v>39.046350766048228</v>
      </c>
      <c r="T7" s="430">
        <f>VLOOKUP(Tabla3[[#This Row],[PATENTE]],'SEPTIEMBRE 2025'!$A:$D,4,0)</f>
        <v>39.229203132197142</v>
      </c>
      <c r="U7" s="430">
        <f>VLOOKUP(Tabla3[[#This Row],[PATENTE]],'OCTUBRE 2025'!$A:$D,4,0)</f>
        <v>37.321388438007233</v>
      </c>
      <c r="V7" s="460">
        <f t="shared" si="0"/>
        <v>39.687621592081392</v>
      </c>
    </row>
    <row r="8" spans="1:22" x14ac:dyDescent="0.3">
      <c r="A8" s="457"/>
      <c r="B8" s="324" t="s">
        <v>140</v>
      </c>
      <c r="C8" s="328" t="s">
        <v>1097</v>
      </c>
      <c r="D8" s="350">
        <f>VLOOKUP(Tabla3[[#This Row],[PATENTE]],'MAYO 2024'!$A:$D,4,0)</f>
        <v>39.106583072100314</v>
      </c>
      <c r="E8" s="350">
        <f>VLOOKUP(Tabla3[[#This Row],[PATENTE]],'JUNIO 2024'!$A:$D,4,0)</f>
        <v>39.724570340928182</v>
      </c>
      <c r="F8" s="350">
        <f>VLOOKUP(Tabla3[[#This Row],[PATENTE]],'JULIO 2024'!$A:$D,4,0)</f>
        <v>38.319101123595509</v>
      </c>
      <c r="G8" s="350">
        <f>VLOOKUP(Tabla3[[#This Row],[PATENTE]],'AGOSTO 2024'!$A:$D,4,0)</f>
        <v>38.771270134671241</v>
      </c>
      <c r="H8" s="350">
        <f>VLOOKUP(Tabla3[[#This Row],[PATENTE]],'SEPTIEMBRE 2024'!$A:$D,4,0)</f>
        <v>40.581412421083542</v>
      </c>
      <c r="I8" s="350">
        <f>VLOOKUP(Tabla3[[#This Row],[PATENTE]],'OCTUBRE 2024'!$A:$D,4,0)</f>
        <v>39.827291706206111</v>
      </c>
      <c r="J8" s="350">
        <f>VLOOKUP(Tabla3[[#This Row],[PATENTE]],'NOVIEMBRE 2024'!$A:$D,4,0)</f>
        <v>40.126611242468158</v>
      </c>
      <c r="K8" s="350">
        <f>VLOOKUP(Tabla3[[#This Row],[PATENTE]],'DICIEMBRE 2024'!$A:$D,4,0)</f>
        <v>39.903887622450867</v>
      </c>
      <c r="L8" s="350">
        <f>VLOOKUP(Tabla3[[#This Row],[PATENTE]],'ENERO 2025'!$A:$D,4,0)</f>
        <v>39.93930476365643</v>
      </c>
      <c r="M8" s="350">
        <f>VLOOKUP(Tabla3[[#This Row],[PATENTE]],'FEBRERO 2025'!$A:$D,4,0)</f>
        <v>39.52859471796544</v>
      </c>
      <c r="N8" s="350">
        <f>VLOOKUP(Tabla3[[#This Row],[PATENTE]],'MARZO 2025'!$A:$D,4,0)</f>
        <v>36.541703890197354</v>
      </c>
      <c r="O8" s="350">
        <f>VLOOKUP(Tabla3[[#This Row],[PATENTE]],'ABRIL 2025'!$A:$D,4,0)</f>
        <v>34.592233009708742</v>
      </c>
      <c r="P8" s="350">
        <f>VLOOKUP(Tabla3[[#This Row],[PATENTE]],'MAYO 2025'!$A:$D,4,0)</f>
        <v>38.012185872478135</v>
      </c>
      <c r="Q8" s="350">
        <f>VLOOKUP(Tabla3[[#This Row],[PATENTE]],'JUNIO 2025'!$A:$D,4,0)</f>
        <v>42.215983321751217</v>
      </c>
      <c r="R8" s="350">
        <f>VLOOKUP(Tabla3[[#This Row],[PATENTE]],'JULIO 2025'!$A:$D,4,0)</f>
        <v>35.115925293704187</v>
      </c>
      <c r="S8" s="350">
        <f>VLOOKUP(Tabla3[[#This Row],[PATENTE]],'AGOSTO 2025'!$A:$D,4,0)</f>
        <v>34.930511735282799</v>
      </c>
      <c r="T8" s="350">
        <f>VLOOKUP(Tabla3[[#This Row],[PATENTE]],'SEPTIEMBRE 2025'!$A:$D,4,0)</f>
        <v>36.534364261168385</v>
      </c>
      <c r="U8" s="350"/>
      <c r="V8" s="460">
        <f t="shared" si="0"/>
        <v>38.457149089965689</v>
      </c>
    </row>
    <row r="9" spans="1:22" x14ac:dyDescent="0.3">
      <c r="A9" s="457"/>
      <c r="B9" s="324" t="s">
        <v>251</v>
      </c>
      <c r="C9" s="328" t="s">
        <v>1097</v>
      </c>
      <c r="D9" s="350">
        <f>VLOOKUP(Tabla3[[#This Row],[PATENTE]],'MAYO 2024'!$A:$D,4,0)</f>
        <v>40.39383993940924</v>
      </c>
      <c r="E9" s="350">
        <f>VLOOKUP(Tabla3[[#This Row],[PATENTE]],'JUNIO 2024'!$A:$D,4,0)</f>
        <v>40.786689748028465</v>
      </c>
      <c r="F9" s="350">
        <f>VLOOKUP(Tabla3[[#This Row],[PATENTE]],'JULIO 2024'!$A:$D,4,0)</f>
        <v>39.270162526832259</v>
      </c>
      <c r="G9" s="350">
        <f>VLOOKUP(Tabla3[[#This Row],[PATENTE]],'AGOSTO 2024'!$A:$D,4,0)</f>
        <v>40.861534776012135</v>
      </c>
      <c r="H9" s="350">
        <f>VLOOKUP(Tabla3[[#This Row],[PATENTE]],'SEPTIEMBRE 2024'!$A:$D,4,0)</f>
        <v>42.934693318729458</v>
      </c>
      <c r="I9" s="350">
        <f>VLOOKUP(Tabla3[[#This Row],[PATENTE]],'OCTUBRE 2024'!$A:$D,4,0)</f>
        <v>45.587890166627552</v>
      </c>
      <c r="J9" s="350">
        <f>VLOOKUP(Tabla3[[#This Row],[PATENTE]],'NOVIEMBRE 2024'!$A:$D,4,0)</f>
        <v>40.917712943726855</v>
      </c>
      <c r="K9" s="350">
        <f>VLOOKUP(Tabla3[[#This Row],[PATENTE]],'DICIEMBRE 2024'!$A:$D,4,0)</f>
        <v>40.72293109733868</v>
      </c>
      <c r="L9" s="350">
        <f>VLOOKUP(Tabla3[[#This Row],[PATENTE]],'ENERO 2025'!$A:$D,4,0)</f>
        <v>39.505315083721257</v>
      </c>
      <c r="M9" s="350">
        <f>VLOOKUP(Tabla3[[#This Row],[PATENTE]],'FEBRERO 2025'!$A:$D,4,0)</f>
        <v>40.228347906120575</v>
      </c>
      <c r="N9" s="350">
        <f>VLOOKUP(Tabla3[[#This Row],[PATENTE]],'MARZO 2025'!$A:$D,4,0)</f>
        <v>35.080847962096826</v>
      </c>
      <c r="O9" s="350">
        <f>VLOOKUP(Tabla3[[#This Row],[PATENTE]],'ABRIL 2025'!$A:$D,4,0)</f>
        <v>35.837775706741226</v>
      </c>
      <c r="P9" s="350">
        <f>VLOOKUP(Tabla3[[#This Row],[PATENTE]],'MAYO 2025'!$A:$D,4,0)</f>
        <v>40.000894501446986</v>
      </c>
      <c r="Q9" s="350">
        <f>VLOOKUP(Tabla3[[#This Row],[PATENTE]],'JUNIO 2025'!$A:$D,4,0)</f>
        <v>41.296039651604829</v>
      </c>
      <c r="R9" s="350">
        <f>VLOOKUP(Tabla3[[#This Row],[PATENTE]],'JULIO 2025'!$A:$D,4,0)</f>
        <v>41.506073100066857</v>
      </c>
      <c r="S9" s="430">
        <f>VLOOKUP(Tabla3[[#This Row],[PATENTE]],'AGOSTO 2025'!$A:$D,4,0)</f>
        <v>40.273411038055393</v>
      </c>
      <c r="T9" s="430">
        <f>VLOOKUP(Tabla3[[#This Row],[PATENTE]],'SEPTIEMBRE 2025'!$A:$D,4,0)</f>
        <v>42.053733626541742</v>
      </c>
      <c r="U9" s="350"/>
      <c r="V9" s="460">
        <f t="shared" si="0"/>
        <v>40.426934887829432</v>
      </c>
    </row>
    <row r="10" spans="1:22" x14ac:dyDescent="0.3">
      <c r="A10" s="457"/>
      <c r="B10" s="343" t="s">
        <v>1129</v>
      </c>
      <c r="C10" s="328" t="s">
        <v>1131</v>
      </c>
      <c r="D10" s="350">
        <f>VLOOKUP(Tabla3[[#This Row],[PATENTE]],'MAYO 2024'!$A:$D,4,0)</f>
        <v>36.863284972995871</v>
      </c>
      <c r="E10" s="350">
        <f>VLOOKUP(Tabla3[[#This Row],[PATENTE]],'JUNIO 2024'!$A:$D,4,0)</f>
        <v>35.505188956334443</v>
      </c>
      <c r="F10" s="350">
        <f>VLOOKUP(Tabla3[[#This Row],[PATENTE]],'JULIO 2024'!$A:$D,4,0)</f>
        <v>36.214442013129108</v>
      </c>
      <c r="G10" s="350">
        <f>VLOOKUP(Tabla3[[#This Row],[PATENTE]],'AGOSTO 2024'!$A:$D,4,0)</f>
        <v>35.436388323150034</v>
      </c>
      <c r="H10" s="350">
        <f>VLOOKUP(Tabla3[[#This Row],[PATENTE]],'SEPTIEMBRE 2024'!$A:$D,4,0)</f>
        <v>35.378216804446311</v>
      </c>
      <c r="I10" s="350">
        <f>VLOOKUP(Tabla3[[#This Row],[PATENTE]],'OCTUBRE 2024'!$A:$D,4,0)</f>
        <v>34.450602409638556</v>
      </c>
      <c r="J10" s="350">
        <f>VLOOKUP(Tabla3[[#This Row],[PATENTE]],'NOVIEMBRE 2024'!$A:$D,4,0)</f>
        <v>36.11688032657738</v>
      </c>
      <c r="K10" s="350">
        <f>VLOOKUP(Tabla3[[#This Row],[PATENTE]],'DICIEMBRE 2024'!$A:$D,4,0)</f>
        <v>35.743768426695254</v>
      </c>
      <c r="L10" s="350">
        <f>VLOOKUP(Tabla3[[#This Row],[PATENTE]],'ENERO 2025'!$A:$D,4,0)</f>
        <v>35.302364352834189</v>
      </c>
      <c r="M10" s="350">
        <f>VLOOKUP(Tabla3[[#This Row],[PATENTE]],'FEBRERO 2025'!$A:$D,4,0)</f>
        <v>35.800179513070795</v>
      </c>
      <c r="N10" s="350">
        <f>VLOOKUP(Tabla3[[#This Row],[PATENTE]],'MARZO 2025'!$A:$D,4,0)</f>
        <v>36.200808080808081</v>
      </c>
      <c r="O10" s="350">
        <f>VLOOKUP(Tabla3[[#This Row],[PATENTE]],'ABRIL 2025'!$A:$D,4,0)</f>
        <v>35.65188485748638</v>
      </c>
      <c r="P10" s="350">
        <f>VLOOKUP(Tabla3[[#This Row],[PATENTE]],'MAYO 2025'!$A:$D,4,0)</f>
        <v>35.277777777777771</v>
      </c>
      <c r="Q10" s="350">
        <f>VLOOKUP(Tabla3[[#This Row],[PATENTE]],'JUNIO 2025'!$A:$D,4,0)</f>
        <v>34.853479174391303</v>
      </c>
      <c r="R10" s="350">
        <f>VLOOKUP(Tabla3[[#This Row],[PATENTE]],'JULIO 2025'!$A:$D,4,0)</f>
        <v>34.249960053262313</v>
      </c>
      <c r="S10" s="350">
        <f>VLOOKUP(Tabla3[[#This Row],[PATENTE]],'AGOSTO 2025'!$A:$D,4,0)</f>
        <v>34.323813786929271</v>
      </c>
      <c r="T10" s="350">
        <f>VLOOKUP(Tabla3[[#This Row],[PATENTE]],'SEPTIEMBRE 2025'!$A:$D,4,0)</f>
        <v>34.309016499935034</v>
      </c>
      <c r="U10" s="350">
        <f>VLOOKUP(Tabla3[[#This Row],[PATENTE]],'OCTUBRE 2025'!$A:$D,4,0)</f>
        <v>34.232541470407533</v>
      </c>
      <c r="V10" s="460">
        <f t="shared" si="0"/>
        <v>35.328366544437209</v>
      </c>
    </row>
    <row r="11" spans="1:22" x14ac:dyDescent="0.3">
      <c r="A11" s="457"/>
      <c r="B11" s="324" t="s">
        <v>1092</v>
      </c>
      <c r="C11" s="328" t="s">
        <v>1097</v>
      </c>
      <c r="D11" s="350">
        <f>VLOOKUP(Tabla3[[#This Row],[PATENTE]],'MAYO 2024'!$A:$D,4,0)</f>
        <v>40.464370669148828</v>
      </c>
      <c r="E11" s="350">
        <f>VLOOKUP(Tabla3[[#This Row],[PATENTE]],'JUNIO 2024'!$A:$D,4,0)</f>
        <v>38.990504110636671</v>
      </c>
      <c r="F11" s="350">
        <f>VLOOKUP(Tabla3[[#This Row],[PATENTE]],'JULIO 2024'!$A:$D,4,0)</f>
        <v>39.903191650279837</v>
      </c>
      <c r="G11" s="350">
        <f>VLOOKUP(Tabla3[[#This Row],[PATENTE]],'AGOSTO 2024'!$A:$D,4,0)</f>
        <v>39.584848908785673</v>
      </c>
      <c r="H11" s="350">
        <f>VLOOKUP(Tabla3[[#This Row],[PATENTE]],'SEPTIEMBRE 2024'!$A:$D,4,0)</f>
        <v>39.350047790603632</v>
      </c>
      <c r="I11" s="350">
        <f>VLOOKUP(Tabla3[[#This Row],[PATENTE]],'OCTUBRE 2024'!$A:$D,4,0)</f>
        <v>39.564013007346745</v>
      </c>
      <c r="J11" s="350">
        <f>VLOOKUP(Tabla3[[#This Row],[PATENTE]],'NOVIEMBRE 2024'!$A:$D,4,0)</f>
        <v>38.7691031868262</v>
      </c>
      <c r="K11" s="350">
        <f>VLOOKUP(Tabla3[[#This Row],[PATENTE]],'DICIEMBRE 2024'!$A:$D,4,0)</f>
        <v>39.411084843708963</v>
      </c>
      <c r="L11" s="350">
        <f>VLOOKUP(Tabla3[[#This Row],[PATENTE]],'ENERO 2025'!$A:$D,4,0)</f>
        <v>43.155321549454683</v>
      </c>
      <c r="M11" s="350">
        <f>VLOOKUP(Tabla3[[#This Row],[PATENTE]],'FEBRERO 2025'!$A:$D,4,0)</f>
        <v>39.939794586619762</v>
      </c>
      <c r="N11" s="350">
        <f>VLOOKUP(Tabla3[[#This Row],[PATENTE]],'MARZO 2025'!$A:$D,4,0)</f>
        <v>39.741298828924741</v>
      </c>
      <c r="O11" s="350">
        <f>VLOOKUP(Tabla3[[#This Row],[PATENTE]],'ABRIL 2025'!$A:$D,4,0)</f>
        <v>41.894687704229298</v>
      </c>
      <c r="P11" s="350">
        <f>VLOOKUP(Tabla3[[#This Row],[PATENTE]],'MAYO 2025'!$A:$D,4,0)</f>
        <v>40.620995856081038</v>
      </c>
      <c r="Q11" s="350">
        <f>VLOOKUP(Tabla3[[#This Row],[PATENTE]],'JUNIO 2025'!$A:$D,4,0)</f>
        <v>38.063488655071218</v>
      </c>
      <c r="R11" s="350">
        <f>VLOOKUP(Tabla3[[#This Row],[PATENTE]],'JULIO 2025'!$A:$D,4,0)</f>
        <v>39.023742550655541</v>
      </c>
      <c r="S11" s="350">
        <f>VLOOKUP(Tabla3[[#This Row],[PATENTE]],'AGOSTO 2025'!$A:$D,4,0)</f>
        <v>37.774264547992267</v>
      </c>
      <c r="T11" s="350">
        <f>VLOOKUP(Tabla3[[#This Row],[PATENTE]],'SEPTIEMBRE 2025'!$A:$D,4,0)</f>
        <v>39.729269322821345</v>
      </c>
      <c r="U11" s="350">
        <f>VLOOKUP(Tabla3[[#This Row],[PATENTE]],'OCTUBRE 2025'!$A:$D,4,0)</f>
        <v>39.376995587682089</v>
      </c>
      <c r="V11" s="460">
        <f t="shared" si="0"/>
        <v>39.742056853159369</v>
      </c>
    </row>
    <row r="12" spans="1:22" x14ac:dyDescent="0.3">
      <c r="A12" s="457"/>
      <c r="B12" s="324" t="s">
        <v>250</v>
      </c>
      <c r="C12" s="328" t="s">
        <v>1097</v>
      </c>
      <c r="D12" s="350">
        <f>VLOOKUP(Tabla3[[#This Row],[PATENTE]],'MAYO 2024'!$A:$D,4,0)</f>
        <v>42.18528159015618</v>
      </c>
      <c r="E12" s="350">
        <f>VLOOKUP(Tabla3[[#This Row],[PATENTE]],'JUNIO 2024'!$A:$D,4,0)</f>
        <v>43.189095233738904</v>
      </c>
      <c r="F12" s="350">
        <f>VLOOKUP(Tabla3[[#This Row],[PATENTE]],'JULIO 2024'!$A:$D,4,0)</f>
        <v>42.335911163989685</v>
      </c>
      <c r="G12" s="350">
        <f>VLOOKUP(Tabla3[[#This Row],[PATENTE]],'AGOSTO 2024'!$A:$D,4,0)</f>
        <v>43.918532634587898</v>
      </c>
      <c r="H12" s="350">
        <f>VLOOKUP(Tabla3[[#This Row],[PATENTE]],'SEPTIEMBRE 2024'!$A:$D,4,0)</f>
        <v>43.254767067972786</v>
      </c>
      <c r="I12" s="350">
        <f>VLOOKUP(Tabla3[[#This Row],[PATENTE]],'OCTUBRE 2024'!$A:$D,4,0)</f>
        <v>44.588229781651208</v>
      </c>
      <c r="J12" s="350">
        <f>VLOOKUP(Tabla3[[#This Row],[PATENTE]],'NOVIEMBRE 2024'!$A:$D,4,0)</f>
        <v>41.367097573933059</v>
      </c>
      <c r="K12" s="350">
        <f>VLOOKUP(Tabla3[[#This Row],[PATENTE]],'DICIEMBRE 2024'!$A:$D,4,0)</f>
        <v>39.789666209419295</v>
      </c>
      <c r="L12" s="350">
        <f>VLOOKUP(Tabla3[[#This Row],[PATENTE]],'ENERO 2025'!$A:$D,4,0)</f>
        <v>42.126665513064545</v>
      </c>
      <c r="M12" s="350">
        <f>VLOOKUP(Tabla3[[#This Row],[PATENTE]],'FEBRERO 2025'!$A:$D,4,0)</f>
        <v>41.846687211093986</v>
      </c>
      <c r="N12" s="350">
        <f>VLOOKUP(Tabla3[[#This Row],[PATENTE]],'MARZO 2025'!$A:$D,4,0)</f>
        <v>41.670294187993292</v>
      </c>
      <c r="O12" s="350">
        <f>VLOOKUP(Tabla3[[#This Row],[PATENTE]],'ABRIL 2025'!$A:$D,4,0)</f>
        <v>42.365833333333327</v>
      </c>
      <c r="P12" s="350">
        <f>VLOOKUP(Tabla3[[#This Row],[PATENTE]],'MAYO 2025'!$A:$D,4,0)</f>
        <v>42.020365535248047</v>
      </c>
      <c r="Q12" s="350">
        <f>VLOOKUP(Tabla3[[#This Row],[PATENTE]],'JUNIO 2025'!$A:$D,4,0)</f>
        <v>38.793906810035836</v>
      </c>
      <c r="R12" s="350">
        <f>VLOOKUP(Tabla3[[#This Row],[PATENTE]],'JULIO 2025'!$A:$D,4,0)</f>
        <v>39.162307283359908</v>
      </c>
      <c r="S12" s="430">
        <f>VLOOKUP(Tabla3[[#This Row],[PATENTE]],'AGOSTO 2025'!$A:$D,4,0)</f>
        <v>38.180200787901896</v>
      </c>
      <c r="T12" s="430">
        <f>VLOOKUP(Tabla3[[#This Row],[PATENTE]],'SEPTIEMBRE 2025'!$A:$D,4,0)</f>
        <v>39.119935820296831</v>
      </c>
      <c r="U12" s="430">
        <f>VLOOKUP(Tabla3[[#This Row],[PATENTE]],'OCTUBRE 2025'!$A:$D,4,0)</f>
        <v>38.330331944631091</v>
      </c>
      <c r="V12" s="460">
        <f t="shared" si="0"/>
        <v>41.346950537911553</v>
      </c>
    </row>
    <row r="13" spans="1:22" x14ac:dyDescent="0.3">
      <c r="A13" s="457"/>
      <c r="B13" s="324" t="s">
        <v>1143</v>
      </c>
      <c r="C13" s="328" t="s">
        <v>1145</v>
      </c>
      <c r="D13" s="350">
        <f>VLOOKUP(Tabla3[[#This Row],[PATENTE]],'MAYO 2024'!$A:$D,4,0)</f>
        <v>36.012595293337753</v>
      </c>
      <c r="E13" s="350">
        <f>VLOOKUP(Tabla3[[#This Row],[PATENTE]],'JUNIO 2024'!$A:$D,4,0)</f>
        <v>36.467418279798622</v>
      </c>
      <c r="F13" s="350">
        <f>VLOOKUP(Tabla3[[#This Row],[PATENTE]],'JULIO 2024'!$A:$D,4,0)</f>
        <v>34.417991597330918</v>
      </c>
      <c r="G13" s="350">
        <f>VLOOKUP(Tabla3[[#This Row],[PATENTE]],'AGOSTO 2024'!$A:$D,4,0)</f>
        <v>36.988691049085659</v>
      </c>
      <c r="H13" s="350">
        <f>VLOOKUP(Tabla3[[#This Row],[PATENTE]],'SEPTIEMBRE 2024'!$A:$D,4,0)</f>
        <v>38.265726394806769</v>
      </c>
      <c r="I13" s="350">
        <f>VLOOKUP(Tabla3[[#This Row],[PATENTE]],'OCTUBRE 2024'!$A:$D,4,0)</f>
        <v>34.720963268619357</v>
      </c>
      <c r="J13" s="350">
        <f>VLOOKUP(Tabla3[[#This Row],[PATENTE]],'NOVIEMBRE 2024'!$A:$D,4,0)</f>
        <v>36.129145464116512</v>
      </c>
      <c r="K13" s="350">
        <f>VLOOKUP(Tabla3[[#This Row],[PATENTE]],'DICIEMBRE 2024'!$A:$D,4,0)</f>
        <v>35.436061830317932</v>
      </c>
      <c r="L13" s="350">
        <f>VLOOKUP(Tabla3[[#This Row],[PATENTE]],'ENERO 2025'!$A:$D,4,0)</f>
        <v>33.226025076245342</v>
      </c>
      <c r="M13" s="350">
        <f>VLOOKUP(Tabla3[[#This Row],[PATENTE]],'FEBRERO 2025'!$A:$D,4,0)</f>
        <v>33.231993245437423</v>
      </c>
      <c r="N13" s="350">
        <f>VLOOKUP(Tabla3[[#This Row],[PATENTE]],'MARZO 2025'!$A:$D,4,0)</f>
        <v>36.075296586231943</v>
      </c>
      <c r="O13" s="350">
        <f>VLOOKUP(Tabla3[[#This Row],[PATENTE]],'ABRIL 2025'!$A:$D,4,0)</f>
        <v>34.371229404309254</v>
      </c>
      <c r="P13" s="350">
        <f>VLOOKUP(Tabla3[[#This Row],[PATENTE]],'MAYO 2025'!$A:$D,4,0)</f>
        <v>34.946032331427865</v>
      </c>
      <c r="Q13" s="350">
        <f>VLOOKUP(Tabla3[[#This Row],[PATENTE]],'JUNIO 2025'!$A:$D,4,0)</f>
        <v>35.337969222844634</v>
      </c>
      <c r="R13" s="350">
        <f>VLOOKUP(Tabla3[[#This Row],[PATENTE]],'JULIO 2025'!$A:$D,4,0)</f>
        <v>33.890194046179531</v>
      </c>
      <c r="S13" s="350">
        <f>VLOOKUP(Tabla3[[#This Row],[PATENTE]],'AGOSTO 2025'!$A:$D,4,0)</f>
        <v>33.49325123805508</v>
      </c>
      <c r="T13" s="350">
        <f>VLOOKUP(Tabla3[[#This Row],[PATENTE]],'SEPTIEMBRE 2025'!$A:$D,4,0)</f>
        <v>35.279224351334008</v>
      </c>
      <c r="U13" s="350">
        <f>VLOOKUP(Tabla3[[#This Row],[PATENTE]],'OCTUBRE 2025'!$A:$D,4,0)</f>
        <v>32.979442695027032</v>
      </c>
      <c r="V13" s="460">
        <f t="shared" si="0"/>
        <v>35.070513965250321</v>
      </c>
    </row>
    <row r="14" spans="1:22" ht="15" thickBot="1" x14ac:dyDescent="0.35">
      <c r="A14" s="457"/>
      <c r="B14" s="326" t="s">
        <v>255</v>
      </c>
      <c r="C14" s="329" t="s">
        <v>1097</v>
      </c>
      <c r="D14" s="368">
        <f>VLOOKUP(Tabla3[[#This Row],[PATENTE]],'MAYO 2024'!$A:$D,4,0)</f>
        <v>39.403409090909093</v>
      </c>
      <c r="E14" s="368">
        <f>VLOOKUP(Tabla3[[#This Row],[PATENTE]],'JUNIO 2024'!$A:$D,4,0)</f>
        <v>38.045520985591978</v>
      </c>
      <c r="F14" s="368">
        <f>VLOOKUP(Tabla3[[#This Row],[PATENTE]],'JULIO 2024'!$A:$D,4,0)</f>
        <v>38.859361003284562</v>
      </c>
      <c r="G14" s="368">
        <f>VLOOKUP(Tabla3[[#This Row],[PATENTE]],'AGOSTO 2024'!$A:$D,4,0)</f>
        <v>40.113808049535606</v>
      </c>
      <c r="H14" s="368">
        <f>VLOOKUP(Tabla3[[#This Row],[PATENTE]],'SEPTIEMBRE 2024'!$A:$D,4,0)</f>
        <v>39.78293066048321</v>
      </c>
      <c r="I14" s="368">
        <f>VLOOKUP(Tabla3[[#This Row],[PATENTE]],'OCTUBRE 2024'!$A:$D,4,0)</f>
        <v>40.680597014925375</v>
      </c>
      <c r="J14" s="350">
        <f>VLOOKUP(Tabla3[[#This Row],[PATENTE]],'NOVIEMBRE 2024'!$A:$D,4,0)</f>
        <v>42.916058080591121</v>
      </c>
      <c r="K14" s="350">
        <f>VLOOKUP(Tabla3[[#This Row],[PATENTE]],'DICIEMBRE 2024'!$A:$D,4,0)</f>
        <v>41.015107913669063</v>
      </c>
      <c r="L14" s="350">
        <f>VLOOKUP(Tabla3[[#This Row],[PATENTE]],'ENERO 2025'!$A:$D,4,0)</f>
        <v>38.612580834803055</v>
      </c>
      <c r="M14" s="350">
        <f>VLOOKUP(Tabla3[[#This Row],[PATENTE]],'FEBRERO 2025'!$A:$D,4,0)</f>
        <v>41.408828722778104</v>
      </c>
      <c r="N14" s="350">
        <f>VLOOKUP(Tabla3[[#This Row],[PATENTE]],'MARZO 2025'!$A:$D,4,0)</f>
        <v>36.304819860313948</v>
      </c>
      <c r="O14" s="350">
        <f>VLOOKUP(Tabla3[[#This Row],[PATENTE]],'ABRIL 2025'!$A:$D,4,0)</f>
        <v>38.354261632407329</v>
      </c>
      <c r="P14" s="350">
        <f>VLOOKUP(Tabla3[[#This Row],[PATENTE]],'MAYO 2025'!$A:$D,4,0)</f>
        <v>36.823543928923989</v>
      </c>
      <c r="Q14" s="350">
        <f>VLOOKUP(Tabla3[[#This Row],[PATENTE]],'JUNIO 2025'!$A:$D,4,0)</f>
        <v>36.570061679582473</v>
      </c>
      <c r="R14" s="350">
        <f>VLOOKUP(Tabla3[[#This Row],[PATENTE]],'JULIO 2025'!$A:$D,4,0)</f>
        <v>37.681127450980391</v>
      </c>
      <c r="S14" s="350">
        <f>VLOOKUP(Tabla3[[#This Row],[PATENTE]],'AGOSTO 2025'!$A:$D,4,0)</f>
        <v>37.228608752449375</v>
      </c>
      <c r="T14" s="350">
        <f>VLOOKUP(Tabla3[[#This Row],[PATENTE]],'SEPTIEMBRE 2025'!$A:$D,4,0)</f>
        <v>38.780224345658496</v>
      </c>
      <c r="U14" s="350">
        <f>VLOOKUP(Tabla3[[#This Row],[PATENTE]],'OCTUBRE 2025'!$A:$D,4,0)</f>
        <v>38.379280610987934</v>
      </c>
      <c r="V14" s="460">
        <f t="shared" si="0"/>
        <v>38.942229478770841</v>
      </c>
    </row>
    <row r="15" spans="1:22" ht="4.95" customHeight="1" thickBot="1" x14ac:dyDescent="0.35">
      <c r="B15" s="330"/>
      <c r="C15" s="330"/>
      <c r="Q15"/>
    </row>
    <row r="16" spans="1:22" ht="15" thickBot="1" x14ac:dyDescent="0.35">
      <c r="B16" s="331"/>
      <c r="C16" s="339" t="s">
        <v>1119</v>
      </c>
      <c r="D16" s="334">
        <f t="shared" ref="D16:F16" si="1">AVERAGE(D3:D14)</f>
        <v>38.974683236133096</v>
      </c>
      <c r="E16" s="334">
        <f t="shared" si="1"/>
        <v>39.179286051053388</v>
      </c>
      <c r="F16" s="334">
        <f t="shared" si="1"/>
        <v>39.335538012679699</v>
      </c>
      <c r="G16" s="334">
        <f t="shared" ref="G16:H16" si="2">AVERAGE(G3:G14)</f>
        <v>39.970010538907729</v>
      </c>
      <c r="H16" s="334">
        <f t="shared" si="2"/>
        <v>40.179423336184662</v>
      </c>
      <c r="I16" s="334">
        <f t="shared" ref="I16:J16" si="3">AVERAGE(I3:I14)</f>
        <v>39.994702507116706</v>
      </c>
      <c r="J16" s="334">
        <f t="shared" si="3"/>
        <v>39.985821524802034</v>
      </c>
      <c r="K16" s="334">
        <f t="shared" ref="K16:L16" si="4">AVERAGE(K3:K14)</f>
        <v>39.727362925844098</v>
      </c>
      <c r="L16" s="334">
        <f t="shared" si="4"/>
        <v>39.07758546489999</v>
      </c>
      <c r="M16" s="334">
        <f t="shared" ref="M16:N16" si="5">AVERAGE(M3:M14)</f>
        <v>39.279163287108069</v>
      </c>
      <c r="N16" s="334">
        <f t="shared" si="5"/>
        <v>37.923146378972071</v>
      </c>
      <c r="O16" s="334">
        <f t="shared" ref="O16:P16" si="6">AVERAGE(O3:O14)</f>
        <v>37.271849715116602</v>
      </c>
      <c r="P16" s="334">
        <f t="shared" si="6"/>
        <v>38.297892028176783</v>
      </c>
      <c r="Q16" s="334">
        <f t="shared" ref="Q16" si="7">AVERAGE(Q3:Q14)</f>
        <v>38.346295337051409</v>
      </c>
      <c r="R16" s="334">
        <f t="shared" ref="R16:S16" si="8">AVERAGE(R3:R14)</f>
        <v>38.036875213128582</v>
      </c>
      <c r="S16" s="334">
        <f t="shared" si="8"/>
        <v>37.193697585199871</v>
      </c>
      <c r="T16" s="334">
        <f t="shared" ref="T16:U16" si="9">AVERAGE(T3:T14)</f>
        <v>38.035673500695481</v>
      </c>
      <c r="U16" s="334">
        <f t="shared" si="9"/>
        <v>37.558297103605284</v>
      </c>
    </row>
    <row r="17" spans="1:22" ht="15" thickBot="1" x14ac:dyDescent="0.35">
      <c r="Q17"/>
    </row>
    <row r="18" spans="1:22" x14ac:dyDescent="0.3">
      <c r="A18" s="457" t="s">
        <v>1200</v>
      </c>
      <c r="B18" s="323" t="s">
        <v>110</v>
      </c>
      <c r="C18" s="327" t="s">
        <v>1101</v>
      </c>
      <c r="D18" s="367">
        <f>VLOOKUP(Tabla3[[#This Row],[PATENTE]],'MAYO 2024'!$A:$D,4,0)</f>
        <v>38.857074683846335</v>
      </c>
      <c r="E18" s="367">
        <f>VLOOKUP(Tabla3[[#This Row],[PATENTE]],'JUNIO 2024'!$A:$D,4,0)</f>
        <v>40.291889894697952</v>
      </c>
      <c r="F18" s="367"/>
      <c r="G18" s="392">
        <f>VLOOKUP(Tabla3[[#This Row],[PATENTE]],'AGOSTO 2024'!$A:$D,4,0)</f>
        <v>40.934767110266165</v>
      </c>
      <c r="H18" s="367">
        <f>VLOOKUP(Tabla3[[#This Row],[PATENTE]],'SEPTIEMBRE 2024'!$A:$D,4,0)</f>
        <v>40.637168141592916</v>
      </c>
      <c r="I18" s="367">
        <f>VLOOKUP(Tabla3[[#This Row],[PATENTE]],'OCTUBRE 2024'!$A:$D,4,0)</f>
        <v>38.73763887193261</v>
      </c>
      <c r="J18" s="367">
        <f>VLOOKUP(Tabla3[[#This Row],[PATENTE]],'NOVIEMBRE 2024'!$A:$D,4,0)</f>
        <v>40.96</v>
      </c>
      <c r="K18" s="367">
        <f>VLOOKUP(Tabla3[[#This Row],[PATENTE]],'DICIEMBRE 2024'!$A:$D,4,0)</f>
        <v>39.51463551927948</v>
      </c>
      <c r="L18" s="350">
        <f>VLOOKUP(Tabla3[[#This Row],[PATENTE]],'ENERO 2025'!$A:$D,4,0)</f>
        <v>40.42246413380434</v>
      </c>
      <c r="M18" s="350"/>
      <c r="N18" s="350"/>
      <c r="O18" s="350"/>
      <c r="P18" s="350">
        <f>VLOOKUP(Tabla3[[#This Row],[PATENTE]],'MAYO 2025'!$A:$D,4,0)</f>
        <v>38.427225293980214</v>
      </c>
      <c r="Q18" s="350">
        <f>VLOOKUP(Tabla3[[#This Row],[PATENTE]],'JUNIO 2025'!$A:$D,4,0)</f>
        <v>40.273792780121894</v>
      </c>
      <c r="R18" s="350">
        <f>VLOOKUP(Tabla3[[#This Row],[PATENTE]],'JULIO 2025'!$A:$D,4,0)</f>
        <v>39.624261642728349</v>
      </c>
      <c r="S18" s="350">
        <f>VLOOKUP(Tabla3[[#This Row],[PATENTE]],'AGOSTO 2025'!$A:$D,4,0)</f>
        <v>37.636822529224226</v>
      </c>
      <c r="T18" s="350">
        <f>VLOOKUP(Tabla3[[#This Row],[PATENTE]],'SEPTIEMBRE 2025'!$A:$D,4,0)</f>
        <v>37.74711575687185</v>
      </c>
      <c r="U18" s="350">
        <f>VLOOKUP(Tabla3[[#This Row],[PATENTE]],'OCTUBRE 2025'!$A:$D,4,0)</f>
        <v>36.547846706953258</v>
      </c>
      <c r="V18" s="460">
        <f t="shared" ref="V18:V36" si="10">AVERAGE(D18:U18)</f>
        <v>39.329478790378538</v>
      </c>
    </row>
    <row r="19" spans="1:22" x14ac:dyDescent="0.3">
      <c r="A19" s="457"/>
      <c r="B19" s="324" t="s">
        <v>122</v>
      </c>
      <c r="C19" s="328" t="s">
        <v>1101</v>
      </c>
      <c r="D19" s="350"/>
      <c r="E19" s="350">
        <f>VLOOKUP(Tabla3[[#This Row],[PATENTE]],'JUNIO 2024'!$A:$D,4,0)</f>
        <v>37.04021579205493</v>
      </c>
      <c r="F19" s="350">
        <f>VLOOKUP(Tabla3[[#This Row],[PATENTE]],'JULIO 2024'!$A:$D,4,0)</f>
        <v>39.786669954991062</v>
      </c>
      <c r="G19" s="393">
        <f>VLOOKUP(Tabla3[[#This Row],[PATENTE]],'AGOSTO 2024'!$A:$D,4,0)</f>
        <v>41.641831481983203</v>
      </c>
      <c r="H19" s="350">
        <f>VLOOKUP(Tabla3[[#This Row],[PATENTE]],'SEPTIEMBRE 2024'!$A:$D,4,0)</f>
        <v>39.078767123287669</v>
      </c>
      <c r="I19" s="350">
        <f>VLOOKUP(Tabla3[[#This Row],[PATENTE]],'OCTUBRE 2024'!$A:$D,4,0)</f>
        <v>41.930618401206637</v>
      </c>
      <c r="J19" s="350">
        <f>VLOOKUP(Tabla3[[#This Row],[PATENTE]],'NOVIEMBRE 2024'!$A:$D,4,0)</f>
        <v>42.814572003277959</v>
      </c>
      <c r="K19" s="350">
        <f>VLOOKUP(Tabla3[[#This Row],[PATENTE]],'DICIEMBRE 2024'!$A:$D,4,0)</f>
        <v>41.173377596915827</v>
      </c>
      <c r="L19" s="350">
        <f>VLOOKUP(Tabla3[[#This Row],[PATENTE]],'ENERO 2025'!$A:$D,4,0)</f>
        <v>39.791117802032367</v>
      </c>
      <c r="M19" s="350">
        <f>VLOOKUP(Tabla3[[#This Row],[PATENTE]],'FEBRERO 2025'!$A:$D,4,0)</f>
        <v>40.658218901453957</v>
      </c>
      <c r="N19" s="350">
        <f>VLOOKUP(Tabla3[[#This Row],[PATENTE]],'MARZO 2025'!$A:$D,4,0)</f>
        <v>37.182864342713145</v>
      </c>
      <c r="O19" s="350">
        <f>VLOOKUP(Tabla3[[#This Row],[PATENTE]],'ABRIL 2025'!$A:$D,4,0)</f>
        <v>37.474607817069931</v>
      </c>
      <c r="P19" s="350">
        <f>VLOOKUP(Tabla3[[#This Row],[PATENTE]],'MAYO 2025'!$A:$D,4,0)</f>
        <v>34.512808298930878</v>
      </c>
      <c r="Q19" s="350">
        <f>VLOOKUP(Tabla3[[#This Row],[PATENTE]],'JUNIO 2025'!$A:$D,4,0)</f>
        <v>35.816665589243009</v>
      </c>
      <c r="R19" s="350">
        <f>VLOOKUP(Tabla3[[#This Row],[PATENTE]],'JULIO 2025'!$A:$D,4,0)</f>
        <v>39.282181955454895</v>
      </c>
      <c r="S19" s="350">
        <f>VLOOKUP(Tabla3[[#This Row],[PATENTE]],'AGOSTO 2025'!$A:$D,4,0)</f>
        <v>37.021569092201943</v>
      </c>
      <c r="T19" s="350">
        <f>VLOOKUP(Tabla3[[#This Row],[PATENTE]],'SEPTIEMBRE 2025'!$A:$D,4,0)</f>
        <v>35.961386918833718</v>
      </c>
      <c r="U19" s="350"/>
      <c r="V19" s="460">
        <f t="shared" si="10"/>
        <v>38.822967066978194</v>
      </c>
    </row>
    <row r="20" spans="1:22" x14ac:dyDescent="0.3">
      <c r="A20" s="457"/>
      <c r="B20" s="324" t="s">
        <v>126</v>
      </c>
      <c r="C20" s="328" t="s">
        <v>1101</v>
      </c>
      <c r="D20" s="350">
        <f>VLOOKUP(Tabla3[[#This Row],[PATENTE]],'MAYO 2024'!$A:$D,4,0)</f>
        <v>40.11536126290224</v>
      </c>
      <c r="E20" s="350">
        <f>VLOOKUP(Tabla3[[#This Row],[PATENTE]],'JUNIO 2024'!$A:$D,4,0)</f>
        <v>40.253958617898519</v>
      </c>
      <c r="F20" s="350">
        <f>VLOOKUP(Tabla3[[#This Row],[PATENTE]],'JULIO 2024'!$A:$D,4,0)</f>
        <v>38.253030031643682</v>
      </c>
      <c r="G20" s="393">
        <f>VLOOKUP(Tabla3[[#This Row],[PATENTE]],'AGOSTO 2024'!$A:$D,4,0)</f>
        <v>42.600195367010883</v>
      </c>
      <c r="H20" s="350">
        <f>VLOOKUP(Tabla3[[#This Row],[PATENTE]],'SEPTIEMBRE 2024'!$A:$D,4,0)</f>
        <v>42.90762241292277</v>
      </c>
      <c r="I20" s="350">
        <f>VLOOKUP(Tabla3[[#This Row],[PATENTE]],'OCTUBRE 2024'!$A:$D,4,0)</f>
        <v>42.277563428036949</v>
      </c>
      <c r="J20" s="350">
        <f>VLOOKUP(Tabla3[[#This Row],[PATENTE]],'NOVIEMBRE 2024'!$A:$D,4,0)</f>
        <v>43.169818565805897</v>
      </c>
      <c r="K20" s="350">
        <f>VLOOKUP(Tabla3[[#This Row],[PATENTE]],'DICIEMBRE 2024'!$A:$D,4,0)</f>
        <v>41.903738566734745</v>
      </c>
      <c r="L20" s="350">
        <f>VLOOKUP(Tabla3[[#This Row],[PATENTE]],'ENERO 2025'!$A:$D,4,0)</f>
        <v>40.174093077684759</v>
      </c>
      <c r="M20" s="350">
        <f>VLOOKUP(Tabla3[[#This Row],[PATENTE]],'FEBRERO 2025'!$A:$D,4,0)</f>
        <v>37.259290941925677</v>
      </c>
      <c r="N20" s="350">
        <f>VLOOKUP(Tabla3[[#This Row],[PATENTE]],'MARZO 2025'!$A:$D,4,0)</f>
        <v>35.846048654095291</v>
      </c>
      <c r="O20" s="350">
        <f>VLOOKUP(Tabla3[[#This Row],[PATENTE]],'ABRIL 2025'!$A:$D,4,0)</f>
        <v>38.613034623217921</v>
      </c>
      <c r="P20" s="350">
        <f>VLOOKUP(Tabla3[[#This Row],[PATENTE]],'MAYO 2025'!$A:$D,4,0)</f>
        <v>36.966497630725755</v>
      </c>
      <c r="Q20" s="350">
        <f>VLOOKUP(Tabla3[[#This Row],[PATENTE]],'JUNIO 2025'!$A:$D,4,0)</f>
        <v>38.092027920646579</v>
      </c>
      <c r="R20" s="350">
        <f>VLOOKUP(Tabla3[[#This Row],[PATENTE]],'JULIO 2025'!$A:$D,4,0)</f>
        <v>39.643243444854726</v>
      </c>
      <c r="S20" s="431">
        <f>VLOOKUP(Tabla3[[#This Row],[PATENTE]],'AGOSTO 2025'!$A:$D,4,0)</f>
        <v>39.414951545916018</v>
      </c>
      <c r="T20" s="431">
        <f>VLOOKUP(Tabla3[[#This Row],[PATENTE]],'SEPTIEMBRE 2025'!$A:$D,4,0)</f>
        <v>39.574403312226011</v>
      </c>
      <c r="U20" s="431">
        <f>VLOOKUP(Tabla3[[#This Row],[PATENTE]],'OCTUBRE 2025'!$A:$D,4,0)</f>
        <v>38.381316826111423</v>
      </c>
      <c r="V20" s="460">
        <f t="shared" si="10"/>
        <v>39.74701090168665</v>
      </c>
    </row>
    <row r="21" spans="1:22" x14ac:dyDescent="0.3">
      <c r="A21" s="457"/>
      <c r="B21" s="324" t="s">
        <v>1115</v>
      </c>
      <c r="C21" s="328" t="s">
        <v>1101</v>
      </c>
      <c r="D21" s="350">
        <f>VLOOKUP(Tabla3[[#This Row],[PATENTE]],'MAYO 2024'!$A:$D,4,0)</f>
        <v>38.504815002534208</v>
      </c>
      <c r="E21" s="350">
        <f>VLOOKUP(Tabla3[[#This Row],[PATENTE]],'JUNIO 2024'!$A:$D,4,0)</f>
        <v>36.311197635013336</v>
      </c>
      <c r="F21" s="350">
        <f>VLOOKUP(Tabla3[[#This Row],[PATENTE]],'JULIO 2024'!$A:$D,4,0)</f>
        <v>36.221522055259328</v>
      </c>
      <c r="G21" s="393">
        <f>VLOOKUP(Tabla3[[#This Row],[PATENTE]],'AGOSTO 2024'!$A:$D,4,0)</f>
        <v>38.952643898925629</v>
      </c>
      <c r="H21" s="350">
        <f>VLOOKUP(Tabla3[[#This Row],[PATENTE]],'SEPTIEMBRE 2024'!$A:$D,4,0)</f>
        <v>38.936421952957943</v>
      </c>
      <c r="I21" s="350">
        <f>VLOOKUP(Tabla3[[#This Row],[PATENTE]],'OCTUBRE 2024'!$A:$D,4,0)</f>
        <v>37.155797101449274</v>
      </c>
      <c r="J21" s="350">
        <f>VLOOKUP(Tabla3[[#This Row],[PATENTE]],'NOVIEMBRE 2024'!$A:$D,4,0)</f>
        <v>38.314705512997612</v>
      </c>
      <c r="K21" s="350">
        <f>VLOOKUP(Tabla3[[#This Row],[PATENTE]],'DICIEMBRE 2024'!$A:$D,4,0)</f>
        <v>36.366137760249472</v>
      </c>
      <c r="L21" s="350">
        <f>VLOOKUP(Tabla3[[#This Row],[PATENTE]],'ENERO 2025'!$A:$D,4,0)</f>
        <v>37.71957047979641</v>
      </c>
      <c r="M21" s="350">
        <f>VLOOKUP(Tabla3[[#This Row],[PATENTE]],'FEBRERO 2025'!$A:$D,4,0)</f>
        <v>37.224944707055819</v>
      </c>
      <c r="N21" s="350">
        <f>VLOOKUP(Tabla3[[#This Row],[PATENTE]],'MARZO 2025'!$A:$D,4,0)</f>
        <v>38.251660707808696</v>
      </c>
      <c r="O21" s="350">
        <f>VLOOKUP(Tabla3[[#This Row],[PATENTE]],'ABRIL 2025'!$A:$D,4,0)</f>
        <v>37.954141691341086</v>
      </c>
      <c r="P21" s="350">
        <f>VLOOKUP(Tabla3[[#This Row],[PATENTE]],'MAYO 2025'!$A:$D,4,0)</f>
        <v>37.581517968641599</v>
      </c>
      <c r="Q21" s="350">
        <f>VLOOKUP(Tabla3[[#This Row],[PATENTE]],'JUNIO 2025'!$A:$D,4,0)</f>
        <v>37.694756451701281</v>
      </c>
      <c r="R21" s="350">
        <f>VLOOKUP(Tabla3[[#This Row],[PATENTE]],'JULIO 2025'!$A:$D,4,0)</f>
        <v>34.973550109196808</v>
      </c>
      <c r="S21" s="350">
        <f>VLOOKUP(Tabla3[[#This Row],[PATENTE]],'AGOSTO 2025'!$A:$D,4,0)</f>
        <v>36.430353829419666</v>
      </c>
      <c r="T21" s="350">
        <f>VLOOKUP(Tabla3[[#This Row],[PATENTE]],'SEPTIEMBRE 2025'!$A:$D,4,0)</f>
        <v>37.357070707070712</v>
      </c>
      <c r="U21" s="350">
        <f>VLOOKUP(Tabla3[[#This Row],[PATENTE]],'OCTUBRE 2025'!$A:$D,4,0)</f>
        <v>39.311451897616941</v>
      </c>
      <c r="V21" s="460">
        <f t="shared" si="10"/>
        <v>37.514569970501995</v>
      </c>
    </row>
    <row r="22" spans="1:22" x14ac:dyDescent="0.3">
      <c r="A22" s="457"/>
      <c r="B22" s="324" t="s">
        <v>135</v>
      </c>
      <c r="C22" s="328" t="s">
        <v>1101</v>
      </c>
      <c r="D22" s="350">
        <f>VLOOKUP(Tabla3[[#This Row],[PATENTE]],'MAYO 2024'!$A:$D,4,0)</f>
        <v>39.360982756677558</v>
      </c>
      <c r="E22" s="350">
        <f>VLOOKUP(Tabla3[[#This Row],[PATENTE]],'JUNIO 2024'!$A:$D,4,0)</f>
        <v>39.049645390070921</v>
      </c>
      <c r="F22" s="350">
        <f>VLOOKUP(Tabla3[[#This Row],[PATENTE]],'JULIO 2024'!$A:$D,4,0)</f>
        <v>39.711116842919786</v>
      </c>
      <c r="G22" s="393">
        <f>VLOOKUP(Tabla3[[#This Row],[PATENTE]],'AGOSTO 2024'!$A:$D,4,0)</f>
        <v>39.447007553747824</v>
      </c>
      <c r="H22" s="350">
        <f>VLOOKUP(Tabla3[[#This Row],[PATENTE]],'SEPTIEMBRE 2024'!$A:$D,4,0)</f>
        <v>40.292111003393124</v>
      </c>
      <c r="I22" s="350">
        <f>VLOOKUP(Tabla3[[#This Row],[PATENTE]],'OCTUBRE 2024'!$A:$D,4,0)</f>
        <v>39.363455034255487</v>
      </c>
      <c r="J22" s="350">
        <f>VLOOKUP(Tabla3[[#This Row],[PATENTE]],'NOVIEMBRE 2024'!$A:$D,4,0)</f>
        <v>39.774622264894639</v>
      </c>
      <c r="K22" s="350">
        <f>VLOOKUP(Tabla3[[#This Row],[PATENTE]],'DICIEMBRE 2024'!$A:$D,4,0)</f>
        <v>40.615871877614431</v>
      </c>
      <c r="L22" s="350">
        <f>VLOOKUP(Tabla3[[#This Row],[PATENTE]],'ENERO 2025'!$A:$D,4,0)</f>
        <v>38.146602892871549</v>
      </c>
      <c r="M22" s="350">
        <f>VLOOKUP(Tabla3[[#This Row],[PATENTE]],'FEBRERO 2025'!$A:$D,4,0)</f>
        <v>37.39736553238199</v>
      </c>
      <c r="N22" s="350">
        <f>VLOOKUP(Tabla3[[#This Row],[PATENTE]],'MARZO 2025'!$A:$D,4,0)</f>
        <v>38.765412329863892</v>
      </c>
      <c r="O22" s="350">
        <f>VLOOKUP(Tabla3[[#This Row],[PATENTE]],'ABRIL 2025'!$A:$D,4,0)</f>
        <v>35.798001175778957</v>
      </c>
      <c r="P22" s="350">
        <f>VLOOKUP(Tabla3[[#This Row],[PATENTE]],'MAYO 2025'!$A:$D,4,0)</f>
        <v>36.139777303956407</v>
      </c>
      <c r="Q22" s="350">
        <f>VLOOKUP(Tabla3[[#This Row],[PATENTE]],'JUNIO 2025'!$A:$D,4,0)</f>
        <v>39.099972478326684</v>
      </c>
      <c r="R22" s="350">
        <f>VLOOKUP(Tabla3[[#This Row],[PATENTE]],'JULIO 2025'!$A:$D,4,0)</f>
        <v>38.979867653656356</v>
      </c>
      <c r="S22" s="431">
        <f>VLOOKUP(Tabla3[[#This Row],[PATENTE]],'AGOSTO 2025'!$A:$D,4,0)</f>
        <v>38.264719446579555</v>
      </c>
      <c r="T22" s="431">
        <f>VLOOKUP(Tabla3[[#This Row],[PATENTE]],'SEPTIEMBRE 2025'!$A:$D,4,0)</f>
        <v>38.985543085409937</v>
      </c>
      <c r="U22" s="440">
        <f>VLOOKUP(Tabla3[[#This Row],[PATENTE]],'OCTUBRE 2025'!$A:$D,4,0)</f>
        <v>40.532413889666756</v>
      </c>
      <c r="V22" s="460">
        <f t="shared" si="10"/>
        <v>38.87358269511477</v>
      </c>
    </row>
    <row r="23" spans="1:22" x14ac:dyDescent="0.3">
      <c r="A23" s="457"/>
      <c r="B23" s="324" t="s">
        <v>132</v>
      </c>
      <c r="C23" s="328" t="s">
        <v>1101</v>
      </c>
      <c r="D23" s="350">
        <f>VLOOKUP(Tabla3[[#This Row],[PATENTE]],'MAYO 2024'!$A:$D,4,0)</f>
        <v>39.078225862427985</v>
      </c>
      <c r="E23" s="350">
        <f>VLOOKUP(Tabla3[[#This Row],[PATENTE]],'JUNIO 2024'!$A:$D,4,0)</f>
        <v>33.975240715268221</v>
      </c>
      <c r="F23" s="350">
        <f>VLOOKUP(Tabla3[[#This Row],[PATENTE]],'JULIO 2024'!$A:$D,4,0)</f>
        <v>38.798644384714272</v>
      </c>
      <c r="G23" s="393">
        <f>VLOOKUP(Tabla3[[#This Row],[PATENTE]],'AGOSTO 2024'!$A:$D,4,0)</f>
        <v>39.319298942455688</v>
      </c>
      <c r="H23" s="350">
        <f>VLOOKUP(Tabla3[[#This Row],[PATENTE]],'SEPTIEMBRE 2024'!$A:$D,4,0)</f>
        <v>36.961408586589485</v>
      </c>
      <c r="I23" s="350">
        <f>VLOOKUP(Tabla3[[#This Row],[PATENTE]],'OCTUBRE 2024'!$A:$D,4,0)</f>
        <v>37.13428357089272</v>
      </c>
      <c r="J23" s="350">
        <f>VLOOKUP(Tabla3[[#This Row],[PATENTE]],'NOVIEMBRE 2024'!$A:$D,4,0)</f>
        <v>39.688481043226275</v>
      </c>
      <c r="K23" s="350">
        <f>VLOOKUP(Tabla3[[#This Row],[PATENTE]],'DICIEMBRE 2024'!$A:$D,4,0)</f>
        <v>37.782720976640448</v>
      </c>
      <c r="L23" s="350">
        <f>VLOOKUP(Tabla3[[#This Row],[PATENTE]],'ENERO 2025'!$A:$D,4,0)</f>
        <v>38.395069795069794</v>
      </c>
      <c r="M23" s="350">
        <f>VLOOKUP(Tabla3[[#This Row],[PATENTE]],'FEBRERO 2025'!$A:$D,4,0)</f>
        <v>37.354202755093624</v>
      </c>
      <c r="N23" s="350">
        <f>VLOOKUP(Tabla3[[#This Row],[PATENTE]],'MARZO 2025'!$A:$D,4,0)</f>
        <v>38.049930135072195</v>
      </c>
      <c r="O23" s="350">
        <f>VLOOKUP(Tabla3[[#This Row],[PATENTE]],'ABRIL 2025'!$A:$D,4,0)</f>
        <v>36.65727777317538</v>
      </c>
      <c r="P23" s="350">
        <f>VLOOKUP(Tabla3[[#This Row],[PATENTE]],'MAYO 2025'!$A:$D,4,0)</f>
        <v>36.405986903648277</v>
      </c>
      <c r="Q23" s="350">
        <f>VLOOKUP(Tabla3[[#This Row],[PATENTE]],'JUNIO 2025'!$A:$D,4,0)</f>
        <v>37.244063160512248</v>
      </c>
      <c r="R23" s="350">
        <f>VLOOKUP(Tabla3[[#This Row],[PATENTE]],'JULIO 2025'!$A:$D,4,0)</f>
        <v>38.345072743537827</v>
      </c>
      <c r="S23" s="350">
        <f>VLOOKUP(Tabla3[[#This Row],[PATENTE]],'AGOSTO 2025'!$A:$D,4,0)</f>
        <v>37.897797403702917</v>
      </c>
      <c r="T23" s="350">
        <f>VLOOKUP(Tabla3[[#This Row],[PATENTE]],'SEPTIEMBRE 2025'!$A:$D,4,0)</f>
        <v>37.339127307600094</v>
      </c>
      <c r="U23" s="350"/>
      <c r="V23" s="460">
        <f t="shared" si="10"/>
        <v>37.672166591742787</v>
      </c>
    </row>
    <row r="24" spans="1:22" x14ac:dyDescent="0.3">
      <c r="A24" s="457"/>
      <c r="B24" s="324" t="s">
        <v>115</v>
      </c>
      <c r="C24" s="328" t="s">
        <v>1101</v>
      </c>
      <c r="D24" s="350">
        <f>VLOOKUP(Tabla3[[#This Row],[PATENTE]],'MAYO 2024'!$A:$D,4,0)</f>
        <v>39.395826845219553</v>
      </c>
      <c r="E24" s="350">
        <f>VLOOKUP(Tabla3[[#This Row],[PATENTE]],'JUNIO 2024'!$A:$D,4,0)</f>
        <v>37.984606613454957</v>
      </c>
      <c r="F24" s="350">
        <f>VLOOKUP(Tabla3[[#This Row],[PATENTE]],'JULIO 2024'!$A:$D,4,0)</f>
        <v>39.215939966360459</v>
      </c>
      <c r="G24" s="393">
        <f>VLOOKUP(Tabla3[[#This Row],[PATENTE]],'AGOSTO 2024'!$A:$D,4,0)</f>
        <v>39.045574057844</v>
      </c>
      <c r="H24" s="350">
        <f>VLOOKUP(Tabla3[[#This Row],[PATENTE]],'SEPTIEMBRE 2024'!$A:$D,4,0)</f>
        <v>37.964592210286263</v>
      </c>
      <c r="I24" s="350">
        <f>VLOOKUP(Tabla3[[#This Row],[PATENTE]],'OCTUBRE 2024'!$A:$D,4,0)</f>
        <v>36.917693373186552</v>
      </c>
      <c r="J24" s="350">
        <f>VLOOKUP(Tabla3[[#This Row],[PATENTE]],'NOVIEMBRE 2024'!$A:$D,4,0)</f>
        <v>38.588279348436622</v>
      </c>
      <c r="K24" s="350">
        <f>VLOOKUP(Tabla3[[#This Row],[PATENTE]],'DICIEMBRE 2024'!$A:$D,4,0)</f>
        <v>37.478937463810077</v>
      </c>
      <c r="L24" s="350">
        <f>VLOOKUP(Tabla3[[#This Row],[PATENTE]],'ENERO 2025'!$A:$D,4,0)</f>
        <v>35.731686097094133</v>
      </c>
      <c r="M24" s="350">
        <f>VLOOKUP(Tabla3[[#This Row],[PATENTE]],'FEBRERO 2025'!$A:$D,4,0)</f>
        <v>37.774444612362096</v>
      </c>
      <c r="N24" s="350">
        <f>VLOOKUP(Tabla3[[#This Row],[PATENTE]],'MARZO 2025'!$A:$D,4,0)</f>
        <v>38.437519974432725</v>
      </c>
      <c r="O24" s="350">
        <f>VLOOKUP(Tabla3[[#This Row],[PATENTE]],'ABRIL 2025'!$A:$D,4,0)</f>
        <v>37.912101199888383</v>
      </c>
      <c r="P24" s="350">
        <f>VLOOKUP(Tabla3[[#This Row],[PATENTE]],'MAYO 2025'!$A:$D,4,0)</f>
        <v>38.684020981758401</v>
      </c>
      <c r="Q24" s="350">
        <f>VLOOKUP(Tabla3[[#This Row],[PATENTE]],'JUNIO 2025'!$A:$D,4,0)</f>
        <v>36.686875828546178</v>
      </c>
      <c r="R24" s="350">
        <f>VLOOKUP(Tabla3[[#This Row],[PATENTE]],'JULIO 2025'!$A:$D,4,0)</f>
        <v>37.013905311450593</v>
      </c>
      <c r="S24" s="431">
        <f>VLOOKUP(Tabla3[[#This Row],[PATENTE]],'AGOSTO 2025'!$A:$D,4,0)</f>
        <v>38.725806451612897</v>
      </c>
      <c r="T24" s="431">
        <f>VLOOKUP(Tabla3[[#This Row],[PATENTE]],'SEPTIEMBRE 2025'!$A:$D,4,0)</f>
        <v>36.652442416824307</v>
      </c>
      <c r="U24" s="440">
        <f>VLOOKUP(Tabla3[[#This Row],[PATENTE]],'OCTUBRE 2025'!$A:$D,4,0)</f>
        <v>39.421501365483252</v>
      </c>
      <c r="V24" s="460">
        <f t="shared" si="10"/>
        <v>37.979541895447305</v>
      </c>
    </row>
    <row r="25" spans="1:22" x14ac:dyDescent="0.3">
      <c r="A25" s="457"/>
      <c r="B25" s="324" t="s">
        <v>119</v>
      </c>
      <c r="C25" s="328" t="s">
        <v>1101</v>
      </c>
      <c r="D25" s="350">
        <f>VLOOKUP(Tabla3[[#This Row],[PATENTE]],'MAYO 2024'!$A:$D,4,0)</f>
        <v>40.618023137812052</v>
      </c>
      <c r="E25" s="350">
        <f>VLOOKUP(Tabla3[[#This Row],[PATENTE]],'JUNIO 2024'!$A:$D,4,0)</f>
        <v>39.343104361645771</v>
      </c>
      <c r="F25" s="350">
        <f>VLOOKUP(Tabla3[[#This Row],[PATENTE]],'JULIO 2024'!$A:$D,4,0)</f>
        <v>39.91379799240061</v>
      </c>
      <c r="G25" s="393">
        <f>VLOOKUP(Tabla3[[#This Row],[PATENTE]],'AGOSTO 2024'!$A:$D,4,0)</f>
        <v>41.659940248440698</v>
      </c>
      <c r="H25" s="350">
        <f>VLOOKUP(Tabla3[[#This Row],[PATENTE]],'SEPTIEMBRE 2024'!$A:$D,4,0)</f>
        <v>41.565995525727068</v>
      </c>
      <c r="I25" s="350">
        <f>VLOOKUP(Tabla3[[#This Row],[PATENTE]],'OCTUBRE 2024'!$A:$D,4,0)</f>
        <v>39.188191881918819</v>
      </c>
      <c r="J25" s="350">
        <f>VLOOKUP(Tabla3[[#This Row],[PATENTE]],'NOVIEMBRE 2024'!$A:$D,4,0)</f>
        <v>38.267716535433074</v>
      </c>
      <c r="K25" s="350">
        <f>VLOOKUP(Tabla3[[#This Row],[PATENTE]],'DICIEMBRE 2024'!$A:$D,4,0)</f>
        <v>38.549334672357524</v>
      </c>
      <c r="L25" s="350">
        <f>VLOOKUP(Tabla3[[#This Row],[PATENTE]],'ENERO 2025'!$A:$D,4,0)</f>
        <v>37.573679925564086</v>
      </c>
      <c r="M25" s="350">
        <f>VLOOKUP(Tabla3[[#This Row],[PATENTE]],'FEBRERO 2025'!$A:$D,4,0)</f>
        <v>38.727524499360882</v>
      </c>
      <c r="N25" s="350">
        <f>VLOOKUP(Tabla3[[#This Row],[PATENTE]],'MARZO 2025'!$A:$D,4,0)</f>
        <v>36.678936605316977</v>
      </c>
      <c r="O25" s="350">
        <f>VLOOKUP(Tabla3[[#This Row],[PATENTE]],'ABRIL 2025'!$A:$D,4,0)</f>
        <v>36.088777402115824</v>
      </c>
      <c r="P25" s="350">
        <f>VLOOKUP(Tabla3[[#This Row],[PATENTE]],'MAYO 2025'!$A:$D,4,0)</f>
        <v>35.622141500866839</v>
      </c>
      <c r="Q25" s="350">
        <f>VLOOKUP(Tabla3[[#This Row],[PATENTE]],'JUNIO 2025'!$A:$D,4,0)</f>
        <v>37.193118101870979</v>
      </c>
      <c r="R25" s="350">
        <f>VLOOKUP(Tabla3[[#This Row],[PATENTE]],'JULIO 2025'!$A:$D,4,0)</f>
        <v>38.05756047083171</v>
      </c>
      <c r="S25" s="350">
        <f>VLOOKUP(Tabla3[[#This Row],[PATENTE]],'AGOSTO 2025'!$A:$D,4,0)</f>
        <v>37.745317084179646</v>
      </c>
      <c r="T25" s="350">
        <f>VLOOKUP(Tabla3[[#This Row],[PATENTE]],'SEPTIEMBRE 2025'!$A:$D,4,0)</f>
        <v>39.376734963648389</v>
      </c>
      <c r="U25" s="350">
        <f>VLOOKUP(Tabla3[[#This Row],[PATENTE]],'OCTUBRE 2025'!$A:$D,4,0)</f>
        <v>38.738998004411307</v>
      </c>
      <c r="V25" s="460">
        <f t="shared" si="10"/>
        <v>38.6060496063279</v>
      </c>
    </row>
    <row r="26" spans="1:22" x14ac:dyDescent="0.3">
      <c r="A26" s="457"/>
      <c r="B26" s="324" t="s">
        <v>129</v>
      </c>
      <c r="C26" s="328" t="s">
        <v>1101</v>
      </c>
      <c r="D26" s="350">
        <f>VLOOKUP(Tabla3[[#This Row],[PATENTE]],'MAYO 2024'!$A:$D,4,0)</f>
        <v>39.39812258420762</v>
      </c>
      <c r="E26" s="350">
        <f>VLOOKUP(Tabla3[[#This Row],[PATENTE]],'JUNIO 2024'!$A:$D,4,0)</f>
        <v>40.232818725099598</v>
      </c>
      <c r="F26" s="350">
        <f>VLOOKUP(Tabla3[[#This Row],[PATENTE]],'JULIO 2024'!$A:$D,4,0)</f>
        <v>40.369903320722997</v>
      </c>
      <c r="G26" s="393">
        <f>VLOOKUP(Tabla3[[#This Row],[PATENTE]],'AGOSTO 2024'!$A:$D,4,0)</f>
        <v>38.958009331259717</v>
      </c>
      <c r="H26" s="350">
        <f>VLOOKUP(Tabla3[[#This Row],[PATENTE]],'SEPTIEMBRE 2024'!$A:$D,4,0)</f>
        <v>36.33387552435579</v>
      </c>
      <c r="I26" s="350">
        <f>VLOOKUP(Tabla3[[#This Row],[PATENTE]],'OCTUBRE 2024'!$A:$D,4,0)</f>
        <v>39.188191881918819</v>
      </c>
      <c r="J26" s="350">
        <f>VLOOKUP(Tabla3[[#This Row],[PATENTE]],'NOVIEMBRE 2024'!$A:$D,4,0)</f>
        <v>41.010689990281826</v>
      </c>
      <c r="K26" s="350">
        <f>VLOOKUP(Tabla3[[#This Row],[PATENTE]],'DICIEMBRE 2024'!$A:$D,4,0)</f>
        <v>43.099419050750846</v>
      </c>
      <c r="L26" s="350">
        <f>VLOOKUP(Tabla3[[#This Row],[PATENTE]],'ENERO 2025'!$A:$D,4,0)</f>
        <v>40.640545706188625</v>
      </c>
      <c r="M26" s="350">
        <f>VLOOKUP(Tabla3[[#This Row],[PATENTE]],'FEBRERO 2025'!$A:$D,4,0)</f>
        <v>39.940127847303501</v>
      </c>
      <c r="N26" s="350">
        <f>VLOOKUP(Tabla3[[#This Row],[PATENTE]],'MARZO 2025'!$A:$D,4,0)</f>
        <v>38.737366501693145</v>
      </c>
      <c r="O26" s="350">
        <f>VLOOKUP(Tabla3[[#This Row],[PATENTE]],'ABRIL 2025'!$A:$D,4,0)</f>
        <v>38.90025089333232</v>
      </c>
      <c r="P26" s="350">
        <f>VLOOKUP(Tabla3[[#This Row],[PATENTE]],'MAYO 2025'!$A:$D,4,0)</f>
        <v>38.674660467392627</v>
      </c>
      <c r="Q26" s="350">
        <f>VLOOKUP(Tabla3[[#This Row],[PATENTE]],'JUNIO 2025'!$A:$D,4,0)</f>
        <v>39.254576381014097</v>
      </c>
      <c r="R26" s="350">
        <f>VLOOKUP(Tabla3[[#This Row],[PATENTE]],'JULIO 2025'!$A:$D,4,0)</f>
        <v>39.843493988722209</v>
      </c>
      <c r="S26" s="431">
        <f>VLOOKUP(Tabla3[[#This Row],[PATENTE]],'AGOSTO 2025'!$A:$D,4,0)</f>
        <v>39.982912877676732</v>
      </c>
      <c r="T26" s="431">
        <f>VLOOKUP(Tabla3[[#This Row],[PATENTE]],'SEPTIEMBRE 2025'!$A:$D,4,0)</f>
        <v>39.241666666666667</v>
      </c>
      <c r="U26" s="431">
        <f>VLOOKUP(Tabla3[[#This Row],[PATENTE]],'OCTUBRE 2025'!$A:$D,4,0)</f>
        <v>39.560377213831174</v>
      </c>
      <c r="V26" s="460">
        <f t="shared" si="10"/>
        <v>39.631500497356576</v>
      </c>
    </row>
    <row r="27" spans="1:22" x14ac:dyDescent="0.3">
      <c r="A27" s="457"/>
      <c r="B27" s="324" t="s">
        <v>1116</v>
      </c>
      <c r="C27" s="328" t="s">
        <v>1101</v>
      </c>
      <c r="D27" s="350">
        <f>VLOOKUP(Tabla3[[#This Row],[PATENTE]],'MAYO 2024'!$A:$D,4,0)</f>
        <v>40.662675305503157</v>
      </c>
      <c r="E27" s="350">
        <f>VLOOKUP(Tabla3[[#This Row],[PATENTE]],'JUNIO 2024'!$A:$D,4,0)</f>
        <v>38.225298930144746</v>
      </c>
      <c r="F27" s="350">
        <f>VLOOKUP(Tabla3[[#This Row],[PATENTE]],'JULIO 2024'!$A:$D,4,0)</f>
        <v>38.118951423470826</v>
      </c>
      <c r="G27" s="393">
        <f>VLOOKUP(Tabla3[[#This Row],[PATENTE]],'AGOSTO 2024'!$A:$D,4,0)</f>
        <v>41.182464454976312</v>
      </c>
      <c r="H27" s="350">
        <f>VLOOKUP(Tabla3[[#This Row],[PATENTE]],'SEPTIEMBRE 2024'!$A:$D,4,0)</f>
        <v>39.070655406209113</v>
      </c>
      <c r="I27" s="350">
        <f>VLOOKUP(Tabla3[[#This Row],[PATENTE]],'OCTUBRE 2024'!$A:$D,4,0)</f>
        <v>36.337163128077513</v>
      </c>
      <c r="J27" s="350">
        <f>VLOOKUP(Tabla3[[#This Row],[PATENTE]],'NOVIEMBRE 2024'!$A:$D,4,0)</f>
        <v>38.897337956161486</v>
      </c>
      <c r="K27" s="350">
        <f>VLOOKUP(Tabla3[[#This Row],[PATENTE]],'DICIEMBRE 2024'!$A:$D,4,0)</f>
        <v>37.216948621553883</v>
      </c>
      <c r="L27" s="350">
        <f>VLOOKUP(Tabla3[[#This Row],[PATENTE]],'ENERO 2025'!$A:$D,4,0)</f>
        <v>38.129489272388064</v>
      </c>
      <c r="M27" s="350">
        <f>VLOOKUP(Tabla3[[#This Row],[PATENTE]],'FEBRERO 2025'!$A:$D,4,0)</f>
        <v>36.669302233643009</v>
      </c>
      <c r="N27" s="350">
        <f>VLOOKUP(Tabla3[[#This Row],[PATENTE]],'MARZO 2025'!$A:$D,4,0)</f>
        <v>36.99421340111406</v>
      </c>
      <c r="O27" s="350">
        <f>VLOOKUP(Tabla3[[#This Row],[PATENTE]],'ABRIL 2025'!$A:$D,4,0)</f>
        <v>37.099290300777291</v>
      </c>
      <c r="P27" s="350">
        <f>VLOOKUP(Tabla3[[#This Row],[PATENTE]],'MAYO 2025'!$A:$D,4,0)</f>
        <v>35.764825551825851</v>
      </c>
      <c r="Q27" s="350">
        <f>VLOOKUP(Tabla3[[#This Row],[PATENTE]],'JUNIO 2025'!$A:$D,4,0)</f>
        <v>35.071340945550624</v>
      </c>
      <c r="R27" s="350">
        <f>VLOOKUP(Tabla3[[#This Row],[PATENTE]],'JULIO 2025'!$A:$D,4,0)</f>
        <v>37.890998121813794</v>
      </c>
      <c r="S27" s="350">
        <f>VLOOKUP(Tabla3[[#This Row],[PATENTE]],'AGOSTO 2025'!$A:$D,4,0)</f>
        <v>36.349682269248824</v>
      </c>
      <c r="T27" s="350">
        <f>VLOOKUP(Tabla3[[#This Row],[PATENTE]],'SEPTIEMBRE 2025'!$A:$D,4,0)</f>
        <v>36.869714547397344</v>
      </c>
      <c r="U27" s="350">
        <f>VLOOKUP(Tabla3[[#This Row],[PATENTE]],'OCTUBRE 2025'!$A:$D,4,0)</f>
        <v>35.471266522921155</v>
      </c>
      <c r="V27" s="460">
        <f t="shared" si="10"/>
        <v>37.556756577376504</v>
      </c>
    </row>
    <row r="28" spans="1:22" x14ac:dyDescent="0.3">
      <c r="A28" s="457"/>
      <c r="B28" s="324" t="s">
        <v>134</v>
      </c>
      <c r="C28" s="328" t="s">
        <v>1101</v>
      </c>
      <c r="D28" s="350">
        <f>VLOOKUP(Tabla3[[#This Row],[PATENTE]],'MAYO 2024'!$A:$D,4,0)</f>
        <v>38.843640920075181</v>
      </c>
      <c r="E28" s="350">
        <f>VLOOKUP(Tabla3[[#This Row],[PATENTE]],'JUNIO 2024'!$A:$D,4,0)</f>
        <v>38.004453103256331</v>
      </c>
      <c r="F28" s="350">
        <f>VLOOKUP(Tabla3[[#This Row],[PATENTE]],'JULIO 2024'!$A:$D,4,0)</f>
        <v>39.26866612627218</v>
      </c>
      <c r="G28" s="393">
        <f>VLOOKUP(Tabla3[[#This Row],[PATENTE]],'AGOSTO 2024'!$A:$D,4,0)</f>
        <v>39.855029193205944</v>
      </c>
      <c r="H28" s="350">
        <f>VLOOKUP(Tabla3[[#This Row],[PATENTE]],'SEPTIEMBRE 2024'!$A:$D,4,0)</f>
        <v>38.105418413289861</v>
      </c>
      <c r="I28" s="350">
        <f>VLOOKUP(Tabla3[[#This Row],[PATENTE]],'OCTUBRE 2024'!$A:$D,4,0)</f>
        <v>37.750402947271475</v>
      </c>
      <c r="J28" s="350">
        <f>VLOOKUP(Tabla3[[#This Row],[PATENTE]],'NOVIEMBRE 2024'!$A:$D,4,0)</f>
        <v>38.515918053284601</v>
      </c>
      <c r="K28" s="350">
        <f>VLOOKUP(Tabla3[[#This Row],[PATENTE]],'DICIEMBRE 2024'!$A:$D,4,0)</f>
        <v>37.859167148640836</v>
      </c>
      <c r="L28" s="350">
        <f>VLOOKUP(Tabla3[[#This Row],[PATENTE]],'ENERO 2025'!$A:$D,4,0)</f>
        <v>38.054488298987074</v>
      </c>
      <c r="M28" s="350">
        <f>VLOOKUP(Tabla3[[#This Row],[PATENTE]],'FEBRERO 2025'!$A:$D,4,0)</f>
        <v>37.297261287934866</v>
      </c>
      <c r="N28" s="350">
        <f>VLOOKUP(Tabla3[[#This Row],[PATENTE]],'MARZO 2025'!$A:$D,4,0)</f>
        <v>36.384707574304883</v>
      </c>
      <c r="O28" s="350">
        <f>VLOOKUP(Tabla3[[#This Row],[PATENTE]],'ABRIL 2025'!$A:$D,4,0)</f>
        <v>35.200626184394828</v>
      </c>
      <c r="P28" s="350">
        <f>VLOOKUP(Tabla3[[#This Row],[PATENTE]],'MAYO 2025'!$A:$D,4,0)</f>
        <v>35.693889618922469</v>
      </c>
      <c r="Q28" s="350">
        <f>VLOOKUP(Tabla3[[#This Row],[PATENTE]],'JUNIO 2025'!$A:$D,4,0)</f>
        <v>36.55417985477564</v>
      </c>
      <c r="R28" s="350">
        <f>VLOOKUP(Tabla3[[#This Row],[PATENTE]],'JULIO 2025'!$A:$D,4,0)</f>
        <v>37.309628731959897</v>
      </c>
      <c r="S28" s="350">
        <f>VLOOKUP(Tabla3[[#This Row],[PATENTE]],'AGOSTO 2025'!$A:$D,4,0)</f>
        <v>36.325508033159707</v>
      </c>
      <c r="T28" s="350">
        <f>VLOOKUP(Tabla3[[#This Row],[PATENTE]],'SEPTIEMBRE 2025'!$A:$D,4,0)</f>
        <v>40.288387857353371</v>
      </c>
      <c r="U28" s="350">
        <f>VLOOKUP(Tabla3[[#This Row],[PATENTE]],'OCTUBRE 2025'!$A:$D,4,0)</f>
        <v>37.600269039735096</v>
      </c>
      <c r="V28" s="460">
        <f t="shared" si="10"/>
        <v>37.717313465934673</v>
      </c>
    </row>
    <row r="29" spans="1:22" x14ac:dyDescent="0.3">
      <c r="A29" s="457"/>
      <c r="B29" s="324" t="s">
        <v>138</v>
      </c>
      <c r="C29" s="328" t="s">
        <v>1101</v>
      </c>
      <c r="D29" s="350">
        <f>VLOOKUP(Tabla3[[#This Row],[PATENTE]],'MAYO 2024'!$A:$D,4,0)</f>
        <v>39.895908111988518</v>
      </c>
      <c r="E29" s="350">
        <f>VLOOKUP(Tabla3[[#This Row],[PATENTE]],'JUNIO 2024'!$A:$D,4,0)</f>
        <v>36.573714031774244</v>
      </c>
      <c r="F29" s="350">
        <f>VLOOKUP(Tabla3[[#This Row],[PATENTE]],'JULIO 2024'!$A:$D,4,0)</f>
        <v>37.339923612671313</v>
      </c>
      <c r="G29" s="393">
        <f>VLOOKUP(Tabla3[[#This Row],[PATENTE]],'AGOSTO 2024'!$A:$D,4,0)</f>
        <v>40.041851807373604</v>
      </c>
      <c r="H29" s="350">
        <f>VLOOKUP(Tabla3[[#This Row],[PATENTE]],'SEPTIEMBRE 2024'!$A:$D,4,0)</f>
        <v>37.934983046814587</v>
      </c>
      <c r="I29" s="350">
        <f>VLOOKUP(Tabla3[[#This Row],[PATENTE]],'OCTUBRE 2024'!$A:$D,4,0)</f>
        <v>37.357954545454547</v>
      </c>
      <c r="J29" s="350">
        <f>VLOOKUP(Tabla3[[#This Row],[PATENTE]],'NOVIEMBRE 2024'!$A:$D,4,0)</f>
        <v>37.219609261939219</v>
      </c>
      <c r="K29" s="350">
        <f>VLOOKUP(Tabla3[[#This Row],[PATENTE]],'DICIEMBRE 2024'!$A:$D,4,0)</f>
        <v>36.749395711500974</v>
      </c>
      <c r="L29" s="350">
        <f>VLOOKUP(Tabla3[[#This Row],[PATENTE]],'ENERO 2025'!$A:$D,4,0)</f>
        <v>37.123196220407742</v>
      </c>
      <c r="M29" s="350">
        <f>VLOOKUP(Tabla3[[#This Row],[PATENTE]],'FEBRERO 2025'!$A:$D,4,0)</f>
        <v>36.787551770401912</v>
      </c>
      <c r="N29" s="350">
        <f>VLOOKUP(Tabla3[[#This Row],[PATENTE]],'MARZO 2025'!$A:$D,4,0)</f>
        <v>38.055407707047053</v>
      </c>
      <c r="O29" s="350">
        <f>VLOOKUP(Tabla3[[#This Row],[PATENTE]],'ABRIL 2025'!$A:$D,4,0)</f>
        <v>36.538669950738914</v>
      </c>
      <c r="P29" s="350">
        <f>VLOOKUP(Tabla3[[#This Row],[PATENTE]],'MAYO 2025'!$A:$D,4,0)</f>
        <v>36.542327600601105</v>
      </c>
      <c r="Q29" s="350">
        <f>VLOOKUP(Tabla3[[#This Row],[PATENTE]],'JUNIO 2025'!$A:$D,4,0)</f>
        <v>37.197385442908697</v>
      </c>
      <c r="R29" s="350">
        <f>VLOOKUP(Tabla3[[#This Row],[PATENTE]],'JULIO 2025'!$A:$D,4,0)</f>
        <v>36.606847587463214</v>
      </c>
      <c r="S29" s="350">
        <f>VLOOKUP(Tabla3[[#This Row],[PATENTE]],'AGOSTO 2025'!$A:$D,4,0)</f>
        <v>35.018704484476807</v>
      </c>
      <c r="T29" s="350">
        <f>VLOOKUP(Tabla3[[#This Row],[PATENTE]],'SEPTIEMBRE 2025'!$A:$D,4,0)</f>
        <v>36.120285101551652</v>
      </c>
      <c r="U29" s="350">
        <f>VLOOKUP(Tabla3[[#This Row],[PATENTE]],'OCTUBRE 2025'!$A:$D,4,0)</f>
        <v>37.208413381914539</v>
      </c>
      <c r="V29" s="460">
        <f t="shared" si="10"/>
        <v>37.23956274316825</v>
      </c>
    </row>
    <row r="30" spans="1:22" x14ac:dyDescent="0.3">
      <c r="A30" s="457"/>
      <c r="B30" s="324" t="s">
        <v>133</v>
      </c>
      <c r="C30" s="328" t="s">
        <v>1101</v>
      </c>
      <c r="D30" s="350">
        <f>VLOOKUP(Tabla3[[#This Row],[PATENTE]],'MAYO 2024'!$A:$D,4,0)</f>
        <v>38.52716004374772</v>
      </c>
      <c r="E30" s="350">
        <f>VLOOKUP(Tabla3[[#This Row],[PATENTE]],'JUNIO 2024'!$A:$D,4,0)</f>
        <v>38.600662919729068</v>
      </c>
      <c r="F30" s="350">
        <f>VLOOKUP(Tabla3[[#This Row],[PATENTE]],'JULIO 2024'!$A:$D,4,0)</f>
        <v>40.479971766366688</v>
      </c>
      <c r="G30" s="393"/>
      <c r="H30" s="350"/>
      <c r="I30" s="350"/>
      <c r="J30" s="350"/>
      <c r="K30" s="350"/>
      <c r="L30" s="350"/>
      <c r="M30" s="350"/>
      <c r="N30" s="350"/>
      <c r="O30" s="350"/>
      <c r="P30" s="350"/>
      <c r="Q30" s="350"/>
      <c r="R30" s="350"/>
      <c r="S30" s="350"/>
      <c r="T30" s="350"/>
      <c r="U30" s="350"/>
      <c r="V30" s="460">
        <f t="shared" si="10"/>
        <v>39.202598243281159</v>
      </c>
    </row>
    <row r="31" spans="1:22" x14ac:dyDescent="0.3">
      <c r="A31" s="457"/>
      <c r="B31" s="325" t="s">
        <v>125</v>
      </c>
      <c r="C31" s="190" t="s">
        <v>1101</v>
      </c>
      <c r="D31" s="350">
        <f>VLOOKUP(Tabla3[[#This Row],[PATENTE]],'MAYO 2024'!$A:$D,4,0)</f>
        <v>37.72605755621953</v>
      </c>
      <c r="E31" s="350">
        <f>VLOOKUP(Tabla3[[#This Row],[PATENTE]],'JUNIO 2024'!$A:$D,4,0)</f>
        <v>36.684893126666367</v>
      </c>
      <c r="F31" s="350">
        <f>VLOOKUP(Tabla3[[#This Row],[PATENTE]],'JULIO 2024'!$A:$D,4,0)</f>
        <v>37.329306722689076</v>
      </c>
      <c r="G31" s="393">
        <f>VLOOKUP(Tabla3[[#This Row],[PATENTE]],'AGOSTO 2024'!$A:$D,4,0)</f>
        <v>37.990337399017896</v>
      </c>
      <c r="H31" s="350">
        <f>VLOOKUP(Tabla3[[#This Row],[PATENTE]],'SEPTIEMBRE 2024'!$A:$D,4,0)</f>
        <v>36.997130022460688</v>
      </c>
      <c r="I31" s="350">
        <f>VLOOKUP(Tabla3[[#This Row],[PATENTE]],'OCTUBRE 2024'!$A:$D,4,0)</f>
        <v>39.016681299385425</v>
      </c>
      <c r="J31" s="350">
        <f>VLOOKUP(Tabla3[[#This Row],[PATENTE]],'NOVIEMBRE 2024'!$A:$D,4,0)</f>
        <v>37.866137112424965</v>
      </c>
      <c r="K31" s="350">
        <f>VLOOKUP(Tabla3[[#This Row],[PATENTE]],'DICIEMBRE 2024'!$A:$D,4,0)</f>
        <v>36.261442596494376</v>
      </c>
      <c r="L31" s="350">
        <f>VLOOKUP(Tabla3[[#This Row],[PATENTE]],'ENERO 2025'!$A:$D,4,0)</f>
        <v>37.685979345352706</v>
      </c>
      <c r="M31" s="350">
        <f>VLOOKUP(Tabla3[[#This Row],[PATENTE]],'FEBRERO 2025'!$A:$D,4,0)</f>
        <v>37.366077422242114</v>
      </c>
      <c r="N31" s="350">
        <f>VLOOKUP(Tabla3[[#This Row],[PATENTE]],'MARZO 2025'!$A:$D,4,0)</f>
        <v>37.833629072325934</v>
      </c>
      <c r="O31" s="350">
        <f>VLOOKUP(Tabla3[[#This Row],[PATENTE]],'ABRIL 2025'!$A:$D,4,0)</f>
        <v>39.992439363696853</v>
      </c>
      <c r="P31" s="350">
        <f>VLOOKUP(Tabla3[[#This Row],[PATENTE]],'MAYO 2025'!$A:$D,4,0)</f>
        <v>36.18636668905306</v>
      </c>
      <c r="Q31" s="350">
        <f>VLOOKUP(Tabla3[[#This Row],[PATENTE]],'JUNIO 2025'!$A:$D,4,0)</f>
        <v>36.481976417742843</v>
      </c>
      <c r="R31" s="350">
        <f>VLOOKUP(Tabla3[[#This Row],[PATENTE]],'JULIO 2025'!$A:$D,4,0)</f>
        <v>36.578890097932529</v>
      </c>
      <c r="S31" s="350">
        <f>VLOOKUP(Tabla3[[#This Row],[PATENTE]],'AGOSTO 2025'!$A:$D,4,0)</f>
        <v>36.65256576353292</v>
      </c>
      <c r="T31" s="350">
        <f>VLOOKUP(Tabla3[[#This Row],[PATENTE]],'SEPTIEMBRE 2025'!$A:$D,4,0)</f>
        <v>38.083039691509882</v>
      </c>
      <c r="U31" s="350">
        <f>VLOOKUP(Tabla3[[#This Row],[PATENTE]],'OCTUBRE 2025'!$A:$D,4,0)</f>
        <v>38.316695459032573</v>
      </c>
      <c r="V31" s="460">
        <f t="shared" si="10"/>
        <v>37.5027580643211</v>
      </c>
    </row>
    <row r="32" spans="1:22" x14ac:dyDescent="0.3">
      <c r="A32" s="457"/>
      <c r="B32" s="324" t="s">
        <v>112</v>
      </c>
      <c r="C32" s="328" t="s">
        <v>1101</v>
      </c>
      <c r="D32" s="350">
        <f>VLOOKUP(Tabla3[[#This Row],[PATENTE]],'MAYO 2024'!$A:$D,4,0)</f>
        <v>38.991503509420021</v>
      </c>
      <c r="E32" s="350">
        <f>VLOOKUP(Tabla3[[#This Row],[PATENTE]],'JUNIO 2024'!$A:$D,4,0)</f>
        <v>39.288322379340109</v>
      </c>
      <c r="F32" s="350">
        <f>VLOOKUP(Tabla3[[#This Row],[PATENTE]],'JULIO 2024'!$A:$D,4,0)</f>
        <v>39.662795496079703</v>
      </c>
      <c r="G32" s="393">
        <f>VLOOKUP(Tabla3[[#This Row],[PATENTE]],'AGOSTO 2024'!$A:$D,4,0)</f>
        <v>40.084427767354597</v>
      </c>
      <c r="H32" s="350">
        <f>VLOOKUP(Tabla3[[#This Row],[PATENTE]],'SEPTIEMBRE 2024'!$A:$D,4,0)</f>
        <v>39.657165689930743</v>
      </c>
      <c r="I32" s="350">
        <f>VLOOKUP(Tabla3[[#This Row],[PATENTE]],'OCTUBRE 2024'!$A:$D,4,0)</f>
        <v>40.052986512524086</v>
      </c>
      <c r="J32" s="350">
        <f>VLOOKUP(Tabla3[[#This Row],[PATENTE]],'NOVIEMBRE 2024'!$A:$D,4,0)</f>
        <v>39.610150790731886</v>
      </c>
      <c r="K32" s="350">
        <f>VLOOKUP(Tabla3[[#This Row],[PATENTE]],'DICIEMBRE 2024'!$A:$D,4,0)</f>
        <v>40.561893560717436</v>
      </c>
      <c r="L32" s="350">
        <f>VLOOKUP(Tabla3[[#This Row],[PATENTE]],'ENERO 2025'!$A:$D,4,0)</f>
        <v>39.629758994062172</v>
      </c>
      <c r="M32" s="350">
        <f>VLOOKUP(Tabla3[[#This Row],[PATENTE]],'FEBRERO 2025'!$A:$D,4,0)</f>
        <v>40.435027750858957</v>
      </c>
      <c r="N32" s="350">
        <f>VLOOKUP(Tabla3[[#This Row],[PATENTE]],'MARZO 2025'!$A:$D,4,0)</f>
        <v>41.057227919285481</v>
      </c>
      <c r="O32" s="350">
        <f>VLOOKUP(Tabla3[[#This Row],[PATENTE]],'ABRIL 2025'!$A:$D,4,0)</f>
        <v>39.505979599015127</v>
      </c>
      <c r="P32" s="350">
        <f>VLOOKUP(Tabla3[[#This Row],[PATENTE]],'MAYO 2025'!$A:$D,4,0)</f>
        <v>39.638047655649501</v>
      </c>
      <c r="Q32" s="350">
        <f>VLOOKUP(Tabla3[[#This Row],[PATENTE]],'JUNIO 2025'!$A:$D,4,0)</f>
        <v>39.315817130846028</v>
      </c>
      <c r="R32" s="350">
        <f>VLOOKUP(Tabla3[[#This Row],[PATENTE]],'JULIO 2025'!$A:$D,4,0)</f>
        <v>39.130525066745768</v>
      </c>
      <c r="S32" s="431">
        <f>VLOOKUP(Tabla3[[#This Row],[PATENTE]],'AGOSTO 2025'!$A:$D,4,0)</f>
        <v>39.357149165415514</v>
      </c>
      <c r="T32" s="431">
        <f>VLOOKUP(Tabla3[[#This Row],[PATENTE]],'SEPTIEMBRE 2025'!$A:$D,4,0)</f>
        <v>37.85458653963601</v>
      </c>
      <c r="U32" s="431">
        <f>VLOOKUP(Tabla3[[#This Row],[PATENTE]],'OCTUBRE 2025'!$A:$D,4,0)</f>
        <v>39.607102191858814</v>
      </c>
      <c r="V32" s="460">
        <f t="shared" si="10"/>
        <v>39.635581539970659</v>
      </c>
    </row>
    <row r="33" spans="1:22" x14ac:dyDescent="0.3">
      <c r="A33" s="457"/>
      <c r="B33" s="324" t="s">
        <v>111</v>
      </c>
      <c r="C33" s="328" t="s">
        <v>1103</v>
      </c>
      <c r="D33" s="350">
        <f>VLOOKUP(Tabla3[[#This Row],[PATENTE]],'MAYO 2024'!$A:$D,4,0)</f>
        <v>37.020640487552463</v>
      </c>
      <c r="E33" s="350">
        <f>VLOOKUP(Tabla3[[#This Row],[PATENTE]],'JUNIO 2024'!$A:$D,4,0)</f>
        <v>37.350241170063789</v>
      </c>
      <c r="F33" s="350">
        <f>VLOOKUP(Tabla3[[#This Row],[PATENTE]],'JULIO 2024'!$A:$D,4,0)</f>
        <v>39.043752272451826</v>
      </c>
      <c r="G33" s="393">
        <f>VLOOKUP(Tabla3[[#This Row],[PATENTE]],'AGOSTO 2024'!$A:$D,4,0)</f>
        <v>38.27691937714183</v>
      </c>
      <c r="H33" s="350">
        <f>VLOOKUP(Tabla3[[#This Row],[PATENTE]],'SEPTIEMBRE 2024'!$A:$D,4,0)</f>
        <v>39.825710859883522</v>
      </c>
      <c r="I33" s="350">
        <f>VLOOKUP(Tabla3[[#This Row],[PATENTE]],'OCTUBRE 2024'!$A:$D,4,0)</f>
        <v>39.696329341786026</v>
      </c>
      <c r="J33" s="350">
        <f>VLOOKUP(Tabla3[[#This Row],[PATENTE]],'NOVIEMBRE 2024'!$A:$D,4,0)</f>
        <v>41.285767372723896</v>
      </c>
      <c r="K33" s="350">
        <f>VLOOKUP(Tabla3[[#This Row],[PATENTE]],'DICIEMBRE 2024'!$A:$D,4,0)</f>
        <v>37.4557318321392</v>
      </c>
      <c r="L33" s="350">
        <f>VLOOKUP(Tabla3[[#This Row],[PATENTE]],'ENERO 2025'!$A:$D,4,0)</f>
        <v>39.046259133477413</v>
      </c>
      <c r="M33" s="350">
        <f>VLOOKUP(Tabla3[[#This Row],[PATENTE]],'FEBRERO 2025'!$A:$D,4,0)</f>
        <v>37.598686751641559</v>
      </c>
      <c r="N33" s="350">
        <f>VLOOKUP(Tabla3[[#This Row],[PATENTE]],'MARZO 2025'!$A:$D,4,0)</f>
        <v>37.390875042560438</v>
      </c>
      <c r="O33" s="350">
        <f>VLOOKUP(Tabla3[[#This Row],[PATENTE]],'ABRIL 2025'!$A:$D,4,0)</f>
        <v>36.77054899320644</v>
      </c>
      <c r="P33" s="350">
        <f>VLOOKUP(Tabla3[[#This Row],[PATENTE]],'MAYO 2025'!$A:$D,4,0)</f>
        <v>35.677430038085781</v>
      </c>
      <c r="Q33" s="350">
        <f>VLOOKUP(Tabla3[[#This Row],[PATENTE]],'JUNIO 2025'!$A:$D,4,0)</f>
        <v>38.470044962935958</v>
      </c>
      <c r="R33" s="350">
        <f>VLOOKUP(Tabla3[[#This Row],[PATENTE]],'JULIO 2025'!$A:$D,4,0)</f>
        <v>38.439654280095226</v>
      </c>
      <c r="S33" s="350">
        <f>VLOOKUP(Tabla3[[#This Row],[PATENTE]],'AGOSTO 2025'!$A:$D,4,0)</f>
        <v>35.194510532118613</v>
      </c>
      <c r="T33" s="350">
        <f>VLOOKUP(Tabla3[[#This Row],[PATENTE]],'SEPTIEMBRE 2025'!$A:$D,4,0)</f>
        <v>35.734807645185008</v>
      </c>
      <c r="U33" s="350">
        <f>VLOOKUP(Tabla3[[#This Row],[PATENTE]],'OCTUBRE 2025'!$A:$D,4,0)</f>
        <v>35.938680706100961</v>
      </c>
      <c r="V33" s="460">
        <f t="shared" si="10"/>
        <v>37.789810599952773</v>
      </c>
    </row>
    <row r="34" spans="1:22" x14ac:dyDescent="0.3">
      <c r="A34" s="457"/>
      <c r="B34" s="324" t="s">
        <v>131</v>
      </c>
      <c r="C34" s="328" t="s">
        <v>1103</v>
      </c>
      <c r="D34" s="350">
        <f>VLOOKUP(Tabla3[[#This Row],[PATENTE]],'MAYO 2024'!$A:$D,4,0)</f>
        <v>42.686202686202684</v>
      </c>
      <c r="E34" s="350">
        <f>VLOOKUP(Tabla3[[#This Row],[PATENTE]],'JUNIO 2024'!$A:$D,4,0)</f>
        <v>38.398046398046397</v>
      </c>
      <c r="F34" s="350">
        <f>VLOOKUP(Tabla3[[#This Row],[PATENTE]],'JULIO 2024'!$A:$D,4,0)</f>
        <v>38.816449348044131</v>
      </c>
      <c r="G34" s="393">
        <f>VLOOKUP(Tabla3[[#This Row],[PATENTE]],'AGOSTO 2024'!$A:$D,4,0)</f>
        <v>41.409653165170994</v>
      </c>
      <c r="H34" s="350">
        <f>VLOOKUP(Tabla3[[#This Row],[PATENTE]],'SEPTIEMBRE 2024'!$A:$D,4,0)</f>
        <v>39.990648948885607</v>
      </c>
      <c r="I34" s="350">
        <f>VLOOKUP(Tabla3[[#This Row],[PATENTE]],'OCTUBRE 2024'!$A:$D,4,0)</f>
        <v>35.967165862522712</v>
      </c>
      <c r="J34" s="350">
        <f>VLOOKUP(Tabla3[[#This Row],[PATENTE]],'NOVIEMBRE 2024'!$A:$D,4,0)</f>
        <v>36.678458387637313</v>
      </c>
      <c r="K34" s="350">
        <f>VLOOKUP(Tabla3[[#This Row],[PATENTE]],'DICIEMBRE 2024'!$A:$D,4,0)</f>
        <v>40.631343102821852</v>
      </c>
      <c r="L34" s="350">
        <f>VLOOKUP(Tabla3[[#This Row],[PATENTE]],'ENERO 2025'!$A:$D,4,0)</f>
        <v>38.921616189618128</v>
      </c>
      <c r="M34" s="350">
        <f>VLOOKUP(Tabla3[[#This Row],[PATENTE]],'FEBRERO 2025'!$A:$D,4,0)</f>
        <v>39.079448340897031</v>
      </c>
      <c r="N34" s="350">
        <f>VLOOKUP(Tabla3[[#This Row],[PATENTE]],'MARZO 2025'!$A:$D,4,0)</f>
        <v>37.725922487816199</v>
      </c>
      <c r="O34" s="350">
        <f>VLOOKUP(Tabla3[[#This Row],[PATENTE]],'ABRIL 2025'!$A:$D,4,0)</f>
        <v>38.087919112092507</v>
      </c>
      <c r="P34" s="350">
        <f>VLOOKUP(Tabla3[[#This Row],[PATENTE]],'MAYO 2025'!$A:$D,4,0)</f>
        <v>38.772755354200982</v>
      </c>
      <c r="Q34" s="350">
        <f>VLOOKUP(Tabla3[[#This Row],[PATENTE]],'JUNIO 2025'!$A:$D,4,0)</f>
        <v>40.569348262248397</v>
      </c>
      <c r="R34" s="350">
        <f>VLOOKUP(Tabla3[[#This Row],[PATENTE]],'JULIO 2025'!$A:$D,4,0)</f>
        <v>37.558785680861021</v>
      </c>
      <c r="S34" s="431">
        <f>VLOOKUP(Tabla3[[#This Row],[PATENTE]],'AGOSTO 2025'!$A:$D,4,0)</f>
        <v>38.77608041342495</v>
      </c>
      <c r="T34" s="431">
        <f>VLOOKUP(Tabla3[[#This Row],[PATENTE]],'SEPTIEMBRE 2025'!$A:$D,4,0)</f>
        <v>39.220234179713195</v>
      </c>
      <c r="U34" s="431">
        <f>VLOOKUP(Tabla3[[#This Row],[PATENTE]],'OCTUBRE 2025'!$A:$D,4,0)</f>
        <v>36.415841017123881</v>
      </c>
      <c r="V34" s="460">
        <f t="shared" si="10"/>
        <v>38.872551052073767</v>
      </c>
    </row>
    <row r="35" spans="1:22" x14ac:dyDescent="0.3">
      <c r="A35" s="457"/>
      <c r="B35" s="324" t="s">
        <v>123</v>
      </c>
      <c r="C35" s="328" t="s">
        <v>1103</v>
      </c>
      <c r="D35" s="350">
        <f>VLOOKUP(Tabla3[[#This Row],[PATENTE]],'MAYO 2024'!$A:$D,4,0)</f>
        <v>37.810749729782842</v>
      </c>
      <c r="E35" s="350">
        <f>VLOOKUP(Tabla3[[#This Row],[PATENTE]],'JUNIO 2024'!$A:$D,4,0)</f>
        <v>36.978512396694214</v>
      </c>
      <c r="F35" s="350">
        <f>VLOOKUP(Tabla3[[#This Row],[PATENTE]],'JULIO 2024'!$A:$D,4,0)</f>
        <v>38.093295253637969</v>
      </c>
      <c r="G35" s="393">
        <f>VLOOKUP(Tabla3[[#This Row],[PATENTE]],'AGOSTO 2024'!$A:$D,4,0)</f>
        <v>38.049412691121468</v>
      </c>
      <c r="H35" s="350">
        <f>VLOOKUP(Tabla3[[#This Row],[PATENTE]],'SEPTIEMBRE 2024'!$A:$D,4,0)</f>
        <v>39.274173502361421</v>
      </c>
      <c r="I35" s="350">
        <f>VLOOKUP(Tabla3[[#This Row],[PATENTE]],'OCTUBRE 2024'!$A:$D,4,0)</f>
        <v>40.836298932384338</v>
      </c>
      <c r="J35" s="350">
        <f>VLOOKUP(Tabla3[[#This Row],[PATENTE]],'NOVIEMBRE 2024'!$A:$D,4,0)</f>
        <v>37.349075755956832</v>
      </c>
      <c r="K35" s="350">
        <f>VLOOKUP(Tabla3[[#This Row],[PATENTE]],'DICIEMBRE 2024'!$A:$D,4,0)</f>
        <v>38.49221386701403</v>
      </c>
      <c r="L35" s="350">
        <f>VLOOKUP(Tabla3[[#This Row],[PATENTE]],'ENERO 2025'!$A:$D,4,0)</f>
        <v>34.766546947152385</v>
      </c>
      <c r="M35" s="350">
        <f>VLOOKUP(Tabla3[[#This Row],[PATENTE]],'FEBRERO 2025'!$A:$D,4,0)</f>
        <v>35.720460599810949</v>
      </c>
      <c r="N35" s="350">
        <f>VLOOKUP(Tabla3[[#This Row],[PATENTE]],'MARZO 2025'!$A:$D,4,0)</f>
        <v>36.816178010471205</v>
      </c>
      <c r="O35" s="350">
        <f>VLOOKUP(Tabla3[[#This Row],[PATENTE]],'ABRIL 2025'!$A:$D,4,0)</f>
        <v>36.16736949251127</v>
      </c>
      <c r="P35" s="350">
        <f>VLOOKUP(Tabla3[[#This Row],[PATENTE]],'MAYO 2025'!$A:$D,4,0)</f>
        <v>35.905221493249471</v>
      </c>
      <c r="Q35" s="350">
        <f>VLOOKUP(Tabla3[[#This Row],[PATENTE]],'JUNIO 2025'!$A:$D,4,0)</f>
        <v>34.895954564498858</v>
      </c>
      <c r="R35" s="350">
        <f>VLOOKUP(Tabla3[[#This Row],[PATENTE]],'JULIO 2025'!$A:$D,4,0)</f>
        <v>37.221281216069492</v>
      </c>
      <c r="S35" s="350">
        <f>VLOOKUP(Tabla3[[#This Row],[PATENTE]],'AGOSTO 2025'!$A:$D,4,0)</f>
        <v>37.104793171372286</v>
      </c>
      <c r="T35" s="350">
        <f>VLOOKUP(Tabla3[[#This Row],[PATENTE]],'SEPTIEMBRE 2025'!$A:$D,4,0)</f>
        <v>37.3983638380477</v>
      </c>
      <c r="U35" s="350">
        <f>VLOOKUP(Tabla3[[#This Row],[PATENTE]],'OCTUBRE 2025'!$A:$D,4,0)</f>
        <v>36.957686089829195</v>
      </c>
      <c r="V35" s="460">
        <f t="shared" si="10"/>
        <v>37.213199308442555</v>
      </c>
    </row>
    <row r="36" spans="1:22" x14ac:dyDescent="0.3">
      <c r="A36" s="457"/>
      <c r="B36" s="324" t="s">
        <v>139</v>
      </c>
      <c r="C36" s="328" t="s">
        <v>1103</v>
      </c>
      <c r="D36" s="350">
        <f>VLOOKUP(Tabla3[[#This Row],[PATENTE]],'MAYO 2024'!$A:$D,4,0)</f>
        <v>42.937481741162728</v>
      </c>
      <c r="E36" s="350">
        <f>VLOOKUP(Tabla3[[#This Row],[PATENTE]],'JUNIO 2024'!$A:$D,4,0)</f>
        <v>40.567882342939726</v>
      </c>
      <c r="F36" s="350">
        <f>VLOOKUP(Tabla3[[#This Row],[PATENTE]],'JULIO 2024'!$A:$D,4,0)</f>
        <v>40.535868625756265</v>
      </c>
      <c r="G36" s="393">
        <f>VLOOKUP(Tabla3[[#This Row],[PATENTE]],'AGOSTO 2024'!$A:$D,4,0)</f>
        <v>38.94217747158924</v>
      </c>
      <c r="H36" s="350">
        <f>VLOOKUP(Tabla3[[#This Row],[PATENTE]],'SEPTIEMBRE 2024'!$A:$D,4,0)</f>
        <v>37.449113831536636</v>
      </c>
      <c r="I36" s="350">
        <f>VLOOKUP(Tabla3[[#This Row],[PATENTE]],'OCTUBRE 2024'!$A:$D,4,0)</f>
        <v>36.051445239989391</v>
      </c>
      <c r="J36" s="350">
        <f>VLOOKUP(Tabla3[[#This Row],[PATENTE]],'NOVIEMBRE 2024'!$A:$D,4,0)</f>
        <v>36.570722232032495</v>
      </c>
      <c r="K36" s="350">
        <f>VLOOKUP(Tabla3[[#This Row],[PATENTE]],'DICIEMBRE 2024'!$A:$D,4,0)</f>
        <v>37.01599260786125</v>
      </c>
      <c r="L36" s="350">
        <f>VLOOKUP(Tabla3[[#This Row],[PATENTE]],'ENERO 2025'!$A:$D,4,0)</f>
        <v>36.156429942418427</v>
      </c>
      <c r="M36" s="350">
        <f>VLOOKUP(Tabla3[[#This Row],[PATENTE]],'FEBRERO 2025'!$A:$D,4,0)</f>
        <v>35.927276431045016</v>
      </c>
      <c r="N36" s="350">
        <f>VLOOKUP(Tabla3[[#This Row],[PATENTE]],'MARZO 2025'!$A:$D,4,0)</f>
        <v>35.175302335279397</v>
      </c>
      <c r="O36" s="350">
        <f>VLOOKUP(Tabla3[[#This Row],[PATENTE]],'ABRIL 2025'!$A:$D,4,0)</f>
        <v>34.128002395926927</v>
      </c>
      <c r="P36" s="350">
        <f>VLOOKUP(Tabla3[[#This Row],[PATENTE]],'MAYO 2025'!$A:$D,4,0)</f>
        <v>37.750057750057749</v>
      </c>
      <c r="Q36" s="350">
        <f>VLOOKUP(Tabla3[[#This Row],[PATENTE]],'JUNIO 2025'!$A:$D,4,0)</f>
        <v>34.999555724803251</v>
      </c>
      <c r="R36" s="350">
        <f>VLOOKUP(Tabla3[[#This Row],[PATENTE]],'JULIO 2025'!$A:$D,4,0)</f>
        <v>35.82998033580396</v>
      </c>
      <c r="S36" s="350">
        <f>VLOOKUP(Tabla3[[#This Row],[PATENTE]],'AGOSTO 2025'!$A:$D,4,0)</f>
        <v>35.628844330036578</v>
      </c>
      <c r="T36" s="350">
        <f>VLOOKUP(Tabla3[[#This Row],[PATENTE]],'SEPTIEMBRE 2025'!$A:$D,4,0)</f>
        <v>36.098141092252625</v>
      </c>
      <c r="U36" s="350">
        <f>VLOOKUP(Tabla3[[#This Row],[PATENTE]],'OCTUBRE 2025'!$A:$D,4,0)</f>
        <v>31.779856115107911</v>
      </c>
      <c r="V36" s="460">
        <f t="shared" si="10"/>
        <v>36.863562808088865</v>
      </c>
    </row>
    <row r="37" spans="1:22" x14ac:dyDescent="0.3">
      <c r="A37" s="457"/>
      <c r="B37" s="324" t="s">
        <v>130</v>
      </c>
      <c r="C37" s="328" t="s">
        <v>1099</v>
      </c>
      <c r="D37" s="350"/>
      <c r="E37" s="350"/>
      <c r="F37" s="350">
        <f>VLOOKUP(Tabla3[[#This Row],[PATENTE]],'JULIO 2024'!$A:$D,4,0)</f>
        <v>38.574743872757118</v>
      </c>
      <c r="G37" s="393">
        <f>VLOOKUP(Tabla3[[#This Row],[PATENTE]],'AGOSTO 2024'!$A:$D,4,0)</f>
        <v>36.933188377149641</v>
      </c>
      <c r="H37" s="350">
        <f>VLOOKUP(Tabla3[[#This Row],[PATENTE]],'SEPTIEMBRE 2024'!$A:$D,4,0)</f>
        <v>38.370662275026469</v>
      </c>
      <c r="I37" s="350">
        <f>VLOOKUP(Tabla3[[#This Row],[PATENTE]],'OCTUBRE 2024'!$A:$D,4,0)</f>
        <v>35.996570506354644</v>
      </c>
      <c r="J37" s="350">
        <f>VLOOKUP(Tabla3[[#This Row],[PATENTE]],'NOVIEMBRE 2024'!$A:$D,4,0)</f>
        <v>39.098608464231063</v>
      </c>
      <c r="K37" s="350">
        <f>VLOOKUP(Tabla3[[#This Row],[PATENTE]],'DICIEMBRE 2024'!$A:$D,4,0)</f>
        <v>37.422650878533233</v>
      </c>
      <c r="L37" s="350"/>
      <c r="M37" s="350"/>
      <c r="N37" s="350"/>
      <c r="O37" s="350"/>
      <c r="P37" s="350"/>
      <c r="Q37" s="350"/>
      <c r="R37" s="350"/>
      <c r="S37" s="350"/>
      <c r="T37" s="350"/>
      <c r="U37" s="350"/>
    </row>
    <row r="38" spans="1:22" ht="4.95" customHeight="1" thickBot="1" x14ac:dyDescent="0.35">
      <c r="B38" s="330"/>
      <c r="C38" s="330"/>
      <c r="Q38"/>
    </row>
    <row r="39" spans="1:22" ht="15" thickBot="1" x14ac:dyDescent="0.35">
      <c r="B39" s="331"/>
      <c r="C39" s="332" t="s">
        <v>1119</v>
      </c>
      <c r="D39" s="333">
        <f t="shared" ref="D39:I39" si="11">AVERAGE(D18:D37)</f>
        <v>39.468358457071247</v>
      </c>
      <c r="E39" s="333">
        <f t="shared" si="11"/>
        <v>38.166037081255745</v>
      </c>
      <c r="F39" s="333">
        <f t="shared" si="11"/>
        <v>38.9228604773268</v>
      </c>
      <c r="G39" s="333">
        <f t="shared" si="11"/>
        <v>39.753933141896603</v>
      </c>
      <c r="H39" s="333">
        <f t="shared" si="11"/>
        <v>39.018611814605876</v>
      </c>
      <c r="I39" s="333">
        <f t="shared" si="11"/>
        <v>38.471391150555156</v>
      </c>
      <c r="J39" s="333">
        <f t="shared" ref="J39:P39" si="12">AVERAGE(J18:J37)</f>
        <v>39.246351086919873</v>
      </c>
      <c r="K39" s="333">
        <f t="shared" si="12"/>
        <v>38.744787021664727</v>
      </c>
      <c r="L39" s="333">
        <f t="shared" si="12"/>
        <v>38.228255236331677</v>
      </c>
      <c r="M39" s="333">
        <f t="shared" si="12"/>
        <v>37.836306610906647</v>
      </c>
      <c r="N39" s="333">
        <f t="shared" si="12"/>
        <v>37.610776635364743</v>
      </c>
      <c r="O39" s="333">
        <f t="shared" si="12"/>
        <v>37.228766939310589</v>
      </c>
      <c r="P39" s="333">
        <f t="shared" si="12"/>
        <v>36.941419894530384</v>
      </c>
      <c r="Q39" s="333">
        <f t="shared" ref="Q39" si="13">AVERAGE(Q18:Q37)</f>
        <v>37.495080666571845</v>
      </c>
      <c r="R39" s="333">
        <f t="shared" ref="R39:S39" si="14">AVERAGE(R18:R37)</f>
        <v>37.907207135509914</v>
      </c>
      <c r="S39" s="333">
        <f t="shared" si="14"/>
        <v>37.41822713462777</v>
      </c>
      <c r="T39" s="333">
        <f t="shared" ref="T39:U39" si="15">AVERAGE(T18:T37)</f>
        <v>37.772391757099918</v>
      </c>
      <c r="U39" s="333">
        <f t="shared" si="15"/>
        <v>37.611857276731143</v>
      </c>
    </row>
    <row r="40" spans="1:22" ht="15" thickBot="1" x14ac:dyDescent="0.35">
      <c r="Q40"/>
    </row>
    <row r="41" spans="1:22" x14ac:dyDescent="0.3">
      <c r="A41" s="457" t="s">
        <v>1200</v>
      </c>
      <c r="B41" s="323" t="s">
        <v>1139</v>
      </c>
      <c r="C41" s="327" t="s">
        <v>1146</v>
      </c>
      <c r="D41" s="367">
        <f>VLOOKUP(Tabla3[[#This Row],[PATENTE]],'MAYO 2024'!$A:$D,4,0)</f>
        <v>35.665684980197014</v>
      </c>
      <c r="E41" s="367">
        <f>VLOOKUP(Tabla3[[#This Row],[PATENTE]],'JUNIO 2024'!$A:$D,4,0)</f>
        <v>35.100308252059229</v>
      </c>
      <c r="F41" s="367">
        <f>VLOOKUP(Tabla3[[#This Row],[PATENTE]],'JULIO 2024'!$A:$D,4,0)</f>
        <v>35.76381592771591</v>
      </c>
      <c r="G41" s="392">
        <f>VLOOKUP(Tabla3[[#This Row],[PATENTE]],'AGOSTO 2024'!$A:$D,4,0)</f>
        <v>37.279696600297981</v>
      </c>
      <c r="H41" s="367">
        <f>VLOOKUP(Tabla3[[#This Row],[PATENTE]],'SEPTIEMBRE 2024'!$A:$D,4,0)</f>
        <v>37.382573136206354</v>
      </c>
      <c r="I41" s="367">
        <f>VLOOKUP(Tabla3[[#This Row],[PATENTE]],'OCTUBRE 2024'!$A:$D,4,0)</f>
        <v>36.163846254755342</v>
      </c>
      <c r="J41" s="367">
        <f>VLOOKUP(Tabla3[[#This Row],[PATENTE]],'NOVIEMBRE 2024'!$A:$D,4,0)</f>
        <v>37.829504232164453</v>
      </c>
      <c r="K41" s="367">
        <f>VLOOKUP(Tabla3[[#This Row],[PATENTE]],'DICIEMBRE 2024'!$A:$D,4,0)</f>
        <v>38.100086984886374</v>
      </c>
      <c r="L41" s="350">
        <f>VLOOKUP(Tabla3[[#This Row],[PATENTE]],'ENERO 2025'!$A:$D,4,0)</f>
        <v>35.602515355367068</v>
      </c>
      <c r="M41" s="350">
        <f>VLOOKUP(Tabla3[[#This Row],[PATENTE]],'FEBRERO 2025'!$A:$D,4,0)</f>
        <v>37.943217665615144</v>
      </c>
      <c r="N41" s="350">
        <f>VLOOKUP(Tabla3[[#This Row],[PATENTE]],'MARZO 2025'!$A:$D,4,0)</f>
        <v>35.278794868098601</v>
      </c>
      <c r="O41" s="350">
        <f>VLOOKUP(Tabla3[[#This Row],[PATENTE]],'ABRIL 2025'!$A:$D,4,0)</f>
        <v>35.418587360594792</v>
      </c>
      <c r="P41" s="350">
        <f>VLOOKUP(Tabla3[[#This Row],[PATENTE]],'MAYO 2025'!$A:$D,4,0)</f>
        <v>36.068579365423844</v>
      </c>
      <c r="Q41" s="350">
        <f>VLOOKUP(Tabla3[[#This Row],[PATENTE]],'JUNIO 2025'!$A:$D,4,0)</f>
        <v>37.000460087416606</v>
      </c>
      <c r="R41" s="350">
        <f>VLOOKUP(Tabla3[[#This Row],[PATENTE]],'JULIO 2025'!$A:$D,4,0)</f>
        <v>36.783057621849672</v>
      </c>
      <c r="S41" s="350">
        <f>VLOOKUP(Tabla3[[#This Row],[PATENTE]],'AGOSTO 2025'!$A:$D,4,0)</f>
        <v>36.004322897706587</v>
      </c>
      <c r="T41" s="350">
        <f>VLOOKUP(Tabla3[[#This Row],[PATENTE]],'SEPTIEMBRE 2025'!$A:$D,4,0)</f>
        <v>35.592213626154226</v>
      </c>
      <c r="U41" s="350">
        <f>VLOOKUP(Tabla3[[#This Row],[PATENTE]],'OCTUBRE 2025'!$A:$D,4,0)</f>
        <v>34.958183256559082</v>
      </c>
    </row>
    <row r="42" spans="1:22" x14ac:dyDescent="0.3">
      <c r="A42" s="457"/>
      <c r="B42" s="324" t="s">
        <v>1137</v>
      </c>
      <c r="C42" s="328" t="s">
        <v>1146</v>
      </c>
      <c r="D42" s="350">
        <f>VLOOKUP(Tabla3[[#This Row],[PATENTE]],'MAYO 2024'!$A:$D,4,0)</f>
        <v>38.893989688537332</v>
      </c>
      <c r="E42" s="350">
        <f>VLOOKUP(Tabla3[[#This Row],[PATENTE]],'JUNIO 2024'!$A:$D,4,0)</f>
        <v>37.016976924127256</v>
      </c>
      <c r="F42" s="350">
        <f>VLOOKUP(Tabla3[[#This Row],[PATENTE]],'JULIO 2024'!$A:$D,4,0)</f>
        <v>39.995860356009381</v>
      </c>
      <c r="G42" s="393">
        <f>VLOOKUP(Tabla3[[#This Row],[PATENTE]],'AGOSTO 2024'!$A:$D,4,0)</f>
        <v>38.19802029200693</v>
      </c>
      <c r="H42" s="350">
        <f>VLOOKUP(Tabla3[[#This Row],[PATENTE]],'SEPTIEMBRE 2024'!$A:$D,4,0)</f>
        <v>39.235085695451552</v>
      </c>
      <c r="I42" s="350">
        <f>VLOOKUP(Tabla3[[#This Row],[PATENTE]],'OCTUBRE 2024'!$A:$D,4,0)</f>
        <v>38.934237116874371</v>
      </c>
      <c r="J42" s="350">
        <f>VLOOKUP(Tabla3[[#This Row],[PATENTE]],'NOVIEMBRE 2024'!$A:$D,4,0)</f>
        <v>39.359118640052124</v>
      </c>
      <c r="K42" s="350">
        <f>VLOOKUP(Tabla3[[#This Row],[PATENTE]],'DICIEMBRE 2024'!$A:$D,4,0)</f>
        <v>40.230677913152142</v>
      </c>
      <c r="L42" s="350">
        <f>VLOOKUP(Tabla3[[#This Row],[PATENTE]],'ENERO 2025'!$A:$D,4,0)</f>
        <v>36.170780012187691</v>
      </c>
      <c r="M42" s="350">
        <f>VLOOKUP(Tabla3[[#This Row],[PATENTE]],'FEBRERO 2025'!$A:$D,4,0)</f>
        <v>39.453078673377924</v>
      </c>
      <c r="N42" s="350">
        <f>VLOOKUP(Tabla3[[#This Row],[PATENTE]],'MARZO 2025'!$A:$D,4,0)</f>
        <v>39.64802907464356</v>
      </c>
      <c r="O42" s="350">
        <f>VLOOKUP(Tabla3[[#This Row],[PATENTE]],'ABRIL 2025'!$A:$D,4,0)</f>
        <v>38.517710329480124</v>
      </c>
      <c r="P42" s="350">
        <f>VLOOKUP(Tabla3[[#This Row],[PATENTE]],'MAYO 2025'!$A:$D,4,0)</f>
        <v>38.778831820029815</v>
      </c>
      <c r="Q42" s="350">
        <f>VLOOKUP(Tabla3[[#This Row],[PATENTE]],'JUNIO 2025'!$A:$D,4,0)</f>
        <v>37.477000630119726</v>
      </c>
      <c r="R42" s="350">
        <f>VLOOKUP(Tabla3[[#This Row],[PATENTE]],'JULIO 2025'!$A:$D,4,0)</f>
        <v>37.744912001158838</v>
      </c>
      <c r="S42" s="350">
        <f>VLOOKUP(Tabla3[[#This Row],[PATENTE]],'AGOSTO 2025'!$A:$D,4,0)</f>
        <v>37.326648737137511</v>
      </c>
      <c r="T42" s="350">
        <f>VLOOKUP(Tabla3[[#This Row],[PATENTE]],'SEPTIEMBRE 2025'!$A:$D,4,0)</f>
        <v>38.326336387085306</v>
      </c>
      <c r="U42" s="350">
        <f>VLOOKUP(Tabla3[[#This Row],[PATENTE]],'OCTUBRE 2025'!$A:$D,4,0)</f>
        <v>36.745398190903913</v>
      </c>
      <c r="V42" s="460">
        <f t="shared" ref="V42:V53" si="16">AVERAGE(D42:U42)</f>
        <v>38.447371804574196</v>
      </c>
    </row>
    <row r="43" spans="1:22" x14ac:dyDescent="0.3">
      <c r="A43" s="457"/>
      <c r="B43" s="395" t="s">
        <v>216</v>
      </c>
      <c r="C43" s="396" t="s">
        <v>1100</v>
      </c>
      <c r="D43" s="397">
        <f>VLOOKUP(Tabla3[[#This Row],[PATENTE]],'MAYO 2024'!$A:$D,4,0)</f>
        <v>37.402085636022875</v>
      </c>
      <c r="E43" s="397">
        <f>VLOOKUP(Tabla3[[#This Row],[PATENTE]],'JUNIO 2024'!$A:$D,4,0)</f>
        <v>37.337065173930426</v>
      </c>
      <c r="F43" s="397">
        <f>VLOOKUP(Tabla3[[#This Row],[PATENTE]],'JULIO 2024'!$A:$D,4,0)</f>
        <v>39.834205933682377</v>
      </c>
      <c r="G43" s="397">
        <f>VLOOKUP(Tabla3[[#This Row],[PATENTE]],'AGOSTO 2024'!$A:$D,4,0)</f>
        <v>40.214520394262358</v>
      </c>
      <c r="H43" s="397">
        <f>VLOOKUP(Tabla3[[#This Row],[PATENTE]],'SEPTIEMBRE 2024'!$A:$D,4,0)</f>
        <v>38.458780543503082</v>
      </c>
      <c r="I43" s="397">
        <f>VLOOKUP(Tabla3[[#This Row],[PATENTE]],'OCTUBRE 2024'!$A:$D,4,0)</f>
        <v>39.60812877849807</v>
      </c>
      <c r="J43" s="398">
        <f>VLOOKUP(Tabla3[[#This Row],[PATENTE]],'NOVIEMBRE 2024'!$A:$D,4,0)</f>
        <v>40.440915512856741</v>
      </c>
      <c r="K43" s="398">
        <f>VLOOKUP(Tabla3[[#This Row],[PATENTE]],'DICIEMBRE 2024'!$A:$D,4,0)</f>
        <v>39.900523222014087</v>
      </c>
      <c r="L43" s="350">
        <f>VLOOKUP(Tabla3[[#This Row],[PATENTE]],'ENERO 2025'!$A:$D,4,0)</f>
        <v>38.298869035668872</v>
      </c>
      <c r="M43" s="350">
        <f>VLOOKUP(Tabla3[[#This Row],[PATENTE]],'FEBRERO 2025'!$A:$D,4,0)</f>
        <v>38.665566426971594</v>
      </c>
      <c r="N43" s="350">
        <f>VLOOKUP(Tabla3[[#This Row],[PATENTE]],'MARZO 2025'!$A:$D,4,0)</f>
        <v>37.749428440786467</v>
      </c>
      <c r="O43" s="350">
        <f>VLOOKUP(Tabla3[[#This Row],[PATENTE]],'ABRIL 2025'!$A:$D,4,0)</f>
        <v>35.685840424851243</v>
      </c>
      <c r="P43" s="350">
        <f>VLOOKUP(Tabla3[[#This Row],[PATENTE]],'MAYO 2025'!$A:$D,4,0)</f>
        <v>40.09122309804269</v>
      </c>
      <c r="Q43" s="350">
        <f>VLOOKUP(Tabla3[[#This Row],[PATENTE]],'JUNIO 2025'!$A:$D,4,0)</f>
        <v>36.872794172861752</v>
      </c>
      <c r="R43" s="350">
        <f>VLOOKUP(Tabla3[[#This Row],[PATENTE]],'JULIO 2025'!$A:$D,4,0)</f>
        <v>37.576004865933399</v>
      </c>
      <c r="S43" s="350">
        <f>VLOOKUP(Tabla3[[#This Row],[PATENTE]],'AGOSTO 2025'!$A:$D,4,0)</f>
        <v>37.780552500485214</v>
      </c>
      <c r="T43" s="350">
        <f>VLOOKUP(Tabla3[[#This Row],[PATENTE]],'SEPTIEMBRE 2025'!$A:$D,4,0)</f>
        <v>34.458538533209108</v>
      </c>
      <c r="U43" s="350">
        <f>VLOOKUP(Tabla3[[#This Row],[PATENTE]],'OCTUBRE 2025'!$A:$D,4,0)</f>
        <v>38.110836731177855</v>
      </c>
      <c r="V43" s="460">
        <f t="shared" si="16"/>
        <v>38.249215523597684</v>
      </c>
    </row>
    <row r="44" spans="1:22" x14ac:dyDescent="0.3">
      <c r="A44" s="457"/>
      <c r="B44" s="324" t="s">
        <v>193</v>
      </c>
      <c r="C44" s="328" t="s">
        <v>1100</v>
      </c>
      <c r="D44" s="350">
        <f>VLOOKUP(Tabla3[[#This Row],[PATENTE]],'MAYO 2024'!$A:$D,4,0)</f>
        <v>37.959642832032628</v>
      </c>
      <c r="E44" s="350">
        <f>VLOOKUP(Tabla3[[#This Row],[PATENTE]],'JUNIO 2024'!$A:$D,4,0)</f>
        <v>37.219704891367492</v>
      </c>
      <c r="F44" s="350">
        <f>VLOOKUP(Tabla3[[#This Row],[PATENTE]],'JULIO 2024'!$A:$D,4,0)</f>
        <v>39.030842689379277</v>
      </c>
      <c r="G44" s="350">
        <f>VLOOKUP(Tabla3[[#This Row],[PATENTE]],'AGOSTO 2024'!$A:$D,4,0)</f>
        <v>39.43653028546187</v>
      </c>
      <c r="H44" s="350">
        <f>VLOOKUP(Tabla3[[#This Row],[PATENTE]],'SEPTIEMBRE 2024'!$A:$D,4,0)</f>
        <v>37.740219629375424</v>
      </c>
      <c r="I44" s="350">
        <f>VLOOKUP(Tabla3[[#This Row],[PATENTE]],'OCTUBRE 2024'!$A:$D,4,0)</f>
        <v>36.999655599944894</v>
      </c>
      <c r="J44" s="393">
        <f>VLOOKUP(Tabla3[[#This Row],[PATENTE]],'NOVIEMBRE 2024'!$A:$D,4,0)</f>
        <v>39.414713253722546</v>
      </c>
      <c r="K44" s="393">
        <f>VLOOKUP(Tabla3[[#This Row],[PATENTE]],'DICIEMBRE 2024'!$A:$D,4,0)</f>
        <v>37.970276148421533</v>
      </c>
      <c r="L44" s="350">
        <f>VLOOKUP(Tabla3[[#This Row],[PATENTE]],'ENERO 2025'!$A:$D,4,0)</f>
        <v>36.594140825766665</v>
      </c>
      <c r="M44" s="350">
        <f>VLOOKUP(Tabla3[[#This Row],[PATENTE]],'FEBRERO 2025'!$A:$D,4,0)</f>
        <v>35.725982532751097</v>
      </c>
      <c r="N44" s="350">
        <f>VLOOKUP(Tabla3[[#This Row],[PATENTE]],'MARZO 2025'!$A:$D,4,0)</f>
        <v>35.026195899772212</v>
      </c>
      <c r="O44" s="350">
        <f>VLOOKUP(Tabla3[[#This Row],[PATENTE]],'ABRIL 2025'!$A:$D,4,0)</f>
        <v>37.351704545454545</v>
      </c>
      <c r="P44" s="350">
        <f>VLOOKUP(Tabla3[[#This Row],[PATENTE]],'MAYO 2025'!$A:$D,4,0)</f>
        <v>35.688777339548224</v>
      </c>
      <c r="Q44" s="350">
        <f>VLOOKUP(Tabla3[[#This Row],[PATENTE]],'JUNIO 2025'!$A:$D,4,0)</f>
        <v>36.386409304024845</v>
      </c>
      <c r="R44" s="350">
        <f>VLOOKUP(Tabla3[[#This Row],[PATENTE]],'JULIO 2025'!$A:$D,4,0)</f>
        <v>36.923346450326129</v>
      </c>
      <c r="S44" s="350">
        <f>VLOOKUP(Tabla3[[#This Row],[PATENTE]],'AGOSTO 2025'!$A:$D,4,0)</f>
        <v>34.920159983799103</v>
      </c>
      <c r="T44" s="350">
        <f>VLOOKUP(Tabla3[[#This Row],[PATENTE]],'SEPTIEMBRE 2025'!$A:$D,4,0)</f>
        <v>36.520214366303122</v>
      </c>
      <c r="U44" s="350">
        <f>VLOOKUP(Tabla3[[#This Row],[PATENTE]],'OCTUBRE 2025'!$A:$D,4,0)</f>
        <v>35.449814126394045</v>
      </c>
      <c r="V44" s="460">
        <f t="shared" si="16"/>
        <v>37.019907261324754</v>
      </c>
    </row>
    <row r="45" spans="1:22" x14ac:dyDescent="0.3">
      <c r="A45" s="457"/>
      <c r="B45" s="324" t="s">
        <v>220</v>
      </c>
      <c r="C45" s="328" t="s">
        <v>1100</v>
      </c>
      <c r="D45" s="350">
        <f>VLOOKUP(Tabla3[[#This Row],[PATENTE]],'MAYO 2024'!$A:$D,4,0)</f>
        <v>36.042797828169917</v>
      </c>
      <c r="E45" s="350">
        <f>VLOOKUP(Tabla3[[#This Row],[PATENTE]],'JUNIO 2024'!$A:$D,4,0)</f>
        <v>37.708527394360239</v>
      </c>
      <c r="F45" s="350">
        <f>VLOOKUP(Tabla3[[#This Row],[PATENTE]],'JULIO 2024'!$A:$D,4,0)</f>
        <v>36.919185978120225</v>
      </c>
      <c r="G45" s="350">
        <f>VLOOKUP(Tabla3[[#This Row],[PATENTE]],'AGOSTO 2024'!$A:$D,4,0)</f>
        <v>39.432082562787087</v>
      </c>
      <c r="H45" s="350">
        <f>VLOOKUP(Tabla3[[#This Row],[PATENTE]],'SEPTIEMBRE 2024'!$A:$D,4,0)</f>
        <v>39.229777486910997</v>
      </c>
      <c r="I45" s="350">
        <f>VLOOKUP(Tabla3[[#This Row],[PATENTE]],'OCTUBRE 2024'!$A:$D,4,0)</f>
        <v>36.948687702742546</v>
      </c>
      <c r="J45" s="393">
        <f>VLOOKUP(Tabla3[[#This Row],[PATENTE]],'NOVIEMBRE 2024'!$A:$D,4,0)</f>
        <v>36.533716649013968</v>
      </c>
      <c r="K45" s="393">
        <f>VLOOKUP(Tabla3[[#This Row],[PATENTE]],'DICIEMBRE 2024'!$A:$D,4,0)</f>
        <v>36.706102042045657</v>
      </c>
      <c r="L45" s="350">
        <f>VLOOKUP(Tabla3[[#This Row],[PATENTE]],'ENERO 2025'!$A:$D,4,0)</f>
        <v>35.959105002933043</v>
      </c>
      <c r="M45" s="350">
        <f>VLOOKUP(Tabla3[[#This Row],[PATENTE]],'FEBRERO 2025'!$A:$D,4,0)</f>
        <v>37.298395888490887</v>
      </c>
      <c r="N45" s="350">
        <f>VLOOKUP(Tabla3[[#This Row],[PATENTE]],'MARZO 2025'!$A:$D,4,0)</f>
        <v>35.601506881822495</v>
      </c>
      <c r="O45" s="350">
        <f>VLOOKUP(Tabla3[[#This Row],[PATENTE]],'ABRIL 2025'!$A:$D,4,0)</f>
        <v>35.002846810802488</v>
      </c>
      <c r="P45" s="350">
        <f>VLOOKUP(Tabla3[[#This Row],[PATENTE]],'MAYO 2025'!$A:$D,4,0)</f>
        <v>36.675522827687779</v>
      </c>
      <c r="Q45" s="350">
        <f>VLOOKUP(Tabla3[[#This Row],[PATENTE]],'JUNIO 2025'!$A:$D,4,0)</f>
        <v>35.229657670859289</v>
      </c>
      <c r="R45" s="350">
        <f>VLOOKUP(Tabla3[[#This Row],[PATENTE]],'JULIO 2025'!$A:$D,4,0)</f>
        <v>37.674965815861441</v>
      </c>
      <c r="S45" s="350">
        <f>VLOOKUP(Tabla3[[#This Row],[PATENTE]],'AGOSTO 2025'!$A:$D,4,0)</f>
        <v>36.567715784453988</v>
      </c>
      <c r="T45" s="350">
        <f>VLOOKUP(Tabla3[[#This Row],[PATENTE]],'SEPTIEMBRE 2025'!$A:$D,4,0)</f>
        <v>35.977161152614727</v>
      </c>
      <c r="U45" s="350">
        <f>VLOOKUP(Tabla3[[#This Row],[PATENTE]],'OCTUBRE 2025'!$A:$D,4,0)</f>
        <v>37.839064543426417</v>
      </c>
      <c r="V45" s="460">
        <f t="shared" si="16"/>
        <v>36.852601112394623</v>
      </c>
    </row>
    <row r="46" spans="1:22" x14ac:dyDescent="0.3">
      <c r="A46" s="457"/>
      <c r="B46" s="324" t="s">
        <v>209</v>
      </c>
      <c r="C46" s="328" t="s">
        <v>1100</v>
      </c>
      <c r="D46" s="350">
        <f>VLOOKUP(Tabla3[[#This Row],[PATENTE]],'MAYO 2024'!$A:$D,4,0)</f>
        <v>35.865867487445321</v>
      </c>
      <c r="E46" s="350">
        <f>VLOOKUP(Tabla3[[#This Row],[PATENTE]],'JUNIO 2024'!$A:$D,4,0)</f>
        <v>37.636311732800458</v>
      </c>
      <c r="F46" s="350">
        <f>VLOOKUP(Tabla3[[#This Row],[PATENTE]],'JULIO 2024'!$A:$D,4,0)</f>
        <v>37.138508371385079</v>
      </c>
      <c r="G46" s="350">
        <f>VLOOKUP(Tabla3[[#This Row],[PATENTE]],'AGOSTO 2024'!$A:$D,4,0)</f>
        <v>40.294620591378703</v>
      </c>
      <c r="H46" s="350">
        <f>VLOOKUP(Tabla3[[#This Row],[PATENTE]],'SEPTIEMBRE 2024'!$A:$D,4,0)</f>
        <v>39.749013511897644</v>
      </c>
      <c r="I46" s="350">
        <f>VLOOKUP(Tabla3[[#This Row],[PATENTE]],'OCTUBRE 2024'!$A:$D,4,0)</f>
        <v>38.927780852241284</v>
      </c>
      <c r="J46" s="393">
        <f>VLOOKUP(Tabla3[[#This Row],[PATENTE]],'NOVIEMBRE 2024'!$A:$D,4,0)</f>
        <v>38.955274837828611</v>
      </c>
      <c r="K46" s="393">
        <f>VLOOKUP(Tabla3[[#This Row],[PATENTE]],'DICIEMBRE 2024'!$A:$D,4,0)</f>
        <v>36.93627945356193</v>
      </c>
      <c r="L46" s="350">
        <f>VLOOKUP(Tabla3[[#This Row],[PATENTE]],'ENERO 2025'!$A:$D,4,0)</f>
        <v>37.037037037037038</v>
      </c>
      <c r="M46" s="350">
        <f>VLOOKUP(Tabla3[[#This Row],[PATENTE]],'FEBRERO 2025'!$A:$D,4,0)</f>
        <v>36.330726451164409</v>
      </c>
      <c r="N46" s="350">
        <f>VLOOKUP(Tabla3[[#This Row],[PATENTE]],'MARZO 2025'!$A:$D,4,0)</f>
        <v>37.539581010504072</v>
      </c>
      <c r="O46" s="350">
        <f>VLOOKUP(Tabla3[[#This Row],[PATENTE]],'ABRIL 2025'!$A:$D,4,0)</f>
        <v>36.527701440035173</v>
      </c>
      <c r="P46" s="350">
        <f>VLOOKUP(Tabla3[[#This Row],[PATENTE]],'MAYO 2025'!$A:$D,4,0)</f>
        <v>37.01683168316832</v>
      </c>
      <c r="Q46" s="350">
        <f>VLOOKUP(Tabla3[[#This Row],[PATENTE]],'JUNIO 2025'!$A:$D,4,0)</f>
        <v>37.627517084282459</v>
      </c>
      <c r="R46" s="350">
        <f>VLOOKUP(Tabla3[[#This Row],[PATENTE]],'JULIO 2025'!$A:$D,4,0)</f>
        <v>36.166872631405504</v>
      </c>
      <c r="S46" s="350">
        <f>VLOOKUP(Tabla3[[#This Row],[PATENTE]],'AGOSTO 2025'!$A:$D,4,0)</f>
        <v>36.005696400625979</v>
      </c>
      <c r="T46" s="350">
        <f>VLOOKUP(Tabla3[[#This Row],[PATENTE]],'SEPTIEMBRE 2025'!$A:$D,4,0)</f>
        <v>36.355989460171614</v>
      </c>
      <c r="U46" s="350">
        <f>VLOOKUP(Tabla3[[#This Row],[PATENTE]],'OCTUBRE 2025'!$A:$D,4,0)</f>
        <v>36.585542322960691</v>
      </c>
      <c r="V46" s="460">
        <f t="shared" si="16"/>
        <v>37.372064019994134</v>
      </c>
    </row>
    <row r="47" spans="1:22" x14ac:dyDescent="0.3">
      <c r="A47" s="457"/>
      <c r="B47" s="324" t="s">
        <v>214</v>
      </c>
      <c r="C47" s="328" t="s">
        <v>1100</v>
      </c>
      <c r="D47" s="350">
        <f>VLOOKUP(Tabla3[[#This Row],[PATENTE]],'MAYO 2024'!$A:$D,4,0)</f>
        <v>35.570143447605155</v>
      </c>
      <c r="E47" s="350">
        <f>VLOOKUP(Tabla3[[#This Row],[PATENTE]],'JUNIO 2024'!$A:$D,4,0)</f>
        <v>35.186083161595342</v>
      </c>
      <c r="F47" s="350">
        <f>VLOOKUP(Tabla3[[#This Row],[PATENTE]],'JULIO 2024'!$A:$D,4,0)</f>
        <v>36.187556608374557</v>
      </c>
      <c r="G47" s="350">
        <f>VLOOKUP(Tabla3[[#This Row],[PATENTE]],'AGOSTO 2024'!$A:$D,4,0)</f>
        <v>36.373469952921624</v>
      </c>
      <c r="H47" s="350">
        <f>VLOOKUP(Tabla3[[#This Row],[PATENTE]],'SEPTIEMBRE 2024'!$A:$D,4,0)</f>
        <v>36.054999229702666</v>
      </c>
      <c r="I47" s="350">
        <f>VLOOKUP(Tabla3[[#This Row],[PATENTE]],'OCTUBRE 2024'!$A:$D,4,0)</f>
        <v>35.624256837098692</v>
      </c>
      <c r="J47" s="393">
        <f>VLOOKUP(Tabla3[[#This Row],[PATENTE]],'NOVIEMBRE 2024'!$A:$D,4,0)</f>
        <v>35.597936656806866</v>
      </c>
      <c r="K47" s="393">
        <f>VLOOKUP(Tabla3[[#This Row],[PATENTE]],'DICIEMBRE 2024'!$A:$D,4,0)</f>
        <v>35.773915386688223</v>
      </c>
      <c r="L47" s="350">
        <f>VLOOKUP(Tabla3[[#This Row],[PATENTE]],'ENERO 2025'!$A:$D,4,0)</f>
        <v>35.740183125422483</v>
      </c>
      <c r="M47" s="350">
        <f>VLOOKUP(Tabla3[[#This Row],[PATENTE]],'FEBRERO 2025'!$A:$D,4,0)</f>
        <v>36.275524002704529</v>
      </c>
      <c r="N47" s="350">
        <f>VLOOKUP(Tabla3[[#This Row],[PATENTE]],'MARZO 2025'!$A:$D,4,0)</f>
        <v>37.211729622266397</v>
      </c>
      <c r="O47" s="350">
        <f>VLOOKUP(Tabla3[[#This Row],[PATENTE]],'ABRIL 2025'!$A:$D,4,0)</f>
        <v>35.049596915527516</v>
      </c>
      <c r="P47" s="350">
        <f>VLOOKUP(Tabla3[[#This Row],[PATENTE]],'MAYO 2025'!$A:$D,4,0)</f>
        <v>35.821880426693127</v>
      </c>
      <c r="Q47" s="350">
        <f>VLOOKUP(Tabla3[[#This Row],[PATENTE]],'JUNIO 2025'!$A:$D,4,0)</f>
        <v>36.31248969723611</v>
      </c>
      <c r="R47" s="350">
        <f>VLOOKUP(Tabla3[[#This Row],[PATENTE]],'JULIO 2025'!$A:$D,4,0)</f>
        <v>37.833224967490246</v>
      </c>
      <c r="S47" s="350">
        <f>VLOOKUP(Tabla3[[#This Row],[PATENTE]],'AGOSTO 2025'!$A:$D,4,0)</f>
        <v>36.191164212281194</v>
      </c>
      <c r="T47" s="350">
        <f>VLOOKUP(Tabla3[[#This Row],[PATENTE]],'SEPTIEMBRE 2025'!$A:$D,4,0)</f>
        <v>35.48280802292264</v>
      </c>
      <c r="U47" s="350">
        <f>VLOOKUP(Tabla3[[#This Row],[PATENTE]],'OCTUBRE 2025'!$A:$D,4,0)</f>
        <v>35.617545001084366</v>
      </c>
      <c r="V47" s="460">
        <f t="shared" si="16"/>
        <v>35.994694848578987</v>
      </c>
    </row>
    <row r="48" spans="1:22" x14ac:dyDescent="0.3">
      <c r="A48" s="457"/>
      <c r="B48" s="324" t="s">
        <v>191</v>
      </c>
      <c r="C48" s="328" t="s">
        <v>1100</v>
      </c>
      <c r="D48" s="350">
        <f>VLOOKUP(Tabla3[[#This Row],[PATENTE]],'MAYO 2024'!$A:$D,4,0)</f>
        <v>42.996723264819778</v>
      </c>
      <c r="E48" s="350">
        <f>VLOOKUP(Tabla3[[#This Row],[PATENTE]],'JUNIO 2024'!$A:$D,4,0)</f>
        <v>41.088290840415489</v>
      </c>
      <c r="F48" s="350">
        <f>VLOOKUP(Tabla3[[#This Row],[PATENTE]],'JULIO 2024'!$A:$D,4,0)</f>
        <v>38.710787011557514</v>
      </c>
      <c r="G48" s="350">
        <f>VLOOKUP(Tabla3[[#This Row],[PATENTE]],'AGOSTO 2024'!$A:$D,4,0)</f>
        <v>37.307135224979227</v>
      </c>
      <c r="H48" s="350">
        <f>VLOOKUP(Tabla3[[#This Row],[PATENTE]],'SEPTIEMBRE 2024'!$A:$D,4,0)</f>
        <v>38.480948776179666</v>
      </c>
      <c r="I48" s="350">
        <f>VLOOKUP(Tabla3[[#This Row],[PATENTE]],'OCTUBRE 2024'!$A:$D,4,0)</f>
        <v>38.303352299993151</v>
      </c>
      <c r="J48" s="393">
        <f>VLOOKUP(Tabla3[[#This Row],[PATENTE]],'NOVIEMBRE 2024'!$A:$D,4,0)</f>
        <v>37.528298601033264</v>
      </c>
      <c r="K48" s="393">
        <f>VLOOKUP(Tabla3[[#This Row],[PATENTE]],'DICIEMBRE 2024'!$A:$D,4,0)</f>
        <v>36.076615746180963</v>
      </c>
      <c r="L48" s="350">
        <f>VLOOKUP(Tabla3[[#This Row],[PATENTE]],'ENERO 2025'!$A:$D,4,0)</f>
        <v>36.60594306296322</v>
      </c>
      <c r="M48" s="350">
        <f>VLOOKUP(Tabla3[[#This Row],[PATENTE]],'FEBRERO 2025'!$A:$D,4,0)</f>
        <v>37.235280615172726</v>
      </c>
      <c r="N48" s="350">
        <f>VLOOKUP(Tabla3[[#This Row],[PATENTE]],'MARZO 2025'!$A:$D,4,0)</f>
        <v>38.785957515809955</v>
      </c>
      <c r="O48" s="350">
        <f>VLOOKUP(Tabla3[[#This Row],[PATENTE]],'ABRIL 2025'!$A:$D,4,0)</f>
        <v>38.281304249377307</v>
      </c>
      <c r="P48" s="350">
        <f>VLOOKUP(Tabla3[[#This Row],[PATENTE]],'MAYO 2025'!$A:$D,4,0)</f>
        <v>35.176754224834681</v>
      </c>
      <c r="Q48" s="350">
        <f>VLOOKUP(Tabla3[[#This Row],[PATENTE]],'JUNIO 2025'!$A:$D,4,0)</f>
        <v>35.907288135593227</v>
      </c>
      <c r="R48" s="350">
        <f>VLOOKUP(Tabla3[[#This Row],[PATENTE]],'JULIO 2025'!$A:$D,4,0)</f>
        <v>36.56973492897886</v>
      </c>
      <c r="S48" s="350">
        <f>VLOOKUP(Tabla3[[#This Row],[PATENTE]],'AGOSTO 2025'!$A:$D,4,0)</f>
        <v>34.772891060763115</v>
      </c>
      <c r="T48" s="350">
        <f>VLOOKUP(Tabla3[[#This Row],[PATENTE]],'SEPTIEMBRE 2025'!$A:$D,4,0)</f>
        <v>35.341939925983304</v>
      </c>
      <c r="U48" s="350">
        <f>VLOOKUP(Tabla3[[#This Row],[PATENTE]],'OCTUBRE 2025'!$A:$D,4,0)</f>
        <v>35.385141242937848</v>
      </c>
      <c r="V48" s="460">
        <f t="shared" si="16"/>
        <v>37.475243707087401</v>
      </c>
    </row>
    <row r="49" spans="1:22" x14ac:dyDescent="0.3">
      <c r="A49" s="457"/>
      <c r="B49" s="324" t="s">
        <v>212</v>
      </c>
      <c r="C49" s="328" t="s">
        <v>1100</v>
      </c>
      <c r="D49" s="350">
        <f>VLOOKUP(Tabla3[[#This Row],[PATENTE]],'MAYO 2024'!$A:$D,4,0)</f>
        <v>40.147430960501708</v>
      </c>
      <c r="E49" s="350">
        <f>VLOOKUP(Tabla3[[#This Row],[PATENTE]],'JUNIO 2024'!$A:$D,4,0)</f>
        <v>39.883977900552487</v>
      </c>
      <c r="F49" s="350">
        <f>VLOOKUP(Tabla3[[#This Row],[PATENTE]],'JULIO 2024'!$A:$D,4,0)</f>
        <v>37.383072872906517</v>
      </c>
      <c r="G49" s="350">
        <f>VLOOKUP(Tabla3[[#This Row],[PATENTE]],'AGOSTO 2024'!$A:$D,4,0)</f>
        <v>39.947514214900131</v>
      </c>
      <c r="H49" s="350">
        <f>VLOOKUP(Tabla3[[#This Row],[PATENTE]],'SEPTIEMBRE 2024'!$A:$D,4,0)</f>
        <v>37.924061506743406</v>
      </c>
      <c r="I49" s="350">
        <f>VLOOKUP(Tabla3[[#This Row],[PATENTE]],'OCTUBRE 2024'!$A:$D,4,0)</f>
        <v>38.28994754005388</v>
      </c>
      <c r="J49" s="393">
        <f>VLOOKUP(Tabla3[[#This Row],[PATENTE]],'NOVIEMBRE 2024'!$A:$D,4,0)</f>
        <v>38.739632167327805</v>
      </c>
      <c r="K49" s="393">
        <f>VLOOKUP(Tabla3[[#This Row],[PATENTE]],'DICIEMBRE 2024'!$A:$D,4,0)</f>
        <v>38.54937623877813</v>
      </c>
      <c r="L49" s="350">
        <f>VLOOKUP(Tabla3[[#This Row],[PATENTE]],'ENERO 2025'!$A:$D,4,0)</f>
        <v>36.973387836823221</v>
      </c>
      <c r="M49" s="350">
        <f>VLOOKUP(Tabla3[[#This Row],[PATENTE]],'FEBRERO 2025'!$A:$D,4,0)</f>
        <v>37.54350943612689</v>
      </c>
      <c r="N49" s="350">
        <f>VLOOKUP(Tabla3[[#This Row],[PATENTE]],'MARZO 2025'!$A:$D,4,0)</f>
        <v>39.226601431548424</v>
      </c>
      <c r="O49" s="350">
        <f>VLOOKUP(Tabla3[[#This Row],[PATENTE]],'ABRIL 2025'!$A:$D,4,0)</f>
        <v>38.661877886095432</v>
      </c>
      <c r="P49" s="350">
        <f>VLOOKUP(Tabla3[[#This Row],[PATENTE]],'MAYO 2025'!$A:$D,4,0)</f>
        <v>35.892938843983529</v>
      </c>
      <c r="Q49" s="350">
        <f>VLOOKUP(Tabla3[[#This Row],[PATENTE]],'JUNIO 2025'!$A:$D,4,0)</f>
        <v>35.46746846582576</v>
      </c>
      <c r="R49" s="350">
        <f>VLOOKUP(Tabla3[[#This Row],[PATENTE]],'JULIO 2025'!$A:$D,4,0)</f>
        <v>37.38545454545455</v>
      </c>
      <c r="S49" s="350">
        <f>VLOOKUP(Tabla3[[#This Row],[PATENTE]],'AGOSTO 2025'!$A:$D,4,0)</f>
        <v>37.777917716204875</v>
      </c>
      <c r="T49" s="350">
        <f>VLOOKUP(Tabla3[[#This Row],[PATENTE]],'SEPTIEMBRE 2025'!$A:$D,4,0)</f>
        <v>36.593800452050374</v>
      </c>
      <c r="U49" s="350">
        <f>VLOOKUP(Tabla3[[#This Row],[PATENTE]],'OCTUBRE 2025'!$A:$D,4,0)</f>
        <v>36.71819692263238</v>
      </c>
      <c r="V49" s="460">
        <f t="shared" si="16"/>
        <v>37.950342607694978</v>
      </c>
    </row>
    <row r="50" spans="1:22" x14ac:dyDescent="0.3">
      <c r="A50" s="457"/>
      <c r="B50" s="324" t="s">
        <v>218</v>
      </c>
      <c r="C50" s="328" t="s">
        <v>1100</v>
      </c>
      <c r="D50" s="350">
        <f>VLOOKUP(Tabla3[[#This Row],[PATENTE]],'MAYO 2024'!$A:$D,4,0)</f>
        <v>37.583280734974402</v>
      </c>
      <c r="E50" s="350">
        <f>VLOOKUP(Tabla3[[#This Row],[PATENTE]],'JUNIO 2024'!$A:$D,4,0)</f>
        <v>41.914735713696707</v>
      </c>
      <c r="F50" s="350">
        <f>VLOOKUP(Tabla3[[#This Row],[PATENTE]],'JULIO 2024'!$A:$D,4,0)</f>
        <v>40.890134682436589</v>
      </c>
      <c r="G50" s="350">
        <f>VLOOKUP(Tabla3[[#This Row],[PATENTE]],'AGOSTO 2024'!$A:$D,4,0)</f>
        <v>39.276898734177216</v>
      </c>
      <c r="H50" s="350">
        <f>VLOOKUP(Tabla3[[#This Row],[PATENTE]],'SEPTIEMBRE 2024'!$A:$D,4,0)</f>
        <v>36.811971983536715</v>
      </c>
      <c r="I50" s="350">
        <f>VLOOKUP(Tabla3[[#This Row],[PATENTE]],'OCTUBRE 2024'!$A:$D,4,0)</f>
        <v>36.447887735711156</v>
      </c>
      <c r="J50" s="393">
        <f>VLOOKUP(Tabla3[[#This Row],[PATENTE]],'NOVIEMBRE 2024'!$A:$D,4,0)</f>
        <v>36.530364661385853</v>
      </c>
      <c r="K50" s="393">
        <f>VLOOKUP(Tabla3[[#This Row],[PATENTE]],'DICIEMBRE 2024'!$A:$D,4,0)</f>
        <v>37.157019003415357</v>
      </c>
      <c r="L50" s="350">
        <f>VLOOKUP(Tabla3[[#This Row],[PATENTE]],'ENERO 2025'!$A:$D,4,0)</f>
        <v>36.057497638007831</v>
      </c>
      <c r="M50" s="350">
        <f>VLOOKUP(Tabla3[[#This Row],[PATENTE]],'FEBRERO 2025'!$A:$D,4,0)</f>
        <v>35.42749258293626</v>
      </c>
      <c r="N50" s="350">
        <f>VLOOKUP(Tabla3[[#This Row],[PATENTE]],'MARZO 2025'!$A:$D,4,0)</f>
        <v>34.123483146067414</v>
      </c>
      <c r="O50" s="350">
        <f>VLOOKUP(Tabla3[[#This Row],[PATENTE]],'ABRIL 2025'!$A:$D,4,0)</f>
        <v>34.001828350182841</v>
      </c>
      <c r="P50" s="350">
        <f>VLOOKUP(Tabla3[[#This Row],[PATENTE]],'MAYO 2025'!$A:$D,4,0)</f>
        <v>35.896897374701673</v>
      </c>
      <c r="Q50" s="350">
        <f>VLOOKUP(Tabla3[[#This Row],[PATENTE]],'JUNIO 2025'!$A:$D,4,0)</f>
        <v>35.756890791396948</v>
      </c>
      <c r="R50" s="350">
        <f>VLOOKUP(Tabla3[[#This Row],[PATENTE]],'JULIO 2025'!$A:$D,4,0)</f>
        <v>36.997961701442904</v>
      </c>
      <c r="S50" s="350">
        <f>VLOOKUP(Tabla3[[#This Row],[PATENTE]],'AGOSTO 2025'!$A:$D,4,0)</f>
        <v>36.190373021853809</v>
      </c>
      <c r="T50" s="350">
        <f>VLOOKUP(Tabla3[[#This Row],[PATENTE]],'SEPTIEMBRE 2025'!$A:$D,4,0)</f>
        <v>38.677952391957476</v>
      </c>
      <c r="U50" s="350">
        <f>VLOOKUP(Tabla3[[#This Row],[PATENTE]],'OCTUBRE 2025'!$A:$D,4,0)</f>
        <v>37.707985778750171</v>
      </c>
      <c r="V50" s="460">
        <f t="shared" si="16"/>
        <v>37.080592001479516</v>
      </c>
    </row>
    <row r="51" spans="1:22" x14ac:dyDescent="0.3">
      <c r="A51" s="457"/>
      <c r="B51" s="324" t="s">
        <v>192</v>
      </c>
      <c r="C51" s="328" t="s">
        <v>1100</v>
      </c>
      <c r="D51" s="350">
        <f>VLOOKUP(Tabla3[[#This Row],[PATENTE]],'MAYO 2024'!$A:$D,4,0)</f>
        <v>37.517618771246163</v>
      </c>
      <c r="E51" s="350">
        <f>VLOOKUP(Tabla3[[#This Row],[PATENTE]],'JUNIO 2024'!$A:$D,4,0)</f>
        <v>37.774456834118865</v>
      </c>
      <c r="F51" s="350">
        <f>VLOOKUP(Tabla3[[#This Row],[PATENTE]],'JULIO 2024'!$A:$D,4,0)</f>
        <v>36.939868483492646</v>
      </c>
      <c r="G51" s="350">
        <f>VLOOKUP(Tabla3[[#This Row],[PATENTE]],'AGOSTO 2024'!$A:$D,4,0)</f>
        <v>38.154070092934724</v>
      </c>
      <c r="H51" s="350">
        <f>VLOOKUP(Tabla3[[#This Row],[PATENTE]],'SEPTIEMBRE 2024'!$A:$D,4,0)</f>
        <v>36.520331588132635</v>
      </c>
      <c r="I51" s="350">
        <f>VLOOKUP(Tabla3[[#This Row],[PATENTE]],'OCTUBRE 2024'!$A:$D,4,0)</f>
        <v>37.034991599094162</v>
      </c>
      <c r="J51" s="393">
        <f>VLOOKUP(Tabla3[[#This Row],[PATENTE]],'NOVIEMBRE 2024'!$A:$D,4,0)</f>
        <v>40.361111111111107</v>
      </c>
      <c r="K51" s="393">
        <f>VLOOKUP(Tabla3[[#This Row],[PATENTE]],'DICIEMBRE 2024'!$A:$D,4,0)</f>
        <v>36.798880074661689</v>
      </c>
      <c r="L51" s="350">
        <f>VLOOKUP(Tabla3[[#This Row],[PATENTE]],'ENERO 2025'!$A:$D,4,0)</f>
        <v>36.407483192049106</v>
      </c>
      <c r="M51" s="350">
        <f>VLOOKUP(Tabla3[[#This Row],[PATENTE]],'FEBRERO 2025'!$A:$D,4,0)</f>
        <v>35.837246018671067</v>
      </c>
      <c r="N51" s="350">
        <f>VLOOKUP(Tabla3[[#This Row],[PATENTE]],'MARZO 2025'!$A:$D,4,0)</f>
        <v>37.233445803458451</v>
      </c>
      <c r="O51" s="350">
        <f>VLOOKUP(Tabla3[[#This Row],[PATENTE]],'ABRIL 2025'!$A:$D,4,0)</f>
        <v>36.846717961048327</v>
      </c>
      <c r="P51" s="350">
        <f>VLOOKUP(Tabla3[[#This Row],[PATENTE]],'MAYO 2025'!$A:$D,4,0)</f>
        <v>42.264752287787942</v>
      </c>
      <c r="Q51" s="350">
        <f>VLOOKUP(Tabla3[[#This Row],[PATENTE]],'JUNIO 2025'!$A:$D,4,0)</f>
        <v>35.637282825405862</v>
      </c>
      <c r="R51" s="350">
        <f>VLOOKUP(Tabla3[[#This Row],[PATENTE]],'JULIO 2025'!$A:$D,4,0)</f>
        <v>38.401125054089135</v>
      </c>
      <c r="S51" s="431">
        <f>VLOOKUP(Tabla3[[#This Row],[PATENTE]],'AGOSTO 2025'!$A:$D,4,0)</f>
        <v>38.113428554353668</v>
      </c>
      <c r="T51" s="431">
        <f>VLOOKUP(Tabla3[[#This Row],[PATENTE]],'SEPTIEMBRE 2025'!$A:$D,4,0)</f>
        <v>36.638746485860757</v>
      </c>
      <c r="U51" s="440">
        <f>VLOOKUP(Tabla3[[#This Row],[PATENTE]],'OCTUBRE 2025'!$A:$D,4,0)</f>
        <v>37.368231503127561</v>
      </c>
      <c r="V51" s="460">
        <f t="shared" si="16"/>
        <v>37.547210457813534</v>
      </c>
    </row>
    <row r="52" spans="1:22" x14ac:dyDescent="0.3">
      <c r="A52" s="457"/>
      <c r="B52" s="324" t="s">
        <v>195</v>
      </c>
      <c r="C52" s="328" t="s">
        <v>1100</v>
      </c>
      <c r="D52" s="350">
        <f>VLOOKUP(Tabla3[[#This Row],[PATENTE]],'MAYO 2024'!$A:$D,4,0)</f>
        <v>37.015441788940862</v>
      </c>
      <c r="E52" s="350">
        <f>VLOOKUP(Tabla3[[#This Row],[PATENTE]],'JUNIO 2024'!$A:$D,4,0)</f>
        <v>36.317933053328247</v>
      </c>
      <c r="F52" s="350">
        <f>VLOOKUP(Tabla3[[#This Row],[PATENTE]],'JULIO 2024'!$A:$D,4,0)</f>
        <v>37.77187937771879</v>
      </c>
      <c r="G52" s="350">
        <f>VLOOKUP(Tabla3[[#This Row],[PATENTE]],'AGOSTO 2024'!$A:$D,4,0)</f>
        <v>41.139748730286016</v>
      </c>
      <c r="H52" s="350">
        <f>VLOOKUP(Tabla3[[#This Row],[PATENTE]],'SEPTIEMBRE 2024'!$A:$D,4,0)</f>
        <v>39.990147118369549</v>
      </c>
      <c r="I52" s="350">
        <f>VLOOKUP(Tabla3[[#This Row],[PATENTE]],'OCTUBRE 2024'!$A:$D,4,0)</f>
        <v>33.707544519970789</v>
      </c>
      <c r="J52" s="393">
        <f>VLOOKUP(Tabla3[[#This Row],[PATENTE]],'NOVIEMBRE 2024'!$A:$D,4,0)</f>
        <v>37.346938775510203</v>
      </c>
      <c r="K52" s="393">
        <f>VLOOKUP(Tabla3[[#This Row],[PATENTE]],'DICIEMBRE 2024'!$A:$D,4,0)</f>
        <v>35.746201966041106</v>
      </c>
      <c r="L52" s="350">
        <f>VLOOKUP(Tabla3[[#This Row],[PATENTE]],'ENERO 2025'!$A:$D,4,0)</f>
        <v>35.871589788539495</v>
      </c>
      <c r="M52" s="350">
        <f>VLOOKUP(Tabla3[[#This Row],[PATENTE]],'FEBRERO 2025'!$A:$D,4,0)</f>
        <v>36.201847262897047</v>
      </c>
      <c r="N52" s="350">
        <f>VLOOKUP(Tabla3[[#This Row],[PATENTE]],'MARZO 2025'!$A:$D,4,0)</f>
        <v>34.156326562870461</v>
      </c>
      <c r="O52" s="350">
        <f>VLOOKUP(Tabla3[[#This Row],[PATENTE]],'ABRIL 2025'!$A:$D,4,0)</f>
        <v>36.765025076050321</v>
      </c>
      <c r="P52" s="350">
        <f>VLOOKUP(Tabla3[[#This Row],[PATENTE]],'MAYO 2025'!$A:$D,4,0)</f>
        <v>34.925930273506282</v>
      </c>
      <c r="Q52" s="350">
        <f>VLOOKUP(Tabla3[[#This Row],[PATENTE]],'JUNIO 2025'!$A:$D,4,0)</f>
        <v>34.731208114472018</v>
      </c>
      <c r="R52" s="350">
        <f>VLOOKUP(Tabla3[[#This Row],[PATENTE]],'JULIO 2025'!$A:$D,4,0)</f>
        <v>33.919816319321797</v>
      </c>
      <c r="S52" s="350">
        <f>VLOOKUP(Tabla3[[#This Row],[PATENTE]],'AGOSTO 2025'!$A:$D,4,0)</f>
        <v>33.435182216522392</v>
      </c>
      <c r="T52" s="350">
        <f>VLOOKUP(Tabla3[[#This Row],[PATENTE]],'SEPTIEMBRE 2025'!$A:$D,4,0)</f>
        <v>33.409769757311764</v>
      </c>
      <c r="U52" s="350">
        <f>VLOOKUP(Tabla3[[#This Row],[PATENTE]],'OCTUBRE 2025'!$A:$D,4,0)</f>
        <v>35.479874213836474</v>
      </c>
      <c r="V52" s="460">
        <f t="shared" si="16"/>
        <v>35.996244717527432</v>
      </c>
    </row>
    <row r="53" spans="1:22" x14ac:dyDescent="0.3">
      <c r="A53" s="457"/>
      <c r="B53" s="324" t="s">
        <v>187</v>
      </c>
      <c r="C53" s="328" t="s">
        <v>1100</v>
      </c>
      <c r="D53" s="350">
        <f>VLOOKUP(Tabla3[[#This Row],[PATENTE]],'MAYO 2024'!$A:$D,4,0)</f>
        <v>34.699453551912569</v>
      </c>
      <c r="E53" s="350">
        <f>VLOOKUP(Tabla3[[#This Row],[PATENTE]],'JUNIO 2024'!$A:$D,4,0)</f>
        <v>36.558820030926611</v>
      </c>
      <c r="F53" s="350">
        <f>VLOOKUP(Tabla3[[#This Row],[PATENTE]],'JULIO 2024'!$A:$D,4,0)</f>
        <v>36.930287053309904</v>
      </c>
      <c r="G53" s="350">
        <f>VLOOKUP(Tabla3[[#This Row],[PATENTE]],'AGOSTO 2024'!$A:$D,4,0)</f>
        <v>37.147722719380262</v>
      </c>
      <c r="H53" s="350">
        <f>VLOOKUP(Tabla3[[#This Row],[PATENTE]],'SEPTIEMBRE 2024'!$A:$D,4,0)</f>
        <v>36.817169998582166</v>
      </c>
      <c r="I53" s="350">
        <f>VLOOKUP(Tabla3[[#This Row],[PATENTE]],'OCTUBRE 2024'!$A:$D,4,0)</f>
        <v>38.530784535140072</v>
      </c>
      <c r="J53" s="393">
        <f>VLOOKUP(Tabla3[[#This Row],[PATENTE]],'NOVIEMBRE 2024'!$A:$D,4,0)</f>
        <v>38.832968376024851</v>
      </c>
      <c r="K53" s="393">
        <f>VLOOKUP(Tabla3[[#This Row],[PATENTE]],'DICIEMBRE 2024'!$A:$D,4,0)</f>
        <v>36.426575420587398</v>
      </c>
      <c r="L53" s="350">
        <f>VLOOKUP(Tabla3[[#This Row],[PATENTE]],'ENERO 2025'!$A:$D,4,0)</f>
        <v>37.572316842389839</v>
      </c>
      <c r="M53" s="350">
        <f>VLOOKUP(Tabla3[[#This Row],[PATENTE]],'FEBRERO 2025'!$A:$D,4,0)</f>
        <v>37.458082191780825</v>
      </c>
      <c r="N53" s="350">
        <f>VLOOKUP(Tabla3[[#This Row],[PATENTE]],'MARZO 2025'!$A:$D,4,0)</f>
        <v>35.527692138295528</v>
      </c>
      <c r="O53" s="350">
        <f>VLOOKUP(Tabla3[[#This Row],[PATENTE]],'ABRIL 2025'!$A:$D,4,0)</f>
        <v>35.218986836856807</v>
      </c>
      <c r="P53" s="350">
        <f>VLOOKUP(Tabla3[[#This Row],[PATENTE]],'MAYO 2025'!$A:$D,4,0)</f>
        <v>34.889177168272795</v>
      </c>
      <c r="Q53" s="350">
        <f>VLOOKUP(Tabla3[[#This Row],[PATENTE]],'JUNIO 2025'!$A:$D,4,0)</f>
        <v>38.352712016781538</v>
      </c>
      <c r="R53" s="350">
        <f>VLOOKUP(Tabla3[[#This Row],[PATENTE]],'JULIO 2025'!$A:$D,4,0)</f>
        <v>35.43407002731562</v>
      </c>
      <c r="S53" s="350"/>
      <c r="T53" s="350">
        <f>VLOOKUP(Tabla3[[#This Row],[PATENTE]],'SEPTIEMBRE 2025'!$A:$D,4,0)</f>
        <v>36.164543479187081</v>
      </c>
      <c r="U53" s="350">
        <f>VLOOKUP(Tabla3[[#This Row],[PATENTE]],'OCTUBRE 2025'!$A:$D,4,0)</f>
        <v>35.809117518839138</v>
      </c>
      <c r="V53" s="460">
        <f t="shared" si="16"/>
        <v>36.61002822974018</v>
      </c>
    </row>
    <row r="54" spans="1:22" ht="15" thickBot="1" x14ac:dyDescent="0.35">
      <c r="A54" s="457"/>
      <c r="B54" s="326" t="s">
        <v>189</v>
      </c>
      <c r="C54" s="329" t="s">
        <v>1100</v>
      </c>
      <c r="D54" s="368">
        <f>VLOOKUP(Tabla3[[#This Row],[PATENTE]],'MAYO 2024'!$A:$D,4,0)</f>
        <v>41.535198197003844</v>
      </c>
      <c r="E54" s="368">
        <f>VLOOKUP(Tabla3[[#This Row],[PATENTE]],'JUNIO 2024'!$A:$D,4,0)</f>
        <v>40.559107963853513</v>
      </c>
      <c r="F54" s="368">
        <f>VLOOKUP(Tabla3[[#This Row],[PATENTE]],'JULIO 2024'!$A:$D,4,0)</f>
        <v>39.677708146821843</v>
      </c>
      <c r="G54" s="368">
        <f>VLOOKUP(Tabla3[[#This Row],[PATENTE]],'AGOSTO 2024'!$A:$D,4,0)</f>
        <v>39.33000203956761</v>
      </c>
      <c r="H54" s="368">
        <f>VLOOKUP(Tabla3[[#This Row],[PATENTE]],'SEPTIEMBRE 2024'!$A:$D,4,0)</f>
        <v>36.188579017264274</v>
      </c>
      <c r="I54" s="368">
        <f>VLOOKUP(Tabla3[[#This Row],[PATENTE]],'OCTUBRE 2024'!$A:$D,4,0)</f>
        <v>39.46969891095452</v>
      </c>
      <c r="J54" s="394">
        <f>VLOOKUP(Tabla3[[#This Row],[PATENTE]],'NOVIEMBRE 2024'!$A:$D,4,0)</f>
        <v>41.327466079941324</v>
      </c>
      <c r="K54" s="394">
        <f>VLOOKUP(Tabla3[[#This Row],[PATENTE]],'DICIEMBRE 2024'!$A:$D,4,0)</f>
        <v>39.891026109851538</v>
      </c>
      <c r="L54" s="350">
        <f>VLOOKUP(Tabla3[[#This Row],[PATENTE]],'ENERO 2025'!$A:$D,4,0)</f>
        <v>40.205047318611989</v>
      </c>
      <c r="M54" s="350">
        <f>VLOOKUP(Tabla3[[#This Row],[PATENTE]],'FEBRERO 2025'!$A:$D,4,0)</f>
        <v>37.53643533905452</v>
      </c>
      <c r="N54" s="350">
        <f>VLOOKUP(Tabla3[[#This Row],[PATENTE]],'MARZO 2025'!$A:$D,4,0)</f>
        <v>37.189249527734844</v>
      </c>
      <c r="O54" s="350">
        <f>VLOOKUP(Tabla3[[#This Row],[PATENTE]],'ABRIL 2025'!$A:$D,4,0)</f>
        <v>36.509926168990972</v>
      </c>
      <c r="P54" s="350">
        <f>VLOOKUP(Tabla3[[#This Row],[PATENTE]],'MAYO 2025'!$A:$D,4,0)</f>
        <v>35.70864810012403</v>
      </c>
      <c r="Q54" s="350">
        <f>VLOOKUP(Tabla3[[#This Row],[PATENTE]],'JUNIO 2025'!$A:$D,4,0)</f>
        <v>36.366267719208892</v>
      </c>
      <c r="R54" s="350">
        <f>VLOOKUP(Tabla3[[#This Row],[PATENTE]],'JULIO 2025'!$A:$D,4,0)</f>
        <v>37.522041520681903</v>
      </c>
      <c r="S54" s="350">
        <f>VLOOKUP(Tabla3[[#This Row],[PATENTE]],'AGOSTO 2025'!$A:$D,4,0)</f>
        <v>35.69335725157643</v>
      </c>
      <c r="T54" s="350">
        <f>VLOOKUP(Tabla3[[#This Row],[PATENTE]],'SEPTIEMBRE 2025'!$A:$D,4,0)</f>
        <v>35.868977937865829</v>
      </c>
      <c r="U54" s="350">
        <f>VLOOKUP(Tabla3[[#This Row],[PATENTE]],'OCTUBRE 2025'!$A:$D,4,0)</f>
        <v>36.299584927158783</v>
      </c>
      <c r="V54" s="460">
        <f>AVERAGE(D54:U54)</f>
        <v>38.159906793125927</v>
      </c>
    </row>
    <row r="55" spans="1:22" ht="4.95" customHeight="1" thickBot="1" x14ac:dyDescent="0.35">
      <c r="B55" s="330"/>
      <c r="C55" s="330"/>
      <c r="Q55"/>
    </row>
    <row r="56" spans="1:22" ht="15" thickBot="1" x14ac:dyDescent="0.35">
      <c r="B56" s="331"/>
      <c r="C56" s="339" t="s">
        <v>1119</v>
      </c>
      <c r="D56" s="333">
        <f t="shared" ref="D56:J56" si="17">AVERAGE(D41:D54)</f>
        <v>37.778239940672108</v>
      </c>
      <c r="E56" s="333">
        <f t="shared" si="17"/>
        <v>37.950164276223738</v>
      </c>
      <c r="F56" s="333">
        <f t="shared" si="17"/>
        <v>38.08383667806504</v>
      </c>
      <c r="G56" s="333">
        <f t="shared" si="17"/>
        <v>38.823716602524414</v>
      </c>
      <c r="H56" s="333">
        <f t="shared" si="17"/>
        <v>37.898832801561149</v>
      </c>
      <c r="I56" s="333">
        <f t="shared" si="17"/>
        <v>37.499342877362359</v>
      </c>
      <c r="J56" s="334">
        <f t="shared" si="17"/>
        <v>38.485568539627124</v>
      </c>
      <c r="K56" s="334">
        <f t="shared" ref="K56:L56" si="18">AVERAGE(K41:K54)</f>
        <v>37.590253979306148</v>
      </c>
      <c r="L56" s="334">
        <f t="shared" si="18"/>
        <v>36.792564005269114</v>
      </c>
      <c r="M56" s="334">
        <f t="shared" ref="M56:N56" si="19">AVERAGE(M41:M54)</f>
        <v>37.066598934836783</v>
      </c>
      <c r="N56" s="334">
        <f t="shared" si="19"/>
        <v>36.735572994548491</v>
      </c>
      <c r="O56" s="334">
        <f t="shared" ref="O56:P56" si="20">AVERAGE(O41:O54)</f>
        <v>36.417118168239135</v>
      </c>
      <c r="P56" s="334">
        <f t="shared" si="20"/>
        <v>36.778338916700342</v>
      </c>
      <c r="Q56" s="334">
        <f t="shared" ref="Q56" si="21">AVERAGE(Q41:Q54)</f>
        <v>36.366103336820352</v>
      </c>
      <c r="R56" s="334">
        <f t="shared" ref="R56:S56" si="22">AVERAGE(R41:R54)</f>
        <v>36.923756317950712</v>
      </c>
      <c r="S56" s="334">
        <f t="shared" si="22"/>
        <v>36.213800795212599</v>
      </c>
      <c r="T56" s="334">
        <f t="shared" ref="T56:U56" si="23">AVERAGE(T41:T54)</f>
        <v>36.100642284191238</v>
      </c>
      <c r="U56" s="334">
        <f t="shared" si="23"/>
        <v>36.433894019984912</v>
      </c>
    </row>
    <row r="57" spans="1:22" ht="15" thickBot="1" x14ac:dyDescent="0.35">
      <c r="Q57"/>
    </row>
    <row r="58" spans="1:22" x14ac:dyDescent="0.3">
      <c r="A58" s="457" t="s">
        <v>1201</v>
      </c>
      <c r="B58" s="323" t="s">
        <v>222</v>
      </c>
      <c r="C58" s="327" t="s">
        <v>1102</v>
      </c>
      <c r="D58" s="367">
        <f>VLOOKUP(Tabla3[[#This Row],[PATENTE]],'MAYO 2024'!$A:$D,4,0)</f>
        <v>34.589007543842456</v>
      </c>
      <c r="E58" s="367">
        <f>VLOOKUP(Tabla3[[#This Row],[PATENTE]],'JUNIO 2024'!$A:$D,4,0)</f>
        <v>35.658198614318707</v>
      </c>
      <c r="F58" s="367">
        <f>VLOOKUP(Tabla3[[#This Row],[PATENTE]],'JULIO 2024'!$A:$D,4,0)</f>
        <v>36.112031819688433</v>
      </c>
      <c r="G58" s="367">
        <f>VLOOKUP(Tabla3[[#This Row],[PATENTE]],'AGOSTO 2024'!$A:$D,4,0)</f>
        <v>37.164362636523336</v>
      </c>
      <c r="H58" s="367">
        <f>VLOOKUP(Tabla3[[#This Row],[PATENTE]],'SEPTIEMBRE 2024'!$A:$D,4,0)</f>
        <v>35.994480075701816</v>
      </c>
      <c r="I58" s="367">
        <f>VLOOKUP(Tabla3[[#This Row],[PATENTE]],'OCTUBRE 2024'!$A:$D,4,0)</f>
        <v>35.656390338633329</v>
      </c>
      <c r="J58" s="392">
        <f>VLOOKUP(Tabla3[[#This Row],[PATENTE]],'NOVIEMBRE 2024'!$A:$D,4,0)</f>
        <v>36.350746268656714</v>
      </c>
      <c r="K58" s="392">
        <f>VLOOKUP(Tabla3[[#This Row],[PATENTE]],'DICIEMBRE 2024'!$A:$D,4,0)</f>
        <v>37.534789263009181</v>
      </c>
      <c r="L58" s="350">
        <f>VLOOKUP(Tabla3[[#This Row],[PATENTE]],'ENERO 2025'!$A:$D,4,0)</f>
        <v>36.230336678767173</v>
      </c>
      <c r="M58" s="350">
        <f>VLOOKUP(Tabla3[[#This Row],[PATENTE]],'FEBRERO 2025'!$A:$D,4,0)</f>
        <v>34.889321277326317</v>
      </c>
      <c r="N58" s="350">
        <f>VLOOKUP(Tabla3[[#This Row],[PATENTE]],'MARZO 2025'!$A:$D,4,0)</f>
        <v>35.879314467915506</v>
      </c>
      <c r="O58" s="350">
        <f>VLOOKUP(Tabla3[[#This Row],[PATENTE]],'ABRIL 2025'!$A:$D,4,0)</f>
        <v>35.309615081657306</v>
      </c>
      <c r="P58" s="350">
        <f>VLOOKUP(Tabla3[[#This Row],[PATENTE]],'MAYO 2025'!$A:$D,4,0)</f>
        <v>35.444035257184254</v>
      </c>
      <c r="Q58" s="350">
        <f>VLOOKUP(Tabla3[[#This Row],[PATENTE]],'JUNIO 2025'!$A:$D,4,0)</f>
        <v>34.336912234335422</v>
      </c>
      <c r="R58" s="350">
        <f>VLOOKUP(Tabla3[[#This Row],[PATENTE]],'JULIO 2025'!$A:$D,4,0)</f>
        <v>35.623687912563575</v>
      </c>
      <c r="S58" s="350">
        <f>VLOOKUP(Tabla3[[#This Row],[PATENTE]],'AGOSTO 2025'!$A:$D,4,0)</f>
        <v>36.156382503905377</v>
      </c>
      <c r="T58" s="350">
        <f>VLOOKUP(Tabla3[[#This Row],[PATENTE]],'SEPTIEMBRE 2025'!$A:$D,4,0)</f>
        <v>33.084930032292789</v>
      </c>
      <c r="U58" s="350">
        <f>VLOOKUP(Tabla3[[#This Row],[PATENTE]],'OCTUBRE 2025'!$A:$D,4,0)</f>
        <v>34.770275191177241</v>
      </c>
      <c r="V58" s="460">
        <f t="shared" ref="V58:V65" si="24">AVERAGE(D58:U58)</f>
        <v>35.599156510972158</v>
      </c>
    </row>
    <row r="59" spans="1:22" x14ac:dyDescent="0.3">
      <c r="A59" s="457"/>
      <c r="B59" s="324" t="s">
        <v>427</v>
      </c>
      <c r="C59" s="328" t="s">
        <v>1102</v>
      </c>
      <c r="D59" s="350">
        <f>VLOOKUP(Tabla3[[#This Row],[PATENTE]],'MAYO 2024'!$A:$D,4,0)</f>
        <v>34.755276156264031</v>
      </c>
      <c r="E59" s="350">
        <f>VLOOKUP(Tabla3[[#This Row],[PATENTE]],'JUNIO 2024'!$A:$D,4,0)</f>
        <v>33.340167085233965</v>
      </c>
      <c r="F59" s="350">
        <f>VLOOKUP(Tabla3[[#This Row],[PATENTE]],'JULIO 2024'!$A:$D,4,0)</f>
        <v>34.793001242948655</v>
      </c>
      <c r="G59" s="350">
        <f>VLOOKUP(Tabla3[[#This Row],[PATENTE]],'AGOSTO 2024'!$A:$D,4,0)</f>
        <v>34.013877099095772</v>
      </c>
      <c r="H59" s="350">
        <f>VLOOKUP(Tabla3[[#This Row],[PATENTE]],'SEPTIEMBRE 2024'!$A:$D,4,0)</f>
        <v>33.034721307155095</v>
      </c>
      <c r="I59" s="350">
        <f>VLOOKUP(Tabla3[[#This Row],[PATENTE]],'OCTUBRE 2024'!$A:$D,4,0)</f>
        <v>35.562822543559349</v>
      </c>
      <c r="J59" s="393">
        <f>VLOOKUP(Tabla3[[#This Row],[PATENTE]],'NOVIEMBRE 2024'!$A:$D,4,0)</f>
        <v>35.401149712571858</v>
      </c>
      <c r="K59" s="393">
        <f>VLOOKUP(Tabla3[[#This Row],[PATENTE]],'DICIEMBRE 2024'!$A:$D,4,0)</f>
        <v>33.013219778822936</v>
      </c>
      <c r="L59" s="350">
        <f>VLOOKUP(Tabla3[[#This Row],[PATENTE]],'ENERO 2025'!$A:$D,4,0)</f>
        <v>35.284849490007467</v>
      </c>
      <c r="M59" s="350">
        <f>VLOOKUP(Tabla3[[#This Row],[PATENTE]],'FEBRERO 2025'!$A:$D,4,0)</f>
        <v>36.382975699872105</v>
      </c>
      <c r="N59" s="350">
        <f>VLOOKUP(Tabla3[[#This Row],[PATENTE]],'MARZO 2025'!$A:$D,4,0)</f>
        <v>34.173933807727209</v>
      </c>
      <c r="O59" s="350">
        <f>VLOOKUP(Tabla3[[#This Row],[PATENTE]],'ABRIL 2025'!$A:$D,4,0)</f>
        <v>33.437830891801596</v>
      </c>
      <c r="P59" s="350">
        <f>VLOOKUP(Tabla3[[#This Row],[PATENTE]],'MAYO 2025'!$A:$D,4,0)</f>
        <v>35.045691124314864</v>
      </c>
      <c r="Q59" s="350">
        <f>VLOOKUP(Tabla3[[#This Row],[PATENTE]],'JUNIO 2025'!$A:$D,4,0)</f>
        <v>34.824437391806114</v>
      </c>
      <c r="R59" s="350">
        <f>VLOOKUP(Tabla3[[#This Row],[PATENTE]],'JULIO 2025'!$A:$D,4,0)</f>
        <v>33.517578125</v>
      </c>
      <c r="S59" s="350">
        <f>VLOOKUP(Tabla3[[#This Row],[PATENTE]],'AGOSTO 2025'!$A:$D,4,0)</f>
        <v>34.03867472915092</v>
      </c>
      <c r="T59" s="350">
        <f>VLOOKUP(Tabla3[[#This Row],[PATENTE]],'SEPTIEMBRE 2025'!$A:$D,4,0)</f>
        <v>32.827930394841445</v>
      </c>
      <c r="U59" s="350">
        <f>VLOOKUP(Tabla3[[#This Row],[PATENTE]],'OCTUBRE 2025'!$A:$D,4,0)</f>
        <v>34.115426360247277</v>
      </c>
      <c r="V59" s="460">
        <f t="shared" si="24"/>
        <v>34.309086830023368</v>
      </c>
    </row>
    <row r="60" spans="1:22" x14ac:dyDescent="0.3">
      <c r="A60" s="457"/>
      <c r="B60" s="324" t="s">
        <v>522</v>
      </c>
      <c r="C60" s="328" t="s">
        <v>1102</v>
      </c>
      <c r="D60" s="350">
        <f>VLOOKUP(Tabla3[[#This Row],[PATENTE]],'MAYO 2024'!$A:$D,4,0)</f>
        <v>33.38607594936709</v>
      </c>
      <c r="E60" s="350">
        <f>VLOOKUP(Tabla3[[#This Row],[PATENTE]],'JUNIO 2024'!$A:$D,4,0)</f>
        <v>33.84439848819796</v>
      </c>
      <c r="F60" s="350">
        <f>VLOOKUP(Tabla3[[#This Row],[PATENTE]],'JULIO 2024'!$A:$D,4,0)</f>
        <v>34.669687990238799</v>
      </c>
      <c r="G60" s="350">
        <f>VLOOKUP(Tabla3[[#This Row],[PATENTE]],'AGOSTO 2024'!$A:$D,4,0)</f>
        <v>36.078044657321968</v>
      </c>
      <c r="H60" s="350">
        <f>VLOOKUP(Tabla3[[#This Row],[PATENTE]],'SEPTIEMBRE 2024'!$A:$D,4,0)</f>
        <v>36.451018036679635</v>
      </c>
      <c r="I60" s="350">
        <f>VLOOKUP(Tabla3[[#This Row],[PATENTE]],'OCTUBRE 2024'!$A:$D,4,0)</f>
        <v>34.013325303018895</v>
      </c>
      <c r="J60" s="393">
        <f>VLOOKUP(Tabla3[[#This Row],[PATENTE]],'NOVIEMBRE 2024'!$A:$D,4,0)</f>
        <v>34.660151043980456</v>
      </c>
      <c r="K60" s="393">
        <f>VLOOKUP(Tabla3[[#This Row],[PATENTE]],'DICIEMBRE 2024'!$A:$D,4,0)</f>
        <v>34.061515811035719</v>
      </c>
      <c r="L60" s="350">
        <f>VLOOKUP(Tabla3[[#This Row],[PATENTE]],'ENERO 2025'!$A:$D,4,0)</f>
        <v>34.574437474823043</v>
      </c>
      <c r="M60" s="350">
        <f>VLOOKUP(Tabla3[[#This Row],[PATENTE]],'FEBRERO 2025'!$A:$D,4,0)</f>
        <v>35.150740807390072</v>
      </c>
      <c r="N60" s="350">
        <f>VLOOKUP(Tabla3[[#This Row],[PATENTE]],'MARZO 2025'!$A:$D,4,0)</f>
        <v>34.802172321210648</v>
      </c>
      <c r="O60" s="350">
        <f>VLOOKUP(Tabla3[[#This Row],[PATENTE]],'ABRIL 2025'!$A:$D,4,0)</f>
        <v>33.553903980864519</v>
      </c>
      <c r="P60" s="350">
        <f>VLOOKUP(Tabla3[[#This Row],[PATENTE]],'MAYO 2025'!$A:$D,4,0)</f>
        <v>34.015901677539603</v>
      </c>
      <c r="Q60" s="350">
        <f>VLOOKUP(Tabla3[[#This Row],[PATENTE]],'JUNIO 2025'!$A:$D,4,0)</f>
        <v>35.627974704609755</v>
      </c>
      <c r="R60" s="350">
        <f>VLOOKUP(Tabla3[[#This Row],[PATENTE]],'JULIO 2025'!$A:$D,4,0)</f>
        <v>33.085505629374182</v>
      </c>
      <c r="S60" s="350">
        <f>VLOOKUP(Tabla3[[#This Row],[PATENTE]],'AGOSTO 2025'!$A:$D,4,0)</f>
        <v>33.110778723006447</v>
      </c>
      <c r="T60" s="350">
        <f>VLOOKUP(Tabla3[[#This Row],[PATENTE]],'SEPTIEMBRE 2025'!$A:$D,4,0)</f>
        <v>35.243629343629337</v>
      </c>
      <c r="U60" s="350">
        <f>VLOOKUP(Tabla3[[#This Row],[PATENTE]],'OCTUBRE 2025'!$A:$D,4,0)</f>
        <v>32.655537410028423</v>
      </c>
      <c r="V60" s="460">
        <f t="shared" si="24"/>
        <v>34.388044408462029</v>
      </c>
    </row>
    <row r="61" spans="1:22" x14ac:dyDescent="0.3">
      <c r="A61" s="457"/>
      <c r="B61" s="324" t="s">
        <v>754</v>
      </c>
      <c r="C61" s="328" t="s">
        <v>1112</v>
      </c>
      <c r="D61" s="350">
        <f>VLOOKUP(Tabla3[[#This Row],[PATENTE]],'MAYO 2024'!$A:$D,4,0)</f>
        <v>35.76158940397351</v>
      </c>
      <c r="E61" s="350">
        <f>VLOOKUP(Tabla3[[#This Row],[PATENTE]],'JUNIO 2024'!$A:$D,4,0)</f>
        <v>35.008688677984232</v>
      </c>
      <c r="F61" s="350">
        <f>VLOOKUP(Tabla3[[#This Row],[PATENTE]],'JULIO 2024'!$A:$D,4,0)</f>
        <v>36.059502125075895</v>
      </c>
      <c r="G61" s="350">
        <f>VLOOKUP(Tabla3[[#This Row],[PATENTE]],'AGOSTO 2024'!$A:$D,4,0)</f>
        <v>36.137492456946575</v>
      </c>
      <c r="H61" s="350">
        <f>VLOOKUP(Tabla3[[#This Row],[PATENTE]],'SEPTIEMBRE 2024'!$A:$D,4,0)</f>
        <v>35.808863267879659</v>
      </c>
      <c r="I61" s="350">
        <f>VLOOKUP(Tabla3[[#This Row],[PATENTE]],'OCTUBRE 2024'!$A:$D,4,0)</f>
        <v>36.499124097820754</v>
      </c>
      <c r="J61" s="393">
        <f>VLOOKUP(Tabla3[[#This Row],[PATENTE]],'NOVIEMBRE 2024'!$A:$D,4,0)</f>
        <v>36.399482109227868</v>
      </c>
      <c r="K61" s="393">
        <f>VLOOKUP(Tabla3[[#This Row],[PATENTE]],'DICIEMBRE 2024'!$A:$D,4,0)</f>
        <v>35.49216542512201</v>
      </c>
      <c r="L61" s="350">
        <f>VLOOKUP(Tabla3[[#This Row],[PATENTE]],'ENERO 2025'!$A:$D,4,0)</f>
        <v>35.208875806634211</v>
      </c>
      <c r="M61" s="350">
        <f>VLOOKUP(Tabla3[[#This Row],[PATENTE]],'FEBRERO 2025'!$A:$D,4,0)</f>
        <v>35.623682989861507</v>
      </c>
      <c r="N61" s="350">
        <f>VLOOKUP(Tabla3[[#This Row],[PATENTE]],'MARZO 2025'!$A:$D,4,0)</f>
        <v>33.274250219600951</v>
      </c>
      <c r="O61" s="350">
        <f>VLOOKUP(Tabla3[[#This Row],[PATENTE]],'ABRIL 2025'!$A:$D,4,0)</f>
        <v>34.325173155003583</v>
      </c>
      <c r="P61" s="350">
        <f>VLOOKUP(Tabla3[[#This Row],[PATENTE]],'MAYO 2025'!$A:$D,4,0)</f>
        <v>34.942320909331229</v>
      </c>
      <c r="Q61" s="350">
        <f>VLOOKUP(Tabla3[[#This Row],[PATENTE]],'JUNIO 2025'!$A:$D,4,0)</f>
        <v>35.188774677761458</v>
      </c>
      <c r="R61" s="350">
        <f>VLOOKUP(Tabla3[[#This Row],[PATENTE]],'JULIO 2025'!$A:$D,4,0)</f>
        <v>36.627634462991068</v>
      </c>
      <c r="S61" s="350">
        <f>VLOOKUP(Tabla3[[#This Row],[PATENTE]],'AGOSTO 2025'!$A:$D,4,0)</f>
        <v>34.968077286569354</v>
      </c>
      <c r="T61" s="350">
        <f>VLOOKUP(Tabla3[[#This Row],[PATENTE]],'SEPTIEMBRE 2025'!$A:$D,4,0)</f>
        <v>35.785778645442257</v>
      </c>
      <c r="U61" s="350">
        <f>VLOOKUP(Tabla3[[#This Row],[PATENTE]],'OCTUBRE 2025'!$A:$D,4,0)</f>
        <v>34.789578658688605</v>
      </c>
      <c r="V61" s="460">
        <f t="shared" si="24"/>
        <v>35.438947465328596</v>
      </c>
    </row>
    <row r="62" spans="1:22" x14ac:dyDescent="0.3">
      <c r="A62" s="457"/>
      <c r="B62" s="324" t="s">
        <v>519</v>
      </c>
      <c r="C62" s="328" t="s">
        <v>1104</v>
      </c>
      <c r="D62" s="350">
        <f>VLOOKUP(Tabla3[[#This Row],[PATENTE]],'MAYO 2024'!$A:$D,4,0)</f>
        <v>34.485104067473813</v>
      </c>
      <c r="E62" s="350">
        <f>VLOOKUP(Tabla3[[#This Row],[PATENTE]],'JUNIO 2024'!$A:$D,4,0)</f>
        <v>33.916468748189772</v>
      </c>
      <c r="F62" s="350">
        <f>VLOOKUP(Tabla3[[#This Row],[PATENTE]],'JULIO 2024'!$A:$D,4,0)</f>
        <v>34.58834202767067</v>
      </c>
      <c r="G62" s="350">
        <f>VLOOKUP(Tabla3[[#This Row],[PATENTE]],'AGOSTO 2024'!$A:$D,4,0)</f>
        <v>33.964207618828404</v>
      </c>
      <c r="H62" s="350">
        <f>VLOOKUP(Tabla3[[#This Row],[PATENTE]],'SEPTIEMBRE 2024'!$A:$D,4,0)</f>
        <v>32.624351834069522</v>
      </c>
      <c r="I62" s="350">
        <f>VLOOKUP(Tabla3[[#This Row],[PATENTE]],'OCTUBRE 2024'!$A:$D,4,0)</f>
        <v>31.833141842490075</v>
      </c>
      <c r="J62" s="393">
        <f>VLOOKUP(Tabla3[[#This Row],[PATENTE]],'NOVIEMBRE 2024'!$A:$D,4,0)</f>
        <v>32.249598286020351</v>
      </c>
      <c r="K62" s="393">
        <f>VLOOKUP(Tabla3[[#This Row],[PATENTE]],'DICIEMBRE 2024'!$A:$D,4,0)</f>
        <v>33.0315689853309</v>
      </c>
      <c r="L62" s="350">
        <f>VLOOKUP(Tabla3[[#This Row],[PATENTE]],'ENERO 2025'!$A:$D,4,0)</f>
        <v>33.339872655308902</v>
      </c>
      <c r="M62" s="350">
        <f>VLOOKUP(Tabla3[[#This Row],[PATENTE]],'FEBRERO 2025'!$A:$D,4,0)</f>
        <v>35.592565359477121</v>
      </c>
      <c r="N62" s="350">
        <f>VLOOKUP(Tabla3[[#This Row],[PATENTE]],'MARZO 2025'!$A:$D,4,0)</f>
        <v>32.962262226528637</v>
      </c>
      <c r="O62" s="350">
        <f>VLOOKUP(Tabla3[[#This Row],[PATENTE]],'ABRIL 2025'!$A:$D,4,0)</f>
        <v>32.17169657422513</v>
      </c>
      <c r="P62" s="350">
        <f>VLOOKUP(Tabla3[[#This Row],[PATENTE]],'MAYO 2025'!$A:$D,4,0)</f>
        <v>33.593383491922992</v>
      </c>
      <c r="Q62" s="350">
        <f>VLOOKUP(Tabla3[[#This Row],[PATENTE]],'JUNIO 2025'!$A:$D,4,0)</f>
        <v>33.87834344004137</v>
      </c>
      <c r="R62" s="350">
        <f>VLOOKUP(Tabla3[[#This Row],[PATENTE]],'JULIO 2025'!$A:$D,4,0)</f>
        <v>34.49669097027482</v>
      </c>
      <c r="S62" s="350">
        <f>VLOOKUP(Tabla3[[#This Row],[PATENTE]],'AGOSTO 2025'!$A:$D,4,0)</f>
        <v>33.310486800678135</v>
      </c>
      <c r="T62" s="350">
        <f>VLOOKUP(Tabla3[[#This Row],[PATENTE]],'SEPTIEMBRE 2025'!$A:$D,4,0)</f>
        <v>34.471341158841163</v>
      </c>
      <c r="U62" s="350">
        <f>VLOOKUP(Tabla3[[#This Row],[PATENTE]],'OCTUBRE 2025'!$A:$D,4,0)</f>
        <v>33.612888456475709</v>
      </c>
      <c r="V62" s="460">
        <f t="shared" si="24"/>
        <v>33.562350807991528</v>
      </c>
    </row>
    <row r="63" spans="1:22" x14ac:dyDescent="0.3">
      <c r="A63" s="457"/>
      <c r="B63" s="324" t="s">
        <v>1090</v>
      </c>
      <c r="C63" s="328" t="s">
        <v>1104</v>
      </c>
      <c r="D63" s="350">
        <f>VLOOKUP(Tabla3[[#This Row],[PATENTE]],'MAYO 2024'!$A:$D,4,0)</f>
        <v>34.41482150926344</v>
      </c>
      <c r="E63" s="350">
        <f>VLOOKUP(Tabla3[[#This Row],[PATENTE]],'JUNIO 2024'!$A:$D,4,0)</f>
        <v>35.006362942224484</v>
      </c>
      <c r="F63" s="350">
        <f>VLOOKUP(Tabla3[[#This Row],[PATENTE]],'JULIO 2024'!$A:$D,4,0)</f>
        <v>35.974331012498951</v>
      </c>
      <c r="G63" s="350">
        <f>VLOOKUP(Tabla3[[#This Row],[PATENTE]],'AGOSTO 2024'!$A:$D,4,0)</f>
        <v>35.534850061061107</v>
      </c>
      <c r="H63" s="350">
        <f>VLOOKUP(Tabla3[[#This Row],[PATENTE]],'SEPTIEMBRE 2024'!$A:$D,4,0)</f>
        <v>34.670696631404475</v>
      </c>
      <c r="I63" s="350">
        <f>VLOOKUP(Tabla3[[#This Row],[PATENTE]],'OCTUBRE 2024'!$A:$D,4,0)</f>
        <v>36.047969509791038</v>
      </c>
      <c r="J63" s="393">
        <f>VLOOKUP(Tabla3[[#This Row],[PATENTE]],'NOVIEMBRE 2024'!$A:$D,4,0)</f>
        <v>34.166173131971178</v>
      </c>
      <c r="K63" s="393">
        <f>VLOOKUP(Tabla3[[#This Row],[PATENTE]],'DICIEMBRE 2024'!$A:$D,4,0)</f>
        <v>34.073354509861865</v>
      </c>
      <c r="L63" s="350">
        <f>VLOOKUP(Tabla3[[#This Row],[PATENTE]],'ENERO 2025'!$A:$D,4,0)</f>
        <v>32.842987026253958</v>
      </c>
      <c r="M63" s="350"/>
      <c r="N63" s="350"/>
      <c r="O63" s="350"/>
      <c r="P63" s="350">
        <f>VLOOKUP(Tabla3[[#This Row],[PATENTE]],'MAYO 2025'!$A:$D,4,0)</f>
        <v>32.611399491094147</v>
      </c>
      <c r="Q63" s="350">
        <f>VLOOKUP(Tabla3[[#This Row],[PATENTE]],'JUNIO 2025'!$A:$D,4,0)</f>
        <v>33.457187275771346</v>
      </c>
      <c r="R63" s="350">
        <f>VLOOKUP(Tabla3[[#This Row],[PATENTE]],'JULIO 2025'!$A:$D,4,0)</f>
        <v>36.468121176383875</v>
      </c>
      <c r="S63" s="350">
        <f>VLOOKUP(Tabla3[[#This Row],[PATENTE]],'AGOSTO 2025'!$A:$D,4,0)</f>
        <v>33.757463672391012</v>
      </c>
      <c r="T63" s="350">
        <f>VLOOKUP(Tabla3[[#This Row],[PATENTE]],'SEPTIEMBRE 2025'!$A:$D,4,0)</f>
        <v>33.106983796076946</v>
      </c>
      <c r="U63" s="350">
        <f>VLOOKUP(Tabla3[[#This Row],[PATENTE]],'OCTUBRE 2025'!$A:$D,4,0)</f>
        <v>37.517431725740849</v>
      </c>
      <c r="V63" s="460">
        <f t="shared" si="24"/>
        <v>34.643342231452579</v>
      </c>
    </row>
    <row r="64" spans="1:22" x14ac:dyDescent="0.3">
      <c r="A64" s="457"/>
      <c r="B64" s="324" t="s">
        <v>540</v>
      </c>
      <c r="C64" s="328" t="s">
        <v>1104</v>
      </c>
      <c r="D64" s="350">
        <f>VLOOKUP(Tabla3[[#This Row],[PATENTE]],'MAYO 2024'!$A:$D,4,0)</f>
        <v>35.111135030407404</v>
      </c>
      <c r="E64" s="350">
        <f>VLOOKUP(Tabla3[[#This Row],[PATENTE]],'JUNIO 2024'!$A:$D,4,0)</f>
        <v>35.950794962804494</v>
      </c>
      <c r="F64" s="350">
        <f>VLOOKUP(Tabla3[[#This Row],[PATENTE]],'JULIO 2024'!$A:$D,4,0)</f>
        <v>35.300382436946315</v>
      </c>
      <c r="G64" s="350">
        <f>VLOOKUP(Tabla3[[#This Row],[PATENTE]],'AGOSTO 2024'!$A:$D,4,0)</f>
        <v>36.515502735776899</v>
      </c>
      <c r="H64" s="350">
        <f>VLOOKUP(Tabla3[[#This Row],[PATENTE]],'SEPTIEMBRE 2024'!$A:$D,4,0)</f>
        <v>33.394926927599528</v>
      </c>
      <c r="I64" s="350">
        <f>VLOOKUP(Tabla3[[#This Row],[PATENTE]],'OCTUBRE 2024'!$A:$D,4,0)</f>
        <v>35.489865217845576</v>
      </c>
      <c r="J64" s="393">
        <f>VLOOKUP(Tabla3[[#This Row],[PATENTE]],'NOVIEMBRE 2024'!$A:$D,4,0)</f>
        <v>35.793708641028097</v>
      </c>
      <c r="K64" s="393">
        <f>VLOOKUP(Tabla3[[#This Row],[PATENTE]],'DICIEMBRE 2024'!$A:$D,4,0)</f>
        <v>35.247073606242971</v>
      </c>
      <c r="L64" s="350">
        <f>VLOOKUP(Tabla3[[#This Row],[PATENTE]],'ENERO 2025'!$A:$D,4,0)</f>
        <v>36.429019921228381</v>
      </c>
      <c r="M64" s="350">
        <f>VLOOKUP(Tabla3[[#This Row],[PATENTE]],'FEBRERO 2025'!$A:$D,4,0)</f>
        <v>34.348150551589875</v>
      </c>
      <c r="N64" s="350">
        <f>VLOOKUP(Tabla3[[#This Row],[PATENTE]],'MARZO 2025'!$A:$D,4,0)</f>
        <v>33.380921248142648</v>
      </c>
      <c r="O64" s="350">
        <f>VLOOKUP(Tabla3[[#This Row],[PATENTE]],'ABRIL 2025'!$A:$D,4,0)</f>
        <v>34.887246248896737</v>
      </c>
      <c r="P64" s="350">
        <f>VLOOKUP(Tabla3[[#This Row],[PATENTE]],'MAYO 2025'!$A:$D,4,0)</f>
        <v>32.831482880892864</v>
      </c>
      <c r="Q64" s="350">
        <f>VLOOKUP(Tabla3[[#This Row],[PATENTE]],'JUNIO 2025'!$A:$D,4,0)</f>
        <v>33.61731523090161</v>
      </c>
      <c r="R64" s="350">
        <f>VLOOKUP(Tabla3[[#This Row],[PATENTE]],'JULIO 2025'!$A:$D,4,0)</f>
        <v>34.084090909090904</v>
      </c>
      <c r="S64" s="350">
        <f>VLOOKUP(Tabla3[[#This Row],[PATENTE]],'AGOSTO 2025'!$A:$D,4,0)</f>
        <v>33.260238246281808</v>
      </c>
      <c r="T64" s="350">
        <f>VLOOKUP(Tabla3[[#This Row],[PATENTE]],'SEPTIEMBRE 2025'!$A:$D,4,0)</f>
        <v>35.061069050442399</v>
      </c>
      <c r="U64" s="350">
        <f>VLOOKUP(Tabla3[[#This Row],[PATENTE]],'OCTUBRE 2025'!$A:$D,4,0)</f>
        <v>33.637143414126975</v>
      </c>
      <c r="V64" s="460">
        <f t="shared" si="24"/>
        <v>34.685559292235858</v>
      </c>
    </row>
    <row r="65" spans="1:22" ht="15" thickBot="1" x14ac:dyDescent="0.35">
      <c r="A65" s="457"/>
      <c r="B65" s="326" t="s">
        <v>1091</v>
      </c>
      <c r="C65" s="329" t="s">
        <v>1104</v>
      </c>
      <c r="D65" s="368">
        <f>VLOOKUP(Tabla3[[#This Row],[PATENTE]],'MAYO 2024'!$A:$D,4,0)</f>
        <v>33.835125448028677</v>
      </c>
      <c r="E65" s="368">
        <f>VLOOKUP(Tabla3[[#This Row],[PATENTE]],'JUNIO 2024'!$A:$D,4,0)</f>
        <v>33.012426936490002</v>
      </c>
      <c r="F65" s="368">
        <f>VLOOKUP(Tabla3[[#This Row],[PATENTE]],'JULIO 2024'!$A:$D,4,0)</f>
        <v>34.808013355592657</v>
      </c>
      <c r="G65" s="368">
        <f>VLOOKUP(Tabla3[[#This Row],[PATENTE]],'AGOSTO 2024'!$A:$D,4,0)</f>
        <v>35.519176561031855</v>
      </c>
      <c r="H65" s="368">
        <f>VLOOKUP(Tabla3[[#This Row],[PATENTE]],'SEPTIEMBRE 2024'!$A:$D,4,0)</f>
        <v>34.177114217139625</v>
      </c>
      <c r="I65" s="368">
        <f>VLOOKUP(Tabla3[[#This Row],[PATENTE]],'OCTUBRE 2024'!$A:$D,4,0)</f>
        <v>33.895475926950745</v>
      </c>
      <c r="J65" s="394">
        <f>VLOOKUP(Tabla3[[#This Row],[PATENTE]],'NOVIEMBRE 2024'!$A:$D,4,0)</f>
        <v>33.430501244223251</v>
      </c>
      <c r="K65" s="394">
        <f>VLOOKUP(Tabla3[[#This Row],[PATENTE]],'DICIEMBRE 2024'!$A:$D,4,0)</f>
        <v>33.564443611839643</v>
      </c>
      <c r="L65" s="350">
        <f>VLOOKUP(Tabla3[[#This Row],[PATENTE]],'ENERO 2025'!$A:$D,4,0)</f>
        <v>33.803341822473449</v>
      </c>
      <c r="M65" s="350">
        <f>VLOOKUP(Tabla3[[#This Row],[PATENTE]],'FEBRERO 2025'!$A:$D,4,0)</f>
        <v>35.922663965560901</v>
      </c>
      <c r="N65" s="350">
        <f>VLOOKUP(Tabla3[[#This Row],[PATENTE]],'MARZO 2025'!$A:$D,4,0)</f>
        <v>33.845646196150327</v>
      </c>
      <c r="O65" s="350">
        <f>VLOOKUP(Tabla3[[#This Row],[PATENTE]],'ABRIL 2025'!$A:$D,4,0)</f>
        <v>35.870939987093998</v>
      </c>
      <c r="P65" s="350">
        <f>VLOOKUP(Tabla3[[#This Row],[PATENTE]],'MAYO 2025'!$A:$D,4,0)</f>
        <v>35.88004699190008</v>
      </c>
      <c r="Q65" s="350">
        <f>VLOOKUP(Tabla3[[#This Row],[PATENTE]],'JUNIO 2025'!$A:$D,4,0)</f>
        <v>35.396781068567648</v>
      </c>
      <c r="R65" s="350">
        <f>VLOOKUP(Tabla3[[#This Row],[PATENTE]],'JULIO 2025'!$A:$D,4,0)</f>
        <v>34.866522536071813</v>
      </c>
      <c r="S65" s="350">
        <f>VLOOKUP(Tabla3[[#This Row],[PATENTE]],'AGOSTO 2025'!$A:$D,4,0)</f>
        <v>34.690014414886647</v>
      </c>
      <c r="T65" s="350">
        <f>VLOOKUP(Tabla3[[#This Row],[PATENTE]],'SEPTIEMBRE 2025'!$A:$D,4,0)</f>
        <v>33.79198898649534</v>
      </c>
      <c r="U65" s="350">
        <f>VLOOKUP(Tabla3[[#This Row],[PATENTE]],'OCTUBRE 2025'!$A:$D,4,0)</f>
        <v>32.918881471218036</v>
      </c>
      <c r="V65" s="460">
        <f t="shared" si="24"/>
        <v>34.401616930095258</v>
      </c>
    </row>
    <row r="66" spans="1:22" ht="4.95" customHeight="1" thickBot="1" x14ac:dyDescent="0.35">
      <c r="B66" s="330"/>
      <c r="C66" s="330"/>
      <c r="Q66"/>
    </row>
    <row r="67" spans="1:22" ht="15" thickBot="1" x14ac:dyDescent="0.35">
      <c r="B67" s="331"/>
      <c r="C67" s="332" t="s">
        <v>1119</v>
      </c>
      <c r="D67" s="333">
        <f t="shared" ref="D67:E67" si="25">AVERAGE(D58:D65)</f>
        <v>34.542266888577558</v>
      </c>
      <c r="E67" s="333">
        <f t="shared" si="25"/>
        <v>34.467188306930446</v>
      </c>
      <c r="F67" s="333">
        <f t="shared" ref="F67:G67" si="26">AVERAGE(F58:F65)</f>
        <v>35.288161501332546</v>
      </c>
      <c r="G67" s="333">
        <f t="shared" si="26"/>
        <v>35.615939228323242</v>
      </c>
      <c r="H67" s="333">
        <f t="shared" ref="H67:J67" si="27">AVERAGE(H58:H65)</f>
        <v>34.519521537203673</v>
      </c>
      <c r="I67" s="333">
        <f t="shared" si="27"/>
        <v>34.874764347513718</v>
      </c>
      <c r="J67" s="333">
        <f t="shared" si="27"/>
        <v>34.806438804709977</v>
      </c>
      <c r="K67" s="333">
        <f t="shared" ref="K67:L67" si="28">AVERAGE(K58:K65)</f>
        <v>34.502266373908157</v>
      </c>
      <c r="L67" s="333">
        <f t="shared" si="28"/>
        <v>34.714215109437077</v>
      </c>
      <c r="M67" s="333">
        <f t="shared" ref="M67:N67" si="29">AVERAGE(M58:M65)</f>
        <v>35.415728664439705</v>
      </c>
      <c r="N67" s="333">
        <f t="shared" si="29"/>
        <v>34.045500069610846</v>
      </c>
      <c r="O67" s="333">
        <f t="shared" ref="O67:P67" si="30">AVERAGE(O58:O65)</f>
        <v>34.222343702791839</v>
      </c>
      <c r="P67" s="333">
        <f t="shared" si="30"/>
        <v>34.295532728022501</v>
      </c>
      <c r="Q67" s="333">
        <f t="shared" ref="Q67" si="31">AVERAGE(Q58:Q65)</f>
        <v>34.540965752974337</v>
      </c>
      <c r="R67" s="333">
        <f t="shared" ref="R67:S67" si="32">AVERAGE(R58:R65)</f>
        <v>34.846228965218785</v>
      </c>
      <c r="S67" s="333">
        <f t="shared" si="32"/>
        <v>34.161514547108709</v>
      </c>
      <c r="T67" s="333">
        <f t="shared" ref="T67:U67" si="33">AVERAGE(T58:T65)</f>
        <v>34.171706426007709</v>
      </c>
      <c r="U67" s="333">
        <f t="shared" si="33"/>
        <v>34.252145335962886</v>
      </c>
    </row>
    <row r="68" spans="1:22" ht="15" thickBot="1" x14ac:dyDescent="0.35">
      <c r="Q68"/>
    </row>
    <row r="69" spans="1:22" x14ac:dyDescent="0.3">
      <c r="A69" s="457" t="s">
        <v>1201</v>
      </c>
      <c r="B69" s="323" t="s">
        <v>433</v>
      </c>
      <c r="C69" s="327" t="s">
        <v>1108</v>
      </c>
      <c r="D69" s="367">
        <f>VLOOKUP(Tabla3[[#This Row],[PATENTE]],'MAYO 2024'!$A:$D,4,0)</f>
        <v>37.6710214998457</v>
      </c>
      <c r="E69" s="367">
        <f>VLOOKUP(Tabla3[[#This Row],[PATENTE]],'JUNIO 2024'!$A:$D,4,0)</f>
        <v>36.98908049406289</v>
      </c>
      <c r="F69" s="367">
        <f>VLOOKUP(Tabla3[[#This Row],[PATENTE]],'JULIO 2024'!$A:$D,4,0)</f>
        <v>38.28312311060148</v>
      </c>
      <c r="G69" s="367">
        <f>VLOOKUP(Tabla3[[#This Row],[PATENTE]],'AGOSTO 2024'!$A:$D,4,0)</f>
        <v>40.187476705180764</v>
      </c>
      <c r="H69" s="367">
        <f>VLOOKUP(Tabla3[[#This Row],[PATENTE]],'SEPTIEMBRE 2024'!$A:$D,4,0)</f>
        <v>42.399403578528826</v>
      </c>
      <c r="I69" s="367">
        <f>VLOOKUP(Tabla3[[#This Row],[PATENTE]],'OCTUBRE 2024'!$A:$D,4,0)</f>
        <v>36.104256756756762</v>
      </c>
      <c r="J69" s="392">
        <f>VLOOKUP(Tabla3[[#This Row],[PATENTE]],'NOVIEMBRE 2024'!$A:$D,4,0)</f>
        <v>37.198774733007703</v>
      </c>
      <c r="K69" s="392">
        <f>VLOOKUP(Tabla3[[#This Row],[PATENTE]],'DICIEMBRE 2024'!$A:$D,4,0)</f>
        <v>38.539129144722203</v>
      </c>
      <c r="L69" s="392">
        <f>VLOOKUP(Tabla3[[#This Row],[PATENTE]],'ENERO 2025'!$A:$D,4,0)</f>
        <v>41.153708987161195</v>
      </c>
      <c r="M69" s="392">
        <f>VLOOKUP(Tabla3[[#This Row],[PATENTE]],'FEBRERO 2025'!$A:$D,4,0)</f>
        <v>36.545691644096692</v>
      </c>
      <c r="N69" s="392">
        <f>VLOOKUP(Tabla3[[#This Row],[PATENTE]],'MARZO 2025'!$A:$D,4,0)</f>
        <v>37.610552763819094</v>
      </c>
      <c r="O69" s="392">
        <f>VLOOKUP(Tabla3[[#This Row],[PATENTE]],'ABRIL 2025'!$A:$D,4,0)</f>
        <v>37.241070015301005</v>
      </c>
      <c r="P69" s="392">
        <f>VLOOKUP(Tabla3[[#This Row],[PATENTE]],'MAYO 2025'!$A:$D,4,0)</f>
        <v>37.727320125130341</v>
      </c>
      <c r="Q69" s="392">
        <f>VLOOKUP(Tabla3[[#This Row],[PATENTE]],'JUNIO 2025'!$A:$D,4,0)</f>
        <v>33.571259770950732</v>
      </c>
      <c r="R69" s="392">
        <f>VLOOKUP(Tabla3[[#This Row],[PATENTE]],'JULIO 2025'!$A:$D,4,0)</f>
        <v>35.264140300497417</v>
      </c>
      <c r="S69" s="392">
        <f>VLOOKUP(Tabla3[[#This Row],[PATENTE]],'AGOSTO 2025'!$A:$D,4,0)</f>
        <v>35.424214959748355</v>
      </c>
      <c r="T69" s="392">
        <f>VLOOKUP(Tabla3[[#This Row],[PATENTE]],'SEPTIEMBRE 2025'!$A:$D,4,0)</f>
        <v>35.531621874582157</v>
      </c>
      <c r="U69" s="392">
        <f>VLOOKUP(Tabla3[[#This Row],[PATENTE]],'OCTUBRE 2025'!$A:$D,4,0)</f>
        <v>34.684449422306059</v>
      </c>
      <c r="V69" s="460">
        <f t="shared" ref="V69:V79" si="34">AVERAGE(D69:U69)</f>
        <v>37.340349771461078</v>
      </c>
    </row>
    <row r="70" spans="1:22" x14ac:dyDescent="0.3">
      <c r="A70" s="457"/>
      <c r="B70" s="324" t="s">
        <v>1094</v>
      </c>
      <c r="C70" s="328" t="s">
        <v>1108</v>
      </c>
      <c r="D70" s="350">
        <f>VLOOKUP(Tabla3[[#This Row],[PATENTE]],'MAYO 2024'!$A:$D,4,0)</f>
        <v>35.966735966735968</v>
      </c>
      <c r="E70" s="350">
        <f>VLOOKUP(Tabla3[[#This Row],[PATENTE]],'JUNIO 2024'!$A:$D,4,0)</f>
        <v>34.199541419248632</v>
      </c>
      <c r="F70" s="350">
        <f>VLOOKUP(Tabla3[[#This Row],[PATENTE]],'JULIO 2024'!$A:$D,4,0)</f>
        <v>36.278387627216567</v>
      </c>
      <c r="G70" s="350">
        <f>VLOOKUP(Tabla3[[#This Row],[PATENTE]],'AGOSTO 2024'!$A:$D,4,0)</f>
        <v>37.393057176196031</v>
      </c>
      <c r="H70" s="350">
        <f>VLOOKUP(Tabla3[[#This Row],[PATENTE]],'SEPTIEMBRE 2024'!$A:$D,4,0)</f>
        <v>31.714697948685782</v>
      </c>
      <c r="I70" s="350">
        <f>VLOOKUP(Tabla3[[#This Row],[PATENTE]],'OCTUBRE 2024'!$A:$D,4,0)</f>
        <v>35.781875530753368</v>
      </c>
      <c r="J70" s="393">
        <f>VLOOKUP(Tabla3[[#This Row],[PATENTE]],'NOVIEMBRE 2024'!$A:$D,4,0)</f>
        <v>37.20662956690056</v>
      </c>
      <c r="K70" s="393"/>
      <c r="L70" s="350">
        <f>VLOOKUP(Tabla3[[#This Row],[PATENTE]],'ENERO 2025'!$A:$D,4,0)</f>
        <v>38.788899430740038</v>
      </c>
      <c r="M70" s="350">
        <f>VLOOKUP(Tabla3[[#This Row],[PATENTE]],'FEBRERO 2025'!$A:$D,4,0)</f>
        <v>39.000080321285139</v>
      </c>
      <c r="N70" s="350">
        <f>VLOOKUP(Tabla3[[#This Row],[PATENTE]],'MARZO 2025'!$A:$D,4,0)</f>
        <v>36.51200335464933</v>
      </c>
      <c r="O70" s="350">
        <f>VLOOKUP(Tabla3[[#This Row],[PATENTE]],'ABRIL 2025'!$A:$D,4,0)</f>
        <v>36.142608190531512</v>
      </c>
      <c r="P70" s="350">
        <f>VLOOKUP(Tabla3[[#This Row],[PATENTE]],'MAYO 2025'!$A:$D,4,0)</f>
        <v>35.176028481012658</v>
      </c>
      <c r="Q70" s="350">
        <f>VLOOKUP(Tabla3[[#This Row],[PATENTE]],'JUNIO 2025'!$A:$D,4,0)</f>
        <v>34.67122125895213</v>
      </c>
      <c r="R70" s="350">
        <f>VLOOKUP(Tabla3[[#This Row],[PATENTE]],'JULIO 2025'!$A:$D,4,0)</f>
        <v>36.374169483622801</v>
      </c>
      <c r="S70" s="350">
        <f>VLOOKUP(Tabla3[[#This Row],[PATENTE]],'AGOSTO 2025'!$A:$D,4,0)</f>
        <v>34.219232216785841</v>
      </c>
      <c r="T70" s="350">
        <f>VLOOKUP(Tabla3[[#This Row],[PATENTE]],'SEPTIEMBRE 2025'!$A:$D,4,0)</f>
        <v>35.410219354838709</v>
      </c>
      <c r="U70" s="350">
        <f>VLOOKUP(Tabla3[[#This Row],[PATENTE]],'OCTUBRE 2025'!$A:$D,4,0)</f>
        <v>35.137348024316111</v>
      </c>
      <c r="V70" s="460">
        <f t="shared" si="34"/>
        <v>35.880749138380658</v>
      </c>
    </row>
    <row r="71" spans="1:22" x14ac:dyDescent="0.3">
      <c r="A71" s="457"/>
      <c r="B71" s="324" t="s">
        <v>424</v>
      </c>
      <c r="C71" s="328" t="s">
        <v>1108</v>
      </c>
      <c r="D71" s="350">
        <f>VLOOKUP(Tabla3[[#This Row],[PATENTE]],'MAYO 2024'!$A:$D,4,0)</f>
        <v>34.744609212694321</v>
      </c>
      <c r="E71" s="350">
        <f>VLOOKUP(Tabla3[[#This Row],[PATENTE]],'JUNIO 2024'!$A:$D,4,0)</f>
        <v>34.217398874122225</v>
      </c>
      <c r="F71" s="350">
        <f>VLOOKUP(Tabla3[[#This Row],[PATENTE]],'JULIO 2024'!$A:$D,4,0)</f>
        <v>35.128633150039278</v>
      </c>
      <c r="G71" s="350">
        <f>VLOOKUP(Tabla3[[#This Row],[PATENTE]],'AGOSTO 2024'!$A:$D,4,0)</f>
        <v>36.201502337553187</v>
      </c>
      <c r="H71" s="350">
        <f>VLOOKUP(Tabla3[[#This Row],[PATENTE]],'SEPTIEMBRE 2024'!$A:$D,4,0)</f>
        <v>34.379035081576923</v>
      </c>
      <c r="I71" s="350">
        <f>VLOOKUP(Tabla3[[#This Row],[PATENTE]],'OCTUBRE 2024'!$A:$D,4,0)</f>
        <v>34.574763049936344</v>
      </c>
      <c r="J71" s="393">
        <f>VLOOKUP(Tabla3[[#This Row],[PATENTE]],'NOVIEMBRE 2024'!$A:$D,4,0)</f>
        <v>35.414647406026717</v>
      </c>
      <c r="K71" s="393">
        <f>VLOOKUP(Tabla3[[#This Row],[PATENTE]],'DICIEMBRE 2024'!$A:$D,4,0)</f>
        <v>34.738066549263138</v>
      </c>
      <c r="L71" s="350">
        <f>VLOOKUP(Tabla3[[#This Row],[PATENTE]],'ENERO 2025'!$A:$D,4,0)</f>
        <v>34.346720293369607</v>
      </c>
      <c r="M71" s="350">
        <f>VLOOKUP(Tabla3[[#This Row],[PATENTE]],'FEBRERO 2025'!$A:$D,4,0)</f>
        <v>35.590830073880916</v>
      </c>
      <c r="N71" s="350">
        <f>VLOOKUP(Tabla3[[#This Row],[PATENTE]],'MARZO 2025'!$A:$D,4,0)</f>
        <v>33.890759698275865</v>
      </c>
      <c r="O71" s="350">
        <f>VLOOKUP(Tabla3[[#This Row],[PATENTE]],'ABRIL 2025'!$A:$D,4,0)</f>
        <v>35.49009327977123</v>
      </c>
      <c r="P71" s="350">
        <f>VLOOKUP(Tabla3[[#This Row],[PATENTE]],'MAYO 2025'!$A:$D,4,0)</f>
        <v>34.211019638960522</v>
      </c>
      <c r="Q71" s="350">
        <f>VLOOKUP(Tabla3[[#This Row],[PATENTE]],'JUNIO 2025'!$A:$D,4,0)</f>
        <v>33.60302354668552</v>
      </c>
      <c r="R71" s="350">
        <f>VLOOKUP(Tabla3[[#This Row],[PATENTE]],'JULIO 2025'!$A:$D,4,0)</f>
        <v>34.828530043454371</v>
      </c>
      <c r="S71" s="350">
        <f>VLOOKUP(Tabla3[[#This Row],[PATENTE]],'AGOSTO 2025'!$A:$D,4,0)</f>
        <v>33.237224023467654</v>
      </c>
      <c r="T71" s="350">
        <f>VLOOKUP(Tabla3[[#This Row],[PATENTE]],'SEPTIEMBRE 2025'!$A:$D,4,0)</f>
        <v>34.863414320606765</v>
      </c>
      <c r="U71" s="350">
        <f>VLOOKUP(Tabla3[[#This Row],[PATENTE]],'OCTUBRE 2025'!$A:$D,4,0)</f>
        <v>34.755075947424949</v>
      </c>
      <c r="V71" s="460">
        <f t="shared" si="34"/>
        <v>34.678630362617206</v>
      </c>
    </row>
    <row r="72" spans="1:22" x14ac:dyDescent="0.3">
      <c r="A72" s="457"/>
      <c r="B72" s="324" t="s">
        <v>438</v>
      </c>
      <c r="C72" s="328" t="s">
        <v>1108</v>
      </c>
      <c r="D72" s="350">
        <f>VLOOKUP(Tabla3[[#This Row],[PATENTE]],'MAYO 2024'!$A:$D,4,0)</f>
        <v>36.64632187600386</v>
      </c>
      <c r="E72" s="350">
        <f>VLOOKUP(Tabla3[[#This Row],[PATENTE]],'JUNIO 2024'!$A:$D,4,0)</f>
        <v>34.43848851829793</v>
      </c>
      <c r="F72" s="350">
        <f>VLOOKUP(Tabla3[[#This Row],[PATENTE]],'JULIO 2024'!$A:$D,4,0)</f>
        <v>36.006145868343978</v>
      </c>
      <c r="G72" s="350">
        <f>VLOOKUP(Tabla3[[#This Row],[PATENTE]],'AGOSTO 2024'!$A:$D,4,0)</f>
        <v>38.128190584231426</v>
      </c>
      <c r="H72" s="350">
        <f>VLOOKUP(Tabla3[[#This Row],[PATENTE]],'SEPTIEMBRE 2024'!$A:$D,4,0)</f>
        <v>36.799982523593151</v>
      </c>
      <c r="I72" s="350">
        <f>VLOOKUP(Tabla3[[#This Row],[PATENTE]],'OCTUBRE 2024'!$A:$D,4,0)</f>
        <v>35.020599416497213</v>
      </c>
      <c r="J72" s="393">
        <f>VLOOKUP(Tabla3[[#This Row],[PATENTE]],'NOVIEMBRE 2024'!$A:$D,4,0)</f>
        <v>35.783907888424366</v>
      </c>
      <c r="K72" s="393">
        <f>VLOOKUP(Tabla3[[#This Row],[PATENTE]],'DICIEMBRE 2024'!$A:$D,4,0)</f>
        <v>36.60128134145377</v>
      </c>
      <c r="L72" s="350">
        <f>VLOOKUP(Tabla3[[#This Row],[PATENTE]],'ENERO 2025'!$A:$D,4,0)</f>
        <v>35.795426360434547</v>
      </c>
      <c r="M72" s="350">
        <f>VLOOKUP(Tabla3[[#This Row],[PATENTE]],'FEBRERO 2025'!$A:$D,4,0)</f>
        <v>35.550830458156142</v>
      </c>
      <c r="N72" s="350">
        <f>VLOOKUP(Tabla3[[#This Row],[PATENTE]],'MARZO 2025'!$A:$D,4,0)</f>
        <v>0</v>
      </c>
      <c r="O72" s="350">
        <f>VLOOKUP(Tabla3[[#This Row],[PATENTE]],'ABRIL 2025'!$A:$D,4,0)</f>
        <v>34.442623987854248</v>
      </c>
      <c r="P72" s="350">
        <f>VLOOKUP(Tabla3[[#This Row],[PATENTE]],'MAYO 2025'!$A:$D,4,0)</f>
        <v>34.274767304112366</v>
      </c>
      <c r="Q72" s="350">
        <f>VLOOKUP(Tabla3[[#This Row],[PATENTE]],'JUNIO 2025'!$A:$D,4,0)</f>
        <v>34.671435272045024</v>
      </c>
      <c r="R72" s="350">
        <f>VLOOKUP(Tabla3[[#This Row],[PATENTE]],'JULIO 2025'!$A:$D,4,0)</f>
        <v>33.166000532907006</v>
      </c>
      <c r="S72" s="432">
        <f>VLOOKUP(Tabla3[[#This Row],[PATENTE]],'AGOSTO 2025'!$A:$D,4,0)</f>
        <v>40.033682504774582</v>
      </c>
      <c r="T72" s="439">
        <f>VLOOKUP(Tabla3[[#This Row],[PATENTE]],'SEPTIEMBRE 2025'!$A:$D,4,0)</f>
        <v>33.315146677309919</v>
      </c>
      <c r="U72" s="439">
        <f>VLOOKUP(Tabla3[[#This Row],[PATENTE]],'OCTUBRE 2025'!$A:$D,4,0)</f>
        <v>33.652463549522373</v>
      </c>
      <c r="V72" s="460">
        <f t="shared" si="34"/>
        <v>33.573738592442325</v>
      </c>
    </row>
    <row r="73" spans="1:22" x14ac:dyDescent="0.3">
      <c r="A73" s="457"/>
      <c r="B73" s="324" t="s">
        <v>1117</v>
      </c>
      <c r="C73" s="328" t="s">
        <v>1108</v>
      </c>
      <c r="D73" s="350">
        <f>VLOOKUP(Tabla3[[#This Row],[PATENTE]],'MAYO 2024'!$A:$D,4,0)</f>
        <v>36.365869234170063</v>
      </c>
      <c r="E73" s="350">
        <f>VLOOKUP(Tabla3[[#This Row],[PATENTE]],'JUNIO 2024'!$A:$D,4,0)</f>
        <v>35.860865996306181</v>
      </c>
      <c r="F73" s="350">
        <f>VLOOKUP(Tabla3[[#This Row],[PATENTE]],'JULIO 2024'!$A:$D,4,0)</f>
        <v>35.881967213114748</v>
      </c>
      <c r="G73" s="350">
        <f>VLOOKUP(Tabla3[[#This Row],[PATENTE]],'AGOSTO 2024'!$A:$D,4,0)</f>
        <v>35.562785041045913</v>
      </c>
      <c r="H73" s="350">
        <f>VLOOKUP(Tabla3[[#This Row],[PATENTE]],'SEPTIEMBRE 2024'!$A:$D,4,0)</f>
        <v>36.397058823529413</v>
      </c>
      <c r="I73" s="350">
        <f>VLOOKUP(Tabla3[[#This Row],[PATENTE]],'OCTUBRE 2024'!$A:$D,4,0)</f>
        <v>36.082970874855476</v>
      </c>
      <c r="J73" s="393">
        <f>VLOOKUP(Tabla3[[#This Row],[PATENTE]],'NOVIEMBRE 2024'!$A:$D,4,0)</f>
        <v>35.820921770770163</v>
      </c>
      <c r="K73" s="393">
        <f>VLOOKUP(Tabla3[[#This Row],[PATENTE]],'DICIEMBRE 2024'!$A:$D,4,0)</f>
        <v>34.016999872660129</v>
      </c>
      <c r="L73" s="350">
        <f>VLOOKUP(Tabla3[[#This Row],[PATENTE]],'ENERO 2025'!$A:$D,4,0)</f>
        <v>36.328284895620136</v>
      </c>
      <c r="M73" s="350">
        <f>VLOOKUP(Tabla3[[#This Row],[PATENTE]],'FEBRERO 2025'!$A:$D,4,0)</f>
        <v>36.649317758941493</v>
      </c>
      <c r="N73" s="350">
        <f>VLOOKUP(Tabla3[[#This Row],[PATENTE]],'MARZO 2025'!$A:$D,4,0)</f>
        <v>34.324841667454393</v>
      </c>
      <c r="O73" s="350">
        <f>VLOOKUP(Tabla3[[#This Row],[PATENTE]],'ABRIL 2025'!$A:$D,4,0)</f>
        <v>35.081967213114758</v>
      </c>
      <c r="P73" s="350">
        <f>VLOOKUP(Tabla3[[#This Row],[PATENTE]],'MAYO 2025'!$A:$D,4,0)</f>
        <v>34.400825262192676</v>
      </c>
      <c r="Q73" s="350">
        <f>VLOOKUP(Tabla3[[#This Row],[PATENTE]],'JUNIO 2025'!$A:$D,4,0)</f>
        <v>35.297928994082838</v>
      </c>
      <c r="R73" s="350">
        <f>VLOOKUP(Tabla3[[#This Row],[PATENTE]],'JULIO 2025'!$A:$D,4,0)</f>
        <v>33.041895214677517</v>
      </c>
      <c r="S73" s="350">
        <f>VLOOKUP(Tabla3[[#This Row],[PATENTE]],'AGOSTO 2025'!$A:$D,4,0)</f>
        <v>33.909856566790872</v>
      </c>
      <c r="T73" s="350">
        <f>VLOOKUP(Tabla3[[#This Row],[PATENTE]],'SEPTIEMBRE 2025'!$A:$D,4,0)</f>
        <v>34.963053892215569</v>
      </c>
      <c r="U73" s="350">
        <f>VLOOKUP(Tabla3[[#This Row],[PATENTE]],'OCTUBRE 2025'!$A:$D,4,0)</f>
        <v>33.909306742640076</v>
      </c>
      <c r="V73" s="460">
        <f t="shared" si="34"/>
        <v>35.216484279676791</v>
      </c>
    </row>
    <row r="74" spans="1:22" x14ac:dyDescent="0.3">
      <c r="A74" s="457"/>
      <c r="B74" s="324" t="s">
        <v>1095</v>
      </c>
      <c r="C74" s="328" t="s">
        <v>1108</v>
      </c>
      <c r="D74" s="350">
        <f>VLOOKUP(Tabla3[[#This Row],[PATENTE]],'MAYO 2024'!$A:$D,4,0)</f>
        <v>36.295016951320925</v>
      </c>
      <c r="E74" s="350">
        <f>VLOOKUP(Tabla3[[#This Row],[PATENTE]],'JUNIO 2024'!$A:$D,4,0)</f>
        <v>35.747638756234743</v>
      </c>
      <c r="F74" s="350">
        <f>VLOOKUP(Tabla3[[#This Row],[PATENTE]],'JULIO 2024'!$A:$D,4,0)</f>
        <v>37.413862991487633</v>
      </c>
      <c r="G74" s="350">
        <f>VLOOKUP(Tabla3[[#This Row],[PATENTE]],'AGOSTO 2024'!$A:$D,4,0)</f>
        <v>37.983013917915429</v>
      </c>
      <c r="H74" s="350">
        <f>VLOOKUP(Tabla3[[#This Row],[PATENTE]],'SEPTIEMBRE 2024'!$A:$D,4,0)</f>
        <v>37.620708990094073</v>
      </c>
      <c r="I74" s="350">
        <f>VLOOKUP(Tabla3[[#This Row],[PATENTE]],'OCTUBRE 2024'!$A:$D,4,0)</f>
        <v>36.401252516215607</v>
      </c>
      <c r="J74" s="393">
        <f>VLOOKUP(Tabla3[[#This Row],[PATENTE]],'NOVIEMBRE 2024'!$A:$D,4,0)</f>
        <v>37.061443651229482</v>
      </c>
      <c r="K74" s="393">
        <f>VLOOKUP(Tabla3[[#This Row],[PATENTE]],'DICIEMBRE 2024'!$A:$D,4,0)</f>
        <v>36.05612484093497</v>
      </c>
      <c r="L74" s="350">
        <f>VLOOKUP(Tabla3[[#This Row],[PATENTE]],'ENERO 2025'!$A:$D,4,0)</f>
        <v>38.238502612390199</v>
      </c>
      <c r="M74" s="350">
        <f>VLOOKUP(Tabla3[[#This Row],[PATENTE]],'FEBRERO 2025'!$A:$D,4,0)</f>
        <v>35.980722536972998</v>
      </c>
      <c r="N74" s="350">
        <f>VLOOKUP(Tabla3[[#This Row],[PATENTE]],'MARZO 2025'!$A:$D,4,0)</f>
        <v>32.939286586855602</v>
      </c>
      <c r="O74" s="350"/>
      <c r="P74" s="350"/>
      <c r="Q74" s="350"/>
      <c r="R74" s="350"/>
      <c r="S74" s="350"/>
      <c r="T74" s="350"/>
      <c r="U74" s="350"/>
      <c r="V74" s="460">
        <f t="shared" si="34"/>
        <v>36.521597668331971</v>
      </c>
    </row>
    <row r="75" spans="1:22" x14ac:dyDescent="0.3">
      <c r="A75" s="457"/>
      <c r="B75" s="324" t="s">
        <v>440</v>
      </c>
      <c r="C75" s="328" t="s">
        <v>1108</v>
      </c>
      <c r="D75" s="350">
        <f>VLOOKUP(Tabla3[[#This Row],[PATENTE]],'MAYO 2024'!$A:$D,4,0)</f>
        <v>35.966692323840178</v>
      </c>
      <c r="E75" s="350">
        <f>VLOOKUP(Tabla3[[#This Row],[PATENTE]],'JUNIO 2024'!$A:$D,4,0)</f>
        <v>35.110807269412639</v>
      </c>
      <c r="F75" s="350">
        <f>VLOOKUP(Tabla3[[#This Row],[PATENTE]],'JULIO 2024'!$A:$D,4,0)</f>
        <v>36.507469997550821</v>
      </c>
      <c r="G75" s="350">
        <f>VLOOKUP(Tabla3[[#This Row],[PATENTE]],'AGOSTO 2024'!$A:$D,4,0)</f>
        <v>39.05606304854021</v>
      </c>
      <c r="H75" s="350">
        <f>VLOOKUP(Tabla3[[#This Row],[PATENTE]],'SEPTIEMBRE 2024'!$A:$D,4,0)</f>
        <v>36.488422533559998</v>
      </c>
      <c r="I75" s="350">
        <f>VLOOKUP(Tabla3[[#This Row],[PATENTE]],'OCTUBRE 2024'!$A:$D,4,0)</f>
        <v>35.236359425660027</v>
      </c>
      <c r="J75" s="393">
        <f>VLOOKUP(Tabla3[[#This Row],[PATENTE]],'NOVIEMBRE 2024'!$A:$D,4,0)</f>
        <v>36.928402259063581</v>
      </c>
      <c r="K75" s="393">
        <f>VLOOKUP(Tabla3[[#This Row],[PATENTE]],'DICIEMBRE 2024'!$A:$D,4,0)</f>
        <v>36.187669724770636</v>
      </c>
      <c r="L75" s="350">
        <f>VLOOKUP(Tabla3[[#This Row],[PATENTE]],'ENERO 2025'!$A:$D,4,0)</f>
        <v>37.412369701181383</v>
      </c>
      <c r="M75" s="350">
        <f>VLOOKUP(Tabla3[[#This Row],[PATENTE]],'FEBRERO 2025'!$A:$D,4,0)</f>
        <v>39.105156723963603</v>
      </c>
      <c r="N75" s="350">
        <f>VLOOKUP(Tabla3[[#This Row],[PATENTE]],'MARZO 2025'!$A:$D,4,0)</f>
        <v>36.097269239449339</v>
      </c>
      <c r="O75" s="350">
        <f>VLOOKUP(Tabla3[[#This Row],[PATENTE]],'ABRIL 2025'!$A:$D,4,0)</f>
        <v>37.134754444109674</v>
      </c>
      <c r="P75" s="350">
        <f>VLOOKUP(Tabla3[[#This Row],[PATENTE]],'MAYO 2025'!$A:$D,4,0)</f>
        <v>38.694285714285712</v>
      </c>
      <c r="Q75" s="350">
        <f>VLOOKUP(Tabla3[[#This Row],[PATENTE]],'JUNIO 2025'!$A:$D,4,0)</f>
        <v>32.114085341762149</v>
      </c>
      <c r="R75" s="350">
        <f>VLOOKUP(Tabla3[[#This Row],[PATENTE]],'JULIO 2025'!$A:$D,4,0)</f>
        <v>35.437559580552907</v>
      </c>
      <c r="S75" s="350">
        <f>VLOOKUP(Tabla3[[#This Row],[PATENTE]],'AGOSTO 2025'!$A:$D,4,0)</f>
        <v>35.086514456901632</v>
      </c>
      <c r="T75" s="350">
        <f>VLOOKUP(Tabla3[[#This Row],[PATENTE]],'SEPTIEMBRE 2025'!$A:$D,4,0)</f>
        <v>36.425897586815772</v>
      </c>
      <c r="U75" s="350">
        <f>VLOOKUP(Tabla3[[#This Row],[PATENTE]],'OCTUBRE 2025'!$A:$D,4,0)</f>
        <v>31.412251227707422</v>
      </c>
      <c r="V75" s="460">
        <f t="shared" si="34"/>
        <v>36.133446144395982</v>
      </c>
    </row>
    <row r="76" spans="1:22" x14ac:dyDescent="0.3">
      <c r="A76" s="457"/>
      <c r="B76" s="324" t="s">
        <v>422</v>
      </c>
      <c r="C76" s="328" t="s">
        <v>1108</v>
      </c>
      <c r="D76" s="350">
        <f>VLOOKUP(Tabla3[[#This Row],[PATENTE]],'MAYO 2024'!$A:$D,4,0)</f>
        <v>34.817034025251445</v>
      </c>
      <c r="E76" s="350">
        <f>VLOOKUP(Tabla3[[#This Row],[PATENTE]],'JUNIO 2024'!$A:$D,4,0)</f>
        <v>35.919800634345265</v>
      </c>
      <c r="F76" s="350">
        <f>VLOOKUP(Tabla3[[#This Row],[PATENTE]],'JULIO 2024'!$A:$D,4,0)</f>
        <v>34.819626950145185</v>
      </c>
      <c r="G76" s="350">
        <f>VLOOKUP(Tabla3[[#This Row],[PATENTE]],'AGOSTO 2024'!$A:$D,4,0)</f>
        <v>35.577904095612887</v>
      </c>
      <c r="H76" s="350">
        <f>VLOOKUP(Tabla3[[#This Row],[PATENTE]],'SEPTIEMBRE 2024'!$A:$D,4,0)</f>
        <v>36.466293001491238</v>
      </c>
      <c r="I76" s="350">
        <f>VLOOKUP(Tabla3[[#This Row],[PATENTE]],'OCTUBRE 2024'!$A:$D,4,0)</f>
        <v>36.427118966172564</v>
      </c>
      <c r="J76" s="393">
        <f>VLOOKUP(Tabla3[[#This Row],[PATENTE]],'NOVIEMBRE 2024'!$A:$D,4,0)</f>
        <v>33.981716956491852</v>
      </c>
      <c r="K76" s="393">
        <f>VLOOKUP(Tabla3[[#This Row],[PATENTE]],'DICIEMBRE 2024'!$A:$D,4,0)</f>
        <v>35.458629184176203</v>
      </c>
      <c r="L76" s="350">
        <f>VLOOKUP(Tabla3[[#This Row],[PATENTE]],'ENERO 2025'!$A:$D,4,0)</f>
        <v>35.225681873038859</v>
      </c>
      <c r="M76" s="350">
        <f>VLOOKUP(Tabla3[[#This Row],[PATENTE]],'FEBRERO 2025'!$A:$D,4,0)</f>
        <v>36.12967446865752</v>
      </c>
      <c r="N76" s="350">
        <f>VLOOKUP(Tabla3[[#This Row],[PATENTE]],'MARZO 2025'!$A:$D,4,0)</f>
        <v>35.339156750808172</v>
      </c>
      <c r="O76" s="350">
        <f>VLOOKUP(Tabla3[[#This Row],[PATENTE]],'ABRIL 2025'!$A:$D,4,0)</f>
        <v>35.041642342868265</v>
      </c>
      <c r="P76" s="350">
        <f>VLOOKUP(Tabla3[[#This Row],[PATENTE]],'MAYO 2025'!$A:$D,4,0)</f>
        <v>35.143379552034141</v>
      </c>
      <c r="Q76" s="350">
        <f>VLOOKUP(Tabla3[[#This Row],[PATENTE]],'JUNIO 2025'!$A:$D,4,0)</f>
        <v>34.553914626744891</v>
      </c>
      <c r="R76" s="350">
        <f>VLOOKUP(Tabla3[[#This Row],[PATENTE]],'JULIO 2025'!$A:$D,4,0)</f>
        <v>35.396114954763178</v>
      </c>
      <c r="S76" s="350">
        <f>VLOOKUP(Tabla3[[#This Row],[PATENTE]],'AGOSTO 2025'!$A:$D,4,0)</f>
        <v>35.187553282182435</v>
      </c>
      <c r="T76" s="350">
        <f>VLOOKUP(Tabla3[[#This Row],[PATENTE]],'SEPTIEMBRE 2025'!$A:$D,4,0)</f>
        <v>34.67336448598131</v>
      </c>
      <c r="U76" s="350">
        <f>VLOOKUP(Tabla3[[#This Row],[PATENTE]],'OCTUBRE 2025'!$A:$D,4,0)</f>
        <v>34.825467553658846</v>
      </c>
      <c r="V76" s="460">
        <f t="shared" si="34"/>
        <v>35.276892983579131</v>
      </c>
    </row>
    <row r="77" spans="1:22" x14ac:dyDescent="0.3">
      <c r="A77" s="457"/>
      <c r="B77" s="324" t="s">
        <v>581</v>
      </c>
      <c r="C77" s="328" t="s">
        <v>1106</v>
      </c>
      <c r="D77" s="350">
        <f>VLOOKUP(Tabla3[[#This Row],[PATENTE]],'MAYO 2024'!$A:$D,4,0)</f>
        <v>34.507249216300941</v>
      </c>
      <c r="E77" s="350">
        <f>VLOOKUP(Tabla3[[#This Row],[PATENTE]],'JUNIO 2024'!$A:$D,4,0)</f>
        <v>34.106198434525069</v>
      </c>
      <c r="F77" s="350">
        <f>VLOOKUP(Tabla3[[#This Row],[PATENTE]],'JULIO 2024'!$A:$D,4,0)</f>
        <v>33.86573058358929</v>
      </c>
      <c r="G77" s="350">
        <f>VLOOKUP(Tabla3[[#This Row],[PATENTE]],'AGOSTO 2024'!$A:$D,4,0)</f>
        <v>34.095315427857585</v>
      </c>
      <c r="H77" s="350">
        <f>VLOOKUP(Tabla3[[#This Row],[PATENTE]],'SEPTIEMBRE 2024'!$A:$D,4,0)</f>
        <v>34.797315436241611</v>
      </c>
      <c r="I77" s="350">
        <f>VLOOKUP(Tabla3[[#This Row],[PATENTE]],'OCTUBRE 2024'!$A:$D,4,0)</f>
        <v>33.421822272215977</v>
      </c>
      <c r="J77" s="393">
        <f>VLOOKUP(Tabla3[[#This Row],[PATENTE]],'NOVIEMBRE 2024'!$A:$D,4,0)</f>
        <v>33.271388257966827</v>
      </c>
      <c r="K77" s="393">
        <f>VLOOKUP(Tabla3[[#This Row],[PATENTE]],'DICIEMBRE 2024'!$A:$D,4,0)</f>
        <v>32.851563270539501</v>
      </c>
      <c r="L77" s="350">
        <f>VLOOKUP(Tabla3[[#This Row],[PATENTE]],'ENERO 2025'!$A:$D,4,0)</f>
        <v>33.44002105363893</v>
      </c>
      <c r="M77" s="350">
        <f>VLOOKUP(Tabla3[[#This Row],[PATENTE]],'FEBRERO 2025'!$A:$D,4,0)</f>
        <v>34.136800889447478</v>
      </c>
      <c r="N77" s="350">
        <f>VLOOKUP(Tabla3[[#This Row],[PATENTE]],'MARZO 2025'!$A:$D,4,0)</f>
        <v>32.465342793568155</v>
      </c>
      <c r="O77" s="350">
        <f>VLOOKUP(Tabla3[[#This Row],[PATENTE]],'ABRIL 2025'!$A:$D,4,0)</f>
        <v>33.292460404350045</v>
      </c>
      <c r="P77" s="350">
        <f>VLOOKUP(Tabla3[[#This Row],[PATENTE]],'MAYO 2025'!$A:$D,4,0)</f>
        <v>32.768604703448894</v>
      </c>
      <c r="Q77" s="350">
        <f>VLOOKUP(Tabla3[[#This Row],[PATENTE]],'JUNIO 2025'!$A:$D,4,0)</f>
        <v>33.758278621747259</v>
      </c>
      <c r="R77" s="350">
        <f>VLOOKUP(Tabla3[[#This Row],[PATENTE]],'JULIO 2025'!$A:$D,4,0)</f>
        <v>34.467760563941219</v>
      </c>
      <c r="S77" s="350">
        <f>VLOOKUP(Tabla3[[#This Row],[PATENTE]],'AGOSTO 2025'!$A:$D,4,0)</f>
        <v>33.639417576703067</v>
      </c>
      <c r="T77" s="350">
        <f>VLOOKUP(Tabla3[[#This Row],[PATENTE]],'SEPTIEMBRE 2025'!$A:$D,4,0)</f>
        <v>33.332986472424551</v>
      </c>
      <c r="U77" s="350">
        <f>VLOOKUP(Tabla3[[#This Row],[PATENTE]],'OCTUBRE 2025'!$A:$D,4,0)</f>
        <v>33.685683530678148</v>
      </c>
      <c r="V77" s="460">
        <f t="shared" si="34"/>
        <v>33.661329972732474</v>
      </c>
    </row>
    <row r="78" spans="1:22" x14ac:dyDescent="0.3">
      <c r="A78" s="457"/>
      <c r="B78" s="324" t="s">
        <v>1096</v>
      </c>
      <c r="C78" s="328" t="s">
        <v>1106</v>
      </c>
      <c r="D78" s="350">
        <f>VLOOKUP(Tabla3[[#This Row],[PATENTE]],'MAYO 2024'!$A:$D,4,0)</f>
        <v>35.8450864422202</v>
      </c>
      <c r="E78" s="350">
        <f>VLOOKUP(Tabla3[[#This Row],[PATENTE]],'JUNIO 2024'!$A:$D,4,0)</f>
        <v>35.71867636512652</v>
      </c>
      <c r="F78" s="350">
        <f>VLOOKUP(Tabla3[[#This Row],[PATENTE]],'JULIO 2024'!$A:$D,4,0)</f>
        <v>38.173284660657082</v>
      </c>
      <c r="G78" s="350">
        <f>VLOOKUP(Tabla3[[#This Row],[PATENTE]],'AGOSTO 2024'!$A:$D,4,0)</f>
        <v>35.808036679787186</v>
      </c>
      <c r="H78" s="350">
        <f>VLOOKUP(Tabla3[[#This Row],[PATENTE]],'SEPTIEMBRE 2024'!$A:$D,4,0)</f>
        <v>33.96244630013998</v>
      </c>
      <c r="I78" s="350">
        <f>VLOOKUP(Tabla3[[#This Row],[PATENTE]],'OCTUBRE 2024'!$A:$D,4,0)</f>
        <v>33.654378308106601</v>
      </c>
      <c r="J78" s="393">
        <f>VLOOKUP(Tabla3[[#This Row],[PATENTE]],'NOVIEMBRE 2024'!$A:$D,4,0)</f>
        <v>35.515788214344852</v>
      </c>
      <c r="K78" s="393">
        <f>VLOOKUP(Tabla3[[#This Row],[PATENTE]],'DICIEMBRE 2024'!$A:$D,4,0)</f>
        <v>34.603839836891886</v>
      </c>
      <c r="L78" s="350">
        <f>VLOOKUP(Tabla3[[#This Row],[PATENTE]],'ENERO 2025'!$A:$D,4,0)</f>
        <v>36.430916144434498</v>
      </c>
      <c r="M78" s="350">
        <f>VLOOKUP(Tabla3[[#This Row],[PATENTE]],'FEBRERO 2025'!$A:$D,4,0)</f>
        <v>36.514758786089843</v>
      </c>
      <c r="N78" s="350">
        <f>VLOOKUP(Tabla3[[#This Row],[PATENTE]],'MARZO 2025'!$A:$D,4,0)</f>
        <v>34.161817183639862</v>
      </c>
      <c r="O78" s="350">
        <f>VLOOKUP(Tabla3[[#This Row],[PATENTE]],'ABRIL 2025'!$A:$D,4,0)</f>
        <v>33.540649812460423</v>
      </c>
      <c r="P78" s="350">
        <f>VLOOKUP(Tabla3[[#This Row],[PATENTE]],'MAYO 2025'!$A:$D,4,0)</f>
        <v>36.323330780477619</v>
      </c>
      <c r="Q78" s="350">
        <f>VLOOKUP(Tabla3[[#This Row],[PATENTE]],'JUNIO 2025'!$A:$D,4,0)</f>
        <v>34.610525039408266</v>
      </c>
      <c r="R78" s="350">
        <f>VLOOKUP(Tabla3[[#This Row],[PATENTE]],'JULIO 2025'!$A:$D,4,0)</f>
        <v>34.08043421396809</v>
      </c>
      <c r="S78" s="350">
        <f>VLOOKUP(Tabla3[[#This Row],[PATENTE]],'AGOSTO 2025'!$A:$D,4,0)</f>
        <v>32.012706701479551</v>
      </c>
      <c r="T78" s="350">
        <f>VLOOKUP(Tabla3[[#This Row],[PATENTE]],'SEPTIEMBRE 2025'!$A:$D,4,0)</f>
        <v>35.633009871172824</v>
      </c>
      <c r="U78" s="350">
        <f>VLOOKUP(Tabla3[[#This Row],[PATENTE]],'OCTUBRE 2025'!$A:$D,4,0)</f>
        <v>31.740806234021779</v>
      </c>
      <c r="V78" s="460">
        <f t="shared" si="34"/>
        <v>34.907249531912619</v>
      </c>
    </row>
    <row r="79" spans="1:22" ht="15" thickBot="1" x14ac:dyDescent="0.35">
      <c r="A79" s="457"/>
      <c r="B79" s="326" t="s">
        <v>748</v>
      </c>
      <c r="C79" s="329" t="s">
        <v>1106</v>
      </c>
      <c r="D79" s="368">
        <f>VLOOKUP(Tabla3[[#This Row],[PATENTE]],'MAYO 2024'!$A:$D,4,0)</f>
        <v>34.200706502811087</v>
      </c>
      <c r="E79" s="368">
        <f>VLOOKUP(Tabla3[[#This Row],[PATENTE]],'JUNIO 2024'!$A:$D,4,0)</f>
        <v>33.412155363252168</v>
      </c>
      <c r="F79" s="368">
        <f>VLOOKUP(Tabla3[[#This Row],[PATENTE]],'JULIO 2024'!$A:$D,4,0)</f>
        <v>34.108804581245529</v>
      </c>
      <c r="G79" s="368">
        <f>VLOOKUP(Tabla3[[#This Row],[PATENTE]],'AGOSTO 2024'!$A:$D,4,0)</f>
        <v>36.103188433099419</v>
      </c>
      <c r="H79" s="368">
        <f>VLOOKUP(Tabla3[[#This Row],[PATENTE]],'SEPTIEMBRE 2024'!$A:$D,4,0)</f>
        <v>35.451713395638627</v>
      </c>
      <c r="I79" s="368">
        <f>VLOOKUP(Tabla3[[#This Row],[PATENTE]],'OCTUBRE 2024'!$A:$D,4,0)</f>
        <v>34.137236311922258</v>
      </c>
      <c r="J79" s="394">
        <f>VLOOKUP(Tabla3[[#This Row],[PATENTE]],'NOVIEMBRE 2024'!$A:$D,4,0)</f>
        <v>35.288288288288285</v>
      </c>
      <c r="K79" s="394">
        <f>VLOOKUP(Tabla3[[#This Row],[PATENTE]],'DICIEMBRE 2024'!$A:$D,4,0)</f>
        <v>33.809249202172332</v>
      </c>
      <c r="L79" s="350">
        <f>VLOOKUP(Tabla3[[#This Row],[PATENTE]],'ENERO 2025'!$A:$D,4,0)</f>
        <v>34.001071954977888</v>
      </c>
      <c r="M79" s="350"/>
      <c r="N79" s="350"/>
      <c r="O79" s="350"/>
      <c r="P79" s="350">
        <f>VLOOKUP(Tabla3[[#This Row],[PATENTE]],'MAYO 2025'!$A:$D,4,0)</f>
        <v>32.664151948167216</v>
      </c>
      <c r="Q79" s="350">
        <f>VLOOKUP(Tabla3[[#This Row],[PATENTE]],'JUNIO 2025'!$A:$D,4,0)</f>
        <v>34.174677165354332</v>
      </c>
      <c r="R79" s="350">
        <f>VLOOKUP(Tabla3[[#This Row],[PATENTE]],'JULIO 2025'!$A:$D,4,0)</f>
        <v>33.9536854447583</v>
      </c>
      <c r="S79" s="350">
        <f>VLOOKUP(Tabla3[[#This Row],[PATENTE]],'AGOSTO 2025'!$A:$D,4,0)</f>
        <v>34.543563250488688</v>
      </c>
      <c r="T79" s="350">
        <f>VLOOKUP(Tabla3[[#This Row],[PATENTE]],'SEPTIEMBRE 2025'!$A:$D,4,0)</f>
        <v>33.163188142770714</v>
      </c>
      <c r="U79" s="350">
        <f>VLOOKUP(Tabla3[[#This Row],[PATENTE]],'OCTUBRE 2025'!$A:$D,4,0)</f>
        <v>33.385233866762334</v>
      </c>
      <c r="V79" s="460">
        <f t="shared" si="34"/>
        <v>34.159794256780614</v>
      </c>
    </row>
    <row r="80" spans="1:22" ht="4.95" customHeight="1" thickBot="1" x14ac:dyDescent="0.35">
      <c r="B80" s="330"/>
      <c r="C80" s="330"/>
      <c r="Q80"/>
    </row>
    <row r="81" spans="1:22" ht="15" thickBot="1" x14ac:dyDescent="0.35">
      <c r="B81" s="331"/>
      <c r="C81" s="332" t="s">
        <v>1119</v>
      </c>
      <c r="D81" s="333">
        <f t="shared" ref="D81:E81" si="35">AVERAGE(D69:D79)</f>
        <v>35.729667568290417</v>
      </c>
      <c r="E81" s="333">
        <f t="shared" si="35"/>
        <v>35.065513829539476</v>
      </c>
      <c r="F81" s="333">
        <f t="shared" ref="F81:G81" si="36">AVERAGE(F69:F79)</f>
        <v>36.04245788490833</v>
      </c>
      <c r="G81" s="333">
        <f t="shared" si="36"/>
        <v>36.917866677001818</v>
      </c>
      <c r="H81" s="333">
        <f t="shared" ref="H81:J81" si="37">AVERAGE(H69:H79)</f>
        <v>36.043370692098151</v>
      </c>
      <c r="I81" s="333">
        <f t="shared" si="37"/>
        <v>35.167512129917469</v>
      </c>
      <c r="J81" s="333">
        <f t="shared" si="37"/>
        <v>35.770173544774032</v>
      </c>
      <c r="K81" s="333">
        <f t="shared" ref="K81:L81" si="38">AVERAGE(K69:K79)</f>
        <v>35.286255296758476</v>
      </c>
      <c r="L81" s="333">
        <f t="shared" si="38"/>
        <v>36.46923666427157</v>
      </c>
      <c r="M81" s="333">
        <f t="shared" ref="M81:N81" si="39">AVERAGE(M69:M79)</f>
        <v>36.520386366149182</v>
      </c>
      <c r="N81" s="333">
        <f t="shared" si="39"/>
        <v>31.334103003851983</v>
      </c>
      <c r="O81" s="333">
        <f t="shared" ref="O81:P81" si="40">AVERAGE(O69:O79)</f>
        <v>35.267541076706792</v>
      </c>
      <c r="P81" s="333">
        <f t="shared" si="40"/>
        <v>35.138371350982212</v>
      </c>
      <c r="Q81" s="333">
        <f t="shared" ref="Q81" si="41">AVERAGE(Q69:Q79)</f>
        <v>34.102634963773319</v>
      </c>
      <c r="R81" s="333">
        <f t="shared" ref="R81:S81" si="42">AVERAGE(R69:R79)</f>
        <v>34.601029033314283</v>
      </c>
      <c r="S81" s="333">
        <f t="shared" si="42"/>
        <v>34.729396553932268</v>
      </c>
      <c r="T81" s="333">
        <f t="shared" ref="T81:U81" si="43">AVERAGE(T69:T79)</f>
        <v>34.731190267871838</v>
      </c>
      <c r="U81" s="333">
        <f t="shared" si="43"/>
        <v>33.71880860990381</v>
      </c>
    </row>
    <row r="82" spans="1:22" ht="15" thickBot="1" x14ac:dyDescent="0.35">
      <c r="Q82"/>
    </row>
    <row r="83" spans="1:22" x14ac:dyDescent="0.3">
      <c r="A83" s="457" t="s">
        <v>1201</v>
      </c>
      <c r="B83" s="323" t="s">
        <v>308</v>
      </c>
      <c r="C83" s="327" t="s">
        <v>1107</v>
      </c>
      <c r="D83" s="367"/>
      <c r="E83" s="367"/>
      <c r="F83" s="392"/>
      <c r="G83" s="367"/>
      <c r="H83" s="367"/>
      <c r="I83" s="367"/>
      <c r="J83" s="392"/>
      <c r="K83" s="392"/>
      <c r="L83" s="392"/>
      <c r="M83" s="392"/>
      <c r="N83" s="392"/>
      <c r="O83" s="392"/>
      <c r="P83" s="392"/>
      <c r="Q83" s="392"/>
      <c r="R83" s="392"/>
      <c r="S83" s="392"/>
      <c r="T83" s="392"/>
      <c r="U83" s="392"/>
    </row>
    <row r="84" spans="1:22" x14ac:dyDescent="0.3">
      <c r="A84" s="457"/>
      <c r="B84" s="324" t="s">
        <v>117</v>
      </c>
      <c r="C84" s="328" t="s">
        <v>1107</v>
      </c>
      <c r="D84" s="350"/>
      <c r="E84" s="350"/>
      <c r="F84" s="393"/>
      <c r="G84" s="350"/>
      <c r="H84" s="350"/>
      <c r="I84" s="350"/>
      <c r="J84" s="393"/>
      <c r="K84" s="393"/>
      <c r="L84" s="393"/>
      <c r="M84" s="393"/>
      <c r="N84" s="393"/>
      <c r="O84" s="393"/>
      <c r="P84" s="393"/>
      <c r="Q84" s="393"/>
      <c r="R84" s="393"/>
      <c r="S84" s="393"/>
      <c r="T84" s="393"/>
      <c r="U84" s="393"/>
    </row>
    <row r="85" spans="1:22" x14ac:dyDescent="0.3">
      <c r="A85" s="457"/>
      <c r="B85" s="325" t="s">
        <v>305</v>
      </c>
      <c r="C85" s="190" t="s">
        <v>1107</v>
      </c>
      <c r="D85" s="350">
        <f>VLOOKUP(Tabla3[[#This Row],[PATENTE]],'MAYO 2024'!$A:$D,4,0)</f>
        <v>39.742735612155997</v>
      </c>
      <c r="E85" s="350">
        <f>VLOOKUP(Tabla3[[#This Row],[PATENTE]],'JUNIO 2024'!$A:$D,4,0)</f>
        <v>37.62629960462732</v>
      </c>
      <c r="F85" s="393">
        <f>VLOOKUP(Tabla3[[#This Row],[PATENTE]],'JULIO 2024'!$A:$D,4,0)</f>
        <v>39.605543710021323</v>
      </c>
      <c r="G85" s="350">
        <f>VLOOKUP(Tabla3[[#This Row],[PATENTE]],'AGOSTO 2024'!$A:$D,4,0)</f>
        <v>40.842527582748247</v>
      </c>
      <c r="H85" s="350"/>
      <c r="I85" s="350"/>
      <c r="J85" s="393"/>
      <c r="K85" s="393"/>
      <c r="L85" s="393"/>
      <c r="M85" s="393"/>
      <c r="N85" s="393"/>
      <c r="O85" s="393"/>
      <c r="P85" s="393"/>
      <c r="Q85" s="393"/>
      <c r="R85" s="393"/>
      <c r="S85" s="393"/>
      <c r="T85" s="393"/>
      <c r="U85" s="393"/>
    </row>
    <row r="86" spans="1:22" x14ac:dyDescent="0.3">
      <c r="A86" s="457"/>
      <c r="B86" s="324" t="s">
        <v>199</v>
      </c>
      <c r="C86" s="328" t="s">
        <v>1107</v>
      </c>
      <c r="D86" s="350"/>
      <c r="E86" s="350"/>
      <c r="F86" s="393"/>
      <c r="G86" s="350"/>
      <c r="H86" s="350"/>
      <c r="I86" s="350"/>
      <c r="J86" s="393"/>
      <c r="K86" s="393"/>
      <c r="L86" s="393"/>
      <c r="M86" s="393"/>
      <c r="N86" s="393"/>
      <c r="O86" s="393"/>
      <c r="P86" s="393"/>
      <c r="Q86" s="393"/>
      <c r="R86" s="393"/>
      <c r="S86" s="393"/>
      <c r="T86" s="393"/>
      <c r="U86" s="393"/>
    </row>
    <row r="87" spans="1:22" x14ac:dyDescent="0.3">
      <c r="A87" s="457"/>
      <c r="B87" s="324" t="s">
        <v>768</v>
      </c>
      <c r="C87" s="328" t="s">
        <v>1105</v>
      </c>
      <c r="D87" s="350">
        <f>VLOOKUP(Tabla3[[#This Row],[PATENTE]],'MAYO 2024'!$A:$D,4,0)</f>
        <v>36.190529372347555</v>
      </c>
      <c r="E87" s="350">
        <f>VLOOKUP(Tabla3[[#This Row],[PATENTE]],'JUNIO 2024'!$A:$D,4,0)</f>
        <v>35.688863375430543</v>
      </c>
      <c r="F87" s="393">
        <f>VLOOKUP(Tabla3[[#This Row],[PATENTE]],'JULIO 2024'!$A:$D,4,0)</f>
        <v>36.576311550045524</v>
      </c>
      <c r="G87" s="350">
        <f>VLOOKUP(Tabla3[[#This Row],[PATENTE]],'AGOSTO 2024'!$A:$D,4,0)</f>
        <v>37.254268788477177</v>
      </c>
      <c r="H87" s="350">
        <f>VLOOKUP(Tabla3[[#This Row],[PATENTE]],'SEPTIEMBRE 2024'!$A:$D,4,0)</f>
        <v>37.314728353140922</v>
      </c>
      <c r="I87" s="350">
        <f>VLOOKUP(Tabla3[[#This Row],[PATENTE]],'OCTUBRE 2024'!$A:$D,4,0)</f>
        <v>37.039681582438789</v>
      </c>
      <c r="J87" s="393">
        <f>VLOOKUP(Tabla3[[#This Row],[PATENTE]],'NOVIEMBRE 2024'!$A:$D,4,0)</f>
        <v>36.065549440356193</v>
      </c>
      <c r="K87" s="393">
        <f>VLOOKUP(Tabla3[[#This Row],[PATENTE]],'DICIEMBRE 2024'!$A:$D,4,0)</f>
        <v>35.552451893234014</v>
      </c>
      <c r="L87" s="350">
        <f>VLOOKUP(Tabla3[[#This Row],[PATENTE]],'ENERO 2025'!$A:$D,4,0)</f>
        <v>37.332625168189217</v>
      </c>
      <c r="M87" s="350">
        <f>VLOOKUP(Tabla3[[#This Row],[PATENTE]],'FEBRERO 2025'!$A:$D,4,0)</f>
        <v>38.042784762619632</v>
      </c>
      <c r="N87" s="350">
        <f>VLOOKUP(Tabla3[[#This Row],[PATENTE]],'MARZO 2025'!$A:$D,4,0)</f>
        <v>35.674661641254069</v>
      </c>
      <c r="O87" s="350"/>
      <c r="P87" s="350">
        <f>VLOOKUP(Tabla3[[#This Row],[PATENTE]],'MAYO 2025'!$A:$D,4,0)</f>
        <v>35.146144994246256</v>
      </c>
      <c r="Q87" s="350">
        <f>VLOOKUP(Tabla3[[#This Row],[PATENTE]],'JUNIO 2025'!$A:$D,4,0)</f>
        <v>34.404317207593387</v>
      </c>
      <c r="R87" s="350">
        <f>VLOOKUP(Tabla3[[#This Row],[PATENTE]],'JULIO 2025'!$A:$D,4,0)</f>
        <v>36.912242615617394</v>
      </c>
      <c r="S87" s="350">
        <f>VLOOKUP(Tabla3[[#This Row],[PATENTE]],'AGOSTO 2025'!$A:$D,4,0)</f>
        <v>35.60801266439357</v>
      </c>
      <c r="T87" s="350">
        <f>VLOOKUP(Tabla3[[#This Row],[PATENTE]],'SEPTIEMBRE 2025'!$A:$D,4,0)</f>
        <v>37.743188143162257</v>
      </c>
      <c r="U87" s="350">
        <f>VLOOKUP(Tabla3[[#This Row],[PATENTE]],'OCTUBRE 2025'!$A:$D,4,0)</f>
        <v>38.498562480747509</v>
      </c>
      <c r="V87" s="460">
        <f t="shared" ref="V87:V108" si="44">AVERAGE(D87:U87)</f>
        <v>36.532054354899657</v>
      </c>
    </row>
    <row r="88" spans="1:22" x14ac:dyDescent="0.3">
      <c r="A88" s="457"/>
      <c r="B88" s="324" t="s">
        <v>1128</v>
      </c>
      <c r="C88" s="328" t="s">
        <v>1105</v>
      </c>
      <c r="D88" s="350"/>
      <c r="E88" s="350">
        <f>VLOOKUP(Tabla3[[#This Row],[PATENTE]],'JUNIO 2024'!$A:$D,4,0)</f>
        <v>33.906762967826658</v>
      </c>
      <c r="F88" s="393">
        <f>VLOOKUP(Tabla3[[#This Row],[PATENTE]],'JULIO 2024'!$A:$D,4,0)</f>
        <v>34.529595556327024</v>
      </c>
      <c r="G88" s="350">
        <f>VLOOKUP(Tabla3[[#This Row],[PATENTE]],'AGOSTO 2024'!$A:$D,4,0)</f>
        <v>34.235648829590239</v>
      </c>
      <c r="H88" s="350">
        <f>VLOOKUP(Tabla3[[#This Row],[PATENTE]],'SEPTIEMBRE 2024'!$A:$D,4,0)</f>
        <v>33.958664055252036</v>
      </c>
      <c r="I88" s="350">
        <f>VLOOKUP(Tabla3[[#This Row],[PATENTE]],'OCTUBRE 2024'!$A:$D,4,0)</f>
        <v>32.94132720685694</v>
      </c>
      <c r="J88" s="393">
        <f>VLOOKUP(Tabla3[[#This Row],[PATENTE]],'NOVIEMBRE 2024'!$A:$D,4,0)</f>
        <v>33.1189435095623</v>
      </c>
      <c r="K88" s="393">
        <f>VLOOKUP(Tabla3[[#This Row],[PATENTE]],'DICIEMBRE 2024'!$A:$D,4,0)</f>
        <v>34.383910006930748</v>
      </c>
      <c r="L88" s="350">
        <f>VLOOKUP(Tabla3[[#This Row],[PATENTE]],'ENERO 2025'!$A:$D,4,0)</f>
        <v>34.67725569778333</v>
      </c>
      <c r="M88" s="350">
        <f>VLOOKUP(Tabla3[[#This Row],[PATENTE]],'FEBRERO 2025'!$A:$D,4,0)</f>
        <v>35.44469512557145</v>
      </c>
      <c r="N88" s="350">
        <f>VLOOKUP(Tabla3[[#This Row],[PATENTE]],'MARZO 2025'!$A:$D,4,0)</f>
        <v>35.075772518080214</v>
      </c>
      <c r="O88" s="350">
        <f>VLOOKUP(Tabla3[[#This Row],[PATENTE]],'ABRIL 2025'!$A:$D,4,0)</f>
        <v>35.333333333333336</v>
      </c>
      <c r="P88" s="350">
        <f>VLOOKUP(Tabla3[[#This Row],[PATENTE]],'MAYO 2025'!$A:$D,4,0)</f>
        <v>36.411881001694596</v>
      </c>
      <c r="Q88" s="350">
        <f>VLOOKUP(Tabla3[[#This Row],[PATENTE]],'JUNIO 2025'!$A:$D,4,0)</f>
        <v>35.175012374195688</v>
      </c>
      <c r="R88" s="350">
        <f>VLOOKUP(Tabla3[[#This Row],[PATENTE]],'JULIO 2025'!$A:$D,4,0)</f>
        <v>35.290771484375</v>
      </c>
      <c r="S88" s="350"/>
      <c r="T88" s="350"/>
      <c r="U88" s="350"/>
      <c r="V88" s="460">
        <f t="shared" si="44"/>
        <v>34.605969547669972</v>
      </c>
    </row>
    <row r="89" spans="1:22" x14ac:dyDescent="0.3">
      <c r="A89" s="457"/>
      <c r="B89" s="343" t="s">
        <v>1130</v>
      </c>
      <c r="C89" s="328" t="s">
        <v>1105</v>
      </c>
      <c r="D89" s="350">
        <f>VLOOKUP(Tabla3[[#This Row],[PATENTE]],'MAYO 2024'!$A:$D,4,0)</f>
        <v>42.168068435051396</v>
      </c>
      <c r="E89" s="350">
        <f>VLOOKUP(Tabla3[[#This Row],[PATENTE]],'JUNIO 2024'!$A:$D,4,0)</f>
        <v>38.012306977824217</v>
      </c>
      <c r="F89" s="393">
        <f>VLOOKUP(Tabla3[[#This Row],[PATENTE]],'JULIO 2024'!$A:$D,4,0)</f>
        <v>37.0082740600958</v>
      </c>
      <c r="G89" s="350">
        <f>VLOOKUP(Tabla3[[#This Row],[PATENTE]],'AGOSTO 2024'!$A:$D,4,0)</f>
        <v>36.964439127834268</v>
      </c>
      <c r="H89" s="350">
        <f>VLOOKUP(Tabla3[[#This Row],[PATENTE]],'SEPTIEMBRE 2024'!$A:$D,4,0)</f>
        <v>38.492874800058168</v>
      </c>
      <c r="I89" s="350">
        <f>VLOOKUP(Tabla3[[#This Row],[PATENTE]],'OCTUBRE 2024'!$A:$D,4,0)</f>
        <v>39.347627680190037</v>
      </c>
      <c r="J89" s="393">
        <f>VLOOKUP(Tabla3[[#This Row],[PATENTE]],'NOVIEMBRE 2024'!$A:$D,4,0)</f>
        <v>35.619682320441989</v>
      </c>
      <c r="K89" s="393">
        <f>VLOOKUP(Tabla3[[#This Row],[PATENTE]],'DICIEMBRE 2024'!$A:$D,4,0)</f>
        <v>38.720113706207748</v>
      </c>
      <c r="L89" s="350">
        <f>VLOOKUP(Tabla3[[#This Row],[PATENTE]],'ENERO 2025'!$A:$D,4,0)</f>
        <v>37.748006608720637</v>
      </c>
      <c r="M89" s="350">
        <f>VLOOKUP(Tabla3[[#This Row],[PATENTE]],'FEBRERO 2025'!$A:$D,4,0)</f>
        <v>35.484278768233388</v>
      </c>
      <c r="N89" s="350">
        <f>VLOOKUP(Tabla3[[#This Row],[PATENTE]],'MARZO 2025'!$A:$D,4,0)</f>
        <v>37.169269254093393</v>
      </c>
      <c r="O89" s="350">
        <f>VLOOKUP(Tabla3[[#This Row],[PATENTE]],'ABRIL 2025'!$A:$D,4,0)</f>
        <v>40.115832546427448</v>
      </c>
      <c r="P89" s="350">
        <f>VLOOKUP(Tabla3[[#This Row],[PATENTE]],'MAYO 2025'!$A:$D,4,0)</f>
        <v>36.484850803366484</v>
      </c>
      <c r="Q89" s="350">
        <f>VLOOKUP(Tabla3[[#This Row],[PATENTE]],'JUNIO 2025'!$A:$D,4,0)</f>
        <v>37.824428453161815</v>
      </c>
      <c r="R89" s="350">
        <f>VLOOKUP(Tabla3[[#This Row],[PATENTE]],'JULIO 2025'!$A:$D,4,0)</f>
        <v>36.412731100128134</v>
      </c>
      <c r="S89" s="350">
        <f>VLOOKUP(Tabla3[[#This Row],[PATENTE]],'AGOSTO 2025'!$A:$D,4,0)</f>
        <v>36.335375777884153</v>
      </c>
      <c r="T89" s="350">
        <f>VLOOKUP(Tabla3[[#This Row],[PATENTE]],'SEPTIEMBRE 2025'!$A:$D,4,0)</f>
        <v>35.500299700299699</v>
      </c>
      <c r="U89" s="350">
        <f>VLOOKUP(Tabla3[[#This Row],[PATENTE]],'OCTUBRE 2025'!$A:$D,4,0)</f>
        <v>34.429518001641839</v>
      </c>
      <c r="V89" s="460">
        <f t="shared" si="44"/>
        <v>37.435443228981136</v>
      </c>
    </row>
    <row r="90" spans="1:22" x14ac:dyDescent="0.3">
      <c r="A90" s="457"/>
      <c r="B90" s="324" t="s">
        <v>1133</v>
      </c>
      <c r="C90" s="328" t="s">
        <v>1105</v>
      </c>
      <c r="D90" s="350">
        <f>VLOOKUP(Tabla3[[#This Row],[PATENTE]],'MAYO 2024'!$A:$D,4,0)</f>
        <v>37.71992143424297</v>
      </c>
      <c r="E90" s="350">
        <f>VLOOKUP(Tabla3[[#This Row],[PATENTE]],'JUNIO 2024'!$A:$D,4,0)</f>
        <v>36.582334308969166</v>
      </c>
      <c r="F90" s="393">
        <f>VLOOKUP(Tabla3[[#This Row],[PATENTE]],'JULIO 2024'!$A:$D,4,0)</f>
        <v>37.622076874832004</v>
      </c>
      <c r="G90" s="350">
        <f>VLOOKUP(Tabla3[[#This Row],[PATENTE]],'AGOSTO 2024'!$A:$D,4,0)</f>
        <v>37.689251000571758</v>
      </c>
      <c r="H90" s="350">
        <f>VLOOKUP(Tabla3[[#This Row],[PATENTE]],'SEPTIEMBRE 2024'!$A:$D,4,0)</f>
        <v>38.920792079207914</v>
      </c>
      <c r="I90" s="350">
        <f>VLOOKUP(Tabla3[[#This Row],[PATENTE]],'OCTUBRE 2024'!$A:$D,4,0)</f>
        <v>35.924604560650664</v>
      </c>
      <c r="J90" s="393">
        <f>VLOOKUP(Tabla3[[#This Row],[PATENTE]],'NOVIEMBRE 2024'!$A:$D,4,0)</f>
        <v>35.874619111843749</v>
      </c>
      <c r="K90" s="393">
        <f>VLOOKUP(Tabla3[[#This Row],[PATENTE]],'DICIEMBRE 2024'!$A:$D,4,0)</f>
        <v>37.307205067300082</v>
      </c>
      <c r="L90" s="350">
        <f>VLOOKUP(Tabla3[[#This Row],[PATENTE]],'ENERO 2025'!$A:$D,4,0)</f>
        <v>36.40568590056327</v>
      </c>
      <c r="M90" s="350">
        <f>VLOOKUP(Tabla3[[#This Row],[PATENTE]],'FEBRERO 2025'!$A:$D,4,0)</f>
        <v>37.154714630538031</v>
      </c>
      <c r="N90" s="350">
        <f>VLOOKUP(Tabla3[[#This Row],[PATENTE]],'MARZO 2025'!$A:$D,4,0)</f>
        <v>37.028482904821445</v>
      </c>
      <c r="O90" s="350">
        <f>VLOOKUP(Tabla3[[#This Row],[PATENTE]],'ABRIL 2025'!$A:$D,4,0)</f>
        <v>36.452196664122965</v>
      </c>
      <c r="P90" s="350">
        <f>VLOOKUP(Tabla3[[#This Row],[PATENTE]],'MAYO 2025'!$A:$D,4,0)</f>
        <v>38.25107074287402</v>
      </c>
      <c r="Q90" s="350">
        <f>VLOOKUP(Tabla3[[#This Row],[PATENTE]],'JUNIO 2025'!$A:$D,4,0)</f>
        <v>34.980705935762117</v>
      </c>
      <c r="R90" s="350">
        <f>VLOOKUP(Tabla3[[#This Row],[PATENTE]],'JULIO 2025'!$A:$D,4,0)</f>
        <v>34.833448684991104</v>
      </c>
      <c r="S90" s="350">
        <f>VLOOKUP(Tabla3[[#This Row],[PATENTE]],'AGOSTO 2025'!$A:$D,4,0)</f>
        <v>37.142213761723461</v>
      </c>
      <c r="T90" s="350">
        <f>VLOOKUP(Tabla3[[#This Row],[PATENTE]],'SEPTIEMBRE 2025'!$A:$D,4,0)</f>
        <v>38.045905928524711</v>
      </c>
      <c r="U90" s="350">
        <f>VLOOKUP(Tabla3[[#This Row],[PATENTE]],'OCTUBRE 2025'!$A:$D,4,0)</f>
        <v>36.814530756076074</v>
      </c>
      <c r="V90" s="460">
        <f t="shared" si="44"/>
        <v>36.930542241534198</v>
      </c>
    </row>
    <row r="91" spans="1:22" x14ac:dyDescent="0.3">
      <c r="A91" s="457"/>
      <c r="B91" s="344" t="s">
        <v>1134</v>
      </c>
      <c r="C91" s="328" t="s">
        <v>1105</v>
      </c>
      <c r="D91" s="350">
        <f>VLOOKUP(Tabla3[[#This Row],[PATENTE]],'MAYO 2024'!$A:$D,4,0)</f>
        <v>34.831004695924399</v>
      </c>
      <c r="E91" s="350">
        <f>VLOOKUP(Tabla3[[#This Row],[PATENTE]],'JUNIO 2024'!$A:$D,4,0)</f>
        <v>34.48169793909566</v>
      </c>
      <c r="F91" s="393">
        <f>VLOOKUP(Tabla3[[#This Row],[PATENTE]],'JULIO 2024'!$A:$D,4,0)</f>
        <v>34.99740725027106</v>
      </c>
      <c r="G91" s="350">
        <f>VLOOKUP(Tabla3[[#This Row],[PATENTE]],'AGOSTO 2024'!$A:$D,4,0)</f>
        <v>36.235011383759172</v>
      </c>
      <c r="H91" s="350">
        <f>VLOOKUP(Tabla3[[#This Row],[PATENTE]],'SEPTIEMBRE 2024'!$A:$D,4,0)</f>
        <v>35.900554462529065</v>
      </c>
      <c r="I91" s="350">
        <f>VLOOKUP(Tabla3[[#This Row],[PATENTE]],'OCTUBRE 2024'!$A:$D,4,0)</f>
        <v>33.768445475638053</v>
      </c>
      <c r="J91" s="393">
        <f>VLOOKUP(Tabla3[[#This Row],[PATENTE]],'NOVIEMBRE 2024'!$A:$D,4,0)</f>
        <v>35.333849105650799</v>
      </c>
      <c r="K91" s="393">
        <f>VLOOKUP(Tabla3[[#This Row],[PATENTE]],'DICIEMBRE 2024'!$A:$D,4,0)</f>
        <v>34.76552533176919</v>
      </c>
      <c r="L91" s="350">
        <f>VLOOKUP(Tabla3[[#This Row],[PATENTE]],'ENERO 2025'!$A:$D,4,0)</f>
        <v>34.198376063622717</v>
      </c>
      <c r="M91" s="350">
        <f>VLOOKUP(Tabla3[[#This Row],[PATENTE]],'FEBRERO 2025'!$A:$D,4,0)</f>
        <v>33.623384303455268</v>
      </c>
      <c r="N91" s="350">
        <f>VLOOKUP(Tabla3[[#This Row],[PATENTE]],'MARZO 2025'!$A:$D,4,0)</f>
        <v>35.168295984358551</v>
      </c>
      <c r="O91" s="350">
        <f>VLOOKUP(Tabla3[[#This Row],[PATENTE]],'ABRIL 2025'!$A:$D,4,0)</f>
        <v>34.034312300087237</v>
      </c>
      <c r="P91" s="350">
        <f>VLOOKUP(Tabla3[[#This Row],[PATENTE]],'MAYO 2025'!$A:$D,4,0)</f>
        <v>34.653576072821842</v>
      </c>
      <c r="Q91" s="350"/>
      <c r="R91" s="350"/>
      <c r="S91" s="350"/>
      <c r="T91" s="350"/>
      <c r="U91" s="350"/>
      <c r="V91" s="460">
        <f t="shared" si="44"/>
        <v>34.768572336075621</v>
      </c>
    </row>
    <row r="92" spans="1:22" x14ac:dyDescent="0.3">
      <c r="A92" s="457"/>
      <c r="B92" s="344" t="s">
        <v>1135</v>
      </c>
      <c r="C92" s="328" t="s">
        <v>1105</v>
      </c>
      <c r="D92" s="403">
        <f>VLOOKUP(Tabla3[[#This Row],[PATENTE]],'MAYO 2024'!$A:$D,4,0)</f>
        <v>35.05388872706088</v>
      </c>
      <c r="E92" s="403">
        <f>VLOOKUP(Tabla3[[#This Row],[PATENTE]],'JUNIO 2024'!$A:$D,4,0)</f>
        <v>35.646665243077798</v>
      </c>
      <c r="F92" s="404">
        <f>VLOOKUP(Tabla3[[#This Row],[PATENTE]],'JULIO 2024'!$A:$D,4,0)</f>
        <v>37.831639301537663</v>
      </c>
      <c r="G92" s="403">
        <f>VLOOKUP(Tabla3[[#This Row],[PATENTE]],'AGOSTO 2024'!$A:$D,4,0)</f>
        <v>37.99317811991488</v>
      </c>
      <c r="H92" s="403">
        <f>VLOOKUP(Tabla3[[#This Row],[PATENTE]],'SEPTIEMBRE 2024'!$A:$D,4,0)</f>
        <v>35.260023003614855</v>
      </c>
      <c r="I92" s="403">
        <f>VLOOKUP(Tabla3[[#This Row],[PATENTE]],'OCTUBRE 2024'!$A:$D,4,0)</f>
        <v>36.018838992332967</v>
      </c>
      <c r="J92" s="404">
        <f>VLOOKUP(Tabla3[[#This Row],[PATENTE]],'NOVIEMBRE 2024'!$A:$D,4,0)</f>
        <v>37.383177570093459</v>
      </c>
      <c r="K92" s="404">
        <f>VLOOKUP(Tabla3[[#This Row],[PATENTE]],'DICIEMBRE 2024'!$A:$D,4,0)</f>
        <v>35.506190956617445</v>
      </c>
      <c r="L92" s="403">
        <f>VLOOKUP(Tabla3[[#This Row],[PATENTE]],'ENERO 2025'!$A:$D,4,0)</f>
        <v>36.945299056161026</v>
      </c>
      <c r="M92" s="403">
        <f>VLOOKUP(Tabla3[[#This Row],[PATENTE]],'FEBRERO 2025'!$A:$D,4,0)</f>
        <v>36.277618668788122</v>
      </c>
      <c r="N92" s="403">
        <f>VLOOKUP(Tabla3[[#This Row],[PATENTE]],'MARZO 2025'!$A:$D,4,0)</f>
        <v>34.149593091880476</v>
      </c>
      <c r="O92" s="403">
        <f>VLOOKUP(Tabla3[[#This Row],[PATENTE]],'ABRIL 2025'!$A:$D,4,0)</f>
        <v>35.118352989861364</v>
      </c>
      <c r="P92" s="403">
        <f>VLOOKUP(Tabla3[[#This Row],[PATENTE]],'MAYO 2025'!$A:$D,4,0)</f>
        <v>35.938559725662031</v>
      </c>
      <c r="Q92" s="403">
        <f>VLOOKUP(Tabla3[[#This Row],[PATENTE]],'JUNIO 2025'!$A:$D,4,0)</f>
        <v>36.10334882230412</v>
      </c>
      <c r="R92" s="403">
        <f>VLOOKUP(Tabla3[[#This Row],[PATENTE]],'JULIO 2025'!$A:$D,4,0)</f>
        <v>35.073207834189006</v>
      </c>
      <c r="S92" s="403">
        <f>VLOOKUP(Tabla3[[#This Row],[PATENTE]],'AGOSTO 2025'!$A:$D,4,0)</f>
        <v>35.18310896791909</v>
      </c>
      <c r="T92" s="403">
        <f>VLOOKUP(Tabla3[[#This Row],[PATENTE]],'SEPTIEMBRE 2025'!$A:$D,4,0)</f>
        <v>34.292680229986729</v>
      </c>
      <c r="U92" s="403">
        <f>VLOOKUP(Tabla3[[#This Row],[PATENTE]],'OCTUBRE 2025'!$A:$D,4,0)</f>
        <v>35.520744260556128</v>
      </c>
      <c r="V92" s="460">
        <f t="shared" si="44"/>
        <v>35.849784197864345</v>
      </c>
    </row>
    <row r="93" spans="1:22" x14ac:dyDescent="0.3">
      <c r="A93" s="457"/>
      <c r="B93" s="324" t="s">
        <v>1156</v>
      </c>
      <c r="C93" s="328" t="s">
        <v>1105</v>
      </c>
      <c r="D93" s="350">
        <f>VLOOKUP(Tabla3[[#This Row],[PATENTE]],'MAYO 2024'!$A:$D,4,0)</f>
        <v>34.750580906708855</v>
      </c>
      <c r="E93" s="350">
        <f>VLOOKUP(Tabla3[[#This Row],[PATENTE]],'JUNIO 2024'!$A:$D,4,0)</f>
        <v>33.509763250125168</v>
      </c>
      <c r="F93" s="393">
        <f>VLOOKUP(Tabla3[[#This Row],[PATENTE]],'JULIO 2024'!$A:$D,4,0)</f>
        <v>35.256410256410255</v>
      </c>
      <c r="G93" s="350">
        <f>VLOOKUP(Tabla3[[#This Row],[PATENTE]],'AGOSTO 2024'!$A:$D,4,0)</f>
        <v>35.076126149002086</v>
      </c>
      <c r="H93" s="350">
        <f>VLOOKUP(Tabla3[[#This Row],[PATENTE]],'SEPTIEMBRE 2024'!$A:$D,4,0)</f>
        <v>35.087932692307696</v>
      </c>
      <c r="I93" s="350">
        <f>VLOOKUP(Tabla3[[#This Row],[PATENTE]],'OCTUBRE 2024'!$A:$D,4,0)</f>
        <v>34.043583535108958</v>
      </c>
      <c r="J93" s="393">
        <f>VLOOKUP(Tabla3[[#This Row],[PATENTE]],'NOVIEMBRE 2024'!$A:$D,4,0)</f>
        <v>34.530119880119884</v>
      </c>
      <c r="K93" s="393">
        <f>VLOOKUP(Tabla3[[#This Row],[PATENTE]],'DICIEMBRE 2024'!$A:$D,4,0)</f>
        <v>34.890893092828861</v>
      </c>
      <c r="L93" s="350">
        <f>VLOOKUP(Tabla3[[#This Row],[PATENTE]],'ENERO 2025'!$A:$D,4,0)</f>
        <v>34.791318864774624</v>
      </c>
      <c r="M93" s="350">
        <f>VLOOKUP(Tabla3[[#This Row],[PATENTE]],'FEBRERO 2025'!$A:$D,4,0)</f>
        <v>33.399711630887538</v>
      </c>
      <c r="N93" s="350">
        <f>VLOOKUP(Tabla3[[#This Row],[PATENTE]],'MARZO 2025'!$A:$D,4,0)</f>
        <v>34.471547150436415</v>
      </c>
      <c r="O93" s="350">
        <f>VLOOKUP(Tabla3[[#This Row],[PATENTE]],'ABRIL 2025'!$A:$D,4,0)</f>
        <v>34.226746506986025</v>
      </c>
      <c r="P93" s="350">
        <f>VLOOKUP(Tabla3[[#This Row],[PATENTE]],'MAYO 2025'!$A:$D,4,0)</f>
        <v>34.530336307481122</v>
      </c>
      <c r="Q93" s="350">
        <f>VLOOKUP(Tabla3[[#This Row],[PATENTE]],'JUNIO 2025'!$A:$D,4,0)</f>
        <v>34.991544158284519</v>
      </c>
      <c r="R93" s="350">
        <f>VLOOKUP(Tabla3[[#This Row],[PATENTE]],'JULIO 2025'!$A:$D,4,0)</f>
        <v>34.144558708669621</v>
      </c>
      <c r="S93" s="350">
        <f>VLOOKUP(Tabla3[[#This Row],[PATENTE]],'AGOSTO 2025'!$A:$D,4,0)</f>
        <v>34.828938802083329</v>
      </c>
      <c r="T93" s="350">
        <f>VLOOKUP(Tabla3[[#This Row],[PATENTE]],'SEPTIEMBRE 2025'!$A:$D,4,0)</f>
        <v>34.559014534584058</v>
      </c>
      <c r="U93" s="350">
        <f>VLOOKUP(Tabla3[[#This Row],[PATENTE]],'OCTUBRE 2025'!$A:$D,4,0)</f>
        <v>35.171640529708071</v>
      </c>
      <c r="V93" s="460">
        <f t="shared" si="44"/>
        <v>34.570042608694841</v>
      </c>
    </row>
    <row r="94" spans="1:22" x14ac:dyDescent="0.3">
      <c r="A94" s="457"/>
      <c r="B94" s="324" t="s">
        <v>1157</v>
      </c>
      <c r="C94" s="328" t="s">
        <v>1105</v>
      </c>
      <c r="D94" s="350">
        <f>VLOOKUP(Tabla3[[#This Row],[PATENTE]],'MAYO 2024'!$A:$D,4,0)</f>
        <v>35.887684934361324</v>
      </c>
      <c r="E94" s="350">
        <f>VLOOKUP(Tabla3[[#This Row],[PATENTE]],'JUNIO 2024'!$A:$D,4,0)</f>
        <v>35.004458535618745</v>
      </c>
      <c r="F94" s="393">
        <f>VLOOKUP(Tabla3[[#This Row],[PATENTE]],'JULIO 2024'!$A:$D,4,0)</f>
        <v>36.161675474652569</v>
      </c>
      <c r="G94" s="350">
        <f>VLOOKUP(Tabla3[[#This Row],[PATENTE]],'AGOSTO 2024'!$A:$D,4,0)</f>
        <v>36.132124854594807</v>
      </c>
      <c r="H94" s="350">
        <f>VLOOKUP(Tabla3[[#This Row],[PATENTE]],'SEPTIEMBRE 2024'!$A:$D,4,0)</f>
        <v>35.637963258421848</v>
      </c>
      <c r="I94" s="350">
        <f>VLOOKUP(Tabla3[[#This Row],[PATENTE]],'OCTUBRE 2024'!$A:$D,4,0)</f>
        <v>35.807906606526927</v>
      </c>
      <c r="J94" s="393"/>
      <c r="K94" s="393"/>
      <c r="L94" s="350">
        <f>VLOOKUP(Tabla3[[#This Row],[PATENTE]],'ENERO 2025'!$A:$D,4,0)</f>
        <v>36.890584294752507</v>
      </c>
      <c r="M94" s="350">
        <f>VLOOKUP(Tabla3[[#This Row],[PATENTE]],'FEBRERO 2025'!$A:$D,4,0)</f>
        <v>38.431306388909263</v>
      </c>
      <c r="N94" s="350">
        <f>VLOOKUP(Tabla3[[#This Row],[PATENTE]],'MARZO 2025'!$A:$D,4,0)</f>
        <v>35.497919700436867</v>
      </c>
      <c r="O94" s="350">
        <f>VLOOKUP(Tabla3[[#This Row],[PATENTE]],'ABRIL 2025'!$A:$D,4,0)</f>
        <v>35.189639132350784</v>
      </c>
      <c r="P94" s="350">
        <f>VLOOKUP(Tabla3[[#This Row],[PATENTE]],'MAYO 2025'!$A:$D,4,0)</f>
        <v>36.094054819900819</v>
      </c>
      <c r="Q94" s="350">
        <f>VLOOKUP(Tabla3[[#This Row],[PATENTE]],'JUNIO 2025'!$A:$D,4,0)</f>
        <v>34.650970423274011</v>
      </c>
      <c r="R94" s="350">
        <f>VLOOKUP(Tabla3[[#This Row],[PATENTE]],'JULIO 2025'!$A:$D,4,0)</f>
        <v>36.557466424360619</v>
      </c>
      <c r="S94" s="350">
        <f>VLOOKUP(Tabla3[[#This Row],[PATENTE]],'AGOSTO 2025'!$A:$D,4,0)</f>
        <v>35.767505353319059</v>
      </c>
      <c r="T94" s="350">
        <f>VLOOKUP(Tabla3[[#This Row],[PATENTE]],'SEPTIEMBRE 2025'!$A:$D,4,0)</f>
        <v>36.002300848757535</v>
      </c>
      <c r="U94" s="350">
        <f>VLOOKUP(Tabla3[[#This Row],[PATENTE]],'OCTUBRE 2025'!$A:$D,4,0)</f>
        <v>35.775139256476471</v>
      </c>
      <c r="V94" s="460">
        <f t="shared" si="44"/>
        <v>35.968043769169633</v>
      </c>
    </row>
    <row r="95" spans="1:22" x14ac:dyDescent="0.3">
      <c r="A95" s="457"/>
      <c r="B95" s="324" t="s">
        <v>1153</v>
      </c>
      <c r="C95" s="328" t="s">
        <v>1105</v>
      </c>
      <c r="D95" s="350">
        <f>VLOOKUP(Tabla3[[#This Row],[PATENTE]],'MAYO 2024'!$A:$D,4,0)</f>
        <v>36.100746268656714</v>
      </c>
      <c r="E95" s="350">
        <f>VLOOKUP(Tabla3[[#This Row],[PATENTE]],'JUNIO 2024'!$A:$D,4,0)</f>
        <v>34.58596777483173</v>
      </c>
      <c r="F95" s="393">
        <f>VLOOKUP(Tabla3[[#This Row],[PATENTE]],'JULIO 2024'!$A:$D,4,0)</f>
        <v>36.826783114992722</v>
      </c>
      <c r="G95" s="350">
        <f>VLOOKUP(Tabla3[[#This Row],[PATENTE]],'AGOSTO 2024'!$A:$D,4,0)</f>
        <v>37.779671717171716</v>
      </c>
      <c r="H95" s="350">
        <f>VLOOKUP(Tabla3[[#This Row],[PATENTE]],'SEPTIEMBRE 2024'!$A:$D,4,0)</f>
        <v>37.654072851585525</v>
      </c>
      <c r="I95" s="350">
        <f>VLOOKUP(Tabla3[[#This Row],[PATENTE]],'OCTUBRE 2024'!$A:$D,4,0)</f>
        <v>37.466511010392345</v>
      </c>
      <c r="J95" s="393">
        <f>VLOOKUP(Tabla3[[#This Row],[PATENTE]],'NOVIEMBRE 2024'!$A:$D,4,0)</f>
        <v>38.809713132301674</v>
      </c>
      <c r="K95" s="393">
        <f>VLOOKUP(Tabla3[[#This Row],[PATENTE]],'DICIEMBRE 2024'!$A:$D,4,0)</f>
        <v>37.638252561298494</v>
      </c>
      <c r="L95" s="350">
        <f>VLOOKUP(Tabla3[[#This Row],[PATENTE]],'ENERO 2025'!$A:$D,4,0)</f>
        <v>38.408126743512817</v>
      </c>
      <c r="M95" s="350">
        <f>VLOOKUP(Tabla3[[#This Row],[PATENTE]],'FEBRERO 2025'!$A:$D,4,0)</f>
        <v>34.96477974037029</v>
      </c>
      <c r="N95" s="350">
        <f>VLOOKUP(Tabla3[[#This Row],[PATENTE]],'MARZO 2025'!$A:$D,4,0)</f>
        <v>36.500691371681413</v>
      </c>
      <c r="O95" s="350">
        <f>VLOOKUP(Tabla3[[#This Row],[PATENTE]],'ABRIL 2025'!$A:$D,4,0)</f>
        <v>39.399551784856726</v>
      </c>
      <c r="P95" s="350">
        <f>VLOOKUP(Tabla3[[#This Row],[PATENTE]],'MAYO 2025'!$A:$D,4,0)</f>
        <v>36.238835607756975</v>
      </c>
      <c r="Q95" s="350">
        <f>VLOOKUP(Tabla3[[#This Row],[PATENTE]],'JUNIO 2025'!$A:$D,4,0)</f>
        <v>36.43456232970027</v>
      </c>
      <c r="R95" s="350">
        <f>VLOOKUP(Tabla3[[#This Row],[PATENTE]],'JULIO 2025'!$A:$D,4,0)</f>
        <v>34.128013848246297</v>
      </c>
      <c r="S95" s="350">
        <f>VLOOKUP(Tabla3[[#This Row],[PATENTE]],'AGOSTO 2025'!$A:$D,4,0)</f>
        <v>36.603232297007857</v>
      </c>
      <c r="T95" s="350">
        <f>VLOOKUP(Tabla3[[#This Row],[PATENTE]],'SEPTIEMBRE 2025'!$A:$D,4,0)</f>
        <v>35.532381938014055</v>
      </c>
      <c r="U95" s="350">
        <f>VLOOKUP(Tabla3[[#This Row],[PATENTE]],'OCTUBRE 2025'!$A:$D,4,0)</f>
        <v>36.560420087374659</v>
      </c>
      <c r="V95" s="460">
        <f t="shared" si="44"/>
        <v>36.757350787764004</v>
      </c>
    </row>
    <row r="96" spans="1:22" x14ac:dyDescent="0.3">
      <c r="A96" s="457"/>
      <c r="B96" s="324" t="s">
        <v>1154</v>
      </c>
      <c r="C96" s="328" t="s">
        <v>1105</v>
      </c>
      <c r="D96" s="350">
        <f>VLOOKUP(Tabla3[[#This Row],[PATENTE]],'MAYO 2024'!$A:$D,4,0)</f>
        <v>36.222053021388525</v>
      </c>
      <c r="E96" s="350">
        <f>VLOOKUP(Tabla3[[#This Row],[PATENTE]],'JUNIO 2024'!$A:$D,4,0)</f>
        <v>34.944066428324298</v>
      </c>
      <c r="F96" s="393">
        <f>VLOOKUP(Tabla3[[#This Row],[PATENTE]],'JULIO 2024'!$A:$D,4,0)</f>
        <v>34.047494629274802</v>
      </c>
      <c r="G96" s="350">
        <f>VLOOKUP(Tabla3[[#This Row],[PATENTE]],'AGOSTO 2024'!$A:$D,4,0)</f>
        <v>35.602265043948613</v>
      </c>
      <c r="H96" s="350">
        <f>VLOOKUP(Tabla3[[#This Row],[PATENTE]],'SEPTIEMBRE 2024'!$A:$D,4,0)</f>
        <v>36.108339108339109</v>
      </c>
      <c r="I96" s="350">
        <f>VLOOKUP(Tabla3[[#This Row],[PATENTE]],'OCTUBRE 2024'!$A:$D,4,0)</f>
        <v>35.779215116279069</v>
      </c>
      <c r="J96" s="393">
        <f>VLOOKUP(Tabla3[[#This Row],[PATENTE]],'NOVIEMBRE 2024'!$A:$D,4,0)</f>
        <v>35.383740761796474</v>
      </c>
      <c r="K96" s="393">
        <f>VLOOKUP(Tabla3[[#This Row],[PATENTE]],'DICIEMBRE 2024'!$A:$D,4,0)</f>
        <v>36.439027907982982</v>
      </c>
      <c r="L96" s="350">
        <f>VLOOKUP(Tabla3[[#This Row],[PATENTE]],'ENERO 2025'!$A:$D,4,0)</f>
        <v>36.109842305600864</v>
      </c>
      <c r="M96" s="350">
        <f>VLOOKUP(Tabla3[[#This Row],[PATENTE]],'FEBRERO 2025'!$A:$D,4,0)</f>
        <v>40.848044009779947</v>
      </c>
      <c r="N96" s="350">
        <f>VLOOKUP(Tabla3[[#This Row],[PATENTE]],'MARZO 2025'!$A:$D,4,0)</f>
        <v>35.110358245002018</v>
      </c>
      <c r="O96" s="350">
        <f>VLOOKUP(Tabla3[[#This Row],[PATENTE]],'ABRIL 2025'!$A:$D,4,0)</f>
        <v>34.238659992298807</v>
      </c>
      <c r="P96" s="350">
        <f>VLOOKUP(Tabla3[[#This Row],[PATENTE]],'MAYO 2025'!$A:$D,4,0)</f>
        <v>34.192608016657992</v>
      </c>
      <c r="Q96" s="350">
        <f>VLOOKUP(Tabla3[[#This Row],[PATENTE]],'JUNIO 2025'!$A:$D,4,0)</f>
        <v>32.767901541521631</v>
      </c>
      <c r="R96" s="350">
        <f>VLOOKUP(Tabla3[[#This Row],[PATENTE]],'JULIO 2025'!$A:$D,4,0)</f>
        <v>34.74794760919972</v>
      </c>
      <c r="S96" s="350">
        <f>VLOOKUP(Tabla3[[#This Row],[PATENTE]],'AGOSTO 2025'!$A:$D,4,0)</f>
        <v>34.755816642767932</v>
      </c>
      <c r="T96" s="350">
        <f>VLOOKUP(Tabla3[[#This Row],[PATENTE]],'SEPTIEMBRE 2025'!$A:$D,4,0)</f>
        <v>33.406425587091192</v>
      </c>
      <c r="U96" s="350">
        <f>VLOOKUP(Tabla3[[#This Row],[PATENTE]],'OCTUBRE 2025'!$A:$D,4,0)</f>
        <v>34.345451684167664</v>
      </c>
      <c r="V96" s="460">
        <f t="shared" si="44"/>
        <v>35.280514313967871</v>
      </c>
    </row>
    <row r="97" spans="1:22" x14ac:dyDescent="0.3">
      <c r="A97" s="457"/>
      <c r="B97" s="324" t="s">
        <v>1159</v>
      </c>
      <c r="C97" s="328" t="s">
        <v>1105</v>
      </c>
      <c r="D97" s="350">
        <f>VLOOKUP(Tabla3[[#This Row],[PATENTE]],'MAYO 2024'!$A:$D,4,0)</f>
        <v>34.891398783666375</v>
      </c>
      <c r="E97" s="350">
        <f>VLOOKUP(Tabla3[[#This Row],[PATENTE]],'JUNIO 2024'!$A:$D,4,0)</f>
        <v>35.349705068014927</v>
      </c>
      <c r="F97" s="393">
        <f>VLOOKUP(Tabla3[[#This Row],[PATENTE]],'JULIO 2024'!$A:$D,4,0)</f>
        <v>34.280167569224481</v>
      </c>
      <c r="G97" s="350">
        <f>VLOOKUP(Tabla3[[#This Row],[PATENTE]],'AGOSTO 2024'!$A:$D,4,0)</f>
        <v>34.452460890063577</v>
      </c>
      <c r="H97" s="350">
        <f>VLOOKUP(Tabla3[[#This Row],[PATENTE]],'SEPTIEMBRE 2024'!$A:$D,4,0)</f>
        <v>33.780897617803006</v>
      </c>
      <c r="I97" s="350">
        <f>VLOOKUP(Tabla3[[#This Row],[PATENTE]],'OCTUBRE 2024'!$A:$D,4,0)</f>
        <v>33.485595318478509</v>
      </c>
      <c r="J97" s="393">
        <f>VLOOKUP(Tabla3[[#This Row],[PATENTE]],'NOVIEMBRE 2024'!$A:$D,4,0)</f>
        <v>34.678287943982681</v>
      </c>
      <c r="K97" s="393">
        <f>VLOOKUP(Tabla3[[#This Row],[PATENTE]],'DICIEMBRE 2024'!$A:$D,4,0)</f>
        <v>35.841231034730711</v>
      </c>
      <c r="L97" s="350">
        <f>VLOOKUP(Tabla3[[#This Row],[PATENTE]],'ENERO 2025'!$A:$D,4,0)</f>
        <v>35.98959726556695</v>
      </c>
      <c r="M97" s="350">
        <f>VLOOKUP(Tabla3[[#This Row],[PATENTE]],'FEBRERO 2025'!$A:$D,4,0)</f>
        <v>36.820947005330822</v>
      </c>
      <c r="N97" s="350">
        <f>VLOOKUP(Tabla3[[#This Row],[PATENTE]],'MARZO 2025'!$A:$D,4,0)</f>
        <v>36.082272842962588</v>
      </c>
      <c r="O97" s="350">
        <f>VLOOKUP(Tabla3[[#This Row],[PATENTE]],'ABRIL 2025'!$A:$D,4,0)</f>
        <v>33.07917039895267</v>
      </c>
      <c r="P97" s="350">
        <f>VLOOKUP(Tabla3[[#This Row],[PATENTE]],'MAYO 2025'!$A:$D,4,0)</f>
        <v>34.975505617977532</v>
      </c>
      <c r="Q97" s="350">
        <f>VLOOKUP(Tabla3[[#This Row],[PATENTE]],'JUNIO 2025'!$A:$D,4,0)</f>
        <v>37.247608762727559</v>
      </c>
      <c r="R97" s="350">
        <f>VLOOKUP(Tabla3[[#This Row],[PATENTE]],'JULIO 2025'!$A:$D,4,0)</f>
        <v>34.385606374172184</v>
      </c>
      <c r="S97" s="350">
        <f>VLOOKUP(Tabla3[[#This Row],[PATENTE]],'AGOSTO 2025'!$A:$D,4,0)</f>
        <v>36.845511979973772</v>
      </c>
      <c r="T97" s="350">
        <f>VLOOKUP(Tabla3[[#This Row],[PATENTE]],'SEPTIEMBRE 2025'!$A:$D,4,0)</f>
        <v>35.205597994748153</v>
      </c>
      <c r="U97" s="350">
        <f>VLOOKUP(Tabla3[[#This Row],[PATENTE]],'OCTUBRE 2025'!$A:$D,4,0)</f>
        <v>34.721751847290641</v>
      </c>
      <c r="V97" s="460">
        <f t="shared" si="44"/>
        <v>35.117406350870397</v>
      </c>
    </row>
    <row r="98" spans="1:22" x14ac:dyDescent="0.3">
      <c r="A98" s="457"/>
      <c r="B98" s="324" t="s">
        <v>1173</v>
      </c>
      <c r="C98" s="328" t="s">
        <v>1105</v>
      </c>
      <c r="D98" s="350">
        <f>VLOOKUP(Tabla3[[#This Row],[PATENTE]],'MAYO 2024'!$A:$D,4,0)</f>
        <v>35.232361428997912</v>
      </c>
      <c r="E98" s="350">
        <f>VLOOKUP(Tabla3[[#This Row],[PATENTE]],'JUNIO 2024'!$A:$D,4,0)</f>
        <v>34.482455755127134</v>
      </c>
      <c r="F98" s="393">
        <f>VLOOKUP(Tabla3[[#This Row],[PATENTE]],'JULIO 2024'!$A:$D,4,0)</f>
        <v>35.375454178441665</v>
      </c>
      <c r="G98" s="350">
        <f>VLOOKUP(Tabla3[[#This Row],[PATENTE]],'AGOSTO 2024'!$A:$D,4,0)</f>
        <v>35.216403884306153</v>
      </c>
      <c r="H98" s="350">
        <f>VLOOKUP(Tabla3[[#This Row],[PATENTE]],'SEPTIEMBRE 2024'!$A:$D,4,0)</f>
        <v>34.410428532682403</v>
      </c>
      <c r="I98" s="350">
        <f>VLOOKUP(Tabla3[[#This Row],[PATENTE]],'OCTUBRE 2024'!$A:$D,4,0)</f>
        <v>34.145777356303675</v>
      </c>
      <c r="J98" s="393">
        <f>VLOOKUP(Tabla3[[#This Row],[PATENTE]],'NOVIEMBRE 2024'!$A:$D,4,0)</f>
        <v>33.788555059622944</v>
      </c>
      <c r="K98" s="393">
        <f>VLOOKUP(Tabla3[[#This Row],[PATENTE]],'DICIEMBRE 2024'!$A:$D,4,0)</f>
        <v>34.53355575516489</v>
      </c>
      <c r="L98" s="350">
        <f>VLOOKUP(Tabla3[[#This Row],[PATENTE]],'ENERO 2025'!$A:$D,4,0)</f>
        <v>35.539965669079784</v>
      </c>
      <c r="M98" s="350">
        <f>VLOOKUP(Tabla3[[#This Row],[PATENTE]],'FEBRERO 2025'!$A:$D,4,0)</f>
        <v>37.584119496855344</v>
      </c>
      <c r="N98" s="350">
        <f>VLOOKUP(Tabla3[[#This Row],[PATENTE]],'MARZO 2025'!$A:$D,4,0)</f>
        <v>39.308950504681988</v>
      </c>
      <c r="O98" s="350">
        <f>VLOOKUP(Tabla3[[#This Row],[PATENTE]],'ABRIL 2025'!$A:$D,4,0)</f>
        <v>38.855456453305351</v>
      </c>
      <c r="P98" s="350">
        <f>VLOOKUP(Tabla3[[#This Row],[PATENTE]],'MAYO 2025'!$A:$D,4,0)</f>
        <v>36.257091400270149</v>
      </c>
      <c r="Q98" s="350">
        <f>VLOOKUP(Tabla3[[#This Row],[PATENTE]],'JUNIO 2025'!$A:$D,4,0)</f>
        <v>34.791991802632623</v>
      </c>
      <c r="R98" s="350">
        <f>VLOOKUP(Tabla3[[#This Row],[PATENTE]],'JULIO 2025'!$A:$D,4,0)</f>
        <v>35.074641675854465</v>
      </c>
      <c r="S98" s="350">
        <f>VLOOKUP(Tabla3[[#This Row],[PATENTE]],'AGOSTO 2025'!$A:$D,4,0)</f>
        <v>34.193479252165979</v>
      </c>
      <c r="T98" s="350">
        <f>VLOOKUP(Tabla3[[#This Row],[PATENTE]],'SEPTIEMBRE 2025'!$A:$D,4,0)</f>
        <v>34.919139182478034</v>
      </c>
      <c r="U98" s="350">
        <f>VLOOKUP(Tabla3[[#This Row],[PATENTE]],'OCTUBRE 2025'!$A:$D,4,0)</f>
        <v>34.933255703170488</v>
      </c>
      <c r="V98" s="460">
        <f t="shared" si="44"/>
        <v>35.480171282841162</v>
      </c>
    </row>
    <row r="99" spans="1:22" x14ac:dyDescent="0.3">
      <c r="A99" s="457"/>
      <c r="B99" s="379" t="s">
        <v>1179</v>
      </c>
      <c r="C99" s="328" t="s">
        <v>1105</v>
      </c>
      <c r="D99" s="350"/>
      <c r="E99" s="350"/>
      <c r="F99" s="393"/>
      <c r="G99" s="350"/>
      <c r="H99" s="350">
        <f>VLOOKUP(Tabla3[[#This Row],[PATENTE]],'SEPTIEMBRE 2024'!$A:$D,4,0)</f>
        <v>36.274861779277664</v>
      </c>
      <c r="I99" s="350">
        <f>VLOOKUP(Tabla3[[#This Row],[PATENTE]],'OCTUBRE 2024'!$A:$D,4,0)</f>
        <v>35.980851956772639</v>
      </c>
      <c r="J99" s="393">
        <f>VLOOKUP(Tabla3[[#This Row],[PATENTE]],'NOVIEMBRE 2024'!$A:$D,4,0)</f>
        <v>35.430104458017006</v>
      </c>
      <c r="K99" s="393">
        <f>VLOOKUP(Tabla3[[#This Row],[PATENTE]],'DICIEMBRE 2024'!$A:$D,4,0)</f>
        <v>34.470254412542687</v>
      </c>
      <c r="L99" s="350">
        <f>VLOOKUP(Tabla3[[#This Row],[PATENTE]],'ENERO 2025'!$A:$D,4,0)</f>
        <v>33.617168172141994</v>
      </c>
      <c r="M99" s="350">
        <f>VLOOKUP(Tabla3[[#This Row],[PATENTE]],'FEBRERO 2025'!$A:$D,4,0)</f>
        <v>33.977287909151634</v>
      </c>
      <c r="N99" s="350">
        <f>VLOOKUP(Tabla3[[#This Row],[PATENTE]],'MARZO 2025'!$A:$D,4,0)</f>
        <v>34.395878712443384</v>
      </c>
      <c r="O99" s="350">
        <f>VLOOKUP(Tabla3[[#This Row],[PATENTE]],'ABRIL 2025'!$A:$D,4,0)</f>
        <v>34.142946577629381</v>
      </c>
      <c r="P99" s="350">
        <f>VLOOKUP(Tabla3[[#This Row],[PATENTE]],'MAYO 2025'!$A:$D,4,0)</f>
        <v>33.304781251175562</v>
      </c>
      <c r="Q99" s="350">
        <f>VLOOKUP(Tabla3[[#This Row],[PATENTE]],'JUNIO 2025'!$A:$D,4,0)</f>
        <v>34.080605623648161</v>
      </c>
      <c r="R99" s="350">
        <f>VLOOKUP(Tabla3[[#This Row],[PATENTE]],'JULIO 2025'!$A:$D,4,0)</f>
        <v>34.159759579263714</v>
      </c>
      <c r="S99" s="350">
        <f>VLOOKUP(Tabla3[[#This Row],[PATENTE]],'AGOSTO 2025'!$A:$D,4,0)</f>
        <v>33.565562983628993</v>
      </c>
      <c r="T99" s="350">
        <f>VLOOKUP(Tabla3[[#This Row],[PATENTE]],'SEPTIEMBRE 2025'!$A:$D,4,0)</f>
        <v>35.179658840792364</v>
      </c>
      <c r="U99" s="350">
        <f>VLOOKUP(Tabla3[[#This Row],[PATENTE]],'OCTUBRE 2025'!$A:$D,4,0)</f>
        <v>34.767157259151446</v>
      </c>
      <c r="V99" s="460">
        <f t="shared" si="44"/>
        <v>34.524777108259755</v>
      </c>
    </row>
    <row r="100" spans="1:22" x14ac:dyDescent="0.3">
      <c r="A100" s="457"/>
      <c r="B100" s="379" t="s">
        <v>1180</v>
      </c>
      <c r="C100" s="328" t="s">
        <v>1105</v>
      </c>
      <c r="D100" s="350"/>
      <c r="E100" s="350"/>
      <c r="F100" s="393"/>
      <c r="G100" s="350"/>
      <c r="H100" s="350">
        <f>VLOOKUP(Tabla3[[#This Row],[PATENTE]],'SEPTIEMBRE 2024'!$A:$D,4,0)</f>
        <v>37.97229219143577</v>
      </c>
      <c r="I100" s="350">
        <f>VLOOKUP(Tabla3[[#This Row],[PATENTE]],'OCTUBRE 2024'!$A:$D,4,0)</f>
        <v>35.954678149175308</v>
      </c>
      <c r="J100" s="393">
        <f>VLOOKUP(Tabla3[[#This Row],[PATENTE]],'NOVIEMBRE 2024'!$A:$D,4,0)</f>
        <v>35.247241520228847</v>
      </c>
      <c r="K100" s="393">
        <f>VLOOKUP(Tabla3[[#This Row],[PATENTE]],'DICIEMBRE 2024'!$A:$D,4,0)</f>
        <v>34.954051477597716</v>
      </c>
      <c r="L100" s="350">
        <f>VLOOKUP(Tabla3[[#This Row],[PATENTE]],'ENERO 2025'!$A:$D,4,0)</f>
        <v>35.948023675079938</v>
      </c>
      <c r="M100" s="350">
        <f>VLOOKUP(Tabla3[[#This Row],[PATENTE]],'FEBRERO 2025'!$A:$D,4,0)</f>
        <v>35.446348217376254</v>
      </c>
      <c r="N100" s="350">
        <f>VLOOKUP(Tabla3[[#This Row],[PATENTE]],'MARZO 2025'!$A:$D,4,0)</f>
        <v>34.719091044999246</v>
      </c>
      <c r="O100" s="350">
        <f>VLOOKUP(Tabla3[[#This Row],[PATENTE]],'ABRIL 2025'!$A:$D,4,0)</f>
        <v>32.255505666025222</v>
      </c>
      <c r="P100" s="350">
        <f>VLOOKUP(Tabla3[[#This Row],[PATENTE]],'MAYO 2025'!$A:$D,4,0)</f>
        <v>33.758760579142475</v>
      </c>
      <c r="Q100" s="350">
        <f>VLOOKUP(Tabla3[[#This Row],[PATENTE]],'JUNIO 2025'!$A:$D,4,0)</f>
        <v>34.020418326693232</v>
      </c>
      <c r="R100" s="350">
        <f>VLOOKUP(Tabla3[[#This Row],[PATENTE]],'JULIO 2025'!$A:$D,4,0)</f>
        <v>35.979253112033192</v>
      </c>
      <c r="S100" s="350">
        <f>VLOOKUP(Tabla3[[#This Row],[PATENTE]],'AGOSTO 2025'!$A:$D,4,0)</f>
        <v>35.611493212669686</v>
      </c>
      <c r="T100" s="350"/>
      <c r="U100" s="350">
        <f>VLOOKUP(Tabla3[[#This Row],[PATENTE]],'OCTUBRE 2025'!$A:$D,4,0)</f>
        <v>34.439501606152049</v>
      </c>
      <c r="V100" s="460">
        <f t="shared" si="44"/>
        <v>35.100512213739151</v>
      </c>
    </row>
    <row r="101" spans="1:22" x14ac:dyDescent="0.3">
      <c r="A101" s="457"/>
      <c r="B101" s="324" t="s">
        <v>1118</v>
      </c>
      <c r="C101" s="328" t="s">
        <v>1105</v>
      </c>
      <c r="D101" s="350">
        <f>VLOOKUP(Tabla3[[#This Row],[PATENTE]],'MAYO 2024'!$A:$D,4,0)</f>
        <v>37.387744321183305</v>
      </c>
      <c r="E101" s="350">
        <f>VLOOKUP(Tabla3[[#This Row],[PATENTE]],'JUNIO 2024'!$A:$D,4,0)</f>
        <v>37.22994277706411</v>
      </c>
      <c r="F101" s="393">
        <f>VLOOKUP(Tabla3[[#This Row],[PATENTE]],'JULIO 2024'!$A:$D,4,0)</f>
        <v>37.284135163840922</v>
      </c>
      <c r="G101" s="350">
        <f>VLOOKUP(Tabla3[[#This Row],[PATENTE]],'AGOSTO 2024'!$A:$D,4,0)</f>
        <v>37.854066683505934</v>
      </c>
      <c r="H101" s="350">
        <f>VLOOKUP(Tabla3[[#This Row],[PATENTE]],'SEPTIEMBRE 2024'!$A:$D,4,0)</f>
        <v>38.305696494464939</v>
      </c>
      <c r="I101" s="350">
        <f>VLOOKUP(Tabla3[[#This Row],[PATENTE]],'OCTUBRE 2024'!$A:$D,4,0)</f>
        <v>36.724905544776881</v>
      </c>
      <c r="J101" s="393">
        <f>VLOOKUP(Tabla3[[#This Row],[PATENTE]],'NOVIEMBRE 2024'!$A:$D,4,0)</f>
        <v>36.159267025252987</v>
      </c>
      <c r="K101" s="393">
        <f>VLOOKUP(Tabla3[[#This Row],[PATENTE]],'DICIEMBRE 2024'!$A:$D,4,0)</f>
        <v>38.52675109847506</v>
      </c>
      <c r="L101" s="350">
        <f>VLOOKUP(Tabla3[[#This Row],[PATENTE]],'ENERO 2025'!$A:$D,4,0)</f>
        <v>39.309831065227591</v>
      </c>
      <c r="M101" s="350">
        <f>VLOOKUP(Tabla3[[#This Row],[PATENTE]],'FEBRERO 2025'!$A:$D,4,0)</f>
        <v>37.765716890813763</v>
      </c>
      <c r="N101" s="350">
        <f>VLOOKUP(Tabla3[[#This Row],[PATENTE]],'MARZO 2025'!$A:$D,4,0)</f>
        <v>38.287102684617224</v>
      </c>
      <c r="O101" s="350">
        <f>VLOOKUP(Tabla3[[#This Row],[PATENTE]],'ABRIL 2025'!$A:$D,4,0)</f>
        <v>37.037449664429531</v>
      </c>
      <c r="P101" s="350">
        <f>VLOOKUP(Tabla3[[#This Row],[PATENTE]],'MAYO 2025'!$A:$D,4,0)</f>
        <v>37.113803753860772</v>
      </c>
      <c r="Q101" s="350">
        <f>VLOOKUP(Tabla3[[#This Row],[PATENTE]],'JUNIO 2025'!$A:$D,4,0)</f>
        <v>37.60024467472654</v>
      </c>
      <c r="R101" s="350">
        <f>VLOOKUP(Tabla3[[#This Row],[PATENTE]],'JULIO 2025'!$A:$D,4,0)</f>
        <v>37.520767090620033</v>
      </c>
      <c r="S101" s="350">
        <f>VLOOKUP(Tabla3[[#This Row],[PATENTE]],'AGOSTO 2025'!$A:$D,4,0)</f>
        <v>36.022400099280219</v>
      </c>
      <c r="T101" s="350">
        <f>VLOOKUP(Tabla3[[#This Row],[PATENTE]],'SEPTIEMBRE 2025'!$A:$D,4,0)</f>
        <v>36.516691579471846</v>
      </c>
      <c r="U101" s="350">
        <f>VLOOKUP(Tabla3[[#This Row],[PATENTE]],'OCTUBRE 2025'!$A:$D,4,0)</f>
        <v>34.875107595196134</v>
      </c>
      <c r="V101" s="460">
        <f t="shared" si="44"/>
        <v>37.306756900378204</v>
      </c>
    </row>
    <row r="102" spans="1:22" x14ac:dyDescent="0.3">
      <c r="A102" s="457"/>
      <c r="B102" s="324" t="s">
        <v>1185</v>
      </c>
      <c r="C102" s="328" t="s">
        <v>1105</v>
      </c>
      <c r="D102" s="350"/>
      <c r="E102" s="350"/>
      <c r="F102" s="393"/>
      <c r="G102" s="350"/>
      <c r="H102" s="350"/>
      <c r="I102" s="350"/>
      <c r="J102" s="393"/>
      <c r="K102" s="393">
        <f>VLOOKUP(Tabla3[[#This Row],[PATENTE]],'DICIEMBRE 2024'!$A:$D,4,0)</f>
        <v>37.274979067820261</v>
      </c>
      <c r="L102" s="350">
        <f>VLOOKUP(Tabla3[[#This Row],[PATENTE]],'ENERO 2025'!$A:$D,4,0)</f>
        <v>32.590593677717813</v>
      </c>
      <c r="M102" s="350">
        <f>VLOOKUP(Tabla3[[#This Row],[PATENTE]],'FEBRERO 2025'!$A:$D,4,0)</f>
        <v>36.516460637605725</v>
      </c>
      <c r="N102" s="350">
        <f>VLOOKUP(Tabla3[[#This Row],[PATENTE]],'MARZO 2025'!$A:$D,4,0)</f>
        <v>37.309969617748884</v>
      </c>
      <c r="O102" s="350">
        <f>VLOOKUP(Tabla3[[#This Row],[PATENTE]],'ABRIL 2025'!$A:$D,4,0)</f>
        <v>33.137916666666669</v>
      </c>
      <c r="P102" s="350">
        <f>VLOOKUP(Tabla3[[#This Row],[PATENTE]],'MAYO 2025'!$A:$D,4,0)</f>
        <v>36.793167069601729</v>
      </c>
      <c r="Q102" s="350">
        <f>VLOOKUP(Tabla3[[#This Row],[PATENTE]],'JUNIO 2025'!$A:$D,4,0)</f>
        <v>38.001218026796586</v>
      </c>
      <c r="R102" s="350">
        <f>VLOOKUP(Tabla3[[#This Row],[PATENTE]],'JULIO 2025'!$A:$D,4,0)</f>
        <v>35.721531100478465</v>
      </c>
      <c r="S102" s="350">
        <f>VLOOKUP(Tabla3[[#This Row],[PATENTE]],'AGOSTO 2025'!$A:$D,4,0)</f>
        <v>35.132923530858129</v>
      </c>
      <c r="T102" s="350">
        <f>VLOOKUP(Tabla3[[#This Row],[PATENTE]],'SEPTIEMBRE 2025'!$A:$D,4,0)</f>
        <v>34.139979584892821</v>
      </c>
      <c r="U102" s="350">
        <f>VLOOKUP(Tabla3[[#This Row],[PATENTE]],'OCTUBRE 2025'!$A:$D,4,0)</f>
        <v>35.218012390558599</v>
      </c>
      <c r="V102" s="460">
        <f t="shared" si="44"/>
        <v>35.621522851885977</v>
      </c>
    </row>
    <row r="103" spans="1:22" x14ac:dyDescent="0.3">
      <c r="A103" s="457"/>
      <c r="B103" s="324" t="s">
        <v>1186</v>
      </c>
      <c r="C103" s="328" t="s">
        <v>1105</v>
      </c>
      <c r="D103" s="350"/>
      <c r="E103" s="350"/>
      <c r="F103" s="393"/>
      <c r="G103" s="350"/>
      <c r="H103" s="350"/>
      <c r="I103" s="350"/>
      <c r="J103" s="393"/>
      <c r="K103" s="393">
        <f>VLOOKUP(Tabla3[[#This Row],[PATENTE]],'DICIEMBRE 2024'!$A:$D,4,0)</f>
        <v>37.107153035052718</v>
      </c>
      <c r="L103" s="350">
        <f>VLOOKUP(Tabla3[[#This Row],[PATENTE]],'ENERO 2025'!$A:$D,4,0)</f>
        <v>35.650257899744602</v>
      </c>
      <c r="M103" s="350">
        <f>VLOOKUP(Tabla3[[#This Row],[PATENTE]],'FEBRERO 2025'!$A:$D,4,0)</f>
        <v>37.561367351289888</v>
      </c>
      <c r="N103" s="350">
        <f>VLOOKUP(Tabla3[[#This Row],[PATENTE]],'MARZO 2025'!$A:$D,4,0)</f>
        <v>37.075993091537136</v>
      </c>
      <c r="O103" s="350">
        <f>VLOOKUP(Tabla3[[#This Row],[PATENTE]],'ABRIL 2025'!$A:$D,4,0)</f>
        <v>35.377667819244067</v>
      </c>
      <c r="P103" s="350">
        <f>VLOOKUP(Tabla3[[#This Row],[PATENTE]],'MAYO 2025'!$A:$D,4,0)</f>
        <v>35.856128390853577</v>
      </c>
      <c r="Q103" s="350">
        <f>VLOOKUP(Tabla3[[#This Row],[PATENTE]],'JUNIO 2025'!$A:$D,4,0)</f>
        <v>37.174644532122386</v>
      </c>
      <c r="R103" s="350">
        <f>VLOOKUP(Tabla3[[#This Row],[PATENTE]],'JULIO 2025'!$A:$D,4,0)</f>
        <v>37.271021901233411</v>
      </c>
      <c r="S103" s="350">
        <f>VLOOKUP(Tabla3[[#This Row],[PATENTE]],'AGOSTO 2025'!$A:$D,4,0)</f>
        <v>33.72584875418913</v>
      </c>
      <c r="T103" s="350">
        <f>VLOOKUP(Tabla3[[#This Row],[PATENTE]],'SEPTIEMBRE 2025'!$A:$D,4,0)</f>
        <v>34.892295148797395</v>
      </c>
      <c r="U103" s="350">
        <f>VLOOKUP(Tabla3[[#This Row],[PATENTE]],'OCTUBRE 2025'!$A:$D,4,0)</f>
        <v>32.868933502140237</v>
      </c>
      <c r="V103" s="460">
        <f t="shared" si="44"/>
        <v>35.869210129654967</v>
      </c>
    </row>
    <row r="104" spans="1:22" x14ac:dyDescent="0.3">
      <c r="A104" s="457"/>
      <c r="B104" s="324" t="s">
        <v>1187</v>
      </c>
      <c r="C104" s="328" t="s">
        <v>1105</v>
      </c>
      <c r="D104" s="350"/>
      <c r="E104" s="350"/>
      <c r="F104" s="393"/>
      <c r="G104" s="350"/>
      <c r="H104" s="350"/>
      <c r="I104" s="350"/>
      <c r="J104" s="393"/>
      <c r="K104" s="393"/>
      <c r="L104" s="350">
        <f>VLOOKUP(Tabla3[[#This Row],[PATENTE]],'ENERO 2025'!$A:$D,4,0)</f>
        <v>37.321956925617563</v>
      </c>
      <c r="M104" s="350"/>
      <c r="N104" s="350"/>
      <c r="O104" s="350"/>
      <c r="P104" s="350">
        <f>VLOOKUP(Tabla3[[#This Row],[PATENTE]],'MAYO 2025'!$A:$D,4,0)</f>
        <v>35.914475516130317</v>
      </c>
      <c r="Q104" s="350">
        <f>VLOOKUP(Tabla3[[#This Row],[PATENTE]],'JUNIO 2025'!$A:$D,4,0)</f>
        <v>35.560114455061054</v>
      </c>
      <c r="R104" s="350">
        <f>VLOOKUP(Tabla3[[#This Row],[PATENTE]],'JULIO 2025'!$A:$D,4,0)</f>
        <v>35.864726852297906</v>
      </c>
      <c r="S104" s="350">
        <f>VLOOKUP(Tabla3[[#This Row],[PATENTE]],'AGOSTO 2025'!$A:$D,4,0)</f>
        <v>35.16385911179173</v>
      </c>
      <c r="T104" s="350">
        <f>VLOOKUP(Tabla3[[#This Row],[PATENTE]],'SEPTIEMBRE 2025'!$A:$D,4,0)</f>
        <v>35.180577520060922</v>
      </c>
      <c r="U104" s="350">
        <f>VLOOKUP(Tabla3[[#This Row],[PATENTE]],'OCTUBRE 2025'!$A:$D,4,0)</f>
        <v>37.135027330477179</v>
      </c>
      <c r="V104" s="460">
        <f t="shared" si="44"/>
        <v>36.020105387348096</v>
      </c>
    </row>
    <row r="105" spans="1:22" x14ac:dyDescent="0.3">
      <c r="A105" s="457"/>
      <c r="B105" s="402" t="s">
        <v>1189</v>
      </c>
      <c r="C105" s="328" t="s">
        <v>1105</v>
      </c>
      <c r="D105" s="350"/>
      <c r="E105" s="350"/>
      <c r="F105" s="393"/>
      <c r="G105" s="350"/>
      <c r="H105" s="350"/>
      <c r="I105" s="350"/>
      <c r="J105" s="393"/>
      <c r="K105" s="393"/>
      <c r="L105" s="350"/>
      <c r="M105" s="350">
        <f>VLOOKUP(Tabla3[[#This Row],[PATENTE]],'FEBRERO 2025'!$A:$D,4,0)</f>
        <v>33.492811284926304</v>
      </c>
      <c r="N105" s="350">
        <f>VLOOKUP(Tabla3[[#This Row],[PATENTE]],'MARZO 2025'!$A:$D,4,0)</f>
        <v>34.702693208430915</v>
      </c>
      <c r="O105" s="350">
        <f>VLOOKUP(Tabla3[[#This Row],[PATENTE]],'ABRIL 2025'!$A:$D,4,0)</f>
        <v>34.499602684089709</v>
      </c>
      <c r="P105" s="350">
        <f>VLOOKUP(Tabla3[[#This Row],[PATENTE]],'MAYO 2025'!$A:$D,4,0)</f>
        <v>35.37010806520545</v>
      </c>
      <c r="Q105" s="350">
        <f>VLOOKUP(Tabla3[[#This Row],[PATENTE]],'JUNIO 2025'!$A:$D,4,0)</f>
        <v>34.276711938455698</v>
      </c>
      <c r="R105" s="350">
        <f>VLOOKUP(Tabla3[[#This Row],[PATENTE]],'JULIO 2025'!$A:$D,4,0)</f>
        <v>34.337635190402615</v>
      </c>
      <c r="S105" s="350">
        <f>VLOOKUP(Tabla3[[#This Row],[PATENTE]],'AGOSTO 2025'!$A:$D,4,0)</f>
        <v>34.186677034733023</v>
      </c>
      <c r="T105" s="350">
        <f>VLOOKUP(Tabla3[[#This Row],[PATENTE]],'SEPTIEMBRE 2025'!$A:$D,4,0)</f>
        <v>34.549532422155991</v>
      </c>
      <c r="U105" s="350">
        <f>VLOOKUP(Tabla3[[#This Row],[PATENTE]],'OCTUBRE 2025'!$A:$D,4,0)</f>
        <v>34.082395382395383</v>
      </c>
      <c r="V105" s="460">
        <f t="shared" si="44"/>
        <v>34.388685245643899</v>
      </c>
    </row>
    <row r="106" spans="1:22" x14ac:dyDescent="0.3">
      <c r="A106" s="457"/>
      <c r="B106" s="402" t="s">
        <v>1190</v>
      </c>
      <c r="C106" s="328" t="s">
        <v>1105</v>
      </c>
      <c r="D106" s="350"/>
      <c r="E106" s="350"/>
      <c r="F106" s="393"/>
      <c r="G106" s="350"/>
      <c r="H106" s="350"/>
      <c r="I106" s="350"/>
      <c r="J106" s="393"/>
      <c r="K106" s="393"/>
      <c r="L106" s="350"/>
      <c r="M106" s="350">
        <f>VLOOKUP(Tabla3[[#This Row],[PATENTE]],'FEBRERO 2025'!$A:$D,4,0)</f>
        <v>34.985290772613538</v>
      </c>
      <c r="N106" s="350">
        <f>VLOOKUP(Tabla3[[#This Row],[PATENTE]],'MARZO 2025'!$A:$D,4,0)</f>
        <v>34.303585770302831</v>
      </c>
      <c r="O106" s="350">
        <f>VLOOKUP(Tabla3[[#This Row],[PATENTE]],'ABRIL 2025'!$A:$D,4,0)</f>
        <v>33.70857806751436</v>
      </c>
      <c r="P106" s="350">
        <f>VLOOKUP(Tabla3[[#This Row],[PATENTE]],'MAYO 2025'!$A:$D,4,0)</f>
        <v>33.292276788074219</v>
      </c>
      <c r="Q106" s="350">
        <f>VLOOKUP(Tabla3[[#This Row],[PATENTE]],'JUNIO 2025'!$A:$D,4,0)</f>
        <v>33.919673247106871</v>
      </c>
      <c r="R106" s="350">
        <f>VLOOKUP(Tabla3[[#This Row],[PATENTE]],'JULIO 2025'!$A:$D,4,0)</f>
        <v>34.88152845659814</v>
      </c>
      <c r="S106" s="350">
        <f>VLOOKUP(Tabla3[[#This Row],[PATENTE]],'AGOSTO 2025'!$A:$D,4,0)</f>
        <v>33.698211363104981</v>
      </c>
      <c r="T106" s="350">
        <f>VLOOKUP(Tabla3[[#This Row],[PATENTE]],'SEPTIEMBRE 2025'!$A:$D,4,0)</f>
        <v>32.507664510112491</v>
      </c>
      <c r="U106" s="350">
        <f>VLOOKUP(Tabla3[[#This Row],[PATENTE]],'OCTUBRE 2025'!$A:$D,4,0)</f>
        <v>33.614855570839062</v>
      </c>
      <c r="V106" s="460">
        <f t="shared" si="44"/>
        <v>33.879073838474056</v>
      </c>
    </row>
    <row r="107" spans="1:22" x14ac:dyDescent="0.3">
      <c r="A107" s="457"/>
      <c r="B107" s="379" t="s">
        <v>184</v>
      </c>
      <c r="C107" s="328" t="s">
        <v>1111</v>
      </c>
      <c r="D107" s="350">
        <f>VLOOKUP(Tabla3[[#This Row],[PATENTE]],'MAYO 2024'!$A:$D,4,0)</f>
        <v>40.144631930279992</v>
      </c>
      <c r="E107" s="350"/>
      <c r="F107" s="393"/>
      <c r="G107" s="350">
        <f>VLOOKUP(Tabla3[[#This Row],[PATENTE]],'AGOSTO 2024'!$A:$D,4,0)</f>
        <v>38.530709195792326</v>
      </c>
      <c r="H107" s="350">
        <f>VLOOKUP(Tabla3[[#This Row],[PATENTE]],'SEPTIEMBRE 2024'!$A:$D,4,0)</f>
        <v>37.651940158952776</v>
      </c>
      <c r="I107" s="350">
        <f>VLOOKUP(Tabla3[[#This Row],[PATENTE]],'OCTUBRE 2024'!$A:$D,4,0)</f>
        <v>38.44190040068689</v>
      </c>
      <c r="J107" s="393">
        <f>VLOOKUP(Tabla3[[#This Row],[PATENTE]],'NOVIEMBRE 2024'!$A:$D,4,0)</f>
        <v>36.233586298127129</v>
      </c>
      <c r="K107" s="393">
        <f>VLOOKUP(Tabla3[[#This Row],[PATENTE]],'DICIEMBRE 2024'!$A:$D,4,0)</f>
        <v>35.982990471101608</v>
      </c>
      <c r="L107" s="350">
        <f>VLOOKUP(Tabla3[[#This Row],[PATENTE]],'ENERO 2025'!$A:$D,4,0)</f>
        <v>37.663487068541649</v>
      </c>
      <c r="M107" s="350">
        <f>VLOOKUP(Tabla3[[#This Row],[PATENTE]],'FEBRERO 2025'!$A:$D,4,0)</f>
        <v>38.021018429202421</v>
      </c>
      <c r="N107" s="350">
        <f>VLOOKUP(Tabla3[[#This Row],[PATENTE]],'MARZO 2025'!$A:$D,4,0)</f>
        <v>35.314638135477715</v>
      </c>
      <c r="O107" s="350">
        <f>VLOOKUP(Tabla3[[#This Row],[PATENTE]],'ABRIL 2025'!$A:$D,4,0)</f>
        <v>39.79118749192402</v>
      </c>
      <c r="P107" s="350">
        <f>VLOOKUP(Tabla3[[#This Row],[PATENTE]],'MAYO 2025'!$A:$D,4,0)</f>
        <v>38.881760644418875</v>
      </c>
      <c r="Q107" s="350">
        <f>VLOOKUP(Tabla3[[#This Row],[PATENTE]],'JUNIO 2025'!$A:$D,4,0)</f>
        <v>36.346795744466299</v>
      </c>
      <c r="R107" s="350">
        <f>VLOOKUP(Tabla3[[#This Row],[PATENTE]],'JULIO 2025'!$A:$D,4,0)</f>
        <v>36.370695053224793</v>
      </c>
      <c r="S107" s="350">
        <f>VLOOKUP(Tabla3[[#This Row],[PATENTE]],'AGOSTO 2025'!$A:$D,4,0)</f>
        <v>39.798606016140859</v>
      </c>
      <c r="T107" s="350">
        <f>VLOOKUP(Tabla3[[#This Row],[PATENTE]],'SEPTIEMBRE 2025'!$A:$D,4,0)</f>
        <v>40.271411985353218</v>
      </c>
      <c r="U107" s="350">
        <f>VLOOKUP(Tabla3[[#This Row],[PATENTE]],'OCTUBRE 2025'!$A:$D,4,0)</f>
        <v>39.83112457402499</v>
      </c>
      <c r="V107" s="460">
        <f t="shared" si="44"/>
        <v>38.079780224857217</v>
      </c>
    </row>
    <row r="108" spans="1:22" x14ac:dyDescent="0.3">
      <c r="A108" s="457"/>
      <c r="B108" s="324" t="s">
        <v>1183</v>
      </c>
      <c r="C108" s="328" t="s">
        <v>1105</v>
      </c>
      <c r="D108" s="350"/>
      <c r="E108" s="350"/>
      <c r="F108" s="393"/>
      <c r="G108" s="350"/>
      <c r="H108" s="350"/>
      <c r="I108" s="350"/>
      <c r="J108" s="393"/>
      <c r="K108" s="393">
        <f>VLOOKUP(Tabla3[[#This Row],[PATENTE]],'DICIEMBRE 2024'!$A:$D,4,0)</f>
        <v>36.385589302226329</v>
      </c>
      <c r="L108" s="350">
        <f>VLOOKUP(Tabla3[[#This Row],[PATENTE]],'ENERO 2025'!$A:$D,4,0)</f>
        <v>36.853744839787694</v>
      </c>
      <c r="M108" s="350">
        <f>VLOOKUP(Tabla3[[#This Row],[PATENTE]],'FEBRERO 2025'!$A:$D,4,0)</f>
        <v>35.135564441036315</v>
      </c>
      <c r="N108" s="350">
        <f>VLOOKUP(Tabla3[[#This Row],[PATENTE]],'MARZO 2025'!$A:$D,4,0)</f>
        <v>37.018330042027443</v>
      </c>
      <c r="O108" s="350">
        <f>VLOOKUP(Tabla3[[#This Row],[PATENTE]],'ABRIL 2025'!$A:$D,4,0)</f>
        <v>36.454411764705888</v>
      </c>
      <c r="P108" s="350">
        <f>VLOOKUP(Tabla3[[#This Row],[PATENTE]],'MAYO 2025'!$A:$D,4,0)</f>
        <v>35.973327541268461</v>
      </c>
      <c r="Q108" s="350">
        <f>VLOOKUP(Tabla3[[#This Row],[PATENTE]],'JUNIO 2025'!$A:$D,4,0)</f>
        <v>36.708853238265007</v>
      </c>
      <c r="R108" s="350">
        <f>VLOOKUP(Tabla3[[#This Row],[PATENTE]],'JULIO 2025'!$A:$D,4,0)</f>
        <v>37.729147064839438</v>
      </c>
      <c r="S108" s="350">
        <f>VLOOKUP(Tabla3[[#This Row],[PATENTE]],'AGOSTO 2025'!$A:$D,4,0)</f>
        <v>32.787414835795765</v>
      </c>
      <c r="T108" s="350">
        <f>VLOOKUP(Tabla3[[#This Row],[PATENTE]],'SEPTIEMBRE 2025'!$A:$D,4,0)</f>
        <v>34.00005614823133</v>
      </c>
      <c r="U108" s="350">
        <f>VLOOKUP(Tabla3[[#This Row],[PATENTE]],'OCTUBRE 2025'!$A:$D,4,0)</f>
        <v>34.203153426318984</v>
      </c>
      <c r="V108" s="460">
        <f t="shared" si="44"/>
        <v>35.749962967682059</v>
      </c>
    </row>
    <row r="109" spans="1:22" ht="15" thickBot="1" x14ac:dyDescent="0.35">
      <c r="A109" s="457"/>
      <c r="B109" s="326"/>
      <c r="C109" s="329"/>
      <c r="D109" s="368"/>
      <c r="E109" s="368"/>
      <c r="F109" s="394"/>
      <c r="G109" s="368"/>
      <c r="H109" s="368"/>
      <c r="I109" s="368"/>
      <c r="J109" s="394"/>
      <c r="K109" s="394"/>
      <c r="L109" s="394"/>
      <c r="M109" s="394"/>
      <c r="N109" s="394"/>
      <c r="O109" s="394"/>
      <c r="P109" s="394"/>
      <c r="Q109" s="394"/>
      <c r="R109" s="394"/>
      <c r="S109" s="394"/>
      <c r="T109" s="394"/>
      <c r="U109" s="394"/>
    </row>
    <row r="110" spans="1:22" ht="4.95" customHeight="1" thickBot="1" x14ac:dyDescent="0.35">
      <c r="B110" s="330"/>
      <c r="C110" s="330"/>
      <c r="Q110"/>
    </row>
    <row r="111" spans="1:22" ht="15" thickBot="1" x14ac:dyDescent="0.35">
      <c r="B111" s="331"/>
      <c r="C111" s="332" t="s">
        <v>1119</v>
      </c>
      <c r="D111" s="333">
        <f t="shared" ref="D111:H111" si="45">AVERAGE(D83:D109)</f>
        <v>36.880239276573306</v>
      </c>
      <c r="E111" s="333">
        <f t="shared" si="45"/>
        <v>35.503663571854112</v>
      </c>
      <c r="F111" s="333">
        <f t="shared" si="45"/>
        <v>36.24306919214056</v>
      </c>
      <c r="G111" s="333">
        <f t="shared" si="45"/>
        <v>36.790543550085403</v>
      </c>
      <c r="H111" s="333">
        <f t="shared" si="45"/>
        <v>36.420753839942115</v>
      </c>
      <c r="I111" s="333">
        <f t="shared" ref="I111:J111" si="46">AVERAGE(I83:I109)</f>
        <v>35.804465655788043</v>
      </c>
      <c r="J111" s="333">
        <f t="shared" si="46"/>
        <v>35.577095809159879</v>
      </c>
      <c r="K111" s="333">
        <f t="shared" ref="K111:L111" si="47">AVERAGE(K83:K109)</f>
        <v>36.12667367660454</v>
      </c>
      <c r="L111" s="333">
        <f t="shared" si="47"/>
        <v>36.199587348109326</v>
      </c>
      <c r="M111" s="333">
        <f t="shared" ref="M111:N111" si="48">AVERAGE(M83:M109)</f>
        <v>36.237059545969288</v>
      </c>
      <c r="N111" s="333">
        <f t="shared" si="48"/>
        <v>35.922147500822575</v>
      </c>
      <c r="O111" s="333">
        <f t="shared" ref="O111:P111" si="49">AVERAGE(O83:O109)</f>
        <v>35.622425925240584</v>
      </c>
      <c r="P111" s="333">
        <f t="shared" si="49"/>
        <v>35.701504759565516</v>
      </c>
      <c r="Q111" s="333">
        <f t="shared" ref="Q111:R111" si="50">AVERAGE(Q83:Q109)</f>
        <v>35.574365315166638</v>
      </c>
      <c r="R111" s="333">
        <f t="shared" si="50"/>
        <v>35.590319131466451</v>
      </c>
      <c r="S111" s="333">
        <v>35.04</v>
      </c>
      <c r="T111" s="333">
        <v>36.04</v>
      </c>
      <c r="U111" s="333">
        <v>37.04</v>
      </c>
    </row>
    <row r="112" spans="1:22" ht="15" thickBot="1" x14ac:dyDescent="0.35">
      <c r="Q112"/>
    </row>
    <row r="113" spans="1:22" x14ac:dyDescent="0.3">
      <c r="A113" s="457">
        <v>33</v>
      </c>
      <c r="B113" s="323" t="s">
        <v>128</v>
      </c>
      <c r="C113" s="327" t="s">
        <v>1110</v>
      </c>
      <c r="D113" s="367">
        <f>VLOOKUP(Tabla3[[#This Row],[PATENTE]],'MAYO 2024'!$A:$D,4,0)</f>
        <v>36.744995648389903</v>
      </c>
      <c r="E113" s="367">
        <f>VLOOKUP(Tabla3[[#This Row],[PATENTE]],'JUNIO 2024'!$A:$D,4,0)</f>
        <v>36.570188959296686</v>
      </c>
      <c r="F113" s="367">
        <f>VLOOKUP(Tabla3[[#This Row],[PATENTE]],'JULIO 2024'!$A:$D,4,0)</f>
        <v>38.787165145716806</v>
      </c>
      <c r="G113" s="367">
        <f>VLOOKUP(Tabla3[[#This Row],[PATENTE]],'AGOSTO 2024'!$A:$D,4,0)</f>
        <v>39.986732759877533</v>
      </c>
      <c r="H113" s="367">
        <f>VLOOKUP(Tabla3[[#This Row],[PATENTE]],'SEPTIEMBRE 2024'!$A:$D,4,0)</f>
        <v>38.706820194862715</v>
      </c>
      <c r="I113" s="367">
        <f>VLOOKUP(Tabla3[[#This Row],[PATENTE]],'OCTUBRE 2024'!$A:$D,4,0)</f>
        <v>36.213504285415645</v>
      </c>
      <c r="J113" s="392">
        <f>VLOOKUP(Tabla3[[#This Row],[PATENTE]],'NOVIEMBRE 2024'!$A:$D,4,0)</f>
        <v>36.42137538326763</v>
      </c>
      <c r="K113" s="392">
        <f>VLOOKUP(Tabla3[[#This Row],[PATENTE]],'DICIEMBRE 2024'!$A:$D,4,0)</f>
        <v>40.533520956880089</v>
      </c>
      <c r="L113" s="350">
        <f>VLOOKUP(Tabla3[[#This Row],[PATENTE]],'ENERO 2025'!$A:$D,4,0)</f>
        <v>37.350069735006976</v>
      </c>
      <c r="M113" s="350">
        <f>VLOOKUP(Tabla3[[#This Row],[PATENTE]],'FEBRERO 2025'!$A:$D,4,0)</f>
        <v>36.175383913638434</v>
      </c>
      <c r="N113" s="350">
        <f>VLOOKUP(Tabla3[[#This Row],[PATENTE]],'MARZO 2025'!$A:$D,4,0)</f>
        <v>34.816215825256769</v>
      </c>
      <c r="O113" s="350">
        <f>VLOOKUP(Tabla3[[#This Row],[PATENTE]],'ABRIL 2025'!$A:$D,4,0)</f>
        <v>35.963168953157826</v>
      </c>
      <c r="P113" s="350">
        <f>VLOOKUP(Tabla3[[#This Row],[PATENTE]],'MAYO 2025'!$A:$D,4,0)</f>
        <v>35.411658586086361</v>
      </c>
      <c r="Q113" s="350">
        <f>VLOOKUP(Tabla3[[#This Row],[PATENTE]],'JUNIO 2025'!$A:$D,4,0)</f>
        <v>35.591194072385299</v>
      </c>
      <c r="R113" s="350">
        <f>VLOOKUP(Tabla3[[#This Row],[PATENTE]],'JULIO 2025'!$A:$D,4,0)</f>
        <v>34.442534564671959</v>
      </c>
      <c r="S113" s="350">
        <f>VLOOKUP(Tabla3[[#This Row],[PATENTE]],'AGOSTO 2025'!$A:$D,4,0)</f>
        <v>37.306390558895572</v>
      </c>
      <c r="T113" s="350">
        <f>VLOOKUP(Tabla3[[#This Row],[PATENTE]],'SEPTIEMBRE 2025'!$A:$D,4,0)</f>
        <v>36.362279098110903</v>
      </c>
      <c r="U113" s="350">
        <f>VLOOKUP(Tabla3[[#This Row],[PATENTE]],'OCTUBRE 2025'!$A:$D,4,0)</f>
        <v>38.505701339441323</v>
      </c>
      <c r="V113" s="460">
        <f t="shared" ref="V113:V117" si="51">AVERAGE(D113:U113)</f>
        <v>36.993827776686572</v>
      </c>
    </row>
    <row r="114" spans="1:22" x14ac:dyDescent="0.3">
      <c r="A114" s="457"/>
      <c r="B114" s="324" t="s">
        <v>259</v>
      </c>
      <c r="C114" s="328" t="s">
        <v>1110</v>
      </c>
      <c r="D114" s="350">
        <f>VLOOKUP(Tabla3[[#This Row],[PATENTE]],'MAYO 2024'!$A:$D,4,0)</f>
        <v>36.685891123927419</v>
      </c>
      <c r="E114" s="350">
        <f>VLOOKUP(Tabla3[[#This Row],[PATENTE]],'JUNIO 2024'!$A:$D,4,0)</f>
        <v>38.863832645619425</v>
      </c>
      <c r="F114" s="350">
        <f>VLOOKUP(Tabla3[[#This Row],[PATENTE]],'JULIO 2024'!$A:$D,4,0)</f>
        <v>38.542510121457489</v>
      </c>
      <c r="G114" s="350">
        <f>VLOOKUP(Tabla3[[#This Row],[PATENTE]],'AGOSTO 2024'!$A:$D,4,0)</f>
        <v>38.007514796834471</v>
      </c>
      <c r="H114" s="350">
        <f>VLOOKUP(Tabla3[[#This Row],[PATENTE]],'SEPTIEMBRE 2024'!$A:$D,4,0)</f>
        <v>37.272006811632167</v>
      </c>
      <c r="I114" s="350">
        <f>VLOOKUP(Tabla3[[#This Row],[PATENTE]],'OCTUBRE 2024'!$A:$D,4,0)</f>
        <v>35.282457879088206</v>
      </c>
      <c r="J114" s="393">
        <f>VLOOKUP(Tabla3[[#This Row],[PATENTE]],'NOVIEMBRE 2024'!$A:$D,4,0)</f>
        <v>35.848559844136695</v>
      </c>
      <c r="K114" s="393">
        <f>VLOOKUP(Tabla3[[#This Row],[PATENTE]],'DICIEMBRE 2024'!$A:$D,4,0)</f>
        <v>37.129241622574952</v>
      </c>
      <c r="L114" s="350">
        <f>VLOOKUP(Tabla3[[#This Row],[PATENTE]],'ENERO 2025'!$A:$D,4,0)</f>
        <v>35.623325649492244</v>
      </c>
      <c r="M114" s="350">
        <f>VLOOKUP(Tabla3[[#This Row],[PATENTE]],'FEBRERO 2025'!$A:$D,4,0)</f>
        <v>35.766797601819313</v>
      </c>
      <c r="N114" s="350">
        <f>VLOOKUP(Tabla3[[#This Row],[PATENTE]],'MARZO 2025'!$A:$D,4,0)</f>
        <v>38.521560865262259</v>
      </c>
      <c r="O114" s="350">
        <f>VLOOKUP(Tabla3[[#This Row],[PATENTE]],'ABRIL 2025'!$A:$D,4,0)</f>
        <v>34.432495320957052</v>
      </c>
      <c r="P114" s="350">
        <f>VLOOKUP(Tabla3[[#This Row],[PATENTE]],'MAYO 2025'!$A:$D,4,0)</f>
        <v>34.424843740518241</v>
      </c>
      <c r="Q114" s="350">
        <f>VLOOKUP(Tabla3[[#This Row],[PATENTE]],'JUNIO 2025'!$A:$D,4,0)</f>
        <v>35.841446124763706</v>
      </c>
      <c r="R114" s="350">
        <f>VLOOKUP(Tabla3[[#This Row],[PATENTE]],'JULIO 2025'!$A:$D,4,0)</f>
        <v>35.245227978946033</v>
      </c>
      <c r="S114" s="350">
        <f>VLOOKUP(Tabla3[[#This Row],[PATENTE]],'AGOSTO 2025'!$A:$D,4,0)</f>
        <v>36.035193346161009</v>
      </c>
      <c r="T114" s="350">
        <f>VLOOKUP(Tabla3[[#This Row],[PATENTE]],'SEPTIEMBRE 2025'!$A:$D,4,0)</f>
        <v>34.035884640786676</v>
      </c>
      <c r="U114" s="350">
        <f>VLOOKUP(Tabla3[[#This Row],[PATENTE]],'OCTUBRE 2025'!$A:$D,4,0)</f>
        <v>35.261405598570576</v>
      </c>
      <c r="V114" s="460">
        <f t="shared" si="51"/>
        <v>36.267788650697099</v>
      </c>
    </row>
    <row r="115" spans="1:22" x14ac:dyDescent="0.3">
      <c r="A115" s="457"/>
      <c r="B115" s="324" t="s">
        <v>1140</v>
      </c>
      <c r="C115" s="328" t="s">
        <v>1109</v>
      </c>
      <c r="D115" s="350">
        <f>VLOOKUP(Tabla3[[#This Row],[PATENTE]],'MAYO 2024'!$A:$D,4,0)</f>
        <v>36.418019142738245</v>
      </c>
      <c r="E115" s="350">
        <f>VLOOKUP(Tabla3[[#This Row],[PATENTE]],'JUNIO 2024'!$A:$D,4,0)</f>
        <v>37.113947879287018</v>
      </c>
      <c r="F115" s="350">
        <f>VLOOKUP(Tabla3[[#This Row],[PATENTE]],'JULIO 2024'!$A:$D,4,0)</f>
        <v>37.525802548224071</v>
      </c>
      <c r="G115" s="350">
        <f>VLOOKUP(Tabla3[[#This Row],[PATENTE]],'AGOSTO 2024'!$A:$D,4,0)</f>
        <v>37.900247066090174</v>
      </c>
      <c r="H115" s="350">
        <f>VLOOKUP(Tabla3[[#This Row],[PATENTE]],'SEPTIEMBRE 2024'!$A:$D,4,0)</f>
        <v>36.326317859952788</v>
      </c>
      <c r="I115" s="350">
        <f>VLOOKUP(Tabla3[[#This Row],[PATENTE]],'OCTUBRE 2024'!$A:$D,4,0)</f>
        <v>35.399022240583896</v>
      </c>
      <c r="J115" s="393">
        <f>VLOOKUP(Tabla3[[#This Row],[PATENTE]],'NOVIEMBRE 2024'!$A:$D,4,0)</f>
        <v>37.927350427350426</v>
      </c>
      <c r="K115" s="393">
        <f>VLOOKUP(Tabla3[[#This Row],[PATENTE]],'DICIEMBRE 2024'!$A:$D,4,0)</f>
        <v>36.826766304347828</v>
      </c>
      <c r="L115" s="350">
        <f>VLOOKUP(Tabla3[[#This Row],[PATENTE]],'ENERO 2025'!$A:$D,4,0)</f>
        <v>36.183434279870994</v>
      </c>
      <c r="M115" s="350">
        <f>VLOOKUP(Tabla3[[#This Row],[PATENTE]],'FEBRERO 2025'!$A:$D,4,0)</f>
        <v>36.415965612526868</v>
      </c>
      <c r="N115" s="350">
        <f>VLOOKUP(Tabla3[[#This Row],[PATENTE]],'MARZO 2025'!$A:$D,4,0)</f>
        <v>36.772122207236265</v>
      </c>
      <c r="O115" s="350">
        <f>VLOOKUP(Tabla3[[#This Row],[PATENTE]],'ABRIL 2025'!$A:$D,4,0)</f>
        <v>34.942622193476858</v>
      </c>
      <c r="P115" s="350">
        <f>VLOOKUP(Tabla3[[#This Row],[PATENTE]],'MAYO 2025'!$A:$D,4,0)</f>
        <v>35.06813804173354</v>
      </c>
      <c r="Q115" s="350">
        <f>VLOOKUP(Tabla3[[#This Row],[PATENTE]],'JUNIO 2025'!$A:$D,4,0)</f>
        <v>36.07531331283991</v>
      </c>
      <c r="R115" s="350">
        <f>VLOOKUP(Tabla3[[#This Row],[PATENTE]],'JULIO 2025'!$A:$D,4,0)</f>
        <v>36.975702646675991</v>
      </c>
      <c r="S115" s="350">
        <f>VLOOKUP(Tabla3[[#This Row],[PATENTE]],'AGOSTO 2025'!$A:$D,4,0)</f>
        <v>35.305550146056476</v>
      </c>
      <c r="T115" s="350">
        <f>VLOOKUP(Tabla3[[#This Row],[PATENTE]],'SEPTIEMBRE 2025'!$A:$D,4,0)</f>
        <v>33.957860615883305</v>
      </c>
      <c r="U115" s="350">
        <f>VLOOKUP(Tabla3[[#This Row],[PATENTE]],'OCTUBRE 2025'!$A:$D,4,0)</f>
        <v>35.507099816609902</v>
      </c>
      <c r="V115" s="460">
        <f t="shared" si="51"/>
        <v>36.257849018971363</v>
      </c>
    </row>
    <row r="116" spans="1:22" x14ac:dyDescent="0.3">
      <c r="A116" s="457"/>
      <c r="B116" s="324" t="s">
        <v>1142</v>
      </c>
      <c r="C116" s="328" t="s">
        <v>1109</v>
      </c>
      <c r="D116" s="350">
        <f>VLOOKUP(Tabla3[[#This Row],[PATENTE]],'MAYO 2024'!$A:$D,4,0)</f>
        <v>37.049840057785573</v>
      </c>
      <c r="E116" s="350">
        <f>VLOOKUP(Tabla3[[#This Row],[PATENTE]],'JUNIO 2024'!$A:$D,4,0)</f>
        <v>36.742718195457599</v>
      </c>
      <c r="F116" s="350">
        <f>VLOOKUP(Tabla3[[#This Row],[PATENTE]],'JULIO 2024'!$A:$D,4,0)</f>
        <v>38.619809266351282</v>
      </c>
      <c r="G116" s="350">
        <f>VLOOKUP(Tabla3[[#This Row],[PATENTE]],'AGOSTO 2024'!$A:$D,4,0)</f>
        <v>39.156748852512287</v>
      </c>
      <c r="H116" s="350">
        <f>VLOOKUP(Tabla3[[#This Row],[PATENTE]],'SEPTIEMBRE 2024'!$A:$D,4,0)</f>
        <v>37.789399139292911</v>
      </c>
      <c r="I116" s="350">
        <f>VLOOKUP(Tabla3[[#This Row],[PATENTE]],'OCTUBRE 2024'!$A:$D,4,0)</f>
        <v>37.250811312007421</v>
      </c>
      <c r="J116" s="393">
        <f>VLOOKUP(Tabla3[[#This Row],[PATENTE]],'NOVIEMBRE 2024'!$A:$D,4,0)</f>
        <v>38.690892150011649</v>
      </c>
      <c r="K116" s="393">
        <f>VLOOKUP(Tabla3[[#This Row],[PATENTE]],'DICIEMBRE 2024'!$A:$D,4,0)</f>
        <v>36.679761243753468</v>
      </c>
      <c r="L116" s="350">
        <f>VLOOKUP(Tabla3[[#This Row],[PATENTE]],'ENERO 2025'!$A:$D,4,0)</f>
        <v>36.75620332450012</v>
      </c>
      <c r="M116" s="350">
        <f>VLOOKUP(Tabla3[[#This Row],[PATENTE]],'FEBRERO 2025'!$A:$D,4,0)</f>
        <v>35.922625743210673</v>
      </c>
      <c r="N116" s="350">
        <f>VLOOKUP(Tabla3[[#This Row],[PATENTE]],'MARZO 2025'!$A:$D,4,0)</f>
        <v>36.412984576907043</v>
      </c>
      <c r="O116" s="350">
        <f>VLOOKUP(Tabla3[[#This Row],[PATENTE]],'ABRIL 2025'!$A:$D,4,0)</f>
        <v>36.677944214876035</v>
      </c>
      <c r="P116" s="350">
        <f>VLOOKUP(Tabla3[[#This Row],[PATENTE]],'MAYO 2025'!$A:$D,4,0)</f>
        <v>35.744935756453287</v>
      </c>
      <c r="Q116" s="350">
        <f>VLOOKUP(Tabla3[[#This Row],[PATENTE]],'JUNIO 2025'!$A:$D,4,0)</f>
        <v>34.470317398119114</v>
      </c>
      <c r="R116" s="350">
        <f>VLOOKUP(Tabla3[[#This Row],[PATENTE]],'JULIO 2025'!$A:$D,4,0)</f>
        <v>35.182091510413819</v>
      </c>
      <c r="S116" s="350">
        <f>VLOOKUP(Tabla3[[#This Row],[PATENTE]],'AGOSTO 2025'!$A:$D,4,0)</f>
        <v>36.850885935769661</v>
      </c>
      <c r="T116" s="350">
        <f>VLOOKUP(Tabla3[[#This Row],[PATENTE]],'SEPTIEMBRE 2025'!$A:$D,4,0)</f>
        <v>36.213894494090518</v>
      </c>
      <c r="U116" s="350">
        <f>VLOOKUP(Tabla3[[#This Row],[PATENTE]],'OCTUBRE 2025'!$A:$D,4,0)</f>
        <v>37.037857030964439</v>
      </c>
      <c r="V116" s="460">
        <f t="shared" si="51"/>
        <v>36.847206677915381</v>
      </c>
    </row>
    <row r="117" spans="1:22" ht="15" thickBot="1" x14ac:dyDescent="0.35">
      <c r="A117" s="457"/>
      <c r="B117" s="326" t="s">
        <v>124</v>
      </c>
      <c r="C117" s="329" t="s">
        <v>1109</v>
      </c>
      <c r="D117" s="368">
        <f>VLOOKUP(Tabla3[[#This Row],[PATENTE]],'MAYO 2024'!$A:$D,4,0)</f>
        <v>36.232380300176906</v>
      </c>
      <c r="E117" s="368">
        <f>VLOOKUP(Tabla3[[#This Row],[PATENTE]],'JUNIO 2024'!$A:$D,4,0)</f>
        <v>38.05374001452433</v>
      </c>
      <c r="F117" s="368">
        <f>VLOOKUP(Tabla3[[#This Row],[PATENTE]],'JULIO 2024'!$A:$D,4,0)</f>
        <v>36.863321635208194</v>
      </c>
      <c r="G117" s="368">
        <f>VLOOKUP(Tabla3[[#This Row],[PATENTE]],'AGOSTO 2024'!$A:$D,4,0)</f>
        <v>36.02382834556748</v>
      </c>
      <c r="H117" s="368">
        <f>VLOOKUP(Tabla3[[#This Row],[PATENTE]],'SEPTIEMBRE 2024'!$A:$D,4,0)</f>
        <v>35.54617234650815</v>
      </c>
      <c r="I117" s="368">
        <f>VLOOKUP(Tabla3[[#This Row],[PATENTE]],'OCTUBRE 2024'!$A:$D,4,0)</f>
        <v>36.065002901915264</v>
      </c>
      <c r="J117" s="394">
        <f>VLOOKUP(Tabla3[[#This Row],[PATENTE]],'NOVIEMBRE 2024'!$A:$D,4,0)</f>
        <v>32.378774319710978</v>
      </c>
      <c r="K117" s="394">
        <f>VLOOKUP(Tabla3[[#This Row],[PATENTE]],'DICIEMBRE 2024'!$A:$D,4,0)</f>
        <v>35.213323663489433</v>
      </c>
      <c r="L117" s="350">
        <f>VLOOKUP(Tabla3[[#This Row],[PATENTE]],'ENERO 2025'!$A:$D,4,0)</f>
        <v>34.676281352235549</v>
      </c>
      <c r="M117" s="350">
        <f>VLOOKUP(Tabla3[[#This Row],[PATENTE]],'FEBRERO 2025'!$A:$D,4,0)</f>
        <v>34.986097594883923</v>
      </c>
      <c r="N117" s="350">
        <f>VLOOKUP(Tabla3[[#This Row],[PATENTE]],'MARZO 2025'!$A:$D,4,0)</f>
        <v>33.931222409940595</v>
      </c>
      <c r="O117" s="350">
        <f>VLOOKUP(Tabla3[[#This Row],[PATENTE]],'ABRIL 2025'!$A:$D,4,0)</f>
        <v>33.757477208508824</v>
      </c>
      <c r="P117" s="350">
        <f>VLOOKUP(Tabla3[[#This Row],[PATENTE]],'MAYO 2025'!$A:$D,4,0)</f>
        <v>33.092403267622167</v>
      </c>
      <c r="Q117" s="350">
        <f>VLOOKUP(Tabla3[[#This Row],[PATENTE]],'JUNIO 2025'!$A:$D,4,0)</f>
        <v>34.67940681852928</v>
      </c>
      <c r="R117" s="350">
        <f>VLOOKUP(Tabla3[[#This Row],[PATENTE]],'JULIO 2025'!$A:$D,4,0)</f>
        <v>34.457795902883163</v>
      </c>
      <c r="S117" s="350">
        <f>VLOOKUP(Tabla3[[#This Row],[PATENTE]],'AGOSTO 2025'!$A:$D,4,0)</f>
        <v>33.938738285426759</v>
      </c>
      <c r="T117" s="350">
        <f>VLOOKUP(Tabla3[[#This Row],[PATENTE]],'SEPTIEMBRE 2025'!$A:$D,4,0)</f>
        <v>34.319580810907055</v>
      </c>
      <c r="U117" s="350">
        <f>VLOOKUP(Tabla3[[#This Row],[PATENTE]],'OCTUBRE 2025'!$A:$D,4,0)</f>
        <v>33.349910394265237</v>
      </c>
      <c r="V117" s="460">
        <f t="shared" si="51"/>
        <v>34.864747642905741</v>
      </c>
    </row>
    <row r="118" spans="1:22" ht="4.95" customHeight="1" thickBot="1" x14ac:dyDescent="0.35">
      <c r="B118" s="330"/>
      <c r="C118" s="330"/>
      <c r="Q118"/>
    </row>
    <row r="119" spans="1:22" ht="15" thickBot="1" x14ac:dyDescent="0.35">
      <c r="B119" s="331"/>
      <c r="C119" s="339" t="s">
        <v>1119</v>
      </c>
      <c r="D119" s="334">
        <f t="shared" ref="D119:E119" si="52">AVERAGE(D113:D117)</f>
        <v>36.626225254603611</v>
      </c>
      <c r="E119" s="334">
        <f t="shared" si="52"/>
        <v>37.468885538837007</v>
      </c>
      <c r="F119" s="334">
        <f t="shared" ref="F119:G119" si="53">AVERAGE(F113:F117)</f>
        <v>38.067721743391566</v>
      </c>
      <c r="G119" s="334">
        <f t="shared" si="53"/>
        <v>38.215014364176383</v>
      </c>
      <c r="H119" s="334">
        <f t="shared" ref="H119:J119" si="54">AVERAGE(H113:H117)</f>
        <v>37.128143270449748</v>
      </c>
      <c r="I119" s="334">
        <f t="shared" si="54"/>
        <v>36.042159723802079</v>
      </c>
      <c r="J119" s="334">
        <f t="shared" si="54"/>
        <v>36.253390424895471</v>
      </c>
      <c r="K119" s="334">
        <f t="shared" ref="K119:L119" si="55">AVERAGE(K113:K117)</f>
        <v>37.276522758209154</v>
      </c>
      <c r="L119" s="334">
        <f t="shared" si="55"/>
        <v>36.117862868221174</v>
      </c>
      <c r="M119" s="334">
        <f t="shared" ref="M119:N119" si="56">AVERAGE(M113:M117)</f>
        <v>35.853374093215834</v>
      </c>
      <c r="N119" s="334">
        <f t="shared" si="56"/>
        <v>36.090821176920585</v>
      </c>
      <c r="O119" s="334">
        <f t="shared" ref="O119:P119" si="57">AVERAGE(O113:O117)</f>
        <v>35.154741578195321</v>
      </c>
      <c r="P119" s="334">
        <f t="shared" si="57"/>
        <v>34.748395878482718</v>
      </c>
      <c r="Q119" s="334">
        <f t="shared" ref="Q119" si="58">AVERAGE(Q113:Q117)</f>
        <v>35.331535545327462</v>
      </c>
      <c r="R119" s="334">
        <f t="shared" ref="R119:S119" si="59">AVERAGE(R113:R117)</f>
        <v>35.260670520718193</v>
      </c>
      <c r="S119" s="334">
        <f t="shared" si="59"/>
        <v>35.887351654461895</v>
      </c>
      <c r="T119" s="334">
        <f t="shared" ref="T119:U119" si="60">AVERAGE(T113:T117)</f>
        <v>34.97789993195569</v>
      </c>
      <c r="U119" s="334">
        <f t="shared" si="60"/>
        <v>35.932394835970292</v>
      </c>
    </row>
    <row r="120" spans="1:22" ht="15" thickBot="1" x14ac:dyDescent="0.35">
      <c r="Q120"/>
    </row>
    <row r="121" spans="1:22" x14ac:dyDescent="0.3">
      <c r="A121" s="457" t="s">
        <v>1202</v>
      </c>
      <c r="B121" s="323" t="s">
        <v>1136</v>
      </c>
      <c r="C121" s="327" t="s">
        <v>1147</v>
      </c>
      <c r="D121" s="367">
        <f>VLOOKUP(Tabla3[[#This Row],[PATENTE]],'MAYO 2024'!$A:$D,4,0)</f>
        <v>38.318681958432791</v>
      </c>
      <c r="E121" s="367">
        <f>VLOOKUP(Tabla3[[#This Row],[PATENTE]],'JUNIO 2024'!$A:$D,4,0)</f>
        <v>38.510813030385982</v>
      </c>
      <c r="F121" s="367">
        <f>VLOOKUP(Tabla3[[#This Row],[PATENTE]],'JULIO 2024'!$A:$D,4,0)</f>
        <v>38.768115942028984</v>
      </c>
      <c r="G121" s="367">
        <f>VLOOKUP(Tabla3[[#This Row],[PATENTE]],'AGOSTO 2024'!$A:$D,4,0)</f>
        <v>38.584277089851497</v>
      </c>
      <c r="H121" s="367">
        <f>VLOOKUP(Tabla3[[#This Row],[PATENTE]],'SEPTIEMBRE 2024'!$A:$D,4,0)</f>
        <v>38.419241418714016</v>
      </c>
      <c r="I121" s="367">
        <f>VLOOKUP(Tabla3[[#This Row],[PATENTE]],'OCTUBRE 2024'!$A:$D,4,0)</f>
        <v>38.326171875</v>
      </c>
      <c r="J121" s="392">
        <f>VLOOKUP(Tabla3[[#This Row],[PATENTE]],'NOVIEMBRE 2024'!$A:$D,4,0)</f>
        <v>39.037170696499459</v>
      </c>
      <c r="K121" s="392">
        <f>VLOOKUP(Tabla3[[#This Row],[PATENTE]],'DICIEMBRE 2024'!$A:$D,4,0)</f>
        <v>37.298142193640587</v>
      </c>
      <c r="L121" s="350">
        <f>VLOOKUP(Tabla3[[#This Row],[PATENTE]],'ENERO 2025'!$A:$D,4,0)</f>
        <v>39.706895364055931</v>
      </c>
      <c r="M121" s="350">
        <f>VLOOKUP(Tabla3[[#This Row],[PATENTE]],'FEBRERO 2025'!$A:$D,4,0)</f>
        <v>38.809158690709111</v>
      </c>
      <c r="N121" s="350">
        <f>VLOOKUP(Tabla3[[#This Row],[PATENTE]],'MARZO 2025'!$A:$D,4,0)</f>
        <v>37.399240145638757</v>
      </c>
      <c r="O121" s="350">
        <f>VLOOKUP(Tabla3[[#This Row],[PATENTE]],'ABRIL 2025'!$A:$D,4,0)</f>
        <v>36.054231501542908</v>
      </c>
      <c r="P121" s="350">
        <f>VLOOKUP(Tabla3[[#This Row],[PATENTE]],'MAYO 2025'!$A:$D,4,0)</f>
        <v>37.720685434516525</v>
      </c>
      <c r="Q121" s="350">
        <f>VLOOKUP(Tabla3[[#This Row],[PATENTE]],'JUNIO 2025'!$A:$D,4,0)</f>
        <v>34.825559449986521</v>
      </c>
      <c r="R121" s="350">
        <f>VLOOKUP(Tabla3[[#This Row],[PATENTE]],'JULIO 2025'!$A:$D,4,0)</f>
        <v>36.962104998111542</v>
      </c>
      <c r="S121" s="350">
        <f>VLOOKUP(Tabla3[[#This Row],[PATENTE]],'AGOSTO 2025'!$A:$D,4,0)</f>
        <v>36.43442622950819</v>
      </c>
      <c r="T121" s="350">
        <f>VLOOKUP(Tabla3[[#This Row],[PATENTE]],'SEPTIEMBRE 2025'!$A:$D,4,0)</f>
        <v>35.672677072181216</v>
      </c>
      <c r="U121" s="350">
        <f>VLOOKUP(Tabla3[[#This Row],[PATENTE]],'OCTUBRE 2025'!$A:$D,4,0)</f>
        <v>35.728300936298474</v>
      </c>
      <c r="V121" s="460">
        <f t="shared" ref="V121:V124" si="61">AVERAGE(D121:U121)</f>
        <v>37.587549668172358</v>
      </c>
    </row>
    <row r="122" spans="1:22" x14ac:dyDescent="0.3">
      <c r="A122" s="457"/>
      <c r="B122" s="324" t="s">
        <v>1158</v>
      </c>
      <c r="C122" s="328" t="s">
        <v>1147</v>
      </c>
      <c r="D122" s="350">
        <f>VLOOKUP(Tabla3[[#This Row],[PATENTE]],'MAYO 2024'!$A:$D,4,0)</f>
        <v>37.763334827431642</v>
      </c>
      <c r="E122" s="350">
        <f>VLOOKUP(Tabla3[[#This Row],[PATENTE]],'JUNIO 2024'!$A:$D,4,0)</f>
        <v>38.389036070919097</v>
      </c>
      <c r="F122" s="350">
        <f>VLOOKUP(Tabla3[[#This Row],[PATENTE]],'JULIO 2024'!$A:$D,4,0)</f>
        <v>40.916432374229828</v>
      </c>
      <c r="G122" s="350">
        <f>VLOOKUP(Tabla3[[#This Row],[PATENTE]],'AGOSTO 2024'!$A:$D,4,0)</f>
        <v>40.781990521327018</v>
      </c>
      <c r="H122" s="350">
        <f>VLOOKUP(Tabla3[[#This Row],[PATENTE]],'SEPTIEMBRE 2024'!$A:$D,4,0)</f>
        <v>40.826460938192781</v>
      </c>
      <c r="I122" s="350">
        <f>VLOOKUP(Tabla3[[#This Row],[PATENTE]],'OCTUBRE 2024'!$A:$D,4,0)</f>
        <v>38.621566926857476</v>
      </c>
      <c r="J122" s="393">
        <f>VLOOKUP(Tabla3[[#This Row],[PATENTE]],'NOVIEMBRE 2024'!$A:$D,4,0)</f>
        <v>40.450838145099326</v>
      </c>
      <c r="K122" s="393">
        <f>VLOOKUP(Tabla3[[#This Row],[PATENTE]],'DICIEMBRE 2024'!$A:$D,4,0)</f>
        <v>42.622104661138117</v>
      </c>
      <c r="L122" s="350">
        <f>VLOOKUP(Tabla3[[#This Row],[PATENTE]],'ENERO 2025'!$A:$D,4,0)</f>
        <v>40.13575591360987</v>
      </c>
      <c r="M122" s="350">
        <f>VLOOKUP(Tabla3[[#This Row],[PATENTE]],'FEBRERO 2025'!$A:$D,4,0)</f>
        <v>41.223800815867214</v>
      </c>
      <c r="N122" s="350">
        <f>VLOOKUP(Tabla3[[#This Row],[PATENTE]],'MARZO 2025'!$A:$D,4,0)</f>
        <v>40.794244066529615</v>
      </c>
      <c r="O122" s="350">
        <f>VLOOKUP(Tabla3[[#This Row],[PATENTE]],'ABRIL 2025'!$A:$D,4,0)</f>
        <v>37.643701452212092</v>
      </c>
      <c r="P122" s="350">
        <f>VLOOKUP(Tabla3[[#This Row],[PATENTE]],'MAYO 2025'!$A:$D,4,0)</f>
        <v>36.505218399690762</v>
      </c>
      <c r="Q122" s="350">
        <f>VLOOKUP(Tabla3[[#This Row],[PATENTE]],'JUNIO 2025'!$A:$D,4,0)</f>
        <v>37.101192126420848</v>
      </c>
      <c r="R122" s="350">
        <f>VLOOKUP(Tabla3[[#This Row],[PATENTE]],'JULIO 2025'!$A:$D,4,0)</f>
        <v>38.324244518439407</v>
      </c>
      <c r="S122" s="350">
        <f>VLOOKUP(Tabla3[[#This Row],[PATENTE]],'AGOSTO 2025'!$A:$D,4,0)</f>
        <v>36.672035961790598</v>
      </c>
      <c r="T122" s="350">
        <f>VLOOKUP(Tabla3[[#This Row],[PATENTE]],'SEPTIEMBRE 2025'!$A:$D,4,0)</f>
        <v>38.431076443057719</v>
      </c>
      <c r="U122" s="350">
        <f>VLOOKUP(Tabla3[[#This Row],[PATENTE]],'OCTUBRE 2025'!$A:$D,4,0)</f>
        <v>35.598994343180394</v>
      </c>
      <c r="V122" s="460">
        <f t="shared" si="61"/>
        <v>39.044557139221872</v>
      </c>
    </row>
    <row r="123" spans="1:22" x14ac:dyDescent="0.3">
      <c r="A123" s="457"/>
      <c r="B123" s="324" t="s">
        <v>1141</v>
      </c>
      <c r="C123" s="328" t="s">
        <v>1147</v>
      </c>
      <c r="D123" s="350">
        <f>VLOOKUP(Tabla3[[#This Row],[PATENTE]],'MAYO 2024'!$A:$D,4,0)</f>
        <v>36.662340726757904</v>
      </c>
      <c r="E123" s="350">
        <f>VLOOKUP(Tabla3[[#This Row],[PATENTE]],'JUNIO 2024'!$A:$D,4,0)</f>
        <v>36.042453166179925</v>
      </c>
      <c r="F123" s="350">
        <f>VLOOKUP(Tabla3[[#This Row],[PATENTE]],'JULIO 2024'!$A:$D,4,0)</f>
        <v>37.22192718475246</v>
      </c>
      <c r="G123" s="350">
        <f>VLOOKUP(Tabla3[[#This Row],[PATENTE]],'AGOSTO 2024'!$A:$D,4,0)</f>
        <v>37.981903684743138</v>
      </c>
      <c r="H123" s="350">
        <f>VLOOKUP(Tabla3[[#This Row],[PATENTE]],'SEPTIEMBRE 2024'!$A:$D,4,0)</f>
        <v>36.608924267874094</v>
      </c>
      <c r="I123" s="350">
        <f>VLOOKUP(Tabla3[[#This Row],[PATENTE]],'OCTUBRE 2024'!$A:$D,4,0)</f>
        <v>39.173340222164818</v>
      </c>
      <c r="J123" s="393">
        <f>VLOOKUP(Tabla3[[#This Row],[PATENTE]],'NOVIEMBRE 2024'!$A:$D,4,0)</f>
        <v>36.916057072499456</v>
      </c>
      <c r="K123" s="393">
        <f>VLOOKUP(Tabla3[[#This Row],[PATENTE]],'DICIEMBRE 2024'!$A:$D,4,0)</f>
        <v>37.7708506511499</v>
      </c>
      <c r="L123" s="350">
        <f>VLOOKUP(Tabla3[[#This Row],[PATENTE]],'ENERO 2025'!$A:$D,4,0)</f>
        <v>37.226428079834825</v>
      </c>
      <c r="M123" s="350">
        <f>VLOOKUP(Tabla3[[#This Row],[PATENTE]],'FEBRERO 2025'!$A:$D,4,0)</f>
        <v>36.789185429887858</v>
      </c>
      <c r="N123" s="350">
        <f>VLOOKUP(Tabla3[[#This Row],[PATENTE]],'MARZO 2025'!$A:$D,4,0)</f>
        <v>36.014550349336581</v>
      </c>
      <c r="O123" s="350">
        <f>VLOOKUP(Tabla3[[#This Row],[PATENTE]],'ABRIL 2025'!$A:$D,4,0)</f>
        <v>36.42829740591889</v>
      </c>
      <c r="P123" s="350">
        <f>VLOOKUP(Tabla3[[#This Row],[PATENTE]],'MAYO 2025'!$A:$D,4,0)</f>
        <v>36.497965046684222</v>
      </c>
      <c r="Q123" s="350">
        <f>VLOOKUP(Tabla3[[#This Row],[PATENTE]],'JUNIO 2025'!$A:$D,4,0)</f>
        <v>33.28247970018738</v>
      </c>
      <c r="R123" s="350">
        <f>VLOOKUP(Tabla3[[#This Row],[PATENTE]],'JULIO 2025'!$A:$D,4,0)</f>
        <v>35.988956822598226</v>
      </c>
      <c r="S123" s="350">
        <f>VLOOKUP(Tabla3[[#This Row],[PATENTE]],'AGOSTO 2025'!$A:$D,4,0)</f>
        <v>35.809077545020216</v>
      </c>
      <c r="T123" s="350">
        <f>VLOOKUP(Tabla3[[#This Row],[PATENTE]],'SEPTIEMBRE 2025'!$A:$D,4,0)</f>
        <v>37.516729370453973</v>
      </c>
      <c r="U123" s="350">
        <f>VLOOKUP(Tabla3[[#This Row],[PATENTE]],'OCTUBRE 2025'!$A:$D,4,0)</f>
        <v>35.859152424430597</v>
      </c>
      <c r="V123" s="460">
        <f t="shared" si="61"/>
        <v>36.655034397248571</v>
      </c>
    </row>
    <row r="124" spans="1:22" x14ac:dyDescent="0.3">
      <c r="A124" s="457"/>
      <c r="B124" s="324" t="s">
        <v>1150</v>
      </c>
      <c r="C124" s="328" t="s">
        <v>1184</v>
      </c>
      <c r="D124" s="350">
        <f>VLOOKUP(Tabla3[[#This Row],[PATENTE]],'MAYO 2024'!$A:$D,4,0)</f>
        <v>38.799803935298648</v>
      </c>
      <c r="E124" s="350">
        <f>VLOOKUP(Tabla3[[#This Row],[PATENTE]],'JUNIO 2024'!$A:$D,4,0)</f>
        <v>36.502763213830242</v>
      </c>
      <c r="F124" s="350">
        <f>VLOOKUP(Tabla3[[#This Row],[PATENTE]],'JULIO 2024'!$A:$D,4,0)</f>
        <v>38.989276615913262</v>
      </c>
      <c r="G124" s="350">
        <f>VLOOKUP(Tabla3[[#This Row],[PATENTE]],'AGOSTO 2024'!$A:$D,4,0)</f>
        <v>41.315406976744185</v>
      </c>
      <c r="H124" s="350">
        <f>VLOOKUP(Tabla3[[#This Row],[PATENTE]],'SEPTIEMBRE 2024'!$A:$D,4,0)</f>
        <v>41.398846370287004</v>
      </c>
      <c r="I124" s="350">
        <f>VLOOKUP(Tabla3[[#This Row],[PATENTE]],'OCTUBRE 2024'!$A:$D,4,0)</f>
        <v>40.200124001102232</v>
      </c>
      <c r="J124" s="350"/>
      <c r="K124" s="350">
        <f>VLOOKUP(Tabla3[[#This Row],[PATENTE]],'OCTUBRE 2024'!$A:$D,4,0)</f>
        <v>40.200124001102232</v>
      </c>
      <c r="L124" s="350">
        <f>VLOOKUP(Tabla3[[#This Row],[PATENTE]],'ENERO 2025'!$A:$D,4,0)</f>
        <v>37.254123711340206</v>
      </c>
      <c r="M124" s="350">
        <f>VLOOKUP(Tabla3[[#This Row],[PATENTE]],'FEBRERO 2025'!$A:$D,4,0)</f>
        <v>38.918009810791872</v>
      </c>
      <c r="N124" s="350">
        <f>VLOOKUP(Tabla3[[#This Row],[PATENTE]],'MARZO 2025'!$A:$D,4,0)</f>
        <v>36.273963491242327</v>
      </c>
      <c r="O124" s="350">
        <f>VLOOKUP(Tabla3[[#This Row],[PATENTE]],'ABRIL 2025'!$A:$D,4,0)</f>
        <v>34.25694616720417</v>
      </c>
      <c r="P124" s="350">
        <f>VLOOKUP(Tabla3[[#This Row],[PATENTE]],'MAYO 2025'!$A:$D,4,0)</f>
        <v>38.342576028622545</v>
      </c>
      <c r="Q124" s="350">
        <f>VLOOKUP(Tabla3[[#This Row],[PATENTE]],'JUNIO 2025'!$A:$D,4,0)</f>
        <v>38.886268543172307</v>
      </c>
      <c r="R124" s="350">
        <f>VLOOKUP(Tabla3[[#This Row],[PATENTE]],'JULIO 2025'!$A:$D,4,0)</f>
        <v>37.826236137491577</v>
      </c>
      <c r="S124" s="350">
        <f>VLOOKUP(Tabla3[[#This Row],[PATENTE]],'AGOSTO 2025'!$A:$D,4,0)</f>
        <v>38.788929440389296</v>
      </c>
      <c r="T124" s="350">
        <f>VLOOKUP(Tabla3[[#This Row],[PATENTE]],'SEPTIEMBRE 2025'!$A:$D,4,0)</f>
        <v>38.439274106175517</v>
      </c>
      <c r="U124" s="350">
        <f>VLOOKUP(Tabla3[[#This Row],[PATENTE]],'OCTUBRE 2025'!$A:$D,4,0)</f>
        <v>40.677129271688116</v>
      </c>
      <c r="V124" s="460">
        <f t="shared" si="61"/>
        <v>38.651164813082104</v>
      </c>
    </row>
    <row r="125" spans="1:22" ht="15" thickBot="1" x14ac:dyDescent="0.35">
      <c r="A125" s="457"/>
      <c r="B125" s="326" t="s">
        <v>113</v>
      </c>
      <c r="C125" s="329" t="s">
        <v>1113</v>
      </c>
      <c r="D125" s="368"/>
      <c r="E125" s="368"/>
      <c r="F125" s="368"/>
      <c r="G125" s="368"/>
      <c r="H125" s="368"/>
      <c r="I125" s="368"/>
      <c r="J125" s="394"/>
      <c r="K125" s="394"/>
      <c r="L125" s="394"/>
      <c r="M125" s="394"/>
      <c r="N125" s="394"/>
      <c r="O125" s="394"/>
      <c r="P125" s="394"/>
      <c r="Q125" s="394"/>
      <c r="R125" s="394"/>
      <c r="S125" s="394"/>
      <c r="T125" s="394"/>
      <c r="U125" s="394"/>
    </row>
    <row r="126" spans="1:22" ht="4.95" customHeight="1" thickBot="1" x14ac:dyDescent="0.35">
      <c r="B126" s="330"/>
      <c r="C126" s="330"/>
      <c r="Q126"/>
    </row>
    <row r="127" spans="1:22" ht="15" thickBot="1" x14ac:dyDescent="0.35">
      <c r="B127" s="331"/>
      <c r="C127" s="332" t="s">
        <v>1119</v>
      </c>
      <c r="D127" s="333">
        <f t="shared" ref="D127:E127" si="62">AVERAGE(D121:D125)</f>
        <v>37.886040361980243</v>
      </c>
      <c r="E127" s="333">
        <f t="shared" si="62"/>
        <v>37.361266370328813</v>
      </c>
      <c r="F127" s="333">
        <f t="shared" ref="F127:G127" si="63">AVERAGE(F121:F125)</f>
        <v>38.973938029231135</v>
      </c>
      <c r="G127" s="333">
        <f t="shared" si="63"/>
        <v>39.665894568166458</v>
      </c>
      <c r="H127" s="333">
        <f t="shared" ref="H127:J127" si="64">AVERAGE(H121:H125)</f>
        <v>39.313368248766977</v>
      </c>
      <c r="I127" s="333">
        <f t="shared" si="64"/>
        <v>39.080300756281133</v>
      </c>
      <c r="J127" s="333">
        <f t="shared" si="64"/>
        <v>38.801355304699413</v>
      </c>
      <c r="K127" s="333">
        <f t="shared" ref="K127:L127" si="65">AVERAGE(K121:K125)</f>
        <v>39.472805376757705</v>
      </c>
      <c r="L127" s="333">
        <f t="shared" si="65"/>
        <v>38.580800767210206</v>
      </c>
      <c r="M127" s="333">
        <f t="shared" ref="M127:N127" si="66">AVERAGE(M121:M125)</f>
        <v>38.935038686814011</v>
      </c>
      <c r="N127" s="333">
        <f t="shared" si="66"/>
        <v>37.620499513186815</v>
      </c>
      <c r="O127" s="333">
        <f t="shared" ref="O127:P127" si="67">AVERAGE(O121:O125)</f>
        <v>36.095794131719515</v>
      </c>
      <c r="P127" s="333">
        <f t="shared" si="67"/>
        <v>37.266611227378512</v>
      </c>
      <c r="Q127" s="333">
        <f t="shared" ref="Q127" si="68">AVERAGE(Q121:Q125)</f>
        <v>36.023874954941761</v>
      </c>
      <c r="R127" s="333">
        <f t="shared" ref="R127:S127" si="69">AVERAGE(R121:R125)</f>
        <v>37.27538561916019</v>
      </c>
      <c r="S127" s="333">
        <f t="shared" si="69"/>
        <v>36.926117294177075</v>
      </c>
      <c r="T127" s="333">
        <f t="shared" ref="T127:U127" si="70">AVERAGE(T121:T125)</f>
        <v>37.514939247967106</v>
      </c>
      <c r="U127" s="333">
        <f t="shared" si="70"/>
        <v>36.965894243899399</v>
      </c>
    </row>
    <row r="128" spans="1:22" ht="15" thickBot="1" x14ac:dyDescent="0.35">
      <c r="Q128"/>
    </row>
    <row r="129" spans="1:22" x14ac:dyDescent="0.3">
      <c r="A129" s="457">
        <v>33</v>
      </c>
      <c r="B129" s="323" t="s">
        <v>302</v>
      </c>
      <c r="C129" s="327" t="s">
        <v>1098</v>
      </c>
      <c r="D129" s="350">
        <f>VLOOKUP(Tabla3[[#This Row],[PATENTE]],'MAYO 2024'!$A:$D,4,0)</f>
        <v>38.499913239632136</v>
      </c>
      <c r="E129" s="367">
        <f>VLOOKUP(Tabla3[[#This Row],[PATENTE]],'JUNIO 2024'!$A:$D,4,0)</f>
        <v>39.631782945736433</v>
      </c>
      <c r="F129" s="367">
        <f>VLOOKUP(Tabla3[[#This Row],[PATENTE]],'JULIO 2024'!$A:$D,4,0)</f>
        <v>37.547068316299089</v>
      </c>
      <c r="G129" s="367">
        <f>VLOOKUP(Tabla3[[#This Row],[PATENTE]],'AGOSTO 2024'!$A:$D,4,0)</f>
        <v>38.524996600643611</v>
      </c>
      <c r="H129" s="367">
        <f>VLOOKUP(Tabla3[[#This Row],[PATENTE]],'SEPTIEMBRE 2024'!$A:$D,4,0)</f>
        <v>38.45943439962911</v>
      </c>
      <c r="I129" s="367">
        <f>VLOOKUP(Tabla3[[#This Row],[PATENTE]],'OCTUBRE 2024'!$A:$D,4,0)</f>
        <v>39.825863750705892</v>
      </c>
      <c r="J129" s="392">
        <f>VLOOKUP(Tabla3[[#This Row],[PATENTE]],'NOVIEMBRE 2024'!$A:$D,4,0)</f>
        <v>39.4518524852921</v>
      </c>
      <c r="K129" s="392">
        <f>VLOOKUP(Tabla3[[#This Row],[PATENTE]],'DICIEMBRE 2024'!$A:$D,4,0)</f>
        <v>38.567021963824295</v>
      </c>
      <c r="L129" s="350"/>
      <c r="M129" s="350"/>
      <c r="N129" s="350"/>
      <c r="O129" s="350"/>
      <c r="P129" s="350"/>
      <c r="Q129" s="350"/>
      <c r="R129" s="350"/>
      <c r="S129" s="350"/>
      <c r="T129" s="350"/>
      <c r="U129" s="350"/>
      <c r="V129" s="460">
        <f t="shared" ref="V129:V132" si="71">AVERAGE(D129:U129)</f>
        <v>38.813491712720328</v>
      </c>
    </row>
    <row r="130" spans="1:22" x14ac:dyDescent="0.3">
      <c r="A130" s="457"/>
      <c r="B130" s="324" t="s">
        <v>178</v>
      </c>
      <c r="C130" s="328" t="s">
        <v>1098</v>
      </c>
      <c r="D130" s="350">
        <f>VLOOKUP(Tabla3[[#This Row],[PATENTE]],'MAYO 2024'!$A:$D,4,0)</f>
        <v>39.60328979196904</v>
      </c>
      <c r="E130" s="350">
        <f>VLOOKUP(Tabla3[[#This Row],[PATENTE]],'JUNIO 2024'!$A:$D,4,0)</f>
        <v>38.338732068486813</v>
      </c>
      <c r="F130" s="350">
        <f>VLOOKUP(Tabla3[[#This Row],[PATENTE]],'JULIO 2024'!$A:$D,4,0)</f>
        <v>38.094954783436457</v>
      </c>
      <c r="G130" s="350">
        <f>VLOOKUP(Tabla3[[#This Row],[PATENTE]],'AGOSTO 2024'!$A:$D,4,0)</f>
        <v>39.391971192317953</v>
      </c>
      <c r="H130" s="350">
        <f>VLOOKUP(Tabla3[[#This Row],[PATENTE]],'SEPTIEMBRE 2024'!$A:$D,4,0)</f>
        <v>40.521478168765448</v>
      </c>
      <c r="I130" s="350"/>
      <c r="J130" s="393"/>
      <c r="K130" s="393"/>
      <c r="L130" s="350"/>
      <c r="M130" s="350"/>
      <c r="N130" s="350"/>
      <c r="O130" s="350"/>
      <c r="P130" s="350"/>
      <c r="Q130" s="350"/>
      <c r="R130" s="350"/>
      <c r="S130" s="350"/>
      <c r="T130" s="350"/>
      <c r="U130" s="350"/>
      <c r="V130" s="460">
        <f t="shared" si="71"/>
        <v>39.190085200995142</v>
      </c>
    </row>
    <row r="131" spans="1:22" x14ac:dyDescent="0.3">
      <c r="A131" s="457"/>
      <c r="B131" s="324" t="s">
        <v>1148</v>
      </c>
      <c r="C131" s="328" t="s">
        <v>1149</v>
      </c>
      <c r="D131" s="350">
        <f>VLOOKUP(Tabla3[[#This Row],[PATENTE]],'MAYO 2024'!$A:$D,4,0)</f>
        <v>38.129366417730665</v>
      </c>
      <c r="E131" s="350">
        <f>VLOOKUP(Tabla3[[#This Row],[PATENTE]],'JUNIO 2024'!$A:$D,4,0)</f>
        <v>37.317242979809699</v>
      </c>
      <c r="F131" s="350">
        <f>VLOOKUP(Tabla3[[#This Row],[PATENTE]],'JULIO 2024'!$A:$D,4,0)</f>
        <v>37.614207986859668</v>
      </c>
      <c r="G131" s="350">
        <f>VLOOKUP(Tabla3[[#This Row],[PATENTE]],'AGOSTO 2024'!$A:$D,4,0)</f>
        <v>37.63439339500038</v>
      </c>
      <c r="H131" s="350">
        <f>VLOOKUP(Tabla3[[#This Row],[PATENTE]],'SEPTIEMBRE 2024'!$A:$D,4,0)</f>
        <v>37.15748031496063</v>
      </c>
      <c r="I131" s="350">
        <f>VLOOKUP(Tabla3[[#This Row],[PATENTE]],'OCTUBRE 2024'!$A:$D,4,0)</f>
        <v>39.088532631453013</v>
      </c>
      <c r="J131" s="393">
        <f>VLOOKUP(Tabla3[[#This Row],[PATENTE]],'NOVIEMBRE 2024'!$A:$D,4,0)</f>
        <v>38.29261198371146</v>
      </c>
      <c r="K131" s="393">
        <f>VLOOKUP(Tabla3[[#This Row],[PATENTE]],'DICIEMBRE 2024'!$A:$D,4,0)</f>
        <v>38.160746066775822</v>
      </c>
      <c r="L131" s="350">
        <f>VLOOKUP(Tabla3[[#This Row],[PATENTE]],'ENERO 2025'!$A:$D,4,0)</f>
        <v>35.722661228651539</v>
      </c>
      <c r="M131" s="350">
        <f>VLOOKUP(Tabla3[[#This Row],[PATENTE]],'FEBRERO 2025'!$A:$D,4,0)</f>
        <v>37.15</v>
      </c>
      <c r="N131" s="350">
        <f>VLOOKUP(Tabla3[[#This Row],[PATENTE]],'MARZO 2025'!$A:$D,4,0)</f>
        <v>37.622035360068992</v>
      </c>
      <c r="O131" s="350">
        <f>VLOOKUP(Tabla3[[#This Row],[PATENTE]],'ABRIL 2025'!$A:$D,4,0)</f>
        <v>35.944961351273975</v>
      </c>
      <c r="P131" s="350">
        <f>VLOOKUP(Tabla3[[#This Row],[PATENTE]],'MAYO 2025'!$A:$D,4,0)</f>
        <v>40.862975129047399</v>
      </c>
      <c r="Q131" s="350">
        <f>VLOOKUP(Tabla3[[#This Row],[PATENTE]],'JUNIO 2025'!$A:$D,4,0)</f>
        <v>38.957432145886337</v>
      </c>
      <c r="R131" s="350">
        <f>VLOOKUP(Tabla3[[#This Row],[PATENTE]],'JULIO 2025'!$A:$D,4,0)</f>
        <v>37.373794883473771</v>
      </c>
      <c r="S131" s="350">
        <f>VLOOKUP(Tabla3[[#This Row],[PATENTE]],'AGOSTO 2025'!$A:$D,4,0)</f>
        <v>38.051546391752581</v>
      </c>
      <c r="T131" s="350">
        <f>VLOOKUP(Tabla3[[#This Row],[PATENTE]],'SEPTIEMBRE 2025'!$A:$D,4,0)</f>
        <v>37.137183638406135</v>
      </c>
      <c r="U131" s="350">
        <f>VLOOKUP(Tabla3[[#This Row],[PATENTE]],'OCTUBRE 2025'!$A:$D,4,0)</f>
        <v>35.787021630615641</v>
      </c>
      <c r="V131" s="460">
        <f t="shared" si="71"/>
        <v>37.666899640859867</v>
      </c>
    </row>
    <row r="132" spans="1:22" x14ac:dyDescent="0.3">
      <c r="A132" s="457"/>
      <c r="B132" s="324" t="s">
        <v>1138</v>
      </c>
      <c r="C132" s="328" t="s">
        <v>1149</v>
      </c>
      <c r="D132" s="350">
        <f>VLOOKUP(Tabla3[[#This Row],[PATENTE]],'MAYO 2024'!$A:$D,4,0)</f>
        <v>35.774012942630698</v>
      </c>
      <c r="E132" s="350">
        <f>VLOOKUP(Tabla3[[#This Row],[PATENTE]],'JUNIO 2024'!$A:$D,4,0)</f>
        <v>36.810672457922905</v>
      </c>
      <c r="F132" s="350">
        <f>VLOOKUP(Tabla3[[#This Row],[PATENTE]],'JULIO 2024'!$A:$D,4,0)</f>
        <v>41.205202476287837</v>
      </c>
      <c r="G132" s="350">
        <f>VLOOKUP(Tabla3[[#This Row],[PATENTE]],'AGOSTO 2024'!$A:$D,4,0)</f>
        <v>42.745880241474957</v>
      </c>
      <c r="H132" s="350">
        <f>VLOOKUP(Tabla3[[#This Row],[PATENTE]],'SEPTIEMBRE 2024'!$A:$D,4,0)</f>
        <v>41.454724167588161</v>
      </c>
      <c r="I132" s="350">
        <f>VLOOKUP(Tabla3[[#This Row],[PATENTE]],'OCTUBRE 2024'!$A:$D,4,0)</f>
        <v>41.016999854078506</v>
      </c>
      <c r="J132" s="393">
        <f>VLOOKUP(Tabla3[[#This Row],[PATENTE]],'NOVIEMBRE 2024'!$A:$D,4,0)</f>
        <v>40.447068747363979</v>
      </c>
      <c r="K132" s="393">
        <f>VLOOKUP(Tabla3[[#This Row],[PATENTE]],'DICIEMBRE 2024'!$A:$D,4,0)</f>
        <v>41.132278620083504</v>
      </c>
      <c r="L132" s="350">
        <f>VLOOKUP(Tabla3[[#This Row],[PATENTE]],'ENERO 2025'!$A:$D,4,0)</f>
        <v>40.986030593001324</v>
      </c>
      <c r="M132" s="350">
        <f>VLOOKUP(Tabla3[[#This Row],[PATENTE]],'FEBRERO 2025'!$A:$D,4,0)</f>
        <v>38.850533617929564</v>
      </c>
      <c r="N132" s="350">
        <f>VLOOKUP(Tabla3[[#This Row],[PATENTE]],'MARZO 2025'!$A:$D,4,0)</f>
        <v>40.903830369357038</v>
      </c>
      <c r="O132" s="350">
        <f>VLOOKUP(Tabla3[[#This Row],[PATENTE]],'ABRIL 2025'!$A:$D,4,0)</f>
        <v>39.743777313319399</v>
      </c>
      <c r="P132" s="350">
        <f>VLOOKUP(Tabla3[[#This Row],[PATENTE]],'MAYO 2025'!$A:$D,4,0)</f>
        <v>35.276228948566228</v>
      </c>
      <c r="Q132" s="350">
        <f>VLOOKUP(Tabla3[[#This Row],[PATENTE]],'JUNIO 2025'!$A:$D,4,0)</f>
        <v>37.006880398184741</v>
      </c>
      <c r="R132" s="350">
        <f>VLOOKUP(Tabla3[[#This Row],[PATENTE]],'JULIO 2025'!$A:$D,4,0)</f>
        <v>34.33</v>
      </c>
      <c r="S132" s="350">
        <f>VLOOKUP(Tabla3[[#This Row],[PATENTE]],'AGOSTO 2025'!$A:$D,4,0)</f>
        <v>33.663303838133352</v>
      </c>
      <c r="T132" s="350">
        <f>VLOOKUP(Tabla3[[#This Row],[PATENTE]],'SEPTIEMBRE 2025'!$A:$D,4,0)</f>
        <v>35.835078864353306</v>
      </c>
      <c r="U132" s="350">
        <f>VLOOKUP(Tabla3[[#This Row],[PATENTE]],'OCTUBRE 2025'!$A:$D,4,0)</f>
        <v>36.327880904245539</v>
      </c>
      <c r="V132" s="460">
        <f t="shared" si="71"/>
        <v>38.528354686362285</v>
      </c>
    </row>
    <row r="133" spans="1:22" ht="15" thickBot="1" x14ac:dyDescent="0.35">
      <c r="A133" s="457"/>
      <c r="B133" s="326" t="s">
        <v>180</v>
      </c>
      <c r="C133" s="329" t="s">
        <v>1098</v>
      </c>
      <c r="D133" s="368">
        <f>VLOOKUP(Tabla3[[#This Row],[PATENTE]],'MAYO 2024'!$A:$D,4,0)</f>
        <v>42.631861495101333</v>
      </c>
      <c r="E133" s="368">
        <f>VLOOKUP(Tabla3[[#This Row],[PATENTE]],'JUNIO 2024'!$A:$D,4,0)</f>
        <v>40.688349298284699</v>
      </c>
      <c r="F133" s="368">
        <f>VLOOKUP(Tabla3[[#This Row],[PATENTE]],'JULIO 2024'!$A:$D,4,0)</f>
        <v>41.571232249198353</v>
      </c>
      <c r="G133" s="368">
        <f>VLOOKUP(Tabla3[[#This Row],[PATENTE]],'AGOSTO 2024'!$A:$D,4,0)</f>
        <v>41.762344157216312</v>
      </c>
      <c r="H133" s="368">
        <f>VLOOKUP(Tabla3[[#This Row],[PATENTE]],'SEPTIEMBRE 2024'!$A:$D,4,0)</f>
        <v>39.28504373799872</v>
      </c>
      <c r="I133" s="368">
        <f>VLOOKUP(Tabla3[[#This Row],[PATENTE]],'OCTUBRE 2024'!$A:$D,4,0)</f>
        <v>42.318627185622262</v>
      </c>
      <c r="J133" s="394">
        <f>VLOOKUP(Tabla3[[#This Row],[PATENTE]],'NOVIEMBRE 2024'!$A:$D,4,0)</f>
        <v>37.15433590217345</v>
      </c>
      <c r="K133" s="394">
        <f>VLOOKUP(Tabla3[[#This Row],[PATENTE]],'DICIEMBRE 2024'!$A:$D,4,0)</f>
        <v>42.243742060823429</v>
      </c>
      <c r="L133" s="350"/>
      <c r="M133" s="350"/>
      <c r="N133" s="350"/>
      <c r="O133" s="350"/>
      <c r="P133" s="350"/>
      <c r="Q133" s="350"/>
      <c r="R133" s="350"/>
      <c r="S133" s="350"/>
      <c r="T133" s="350"/>
      <c r="U133" s="350"/>
    </row>
    <row r="134" spans="1:22" ht="4.95" customHeight="1" thickBot="1" x14ac:dyDescent="0.35">
      <c r="B134" s="330"/>
      <c r="C134" s="330"/>
      <c r="Q134"/>
    </row>
    <row r="135" spans="1:22" ht="15" thickBot="1" x14ac:dyDescent="0.35">
      <c r="B135" s="331"/>
      <c r="C135" s="339" t="s">
        <v>1119</v>
      </c>
      <c r="D135" s="334">
        <f t="shared" ref="D135" si="72">AVERAGE(D129:D133)</f>
        <v>38.927688777412769</v>
      </c>
      <c r="E135" s="334">
        <f t="shared" ref="E135:F135" si="73">AVERAGE(E129:E133)</f>
        <v>38.557355950048105</v>
      </c>
      <c r="F135" s="334">
        <f t="shared" si="73"/>
        <v>39.206533162416278</v>
      </c>
      <c r="G135" s="334">
        <f t="shared" ref="G135:H135" si="74">AVERAGE(G129:G133)</f>
        <v>40.011917117330647</v>
      </c>
      <c r="H135" s="334">
        <f t="shared" si="74"/>
        <v>39.375632157788417</v>
      </c>
      <c r="I135" s="334">
        <f t="shared" ref="I135:J135" si="75">AVERAGE(I129:I133)</f>
        <v>40.56250585546492</v>
      </c>
      <c r="J135" s="334">
        <f t="shared" si="75"/>
        <v>38.836467279635244</v>
      </c>
      <c r="K135" s="334">
        <f t="shared" ref="K135:L135" si="76">AVERAGE(K129:K133)</f>
        <v>40.025947177876759</v>
      </c>
      <c r="L135" s="334">
        <f t="shared" si="76"/>
        <v>38.354345910826432</v>
      </c>
      <c r="M135" s="334">
        <f t="shared" ref="M135:N135" si="77">AVERAGE(M129:M133)</f>
        <v>38.000266808964781</v>
      </c>
      <c r="N135" s="334">
        <f t="shared" si="77"/>
        <v>39.262932864713015</v>
      </c>
      <c r="O135" s="334">
        <f t="shared" ref="O135" si="78">AVERAGE(O129:O133)</f>
        <v>37.844369332296687</v>
      </c>
      <c r="P135" s="334">
        <f t="shared" ref="P135:Q135" si="79">AVERAGE(P129:P133)</f>
        <v>38.069602038806813</v>
      </c>
      <c r="Q135" s="334">
        <f t="shared" si="79"/>
        <v>37.982156272035539</v>
      </c>
      <c r="R135" s="334">
        <f t="shared" ref="R135:S135" si="80">AVERAGE(R129:R133)</f>
        <v>35.851897441736881</v>
      </c>
      <c r="S135" s="334">
        <f t="shared" si="80"/>
        <v>35.85742511494297</v>
      </c>
      <c r="T135" s="334">
        <f t="shared" ref="T135:U135" si="81">AVERAGE(T129:T133)</f>
        <v>36.486131251379717</v>
      </c>
      <c r="U135" s="334">
        <f t="shared" si="81"/>
        <v>36.057451267430594</v>
      </c>
    </row>
    <row r="136" spans="1:22" x14ac:dyDescent="0.3">
      <c r="B136" s="330"/>
      <c r="C136" s="345"/>
      <c r="Q136"/>
    </row>
    <row r="137" spans="1:22" ht="15" thickBot="1" x14ac:dyDescent="0.35">
      <c r="Q137"/>
    </row>
    <row r="138" spans="1:22" ht="15" thickBot="1" x14ac:dyDescent="0.35">
      <c r="B138" s="335"/>
      <c r="C138" s="340" t="s">
        <v>1120</v>
      </c>
      <c r="D138" s="341">
        <v>37.200000000000003</v>
      </c>
      <c r="E138" s="341">
        <v>36.799999999999997</v>
      </c>
      <c r="F138" s="341">
        <v>37.4</v>
      </c>
      <c r="G138" s="341">
        <v>38</v>
      </c>
      <c r="H138" s="341">
        <v>37.4</v>
      </c>
      <c r="I138" s="341">
        <v>36.9</v>
      </c>
      <c r="J138" s="341">
        <f>+'NOVIEMBRE 2024'!D103</f>
        <v>37.286195352876106</v>
      </c>
      <c r="K138" s="341">
        <f>+'DICIEMBRE 2024'!D107</f>
        <v>37.135170213711966</v>
      </c>
      <c r="L138" s="341">
        <f>+'ENERO 2025'!D109</f>
        <v>36.786791294436291</v>
      </c>
      <c r="M138" s="341">
        <f>+'FEBRERO 2025'!D108</f>
        <v>36.993505508717085</v>
      </c>
      <c r="N138" s="341">
        <f>+'MARZO 2025'!$D$108</f>
        <v>36.24740235535576</v>
      </c>
      <c r="O138" s="341">
        <f>+'ABRIL 2025'!$D$106</f>
        <v>35.896124281526276</v>
      </c>
      <c r="P138" s="341">
        <f>+'MAYO 2025'!D107</f>
        <v>35.909334070196905</v>
      </c>
      <c r="Q138" s="341">
        <v>35.972999999999999</v>
      </c>
      <c r="R138" s="341">
        <v>36.28</v>
      </c>
      <c r="S138" s="341">
        <v>36.18</v>
      </c>
      <c r="T138" s="341">
        <v>36.049999999999997</v>
      </c>
      <c r="U138" s="341">
        <v>35.75</v>
      </c>
    </row>
    <row r="139" spans="1:22" ht="7.2" customHeight="1" thickBot="1" x14ac:dyDescent="0.35">
      <c r="B139" s="336"/>
      <c r="C139" s="336"/>
      <c r="Q139"/>
    </row>
    <row r="140" spans="1:22" ht="15" thickBot="1" x14ac:dyDescent="0.35">
      <c r="B140" s="337"/>
      <c r="C140" s="338" t="s">
        <v>1121</v>
      </c>
      <c r="D140" s="370">
        <v>-0.1</v>
      </c>
      <c r="E140" s="370">
        <f t="shared" ref="E140" si="82">+E138-D138</f>
        <v>-0.40000000000000568</v>
      </c>
      <c r="F140" s="370">
        <f t="shared" ref="F140:R140" si="83">+F138-E138</f>
        <v>0.60000000000000142</v>
      </c>
      <c r="G140" s="370">
        <f t="shared" si="83"/>
        <v>0.60000000000000142</v>
      </c>
      <c r="H140" s="370">
        <f t="shared" si="83"/>
        <v>-0.60000000000000142</v>
      </c>
      <c r="I140" s="370">
        <f t="shared" si="83"/>
        <v>-0.5</v>
      </c>
      <c r="J140" s="370">
        <f t="shared" si="83"/>
        <v>0.38619535287610773</v>
      </c>
      <c r="K140" s="370">
        <f t="shared" si="83"/>
        <v>-0.1510251391641404</v>
      </c>
      <c r="L140" s="370">
        <f t="shared" si="83"/>
        <v>-0.34837891927567455</v>
      </c>
      <c r="M140" s="370">
        <f t="shared" si="83"/>
        <v>0.20671421428079384</v>
      </c>
      <c r="N140" s="370">
        <f t="shared" si="83"/>
        <v>-0.74610315336132516</v>
      </c>
      <c r="O140" s="370">
        <f t="shared" si="83"/>
        <v>-0.35127807382948362</v>
      </c>
      <c r="P140" s="370">
        <f t="shared" si="83"/>
        <v>1.3209788670629052E-2</v>
      </c>
      <c r="Q140" s="370">
        <f t="shared" si="83"/>
        <v>6.3665929803093491E-2</v>
      </c>
      <c r="R140" s="370">
        <f t="shared" si="83"/>
        <v>0.30700000000000216</v>
      </c>
      <c r="S140" s="370">
        <f>+S138-R138</f>
        <v>-0.10000000000000142</v>
      </c>
      <c r="T140" s="370">
        <f>+T138-S138</f>
        <v>-0.13000000000000256</v>
      </c>
      <c r="U140" s="370">
        <f>+U138-T138</f>
        <v>-0.29999999999999716</v>
      </c>
    </row>
    <row r="141" spans="1:22" ht="15" thickBot="1" x14ac:dyDescent="0.35">
      <c r="C141" s="336"/>
      <c r="D141" s="371">
        <f t="shared" ref="D141" si="84">+D140/D138</f>
        <v>-2.6881720430107525E-3</v>
      </c>
      <c r="E141" s="371">
        <f t="shared" ref="E141:J141" si="85">+E140/E138</f>
        <v>-1.086956521739146E-2</v>
      </c>
      <c r="F141" s="371">
        <f t="shared" si="85"/>
        <v>1.6042780748663141E-2</v>
      </c>
      <c r="G141" s="371">
        <f t="shared" si="85"/>
        <v>1.5789473684210565E-2</v>
      </c>
      <c r="H141" s="371">
        <f t="shared" si="85"/>
        <v>-1.6042780748663141E-2</v>
      </c>
      <c r="I141" s="371">
        <f t="shared" si="85"/>
        <v>-1.3550135501355014E-2</v>
      </c>
      <c r="J141" s="371">
        <f t="shared" si="85"/>
        <v>1.0357596135008132E-2</v>
      </c>
      <c r="K141" s="371">
        <f t="shared" ref="K141:L141" si="86">+K140/K138</f>
        <v>-4.0669031081585066E-3</v>
      </c>
      <c r="L141" s="371">
        <f t="shared" si="86"/>
        <v>-9.4702176247800137E-3</v>
      </c>
      <c r="M141" s="371">
        <f t="shared" ref="M141:N141" si="87">+M140/M138</f>
        <v>5.5878514738778688E-3</v>
      </c>
      <c r="N141" s="371">
        <f t="shared" si="87"/>
        <v>-2.0583630960553073E-2</v>
      </c>
      <c r="O141" s="371">
        <f t="shared" ref="O141" si="88">+O140/O138</f>
        <v>-9.7859610434396331E-3</v>
      </c>
      <c r="P141" s="371">
        <f t="shared" ref="P141" si="89">+P140/P138</f>
        <v>3.6786504157403934E-4</v>
      </c>
      <c r="Q141" s="371">
        <f>+Q140/Q138</f>
        <v>1.7698254191502931E-3</v>
      </c>
      <c r="R141" s="371">
        <f>+R140/R138</f>
        <v>8.4619625137817567E-3</v>
      </c>
      <c r="S141" s="371">
        <f>+S140/S138</f>
        <v>-2.7639579878386243E-3</v>
      </c>
      <c r="T141" s="371">
        <f>+T140/T138</f>
        <v>-3.6061026352289202E-3</v>
      </c>
      <c r="U141" s="371">
        <f>+U140/U138</f>
        <v>-8.3916083916083118E-3</v>
      </c>
    </row>
    <row r="142" spans="1:22" ht="4.95" customHeight="1" thickBot="1" x14ac:dyDescent="0.35">
      <c r="C142" s="336"/>
      <c r="Q142"/>
    </row>
    <row r="143" spans="1:22" ht="15" thickBot="1" x14ac:dyDescent="0.35">
      <c r="B143" s="337"/>
      <c r="C143" s="338" t="s">
        <v>1127</v>
      </c>
      <c r="D143" s="342">
        <v>-1570.55</v>
      </c>
      <c r="E143" s="342">
        <v>-6406.82</v>
      </c>
      <c r="F143" s="342">
        <v>9799.67</v>
      </c>
      <c r="G143" s="342">
        <v>9804.81</v>
      </c>
      <c r="H143" s="342">
        <v>-8644.7999999999993</v>
      </c>
      <c r="I143" s="342">
        <v>-7556.82</v>
      </c>
      <c r="J143" s="369">
        <v>5577</v>
      </c>
      <c r="K143" s="369">
        <v>-2042.22</v>
      </c>
      <c r="L143" s="369">
        <v>-5484.17</v>
      </c>
      <c r="M143" s="369">
        <v>2785.22</v>
      </c>
      <c r="N143" s="369">
        <v>-11494.5</v>
      </c>
      <c r="O143" s="369">
        <v>-5151.7</v>
      </c>
      <c r="P143" s="369">
        <v>160.46</v>
      </c>
      <c r="Q143" s="369">
        <v>929.35</v>
      </c>
      <c r="R143" s="369">
        <v>930.35</v>
      </c>
      <c r="S143" s="369">
        <v>-1662.22</v>
      </c>
      <c r="T143" s="369">
        <v>-3568.98</v>
      </c>
      <c r="U143" s="369">
        <v>-5539.08</v>
      </c>
    </row>
    <row r="145" spans="8:18" ht="15" thickBot="1" x14ac:dyDescent="0.35"/>
    <row r="146" spans="8:18" ht="15" thickBot="1" x14ac:dyDescent="0.35">
      <c r="H146" s="450" t="s">
        <v>1160</v>
      </c>
      <c r="I146" s="451"/>
      <c r="J146" s="451"/>
      <c r="K146" s="452"/>
    </row>
    <row r="147" spans="8:18" x14ac:dyDescent="0.3">
      <c r="H147" s="405" t="s">
        <v>1161</v>
      </c>
      <c r="I147" s="351">
        <v>100</v>
      </c>
      <c r="J147" s="351">
        <v>35.75</v>
      </c>
      <c r="K147" s="352" t="s">
        <v>1162</v>
      </c>
      <c r="R147" s="352"/>
    </row>
    <row r="148" spans="8:18" ht="15" thickBot="1" x14ac:dyDescent="0.35">
      <c r="H148" s="406" t="s">
        <v>1163</v>
      </c>
      <c r="I148" s="353">
        <v>1846360</v>
      </c>
      <c r="J148" s="354">
        <f>+I148*J147/I147</f>
        <v>660073.69999999995</v>
      </c>
      <c r="K148" s="355" t="s">
        <v>1164</v>
      </c>
      <c r="R148" s="355"/>
    </row>
    <row r="149" spans="8:18" ht="15" thickBot="1" x14ac:dyDescent="0.35">
      <c r="H149" s="356"/>
      <c r="I149" s="356"/>
      <c r="J149" s="356"/>
      <c r="K149" s="356"/>
      <c r="R149" s="356"/>
    </row>
    <row r="150" spans="8:18" ht="15" thickBot="1" x14ac:dyDescent="0.35">
      <c r="H150" s="450" t="s">
        <v>1165</v>
      </c>
      <c r="I150" s="451"/>
      <c r="J150" s="451"/>
      <c r="K150" s="452"/>
    </row>
    <row r="151" spans="8:18" x14ac:dyDescent="0.3">
      <c r="H151" s="405" t="s">
        <v>1161</v>
      </c>
      <c r="I151" s="351">
        <v>100</v>
      </c>
      <c r="J151" s="351">
        <v>36.049999999999997</v>
      </c>
      <c r="K151" s="352" t="s">
        <v>1162</v>
      </c>
      <c r="R151" s="352"/>
    </row>
    <row r="152" spans="8:18" ht="15" thickBot="1" x14ac:dyDescent="0.35">
      <c r="H152" s="406" t="s">
        <v>1166</v>
      </c>
      <c r="I152" s="353">
        <f>+I148</f>
        <v>1846360</v>
      </c>
      <c r="J152" s="354">
        <f>+I152*J151/I151</f>
        <v>665612.77999999991</v>
      </c>
      <c r="K152" s="355" t="s">
        <v>1164</v>
      </c>
      <c r="R152" s="355"/>
    </row>
    <row r="153" spans="8:18" ht="15" thickBot="1" x14ac:dyDescent="0.35">
      <c r="H153" s="356"/>
      <c r="I153" s="356"/>
      <c r="J153" s="356"/>
      <c r="K153" s="356"/>
      <c r="R153" s="356"/>
    </row>
    <row r="154" spans="8:18" ht="15" thickBot="1" x14ac:dyDescent="0.35">
      <c r="H154" s="450" t="s">
        <v>1167</v>
      </c>
      <c r="I154" s="451"/>
      <c r="J154" s="451"/>
      <c r="K154" s="452"/>
    </row>
    <row r="155" spans="8:18" x14ac:dyDescent="0.3">
      <c r="H155" s="453" t="s">
        <v>1168</v>
      </c>
      <c r="I155" s="454"/>
      <c r="J155" s="351">
        <f>J152</f>
        <v>665612.77999999991</v>
      </c>
      <c r="K155" s="357"/>
      <c r="R155" s="357"/>
    </row>
    <row r="156" spans="8:18" ht="15" thickBot="1" x14ac:dyDescent="0.35">
      <c r="H156" s="455" t="s">
        <v>1169</v>
      </c>
      <c r="I156" s="456"/>
      <c r="J156" s="353">
        <f>J148</f>
        <v>660073.69999999995</v>
      </c>
      <c r="K156" s="358"/>
      <c r="R156" s="358"/>
    </row>
    <row r="157" spans="8:18" x14ac:dyDescent="0.3">
      <c r="H157" s="356"/>
      <c r="I157" s="356" t="s">
        <v>1170</v>
      </c>
      <c r="J157" s="359">
        <f>+J156-J155</f>
        <v>-5539.0799999999581</v>
      </c>
      <c r="K157" s="372">
        <f>J157/J156</f>
        <v>-8.3916083916083292E-3</v>
      </c>
      <c r="R157" s="372"/>
    </row>
  </sheetData>
  <sortState xmlns:xlrd2="http://schemas.microsoft.com/office/spreadsheetml/2017/richdata2" ref="B3:C84">
    <sortCondition ref="C3:C84"/>
  </sortState>
  <mergeCells count="14">
    <mergeCell ref="A83:A109"/>
    <mergeCell ref="A113:A117"/>
    <mergeCell ref="A121:A125"/>
    <mergeCell ref="A129:A133"/>
    <mergeCell ref="A3:A14"/>
    <mergeCell ref="A18:A37"/>
    <mergeCell ref="A41:A54"/>
    <mergeCell ref="A58:A65"/>
    <mergeCell ref="A69:A79"/>
    <mergeCell ref="H146:K146"/>
    <mergeCell ref="H150:K150"/>
    <mergeCell ref="H154:K154"/>
    <mergeCell ref="H155:I155"/>
    <mergeCell ref="H156:I156"/>
  </mergeCells>
  <conditionalFormatting sqref="A67">
    <cfRule type="colorScale" priority="5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8:U18 W18:XFD18">
    <cfRule type="colorScale" priority="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41:XFD41">
    <cfRule type="colorScale" priority="5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58:U58 W58:XFD58">
    <cfRule type="colorScale" priority="5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69:U69 W69:XFD69">
    <cfRule type="colorScale" priority="5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21:U121 W121:XFD121">
    <cfRule type="colorScale" priority="5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">
    <cfRule type="duplicateValues" dxfId="19" priority="1775"/>
  </conditionalFormatting>
  <conditionalFormatting sqref="B37">
    <cfRule type="duplicateValues" dxfId="18" priority="1741"/>
  </conditionalFormatting>
  <conditionalFormatting sqref="B38:B39">
    <cfRule type="duplicateValues" dxfId="17" priority="10397"/>
  </conditionalFormatting>
  <conditionalFormatting sqref="B41:B42">
    <cfRule type="duplicateValues" dxfId="16" priority="1716"/>
  </conditionalFormatting>
  <conditionalFormatting sqref="B55:B56">
    <cfRule type="duplicateValues" dxfId="15" priority="10390"/>
  </conditionalFormatting>
  <conditionalFormatting sqref="B66:B67">
    <cfRule type="duplicateValues" dxfId="14" priority="10383"/>
  </conditionalFormatting>
  <conditionalFormatting sqref="B80:B81">
    <cfRule type="duplicateValues" dxfId="13" priority="10376"/>
  </conditionalFormatting>
  <conditionalFormatting sqref="B92">
    <cfRule type="duplicateValues" dxfId="12" priority="1339"/>
  </conditionalFormatting>
  <conditionalFormatting sqref="B98:B100">
    <cfRule type="duplicateValues" dxfId="11" priority="1037"/>
  </conditionalFormatting>
  <conditionalFormatting sqref="B101:B106">
    <cfRule type="duplicateValues" dxfId="10" priority="989"/>
  </conditionalFormatting>
  <conditionalFormatting sqref="B107">
    <cfRule type="duplicateValues" dxfId="9" priority="907"/>
  </conditionalFormatting>
  <conditionalFormatting sqref="B110:B111">
    <cfRule type="duplicateValues" dxfId="8" priority="10369"/>
  </conditionalFormatting>
  <conditionalFormatting sqref="B115:B116">
    <cfRule type="duplicateValues" dxfId="7" priority="1792"/>
  </conditionalFormatting>
  <conditionalFormatting sqref="B118:B119">
    <cfRule type="duplicateValues" dxfId="6" priority="10362"/>
  </conditionalFormatting>
  <conditionalFormatting sqref="B121 B123:B124">
    <cfRule type="duplicateValues" dxfId="5" priority="1780"/>
  </conditionalFormatting>
  <conditionalFormatting sqref="B122">
    <cfRule type="duplicateValues" dxfId="4" priority="1055"/>
  </conditionalFormatting>
  <conditionalFormatting sqref="B126:B127">
    <cfRule type="duplicateValues" dxfId="3" priority="10355"/>
  </conditionalFormatting>
  <conditionalFormatting sqref="B129:B130 B125 B113:B114 B83:B91 B69:B79 B58:B65 B43:B54 B18:B36 B3:B12 B117 B133 B14:B16 B93:B97 B108:B109">
    <cfRule type="duplicateValues" dxfId="2" priority="10929"/>
  </conditionalFormatting>
  <conditionalFormatting sqref="B131:B132">
    <cfRule type="duplicateValues" dxfId="1" priority="1781"/>
  </conditionalFormatting>
  <conditionalFormatting sqref="B134:B136">
    <cfRule type="duplicateValues" dxfId="0" priority="10348"/>
  </conditionalFormatting>
  <conditionalFormatting sqref="B10:U10">
    <cfRule type="colorScale" priority="125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U12 W12:XFD12">
    <cfRule type="colorScale" priority="5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U13 W13:XFD13">
    <cfRule type="colorScale" priority="5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U14 W14:XFD14">
    <cfRule type="colorScale" priority="5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U19 W19:XFD19">
    <cfRule type="colorScale" priority="5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0:U20 W20:XFD20">
    <cfRule type="colorScale" priority="5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1:U21 W21:XFD21">
    <cfRule type="colorScale" priority="5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2:U22 W22:XFD22">
    <cfRule type="colorScale" priority="5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3:U23 W23:XFD23">
    <cfRule type="colorScale" priority="5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4:U24 W24:XFD24">
    <cfRule type="colorScale" priority="5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5:U25 W25:XFD25">
    <cfRule type="colorScale" priority="5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6:U26 W26:XFD26">
    <cfRule type="colorScale" priority="5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7:U27 W27:XFD27">
    <cfRule type="colorScale" priority="5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U28 W28:XFD28">
    <cfRule type="colorScale" priority="5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U29 W29:XFD29">
    <cfRule type="colorScale" priority="5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U31 W31:XFD31">
    <cfRule type="colorScale" priority="5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2:U32 W32:XFD32">
    <cfRule type="colorScale" priority="5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3:U33 W33:XFD33">
    <cfRule type="colorScale" priority="5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4:U34 W34:XFD34">
    <cfRule type="colorScale" priority="5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5:U35 W35:XFD35">
    <cfRule type="colorScale" priority="5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6:U36 W36:XFD36">
    <cfRule type="colorScale" priority="5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7:XFD37">
    <cfRule type="colorScale" priority="5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2:U42 W42:XFD42">
    <cfRule type="colorScale" priority="5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3:U43 W43:XFD43">
    <cfRule type="colorScale" priority="5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4:U44 W44:XFD44">
    <cfRule type="colorScale" priority="5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5:U45 W45:XFD45">
    <cfRule type="colorScale" priority="5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6:U46 W46:XFD46">
    <cfRule type="colorScale" priority="5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7:U47 W47:XFD47">
    <cfRule type="colorScale" priority="5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8:U48 W48:XFD48">
    <cfRule type="colorScale" priority="5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9:U49 W49:XFD49">
    <cfRule type="colorScale" priority="5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0:U50 W50:XFD50">
    <cfRule type="colorScale" priority="5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1:U51 W51:XFD51">
    <cfRule type="colorScale" priority="5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2:U52 W52:XFD52">
    <cfRule type="colorScale" priority="5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3:U53 W53:XFD53">
    <cfRule type="colorScale" priority="5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4:U54 W54:XFD54">
    <cfRule type="colorScale" priority="5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9:U59 W59:XFD59">
    <cfRule type="colorScale" priority="5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0:U60 W60:XFD60">
    <cfRule type="colorScale" priority="5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1:U61 W61:XFD61">
    <cfRule type="colorScale" priority="5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2:U62 W62:XFD62">
    <cfRule type="colorScale" priority="5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4:U64 W64:XFD64">
    <cfRule type="colorScale" priority="5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5:U65 W65:XFD65">
    <cfRule type="colorScale" priority="5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0:U70 W70:XFD70">
    <cfRule type="colorScale" priority="5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1:U71 W71:XFD71">
    <cfRule type="colorScale" priority="5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2:U72 W72:XFD72">
    <cfRule type="colorScale" priority="5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3:U73 W73:XFD73">
    <cfRule type="colorScale" priority="5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4:U74 W74:XFD74">
    <cfRule type="colorScale" priority="5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5:U75 W75:XFD75">
    <cfRule type="colorScale" priority="5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6:U76 W76:XFD76">
    <cfRule type="colorScale" priority="5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7:U77 W77:XFD77">
    <cfRule type="colorScale" priority="5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8:U78 W78:XFD78">
    <cfRule type="colorScale" priority="5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9:U79 W79:XFD79">
    <cfRule type="colorScale" priority="5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7:U87 W87:XFD87">
    <cfRule type="colorScale" priority="5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8:U88 W88:XFD88">
    <cfRule type="colorScale" priority="5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9:U89 W89:XFD89">
    <cfRule type="colorScale" priority="5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0:U90 W90:XFD90">
    <cfRule type="colorScale" priority="5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1:U91 W91:XFD91">
    <cfRule type="colorScale" priority="5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2:U92 W92:XFD92">
    <cfRule type="colorScale" priority="5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3:U93 W93:XFD93">
    <cfRule type="colorScale" priority="5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5:U95 W95:XFD95">
    <cfRule type="colorScale" priority="5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6:U96 W96:XFD96">
    <cfRule type="colorScale" priority="5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7:U97 W97:XFD97">
    <cfRule type="colorScale" priority="5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8:U98 W98:XFD98">
    <cfRule type="colorScale" priority="5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9:U99 W99:XFD99">
    <cfRule type="colorScale" priority="5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0:U100 W100:XFD100">
    <cfRule type="colorScale" priority="5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1:U101 W101:XFD101">
    <cfRule type="colorScale" priority="5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2:U102 W102:XFD102">
    <cfRule type="colorScale" priority="5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3:U103 W103:XFD103">
    <cfRule type="colorScale" priority="5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4:U104 W104:XFD104">
    <cfRule type="colorScale" priority="5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5:U105 W105:XFD105">
    <cfRule type="colorScale" priority="5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7:U107 W107:XFD107">
    <cfRule type="colorScale" priority="5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8:U108 W108:XFD108">
    <cfRule type="colorScale" priority="5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3:U113 W113:XFD113">
    <cfRule type="colorScale" priority="5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4:U114 W114:XFD114">
    <cfRule type="colorScale" priority="5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5:U115 W115:XFD115">
    <cfRule type="colorScale" priority="5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6:U116 W116:XFD116">
    <cfRule type="colorScale" priority="5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7:U117 W117:XFD117">
    <cfRule type="colorScale" priority="5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2:U122 W122:XFD122">
    <cfRule type="colorScale" priority="4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3:U123 W123:XFD123">
    <cfRule type="colorScale" priority="4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5:XFD125">
    <cfRule type="colorScale" priority="4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9:U129 W129:XFD129">
    <cfRule type="colorScale" priority="4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0:U130 W130:XFD130">
    <cfRule type="colorScale" priority="4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1:U131 W131:XFD131">
    <cfRule type="colorScale" priority="4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2:U132 W132:XFD132">
    <cfRule type="colorScale" priority="4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3:XFD133">
    <cfRule type="colorScale" priority="4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3:U33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09">
    <cfRule type="colorScale" priority="118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8:F18">
    <cfRule type="colorScale" priority="16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4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0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4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0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6:F36 F37 G36:I37">
    <cfRule type="colorScale" priority="10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G19 G18 H18:I19">
    <cfRule type="colorScale" priority="10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G19">
    <cfRule type="colorScale" priority="10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5:G85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08:G108 G109 H108:I109">
    <cfRule type="colorScale" priority="10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30:H130">
    <cfRule type="colorScale" priority="3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:I3">
    <cfRule type="colorScale" priority="119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9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:I4">
    <cfRule type="colorScale" priority="119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I5">
    <cfRule type="colorScale" priority="118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:I6">
    <cfRule type="colorScale" priority="118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:I7">
    <cfRule type="colorScale" priority="118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:I8">
    <cfRule type="colorScale" priority="118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0:I10">
    <cfRule type="colorScale" priority="118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1:I11">
    <cfRule type="colorScale" priority="118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:I12">
    <cfRule type="colorScale" priority="118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3:I13">
    <cfRule type="colorScale" priority="119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4:I14">
    <cfRule type="colorScale" priority="118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8:I18">
    <cfRule type="colorScale" priority="118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0:I20">
    <cfRule type="colorScale" priority="118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:I21">
    <cfRule type="colorScale" priority="118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2:I22">
    <cfRule type="colorScale" priority="118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3:I23">
    <cfRule type="colorScale" priority="118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4:I24">
    <cfRule type="colorScale" priority="118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:I25">
    <cfRule type="colorScale" priority="118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6:I27">
    <cfRule type="colorScale" priority="1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8:I28">
    <cfRule type="colorScale" priority="118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:I29">
    <cfRule type="colorScale" priority="118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0:I30">
    <cfRule type="colorScale" priority="118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1:I31">
    <cfRule type="colorScale" priority="118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2:I32">
    <cfRule type="colorScale" priority="118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3:I33">
    <cfRule type="colorScale" priority="118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4:I34">
    <cfRule type="colorScale" priority="118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5:I35">
    <cfRule type="colorScale" priority="118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7:I37">
    <cfRule type="colorScale" priority="118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1:I41">
    <cfRule type="colorScale" priority="119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1:I42 G18 D19:G37 H18:I37">
    <cfRule type="colorScale" priority="117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7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:I42">
    <cfRule type="colorScale" priority="119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3:I43">
    <cfRule type="colorScale" priority="118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6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0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0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4:I44">
    <cfRule type="colorScale" priority="118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4:I54">
    <cfRule type="colorScale" priority="120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7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0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5:I45">
    <cfRule type="colorScale" priority="118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:I46">
    <cfRule type="colorScale" priority="118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7:I47">
    <cfRule type="colorScale" priority="118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8:I48">
    <cfRule type="colorScale" priority="118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9:I49">
    <cfRule type="colorScale" priority="118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8:I58">
    <cfRule type="colorScale" priority="120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08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0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9:I65">
    <cfRule type="colorScale" priority="120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9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0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0:I60">
    <cfRule type="colorScale" priority="118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1:I61">
    <cfRule type="colorScale" priority="118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2:I62">
    <cfRule type="colorScale" priority="118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3:I63">
    <cfRule type="colorScale" priority="118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4:I64">
    <cfRule type="colorScale" priority="118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5:I65">
    <cfRule type="colorScale" priority="118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9:I69">
    <cfRule type="colorScale" priority="120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0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10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8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0:I70">
    <cfRule type="colorScale" priority="118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0:I79">
    <cfRule type="colorScale" priority="121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1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1:I71">
    <cfRule type="colorScale" priority="118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2:I72">
    <cfRule type="colorScale" priority="118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3:I73">
    <cfRule type="colorScale" priority="118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4:I74">
    <cfRule type="colorScale" priority="118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5:I75">
    <cfRule type="colorScale" priority="118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6:I76">
    <cfRule type="colorScale" priority="118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7:I77">
    <cfRule type="colorScale" priority="118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8:I78">
    <cfRule type="colorScale" priority="118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9:I79">
    <cfRule type="colorScale" priority="118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3:I83">
    <cfRule type="colorScale" priority="121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1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1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5:I85">
    <cfRule type="colorScale" priority="118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7:I87">
    <cfRule type="colorScale" priority="118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8:I103">
    <cfRule type="colorScale" priority="123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3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04:I106">
    <cfRule type="colorScale" priority="121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7:I107">
    <cfRule type="colorScale" priority="121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8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1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08:I109 D84:I87">
    <cfRule type="colorScale" priority="121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1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09:I109">
    <cfRule type="colorScale" priority="10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13:I113">
    <cfRule type="colorScale" priority="121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1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4:I114">
    <cfRule type="colorScale" priority="118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14:I117">
    <cfRule type="colorScale" priority="121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1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15:I115">
    <cfRule type="colorScale" priority="119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16:I116">
    <cfRule type="colorScale" priority="119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17:I117">
    <cfRule type="colorScale" priority="118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1:I122">
    <cfRule type="colorScale" priority="121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9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1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9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9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2:I122">
    <cfRule type="colorScale" priority="119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5:I125">
    <cfRule type="colorScale" priority="119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0:I130">
    <cfRule type="colorScale" priority="118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31:I131">
    <cfRule type="colorScale" priority="119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33:I133">
    <cfRule type="colorScale" priority="118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:K4">
    <cfRule type="colorScale" priority="124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0:K30">
    <cfRule type="colorScale" priority="12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7:K37">
    <cfRule type="colorScale" priority="12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8:K103">
    <cfRule type="colorScale" priority="12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9:K89">
    <cfRule type="colorScale" priority="12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0:K90">
    <cfRule type="colorScale" priority="12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1:K91">
    <cfRule type="colorScale" priority="12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2:K92">
    <cfRule type="colorScale" priority="12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3:K94">
    <cfRule type="colorScale" priority="12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4:K94">
    <cfRule type="colorScale" priority="12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5:K95">
    <cfRule type="colorScale" priority="12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6:K96">
    <cfRule type="colorScale" priority="12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7:K97">
    <cfRule type="colorScale" priority="12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8:K98">
    <cfRule type="colorScale" priority="12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01:K101">
    <cfRule type="colorScale" priority="12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07:K107">
    <cfRule type="colorScale" priority="12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08:K108">
    <cfRule type="colorScale" priority="123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9:K129">
    <cfRule type="colorScale" priority="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33:K133">
    <cfRule type="colorScale" priority="2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8:L18">
    <cfRule type="colorScale" priority="6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9:N79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7:N87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1:Q91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35:Q135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:U3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:U4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U5">
    <cfRule type="colorScale" priority="3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:U6">
    <cfRule type="colorScale" priority="3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:U14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:U7">
    <cfRule type="colorScale" priority="3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:U8 U9">
    <cfRule type="colorScale" priority="3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:U9">
    <cfRule type="colorScale" priority="3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0:U10">
    <cfRule type="colorScale" priority="3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1:U11">
    <cfRule type="colorScale" priority="3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:U12">
    <cfRule type="colorScale" priority="3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3:U13">
    <cfRule type="colorScale" priority="3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4:U14">
    <cfRule type="colorScale" priority="3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6:U16 D56:U56 D67:U67 D81:U81 D111:U111 D119:U119 D135:U135">
    <cfRule type="colorScale" priority="125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6:U16">
    <cfRule type="colorScale" priority="125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8:U18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U19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0:U20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:U21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2:U22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3:U23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4:U24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:U25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6:U26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7:U27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8:U28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:U29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0:U30">
    <cfRule type="colorScale" priority="125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1:U31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2:U32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3:U33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4:U34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5:U35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6:U36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7:U37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8:U39">
    <cfRule type="colorScale" priority="125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9:U39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1:U41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:U42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3:U43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4:U44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4:U45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5:U45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5:U46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:U46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7:U47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8:U48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9:U49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:U50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1:U51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2:U52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3:U53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:U54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:U55">
    <cfRule type="colorScale" priority="126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5:U56">
    <cfRule type="colorScale" priority="126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6:U56 D119:U119 D127:U127">
    <cfRule type="colorScale" priority="127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6:U56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8:U58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9:U59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0:U60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1:U61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2:U62"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3:U63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4:U64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5:U65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6:U67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7:U67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9:U69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0:U70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1:U71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2:U72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3:U73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4:U74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5:U75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6:U76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7:U77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8:U78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9:U79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U81">
    <cfRule type="colorScale" priority="126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7:U87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8:U88">
    <cfRule type="colorScale" priority="12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9:U89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0:U90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1:U91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2:U92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3:U93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3:U94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4:U94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5:U95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6:U96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6:U97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7:U97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8:U98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01:U101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07:U107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10:U111">
    <cfRule type="colorScale" priority="3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11:U111 D135:U135">
    <cfRule type="colorScale" priority="126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11:U111">
    <cfRule type="colorScale" priority="126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13:U113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14:U114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15:U115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16:U116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17:U117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18:U119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19:U119">
    <cfRule type="colorScale" priority="127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1:U121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2:U122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3:U123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4:U124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7:U127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9:U129">
    <cfRule type="colorScale" priority="127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31:U13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32:U132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35:U135">
    <cfRule type="colorScale" priority="2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38:U138">
    <cfRule type="colorScale" priority="127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40:U140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40:U141">
    <cfRule type="colorScale" priority="127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41:U141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30:E131 D132:E132 D129:D131 F130:I132">
    <cfRule type="colorScale" priority="10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30:E131 D132:E133 D129:D131 F130:I133">
    <cfRule type="colorScale" priority="11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9:I129">
    <cfRule type="colorScale" priority="11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31:I131">
    <cfRule type="colorScale" priority="10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U3">
    <cfRule type="colorScale" priority="127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:U5">
    <cfRule type="colorScale" priority="127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8:U88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8:U108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U3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U5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:U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7:U7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:U4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7:U107">
    <cfRule type="colorScale" priority="127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99:U99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:U100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:U101">
    <cfRule type="colorScale" priority="127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:J14 D9:J9 J3:J8 J113:K117 J129:K133 J121:K123 J104:K108 J87:K87 J83:U86 J109:U109 J125:U125 J18:U37 J41:U54 J58:U65 J69:U79 K3:U14">
    <cfRule type="colorScale" priority="127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88:K103">
    <cfRule type="colorScale" priority="8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0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13:K117 J129:K133 J121:K123 J104:K108 J87:K87 J83:U86 J109:U109 J125:U125 J18:U37 J41:U54 J58:U65 J69:U79 D3:U14">
    <cfRule type="colorScale" priority="127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24:K124 D123:I124">
    <cfRule type="colorScale" priority="11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02:U102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3:U103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8:U108">
    <cfRule type="colorScale" priority="3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87:U108">
    <cfRule type="colorScale" priority="128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8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4:U104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5:U105">
    <cfRule type="colorScale" priority="128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13:U117">
    <cfRule type="colorScale" priority="128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21:U124">
    <cfRule type="colorScale" priority="128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29:U133">
    <cfRule type="colorScale" priority="128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05:M108 D104:M104 N104:U108">
    <cfRule type="colorScale" priority="128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05:U105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06:U106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2:V5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8:V6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9:V7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87:V108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13:V11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1:V12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9:V13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8:V3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:V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E104"/>
  <sheetViews>
    <sheetView workbookViewId="0">
      <selection activeCell="E1" sqref="E1"/>
    </sheetView>
  </sheetViews>
  <sheetFormatPr baseColWidth="10" defaultRowHeight="14.4" x14ac:dyDescent="0.3"/>
  <cols>
    <col min="1" max="1" width="6.5546875" customWidth="1"/>
    <col min="2" max="2" width="11.33203125" style="128" customWidth="1"/>
    <col min="3" max="3" width="12.88671875" style="128" customWidth="1"/>
    <col min="4" max="4" width="13.88671875" style="128" customWidth="1"/>
    <col min="5" max="5" width="18.33203125" style="128" customWidth="1"/>
  </cols>
  <sheetData>
    <row r="1" spans="2:5" x14ac:dyDescent="0.3">
      <c r="E1" s="128" t="s">
        <v>1093</v>
      </c>
    </row>
    <row r="2" spans="2:5" ht="60.6" customHeight="1" x14ac:dyDescent="0.3">
      <c r="B2" s="312" t="s">
        <v>1085</v>
      </c>
      <c r="C2" s="313" t="s">
        <v>1087</v>
      </c>
      <c r="D2" s="313" t="s">
        <v>1088</v>
      </c>
      <c r="E2" s="314" t="s">
        <v>1089</v>
      </c>
    </row>
    <row r="3" spans="2:5" x14ac:dyDescent="0.3">
      <c r="B3" s="315" t="s">
        <v>140</v>
      </c>
      <c r="C3" s="316">
        <v>6482</v>
      </c>
      <c r="D3" s="317">
        <v>14304</v>
      </c>
      <c r="E3" s="318">
        <v>45.31176036451923</v>
      </c>
    </row>
    <row r="4" spans="2:5" x14ac:dyDescent="0.3">
      <c r="B4" s="315" t="s">
        <v>306</v>
      </c>
      <c r="C4" s="316">
        <v>2420</v>
      </c>
      <c r="D4" s="317">
        <v>5422</v>
      </c>
      <c r="E4" s="318">
        <v>44.646533520877952</v>
      </c>
    </row>
    <row r="5" spans="2:5" x14ac:dyDescent="0.3">
      <c r="B5" s="315" t="s">
        <v>204</v>
      </c>
      <c r="C5" s="316">
        <v>4839</v>
      </c>
      <c r="D5" s="317">
        <v>10901</v>
      </c>
      <c r="E5" s="318">
        <v>44.38414408166544</v>
      </c>
    </row>
    <row r="6" spans="2:5" x14ac:dyDescent="0.3">
      <c r="B6" s="315" t="s">
        <v>7</v>
      </c>
      <c r="C6" s="316">
        <v>3846</v>
      </c>
      <c r="D6" s="317">
        <v>8729</v>
      </c>
      <c r="E6" s="318">
        <v>44.043689099183474</v>
      </c>
    </row>
    <row r="7" spans="2:5" x14ac:dyDescent="0.3">
      <c r="B7" s="315" t="s">
        <v>115</v>
      </c>
      <c r="C7" s="316">
        <v>3608</v>
      </c>
      <c r="D7" s="317">
        <v>8259</v>
      </c>
      <c r="E7" s="318">
        <v>43.696107960217155</v>
      </c>
    </row>
    <row r="8" spans="2:5" x14ac:dyDescent="0.3">
      <c r="B8" s="315" t="s">
        <v>207</v>
      </c>
      <c r="C8" s="316">
        <v>1388</v>
      </c>
      <c r="D8" s="317">
        <v>3196</v>
      </c>
      <c r="E8" s="318">
        <v>43.429286608260327</v>
      </c>
    </row>
    <row r="9" spans="2:5" x14ac:dyDescent="0.3">
      <c r="B9" s="315" t="s">
        <v>119</v>
      </c>
      <c r="C9" s="316">
        <v>6738</v>
      </c>
      <c r="D9" s="317">
        <v>15433</v>
      </c>
      <c r="E9" s="318">
        <v>43.405451031858924</v>
      </c>
    </row>
    <row r="10" spans="2:5" x14ac:dyDescent="0.3">
      <c r="B10" s="315" t="s">
        <v>287</v>
      </c>
      <c r="C10" s="316">
        <v>1270</v>
      </c>
      <c r="D10" s="317">
        <v>2934</v>
      </c>
      <c r="E10" s="318">
        <v>43.285616905248808</v>
      </c>
    </row>
    <row r="11" spans="2:5" x14ac:dyDescent="0.3">
      <c r="B11" s="315" t="s">
        <v>250</v>
      </c>
      <c r="C11" s="316">
        <v>1206</v>
      </c>
      <c r="D11" s="317">
        <v>2857</v>
      </c>
      <c r="E11" s="318">
        <v>42.212110605530277</v>
      </c>
    </row>
    <row r="12" spans="2:5" x14ac:dyDescent="0.3">
      <c r="B12" s="315" t="s">
        <v>167</v>
      </c>
      <c r="C12" s="316">
        <v>4399</v>
      </c>
      <c r="D12" s="317">
        <v>10545</v>
      </c>
      <c r="E12" s="318">
        <v>42.076566377021123</v>
      </c>
    </row>
    <row r="13" spans="2:5" x14ac:dyDescent="0.3">
      <c r="B13" s="315" t="s">
        <v>133</v>
      </c>
      <c r="C13" s="316">
        <v>4580</v>
      </c>
      <c r="D13" s="317">
        <v>10951</v>
      </c>
      <c r="E13" s="318">
        <v>41.829531577752654</v>
      </c>
    </row>
    <row r="14" spans="2:5" x14ac:dyDescent="0.3">
      <c r="B14" s="315" t="s">
        <v>209</v>
      </c>
      <c r="C14" s="316">
        <v>3508</v>
      </c>
      <c r="D14" s="317">
        <v>8405</v>
      </c>
      <c r="E14" s="318">
        <v>41.824330530923341</v>
      </c>
    </row>
    <row r="15" spans="2:5" x14ac:dyDescent="0.3">
      <c r="B15" s="315" t="s">
        <v>111</v>
      </c>
      <c r="C15" s="316">
        <v>6716</v>
      </c>
      <c r="D15" s="317">
        <v>16124</v>
      </c>
      <c r="E15" s="318">
        <v>41.736032543252477</v>
      </c>
    </row>
    <row r="16" spans="2:5" x14ac:dyDescent="0.3">
      <c r="B16" s="315" t="s">
        <v>191</v>
      </c>
      <c r="C16" s="316">
        <v>3396</v>
      </c>
      <c r="D16" s="317">
        <v>8224</v>
      </c>
      <c r="E16" s="318">
        <v>41.59408995524943</v>
      </c>
    </row>
    <row r="17" spans="2:5" x14ac:dyDescent="0.3">
      <c r="B17" s="315" t="s">
        <v>176</v>
      </c>
      <c r="C17" s="316">
        <v>3484</v>
      </c>
      <c r="D17" s="317">
        <v>8447</v>
      </c>
      <c r="E17" s="318">
        <v>41.526263586827604</v>
      </c>
    </row>
    <row r="18" spans="2:5" x14ac:dyDescent="0.3">
      <c r="B18" s="315" t="s">
        <v>129</v>
      </c>
      <c r="C18" s="316">
        <v>3590</v>
      </c>
      <c r="D18" s="317">
        <v>8691</v>
      </c>
      <c r="E18" s="318">
        <v>41.301242222409392</v>
      </c>
    </row>
    <row r="19" spans="2:5" x14ac:dyDescent="0.3">
      <c r="B19" s="315" t="s">
        <v>15</v>
      </c>
      <c r="C19" s="316">
        <v>7146</v>
      </c>
      <c r="D19" s="317">
        <v>17396</v>
      </c>
      <c r="E19" s="318">
        <v>41.290553292344001</v>
      </c>
    </row>
    <row r="20" spans="2:5" x14ac:dyDescent="0.3">
      <c r="B20" s="315" t="s">
        <v>8</v>
      </c>
      <c r="C20" s="316">
        <v>3385</v>
      </c>
      <c r="D20" s="317">
        <v>8218</v>
      </c>
      <c r="E20" s="318">
        <v>41.210929581630175</v>
      </c>
    </row>
    <row r="21" spans="2:5" x14ac:dyDescent="0.3">
      <c r="B21" s="315" t="s">
        <v>132</v>
      </c>
      <c r="C21" s="316">
        <v>6546</v>
      </c>
      <c r="D21" s="317">
        <v>16070</v>
      </c>
      <c r="E21" s="318">
        <v>41.114557063239637</v>
      </c>
    </row>
    <row r="22" spans="2:5" x14ac:dyDescent="0.3">
      <c r="B22" s="315" t="s">
        <v>112</v>
      </c>
      <c r="C22" s="316">
        <v>5637</v>
      </c>
      <c r="D22" s="317">
        <v>13570</v>
      </c>
      <c r="E22" s="318">
        <v>41.106049889549439</v>
      </c>
    </row>
    <row r="23" spans="2:5" x14ac:dyDescent="0.3">
      <c r="B23" s="315" t="s">
        <v>302</v>
      </c>
      <c r="C23" s="316">
        <v>3596</v>
      </c>
      <c r="D23" s="317">
        <v>8762</v>
      </c>
      <c r="E23" s="318">
        <v>41.041553216688015</v>
      </c>
    </row>
    <row r="24" spans="2:5" x14ac:dyDescent="0.3">
      <c r="B24" s="315" t="s">
        <v>1095</v>
      </c>
      <c r="C24" s="316">
        <v>1524</v>
      </c>
      <c r="D24" s="317">
        <v>3718</v>
      </c>
      <c r="E24" s="318">
        <v>40.989779451317915</v>
      </c>
    </row>
    <row r="25" spans="2:5" x14ac:dyDescent="0.3">
      <c r="B25" s="315" t="s">
        <v>251</v>
      </c>
      <c r="C25" s="316">
        <v>4643</v>
      </c>
      <c r="D25" s="317">
        <v>11338</v>
      </c>
      <c r="E25" s="318">
        <v>40.961610517195766</v>
      </c>
    </row>
    <row r="26" spans="2:5" x14ac:dyDescent="0.3">
      <c r="B26" s="315" t="s">
        <v>180</v>
      </c>
      <c r="C26" s="316">
        <v>3537</v>
      </c>
      <c r="D26" s="317">
        <v>8637</v>
      </c>
      <c r="E26" s="318">
        <v>40.939685458971503</v>
      </c>
    </row>
    <row r="27" spans="2:5" x14ac:dyDescent="0.3">
      <c r="B27" s="315" t="s">
        <v>182</v>
      </c>
      <c r="C27" s="316">
        <v>7122</v>
      </c>
      <c r="D27" s="317">
        <v>17407</v>
      </c>
      <c r="E27" s="318">
        <v>40.934965670121265</v>
      </c>
    </row>
    <row r="28" spans="2:5" x14ac:dyDescent="0.3">
      <c r="B28" s="315" t="s">
        <v>137</v>
      </c>
      <c r="C28" s="316">
        <v>6882</v>
      </c>
      <c r="D28" s="317">
        <v>16850</v>
      </c>
      <c r="E28" s="318">
        <v>40.865182166004658</v>
      </c>
    </row>
    <row r="29" spans="2:5" x14ac:dyDescent="0.3">
      <c r="B29" s="315" t="s">
        <v>120</v>
      </c>
      <c r="C29" s="316">
        <v>6372</v>
      </c>
      <c r="D29" s="317">
        <v>15561</v>
      </c>
      <c r="E29" s="318">
        <v>40.857685698523625</v>
      </c>
    </row>
    <row r="30" spans="2:5" x14ac:dyDescent="0.3">
      <c r="B30" s="315" t="s">
        <v>138</v>
      </c>
      <c r="C30" s="316">
        <v>8088</v>
      </c>
      <c r="D30" s="317">
        <v>19921</v>
      </c>
      <c r="E30" s="318">
        <v>40.82365788185016</v>
      </c>
    </row>
    <row r="31" spans="2:5" x14ac:dyDescent="0.3">
      <c r="B31" s="315" t="s">
        <v>135</v>
      </c>
      <c r="C31" s="316">
        <v>7018</v>
      </c>
      <c r="D31" s="317">
        <v>17195</v>
      </c>
      <c r="E31" s="318">
        <v>40.812503866359954</v>
      </c>
    </row>
    <row r="32" spans="2:5" x14ac:dyDescent="0.3">
      <c r="B32" s="315" t="s">
        <v>259</v>
      </c>
      <c r="C32" s="316">
        <v>6072</v>
      </c>
      <c r="D32" s="317">
        <v>14865</v>
      </c>
      <c r="E32" s="318">
        <v>40.665205348321543</v>
      </c>
    </row>
    <row r="33" spans="2:5" x14ac:dyDescent="0.3">
      <c r="B33" s="315" t="s">
        <v>261</v>
      </c>
      <c r="C33" s="316">
        <v>5811</v>
      </c>
      <c r="D33" s="317">
        <v>14321</v>
      </c>
      <c r="E33" s="318">
        <v>40.585761007270818</v>
      </c>
    </row>
    <row r="34" spans="2:5" x14ac:dyDescent="0.3">
      <c r="B34" s="315" t="s">
        <v>184</v>
      </c>
      <c r="C34" s="316">
        <v>5268</v>
      </c>
      <c r="D34" s="317">
        <v>13049</v>
      </c>
      <c r="E34" s="318">
        <v>40.560239324911663</v>
      </c>
    </row>
    <row r="35" spans="2:5" x14ac:dyDescent="0.3">
      <c r="B35" s="315" t="s">
        <v>1092</v>
      </c>
      <c r="C35" s="316">
        <v>5783</v>
      </c>
      <c r="D35" s="317">
        <v>14348</v>
      </c>
      <c r="E35" s="318">
        <v>40.315384624535156</v>
      </c>
    </row>
    <row r="36" spans="2:5" x14ac:dyDescent="0.3">
      <c r="B36" s="315" t="s">
        <v>122</v>
      </c>
      <c r="C36" s="316">
        <v>5176</v>
      </c>
      <c r="D36" s="317">
        <v>13109</v>
      </c>
      <c r="E36" s="318">
        <v>40.304685199584938</v>
      </c>
    </row>
    <row r="37" spans="2:5" x14ac:dyDescent="0.3">
      <c r="B37" s="315" t="s">
        <v>178</v>
      </c>
      <c r="C37" s="316">
        <v>5334</v>
      </c>
      <c r="D37" s="317">
        <v>10068</v>
      </c>
      <c r="E37" s="318">
        <v>40.130000000000003</v>
      </c>
    </row>
    <row r="38" spans="2:5" x14ac:dyDescent="0.3">
      <c r="B38" s="315" t="s">
        <v>282</v>
      </c>
      <c r="C38" s="316">
        <v>6874</v>
      </c>
      <c r="D38" s="317">
        <v>17134</v>
      </c>
      <c r="E38" s="318">
        <v>40.106646249722282</v>
      </c>
    </row>
    <row r="39" spans="2:5" x14ac:dyDescent="0.3">
      <c r="B39" s="315" t="s">
        <v>193</v>
      </c>
      <c r="C39" s="316">
        <v>3427</v>
      </c>
      <c r="D39" s="317">
        <v>8531</v>
      </c>
      <c r="E39" s="318">
        <v>40.09099209034958</v>
      </c>
    </row>
    <row r="40" spans="2:5" x14ac:dyDescent="0.3">
      <c r="B40" s="315" t="s">
        <v>1094</v>
      </c>
      <c r="C40" s="316">
        <v>3551</v>
      </c>
      <c r="D40" s="317">
        <v>8771</v>
      </c>
      <c r="E40" s="318">
        <v>40.004035417622724</v>
      </c>
    </row>
    <row r="41" spans="2:5" x14ac:dyDescent="0.3">
      <c r="B41" s="315" t="s">
        <v>123</v>
      </c>
      <c r="C41" s="316">
        <v>8568</v>
      </c>
      <c r="D41" s="317">
        <v>21498</v>
      </c>
      <c r="E41" s="318">
        <v>39.835136228008359</v>
      </c>
    </row>
    <row r="42" spans="2:5" x14ac:dyDescent="0.3">
      <c r="B42" s="315" t="s">
        <v>220</v>
      </c>
      <c r="C42" s="316">
        <v>7064</v>
      </c>
      <c r="D42" s="317">
        <v>17782</v>
      </c>
      <c r="E42" s="318">
        <v>39.722993370308131</v>
      </c>
    </row>
    <row r="43" spans="2:5" x14ac:dyDescent="0.3">
      <c r="B43" s="315" t="s">
        <v>768</v>
      </c>
      <c r="C43" s="316">
        <v>5781</v>
      </c>
      <c r="D43" s="317">
        <v>14613</v>
      </c>
      <c r="E43" s="318">
        <v>39.670319841393471</v>
      </c>
    </row>
    <row r="44" spans="2:5" x14ac:dyDescent="0.3">
      <c r="B44" s="315" t="s">
        <v>218</v>
      </c>
      <c r="C44" s="316">
        <v>4876</v>
      </c>
      <c r="D44" s="317">
        <v>12332</v>
      </c>
      <c r="E44" s="318">
        <v>39.575971644759051</v>
      </c>
    </row>
    <row r="45" spans="2:5" x14ac:dyDescent="0.3">
      <c r="B45" s="315" t="s">
        <v>214</v>
      </c>
      <c r="C45" s="316">
        <v>5529</v>
      </c>
      <c r="D45" s="317">
        <v>13921</v>
      </c>
      <c r="E45" s="318">
        <v>39.568768452166033</v>
      </c>
    </row>
    <row r="46" spans="2:5" x14ac:dyDescent="0.3">
      <c r="B46" s="315" t="s">
        <v>308</v>
      </c>
      <c r="C46" s="316">
        <v>5544</v>
      </c>
      <c r="D46" s="317">
        <v>14028</v>
      </c>
      <c r="E46" s="318">
        <v>39.522056241770777</v>
      </c>
    </row>
    <row r="47" spans="2:5" x14ac:dyDescent="0.3">
      <c r="B47" s="315" t="s">
        <v>134</v>
      </c>
      <c r="C47" s="316">
        <v>5920</v>
      </c>
      <c r="D47" s="317">
        <v>15125</v>
      </c>
      <c r="E47" s="318">
        <v>39.438865536984387</v>
      </c>
    </row>
    <row r="48" spans="2:5" x14ac:dyDescent="0.3">
      <c r="B48" s="315" t="s">
        <v>255</v>
      </c>
      <c r="C48" s="316">
        <v>4471</v>
      </c>
      <c r="D48" s="317">
        <v>11351</v>
      </c>
      <c r="E48" s="318">
        <v>39.427816945869431</v>
      </c>
    </row>
    <row r="49" spans="2:5" x14ac:dyDescent="0.3">
      <c r="B49" s="315" t="s">
        <v>109</v>
      </c>
      <c r="C49" s="316">
        <v>5278</v>
      </c>
      <c r="D49" s="317">
        <v>13349</v>
      </c>
      <c r="E49" s="318">
        <v>39.354739993025007</v>
      </c>
    </row>
    <row r="50" spans="2:5" x14ac:dyDescent="0.3">
      <c r="B50" s="315" t="s">
        <v>189</v>
      </c>
      <c r="C50" s="316">
        <v>4527</v>
      </c>
      <c r="D50" s="317">
        <v>11531</v>
      </c>
      <c r="E50" s="318">
        <v>39.27366206768383</v>
      </c>
    </row>
    <row r="51" spans="2:5" x14ac:dyDescent="0.3">
      <c r="B51" s="315" t="s">
        <v>128</v>
      </c>
      <c r="C51" s="316">
        <v>6368</v>
      </c>
      <c r="D51" s="317">
        <v>16360</v>
      </c>
      <c r="E51" s="318">
        <v>39.257086558231478</v>
      </c>
    </row>
    <row r="52" spans="2:5" x14ac:dyDescent="0.3">
      <c r="B52" s="315" t="s">
        <v>192</v>
      </c>
      <c r="C52" s="316">
        <v>6569</v>
      </c>
      <c r="D52" s="317">
        <v>16868</v>
      </c>
      <c r="E52" s="318">
        <v>39.223600024280195</v>
      </c>
    </row>
    <row r="53" spans="2:5" x14ac:dyDescent="0.3">
      <c r="B53" s="315" t="s">
        <v>121</v>
      </c>
      <c r="C53" s="316">
        <v>5532</v>
      </c>
      <c r="D53" s="317">
        <v>14115</v>
      </c>
      <c r="E53" s="318">
        <v>39.20829894913993</v>
      </c>
    </row>
    <row r="54" spans="2:5" x14ac:dyDescent="0.3">
      <c r="B54" s="315" t="s">
        <v>195</v>
      </c>
      <c r="C54" s="316">
        <v>6640</v>
      </c>
      <c r="D54" s="317">
        <v>17018</v>
      </c>
      <c r="E54" s="318">
        <v>39.015694330560883</v>
      </c>
    </row>
    <row r="55" spans="2:5" x14ac:dyDescent="0.3">
      <c r="B55" s="315" t="s">
        <v>110</v>
      </c>
      <c r="C55" s="316">
        <v>3347</v>
      </c>
      <c r="D55" s="317">
        <v>8593</v>
      </c>
      <c r="E55" s="318">
        <v>38.95202745065464</v>
      </c>
    </row>
    <row r="56" spans="2:5" x14ac:dyDescent="0.3">
      <c r="B56" s="315" t="s">
        <v>11</v>
      </c>
      <c r="C56" s="316">
        <v>3451</v>
      </c>
      <c r="D56" s="317">
        <v>8717</v>
      </c>
      <c r="E56" s="318">
        <v>38.620814042218896</v>
      </c>
    </row>
    <row r="57" spans="2:5" x14ac:dyDescent="0.3">
      <c r="B57" s="315" t="s">
        <v>187</v>
      </c>
      <c r="C57" s="316">
        <v>5340</v>
      </c>
      <c r="D57" s="317">
        <v>13911</v>
      </c>
      <c r="E57" s="318">
        <v>38.372085992747643</v>
      </c>
    </row>
    <row r="58" spans="2:5" x14ac:dyDescent="0.3">
      <c r="B58" s="315" t="s">
        <v>23</v>
      </c>
      <c r="C58" s="316">
        <v>5327</v>
      </c>
      <c r="D58" s="317">
        <v>13913</v>
      </c>
      <c r="E58" s="318">
        <v>38.223352043392765</v>
      </c>
    </row>
    <row r="59" spans="2:5" x14ac:dyDescent="0.3">
      <c r="B59" s="315" t="s">
        <v>522</v>
      </c>
      <c r="C59" s="316">
        <v>6437</v>
      </c>
      <c r="D59" s="317">
        <v>16839</v>
      </c>
      <c r="E59" s="318">
        <v>38.215503015119147</v>
      </c>
    </row>
    <row r="60" spans="2:5" x14ac:dyDescent="0.3">
      <c r="B60" s="315" t="s">
        <v>222</v>
      </c>
      <c r="C60" s="316">
        <v>6121</v>
      </c>
      <c r="D60" s="317">
        <v>16084</v>
      </c>
      <c r="E60" s="318">
        <v>38.161674815798911</v>
      </c>
    </row>
    <row r="61" spans="2:5" x14ac:dyDescent="0.3">
      <c r="B61" s="315" t="s">
        <v>131</v>
      </c>
      <c r="C61" s="316">
        <v>6587</v>
      </c>
      <c r="D61" s="317">
        <v>17287</v>
      </c>
      <c r="E61" s="318">
        <v>37.982944930783482</v>
      </c>
    </row>
    <row r="62" spans="2:5" x14ac:dyDescent="0.3">
      <c r="B62" s="315" t="s">
        <v>313</v>
      </c>
      <c r="C62" s="316">
        <v>1004</v>
      </c>
      <c r="D62" s="317">
        <v>2648</v>
      </c>
      <c r="E62" s="318">
        <v>37.915407854984892</v>
      </c>
    </row>
    <row r="63" spans="2:5" x14ac:dyDescent="0.3">
      <c r="B63" s="315" t="s">
        <v>113</v>
      </c>
      <c r="C63" s="316">
        <v>4352</v>
      </c>
      <c r="D63" s="317">
        <v>11495</v>
      </c>
      <c r="E63" s="318">
        <v>37.876281600051378</v>
      </c>
    </row>
    <row r="64" spans="2:5" x14ac:dyDescent="0.3">
      <c r="B64" s="315" t="s">
        <v>305</v>
      </c>
      <c r="C64" s="316">
        <v>7492</v>
      </c>
      <c r="D64" s="317">
        <v>19812</v>
      </c>
      <c r="E64" s="318">
        <v>37.822000255850547</v>
      </c>
    </row>
    <row r="65" spans="2:5" x14ac:dyDescent="0.3">
      <c r="B65" s="315" t="s">
        <v>199</v>
      </c>
      <c r="C65" s="316">
        <v>3540</v>
      </c>
      <c r="D65" s="317">
        <v>9384</v>
      </c>
      <c r="E65" s="318">
        <v>37.65910293018085</v>
      </c>
    </row>
    <row r="66" spans="2:5" x14ac:dyDescent="0.3">
      <c r="B66" s="315" t="s">
        <v>1090</v>
      </c>
      <c r="C66" s="316">
        <v>7445</v>
      </c>
      <c r="D66" s="317">
        <v>19794</v>
      </c>
      <c r="E66" s="318">
        <v>37.606829487728255</v>
      </c>
    </row>
    <row r="67" spans="2:5" x14ac:dyDescent="0.3">
      <c r="B67" s="315" t="s">
        <v>130</v>
      </c>
      <c r="C67" s="316">
        <v>1194</v>
      </c>
      <c r="D67" s="317">
        <v>3191</v>
      </c>
      <c r="E67" s="318">
        <v>37.417737386399246</v>
      </c>
    </row>
    <row r="68" spans="2:5" x14ac:dyDescent="0.3">
      <c r="B68" s="315" t="s">
        <v>117</v>
      </c>
      <c r="C68" s="316">
        <v>3587</v>
      </c>
      <c r="D68" s="317">
        <v>9653</v>
      </c>
      <c r="E68" s="318">
        <v>37.339567842171306</v>
      </c>
    </row>
    <row r="69" spans="2:5" x14ac:dyDescent="0.3">
      <c r="B69" s="315" t="s">
        <v>754</v>
      </c>
      <c r="C69" s="316">
        <v>5886</v>
      </c>
      <c r="D69" s="317">
        <v>15786</v>
      </c>
      <c r="E69" s="318">
        <v>37.300520091304286</v>
      </c>
    </row>
    <row r="70" spans="2:5" x14ac:dyDescent="0.3">
      <c r="B70" s="315" t="s">
        <v>424</v>
      </c>
      <c r="C70" s="316">
        <v>8659</v>
      </c>
      <c r="D70" s="317">
        <v>23449</v>
      </c>
      <c r="E70" s="318">
        <v>37.107575209744589</v>
      </c>
    </row>
    <row r="71" spans="2:5" x14ac:dyDescent="0.3">
      <c r="B71" s="315" t="s">
        <v>540</v>
      </c>
      <c r="C71" s="316">
        <v>5811</v>
      </c>
      <c r="D71" s="317">
        <v>15892</v>
      </c>
      <c r="E71" s="318">
        <v>36.853715665842117</v>
      </c>
    </row>
    <row r="72" spans="2:5" x14ac:dyDescent="0.3">
      <c r="B72" s="315" t="s">
        <v>126</v>
      </c>
      <c r="C72" s="316">
        <v>5663</v>
      </c>
      <c r="D72" s="317">
        <v>15425</v>
      </c>
      <c r="E72" s="318">
        <v>36.684782293106487</v>
      </c>
    </row>
    <row r="73" spans="2:5" x14ac:dyDescent="0.3">
      <c r="B73" s="315" t="s">
        <v>124</v>
      </c>
      <c r="C73" s="316">
        <v>8594</v>
      </c>
      <c r="D73" s="317">
        <v>23540</v>
      </c>
      <c r="E73" s="318">
        <v>36.659329148462163</v>
      </c>
    </row>
    <row r="74" spans="2:5" x14ac:dyDescent="0.3">
      <c r="B74" s="315" t="s">
        <v>125</v>
      </c>
      <c r="C74" s="316">
        <v>1956</v>
      </c>
      <c r="D74" s="317">
        <v>5355</v>
      </c>
      <c r="E74" s="318">
        <v>36.543922685227031</v>
      </c>
    </row>
    <row r="75" spans="2:5" x14ac:dyDescent="0.3">
      <c r="B75" s="315" t="s">
        <v>440</v>
      </c>
      <c r="C75" s="316">
        <v>5481</v>
      </c>
      <c r="D75" s="317">
        <v>15020</v>
      </c>
      <c r="E75" s="318">
        <v>36.449691340548256</v>
      </c>
    </row>
    <row r="76" spans="2:5" x14ac:dyDescent="0.3">
      <c r="B76" s="319" t="s">
        <v>433</v>
      </c>
      <c r="C76" s="320">
        <v>4318</v>
      </c>
      <c r="D76" s="321">
        <v>11985</v>
      </c>
      <c r="E76" s="322">
        <v>36.183183647328846</v>
      </c>
    </row>
    <row r="77" spans="2:5" x14ac:dyDescent="0.3">
      <c r="B77" s="317" t="s">
        <v>427</v>
      </c>
      <c r="C77" s="316">
        <v>6303</v>
      </c>
      <c r="D77" s="317">
        <v>17532</v>
      </c>
      <c r="E77" s="316">
        <v>35.999589878163441</v>
      </c>
    </row>
    <row r="78" spans="2:5" x14ac:dyDescent="0.3">
      <c r="B78" s="317" t="s">
        <v>1091</v>
      </c>
      <c r="C78" s="316">
        <v>5444</v>
      </c>
      <c r="D78" s="317">
        <v>15237</v>
      </c>
      <c r="E78" s="316">
        <v>35.638892421869663</v>
      </c>
    </row>
    <row r="79" spans="2:5" x14ac:dyDescent="0.3">
      <c r="B79" s="317" t="s">
        <v>422</v>
      </c>
      <c r="C79" s="316">
        <v>4537</v>
      </c>
      <c r="D79" s="317">
        <v>12903</v>
      </c>
      <c r="E79" s="316">
        <v>34.986624073006844</v>
      </c>
    </row>
    <row r="80" spans="2:5" x14ac:dyDescent="0.3">
      <c r="B80" s="317" t="s">
        <v>748</v>
      </c>
      <c r="C80" s="316">
        <v>3992</v>
      </c>
      <c r="D80" s="317">
        <v>11435</v>
      </c>
      <c r="E80" s="316">
        <v>34.87396707731962</v>
      </c>
    </row>
    <row r="81" spans="2:5" x14ac:dyDescent="0.3">
      <c r="B81" s="317" t="s">
        <v>581</v>
      </c>
      <c r="C81" s="316">
        <v>6831</v>
      </c>
      <c r="D81" s="317">
        <v>19816</v>
      </c>
      <c r="E81" s="316">
        <v>34.661824460956993</v>
      </c>
    </row>
    <row r="82" spans="2:5" x14ac:dyDescent="0.3">
      <c r="B82" s="317" t="s">
        <v>519</v>
      </c>
      <c r="C82" s="316">
        <v>3909</v>
      </c>
      <c r="D82" s="317">
        <v>11386</v>
      </c>
      <c r="E82" s="316">
        <v>34.423022862370878</v>
      </c>
    </row>
    <row r="83" spans="2:5" x14ac:dyDescent="0.3">
      <c r="B83" s="317" t="s">
        <v>438</v>
      </c>
      <c r="C83" s="316">
        <v>3932</v>
      </c>
      <c r="D83" s="317">
        <v>11487</v>
      </c>
      <c r="E83" s="316">
        <v>34.222382085042113</v>
      </c>
    </row>
    <row r="84" spans="2:5" x14ac:dyDescent="0.3">
      <c r="B84" s="317" t="s">
        <v>239</v>
      </c>
      <c r="C84" s="316"/>
      <c r="D84" s="317"/>
      <c r="E84" s="316"/>
    </row>
    <row r="85" spans="2:5" x14ac:dyDescent="0.3">
      <c r="B85" s="317" t="s">
        <v>243</v>
      </c>
      <c r="C85" s="316"/>
      <c r="D85" s="317"/>
      <c r="E85" s="316"/>
    </row>
    <row r="86" spans="2:5" x14ac:dyDescent="0.3">
      <c r="B86" s="317" t="s">
        <v>233</v>
      </c>
      <c r="C86" s="316"/>
      <c r="D86" s="317"/>
      <c r="E86" s="316"/>
    </row>
    <row r="87" spans="2:5" x14ac:dyDescent="0.3">
      <c r="B87" s="317" t="s">
        <v>573</v>
      </c>
      <c r="C87" s="316"/>
      <c r="D87" s="317"/>
      <c r="E87" s="316"/>
    </row>
    <row r="88" spans="2:5" x14ac:dyDescent="0.3">
      <c r="B88" s="317" t="s">
        <v>648</v>
      </c>
      <c r="C88" s="316"/>
      <c r="D88" s="317"/>
      <c r="E88" s="316"/>
    </row>
    <row r="89" spans="2:5" x14ac:dyDescent="0.3">
      <c r="B89" s="317" t="s">
        <v>289</v>
      </c>
      <c r="C89" s="316"/>
      <c r="D89" s="317"/>
      <c r="E89" s="316"/>
    </row>
    <row r="90" spans="2:5" x14ac:dyDescent="0.3">
      <c r="B90" s="317" t="s">
        <v>689</v>
      </c>
      <c r="C90" s="316"/>
      <c r="D90" s="317"/>
      <c r="E90" s="316"/>
    </row>
    <row r="91" spans="2:5" x14ac:dyDescent="0.3">
      <c r="B91" s="317" t="s">
        <v>720</v>
      </c>
      <c r="C91" s="316"/>
      <c r="D91" s="317"/>
      <c r="E91" s="316"/>
    </row>
    <row r="92" spans="2:5" x14ac:dyDescent="0.3">
      <c r="B92" s="317" t="s">
        <v>671</v>
      </c>
      <c r="C92" s="316"/>
      <c r="D92" s="317"/>
      <c r="E92" s="316"/>
    </row>
    <row r="93" spans="2:5" x14ac:dyDescent="0.3">
      <c r="B93" s="317" t="s">
        <v>247</v>
      </c>
      <c r="C93" s="316"/>
      <c r="D93" s="317"/>
      <c r="E93" s="316"/>
    </row>
    <row r="94" spans="2:5" x14ac:dyDescent="0.3">
      <c r="B94" s="317" t="s">
        <v>750</v>
      </c>
      <c r="C94" s="316"/>
      <c r="D94" s="317"/>
      <c r="E94" s="316"/>
    </row>
    <row r="95" spans="2:5" x14ac:dyDescent="0.3">
      <c r="B95" s="317" t="s">
        <v>763</v>
      </c>
      <c r="C95" s="316"/>
      <c r="D95" s="317"/>
      <c r="E95" s="316"/>
    </row>
    <row r="96" spans="2:5" x14ac:dyDescent="0.3">
      <c r="B96" s="317" t="s">
        <v>529</v>
      </c>
      <c r="C96" s="316"/>
      <c r="D96" s="317"/>
      <c r="E96" s="316"/>
    </row>
    <row r="97" spans="2:5" x14ac:dyDescent="0.3">
      <c r="B97" s="317" t="s">
        <v>727</v>
      </c>
      <c r="C97" s="316"/>
      <c r="D97" s="317"/>
      <c r="E97" s="316"/>
    </row>
    <row r="98" spans="2:5" x14ac:dyDescent="0.3">
      <c r="B98" s="317" t="s">
        <v>509</v>
      </c>
      <c r="C98" s="316"/>
      <c r="D98" s="317"/>
      <c r="E98" s="316"/>
    </row>
    <row r="99" spans="2:5" x14ac:dyDescent="0.3">
      <c r="B99" s="317" t="s">
        <v>411</v>
      </c>
      <c r="C99" s="316"/>
      <c r="D99" s="317"/>
      <c r="E99" s="316"/>
    </row>
    <row r="100" spans="2:5" x14ac:dyDescent="0.3">
      <c r="B100" s="317" t="s">
        <v>699</v>
      </c>
      <c r="C100" s="316"/>
      <c r="D100" s="317"/>
      <c r="E100" s="316"/>
    </row>
    <row r="101" spans="2:5" x14ac:dyDescent="0.3">
      <c r="B101" s="317" t="s">
        <v>626</v>
      </c>
      <c r="C101" s="316"/>
      <c r="D101" s="317"/>
      <c r="E101" s="316"/>
    </row>
    <row r="102" spans="2:5" x14ac:dyDescent="0.3">
      <c r="B102" s="317" t="s">
        <v>290</v>
      </c>
      <c r="C102" s="316"/>
      <c r="D102" s="317"/>
      <c r="E102" s="316"/>
    </row>
    <row r="103" spans="2:5" x14ac:dyDescent="0.3">
      <c r="B103" s="317" t="s">
        <v>718</v>
      </c>
      <c r="C103" s="316"/>
      <c r="D103" s="317"/>
      <c r="E103" s="316"/>
    </row>
    <row r="104" spans="2:5" x14ac:dyDescent="0.3">
      <c r="B104" s="315" t="s">
        <v>1086</v>
      </c>
      <c r="C104" s="316">
        <v>409469</v>
      </c>
      <c r="D104" s="317">
        <v>1039721</v>
      </c>
      <c r="E104" s="318" t="e">
        <v>#DIV/0!</v>
      </c>
    </row>
  </sheetData>
  <conditionalFormatting sqref="E3:E10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>
    <pageSetUpPr fitToPage="1"/>
  </sheetPr>
  <dimension ref="A1:T10677"/>
  <sheetViews>
    <sheetView zoomScale="91" zoomScaleNormal="91" workbookViewId="0">
      <pane xSplit="8" ySplit="1" topLeftCell="I2" activePane="bottomRight" state="frozen"/>
      <selection pane="topRight" activeCell="F1" sqref="F1"/>
      <selection pane="bottomLeft" activeCell="A6" sqref="A6"/>
      <selection pane="bottomRight" activeCell="D9675" sqref="D9675"/>
    </sheetView>
  </sheetViews>
  <sheetFormatPr baseColWidth="10" defaultColWidth="11.5546875" defaultRowHeight="14.4" x14ac:dyDescent="0.3"/>
  <cols>
    <col min="1" max="1" width="6.6640625" style="2" customWidth="1"/>
    <col min="2" max="2" width="33.44140625" style="3" bestFit="1" customWidth="1"/>
    <col min="3" max="3" width="12.109375" style="3" bestFit="1" customWidth="1"/>
    <col min="4" max="4" width="9.6640625" style="3" customWidth="1"/>
    <col min="5" max="5" width="15.6640625" style="3" customWidth="1"/>
    <col min="6" max="6" width="35.88671875" style="3" bestFit="1" customWidth="1"/>
    <col min="7" max="7" width="25.88671875" style="3" customWidth="1"/>
    <col min="8" max="8" width="10.88671875" style="3" customWidth="1"/>
    <col min="9" max="9" width="9.88671875" style="258" customWidth="1"/>
    <col min="10" max="10" width="13" style="3" customWidth="1"/>
    <col min="11" max="11" width="13" style="259" customWidth="1"/>
    <col min="12" max="12" width="10.5546875" style="2" customWidth="1"/>
    <col min="13" max="13" width="21.44140625" style="4" customWidth="1"/>
    <col min="15" max="15" width="24.88671875" bestFit="1" customWidth="1"/>
    <col min="16" max="16" width="8" bestFit="1" customWidth="1"/>
    <col min="17" max="17" width="14.5546875" customWidth="1"/>
    <col min="18" max="18" width="14.88671875" bestFit="1" customWidth="1"/>
    <col min="19" max="19" width="22.44140625" style="3" bestFit="1" customWidth="1"/>
    <col min="20" max="20" width="24.6640625" style="2" customWidth="1"/>
    <col min="21" max="16384" width="11.5546875" style="2"/>
  </cols>
  <sheetData>
    <row r="1" spans="2:20" s="1" customFormat="1" ht="46.2" customHeight="1" thickBot="1" x14ac:dyDescent="0.35">
      <c r="B1" s="5" t="s">
        <v>3</v>
      </c>
      <c r="C1" s="62" t="s">
        <v>4</v>
      </c>
      <c r="D1" s="63" t="s">
        <v>162</v>
      </c>
      <c r="E1" s="64" t="s">
        <v>5</v>
      </c>
      <c r="F1" s="63" t="s">
        <v>22</v>
      </c>
      <c r="G1" s="63" t="s">
        <v>164</v>
      </c>
      <c r="H1" s="63" t="s">
        <v>0</v>
      </c>
      <c r="I1" s="282" t="s">
        <v>6</v>
      </c>
      <c r="J1" s="58" t="s">
        <v>1</v>
      </c>
      <c r="K1" s="286" t="s">
        <v>579</v>
      </c>
      <c r="L1" s="309" t="s">
        <v>771</v>
      </c>
      <c r="M1" s="6" t="s">
        <v>2</v>
      </c>
    </row>
    <row r="2" spans="2:20" ht="15" hidden="1" customHeight="1" x14ac:dyDescent="0.3">
      <c r="B2" s="44" t="s">
        <v>219</v>
      </c>
      <c r="C2" s="59">
        <v>44680</v>
      </c>
      <c r="D2" s="60">
        <v>0.80743055555555554</v>
      </c>
      <c r="E2" s="44" t="s">
        <v>580</v>
      </c>
      <c r="F2" s="44" t="s">
        <v>446</v>
      </c>
      <c r="G2" s="44" t="s">
        <v>402</v>
      </c>
      <c r="H2" s="44" t="s">
        <v>17</v>
      </c>
      <c r="I2" s="44">
        <v>208.19</v>
      </c>
      <c r="J2" s="30">
        <v>0</v>
      </c>
      <c r="K2" s="92">
        <f>+L2-J2</f>
        <v>1241.58</v>
      </c>
      <c r="L2" s="34">
        <v>1241.58</v>
      </c>
      <c r="M2" s="61">
        <f>I2/K2*100</f>
        <v>16.768150260152385</v>
      </c>
      <c r="O2" s="14" t="s">
        <v>84</v>
      </c>
      <c r="P2" s="82"/>
      <c r="Q2" s="8" t="s">
        <v>30</v>
      </c>
      <c r="R2" s="16" t="s">
        <v>147</v>
      </c>
      <c r="S2" s="13"/>
      <c r="T2"/>
    </row>
    <row r="3" spans="2:20" ht="15" hidden="1" customHeight="1" x14ac:dyDescent="0.3">
      <c r="B3" s="8" t="s">
        <v>356</v>
      </c>
      <c r="C3" s="21">
        <v>44680</v>
      </c>
      <c r="D3" s="22">
        <v>0.4521296296296296</v>
      </c>
      <c r="E3" s="8" t="s">
        <v>580</v>
      </c>
      <c r="F3" s="8" t="s">
        <v>428</v>
      </c>
      <c r="G3" s="8" t="s">
        <v>429</v>
      </c>
      <c r="H3" s="8" t="s">
        <v>302</v>
      </c>
      <c r="I3" s="8">
        <f>135.08+161.03</f>
        <v>296.11</v>
      </c>
      <c r="J3" s="53">
        <v>0</v>
      </c>
      <c r="K3" s="89">
        <f>+L3-J3</f>
        <v>902</v>
      </c>
      <c r="L3" s="113">
        <v>902</v>
      </c>
      <c r="M3" s="10">
        <f>I3/L3*100</f>
        <v>32.828159645232816</v>
      </c>
      <c r="O3" s="15" t="s">
        <v>69</v>
      </c>
      <c r="P3" s="225" t="s">
        <v>158</v>
      </c>
      <c r="Q3" s="8" t="s">
        <v>24</v>
      </c>
      <c r="R3" s="17" t="s">
        <v>143</v>
      </c>
      <c r="S3" s="226" t="s">
        <v>156</v>
      </c>
      <c r="T3"/>
    </row>
    <row r="4" spans="2:20" ht="15" hidden="1" customHeight="1" x14ac:dyDescent="0.3">
      <c r="B4" s="8" t="s">
        <v>434</v>
      </c>
      <c r="C4" s="21">
        <v>44680</v>
      </c>
      <c r="D4" s="22">
        <v>0.83865740740740735</v>
      </c>
      <c r="E4" s="8" t="s">
        <v>580</v>
      </c>
      <c r="F4" s="8" t="s">
        <v>197</v>
      </c>
      <c r="G4" s="8" t="s">
        <v>44</v>
      </c>
      <c r="H4" s="8" t="s">
        <v>137</v>
      </c>
      <c r="I4" s="8">
        <f>150+200</f>
        <v>350</v>
      </c>
      <c r="J4" s="11">
        <v>0</v>
      </c>
      <c r="K4" s="89">
        <f>+L4-J141</f>
        <v>-723207</v>
      </c>
      <c r="L4" s="115">
        <v>1185</v>
      </c>
      <c r="M4" s="10">
        <f t="shared" ref="M4:M35" si="0">I4/K4*100</f>
        <v>-4.8395549268743253E-2</v>
      </c>
      <c r="O4" s="15" t="s">
        <v>63</v>
      </c>
      <c r="Q4" s="8"/>
      <c r="R4" s="17" t="s">
        <v>19</v>
      </c>
      <c r="S4" s="185"/>
      <c r="T4"/>
    </row>
    <row r="5" spans="2:20" ht="15" hidden="1" customHeight="1" x14ac:dyDescent="0.3">
      <c r="B5" s="8" t="s">
        <v>400</v>
      </c>
      <c r="C5" s="21">
        <v>44680</v>
      </c>
      <c r="D5" s="22">
        <v>0.45839120370370368</v>
      </c>
      <c r="E5" s="8" t="s">
        <v>580</v>
      </c>
      <c r="F5" s="8" t="s">
        <v>166</v>
      </c>
      <c r="G5" s="8" t="s">
        <v>161</v>
      </c>
      <c r="H5" s="8" t="s">
        <v>131</v>
      </c>
      <c r="I5" s="8">
        <v>224.71</v>
      </c>
      <c r="J5" s="53">
        <v>0</v>
      </c>
      <c r="K5" s="89">
        <f>+L5-J141</f>
        <v>-723885</v>
      </c>
      <c r="L5" s="113">
        <v>507</v>
      </c>
      <c r="M5" s="10">
        <f t="shared" si="0"/>
        <v>-3.1042223557609289E-2</v>
      </c>
      <c r="O5" s="15" t="s">
        <v>38</v>
      </c>
      <c r="Q5" s="8" t="s">
        <v>35</v>
      </c>
      <c r="R5" s="17" t="s">
        <v>12</v>
      </c>
      <c r="S5" s="13"/>
      <c r="T5"/>
    </row>
    <row r="6" spans="2:20" ht="15" hidden="1" customHeight="1" x14ac:dyDescent="0.3">
      <c r="B6" s="8" t="s">
        <v>219</v>
      </c>
      <c r="C6" s="21">
        <v>44574</v>
      </c>
      <c r="D6" s="22">
        <v>0.42434027777777777</v>
      </c>
      <c r="E6" s="8" t="s">
        <v>24</v>
      </c>
      <c r="F6" s="8" t="s">
        <v>166</v>
      </c>
      <c r="G6" s="8" t="s">
        <v>161</v>
      </c>
      <c r="H6" s="8" t="s">
        <v>220</v>
      </c>
      <c r="I6" s="8">
        <v>100</v>
      </c>
      <c r="J6" s="11">
        <v>0</v>
      </c>
      <c r="K6" s="11">
        <f t="shared" ref="K6:K37" si="1">+L6-J6</f>
        <v>890.39</v>
      </c>
      <c r="L6" s="113">
        <v>890.39</v>
      </c>
      <c r="M6" s="10">
        <f t="shared" si="0"/>
        <v>11.231033592021474</v>
      </c>
      <c r="O6" s="184"/>
      <c r="Q6" s="8"/>
      <c r="R6" s="8"/>
      <c r="S6" s="23"/>
    </row>
    <row r="7" spans="2:20" ht="15" hidden="1" customHeight="1" x14ac:dyDescent="0.3">
      <c r="B7" s="8" t="s">
        <v>219</v>
      </c>
      <c r="C7" s="21">
        <v>44574</v>
      </c>
      <c r="D7" s="22">
        <v>0.51077546296296295</v>
      </c>
      <c r="E7" s="8" t="s">
        <v>24</v>
      </c>
      <c r="F7" s="8" t="s">
        <v>210</v>
      </c>
      <c r="G7" s="8" t="s">
        <v>211</v>
      </c>
      <c r="H7" s="8" t="s">
        <v>220</v>
      </c>
      <c r="I7" s="24">
        <v>311.45999999999998</v>
      </c>
      <c r="J7" s="7">
        <v>0</v>
      </c>
      <c r="K7" s="7">
        <f t="shared" si="1"/>
        <v>76.25</v>
      </c>
      <c r="L7" s="7">
        <v>76.25</v>
      </c>
      <c r="M7" s="10">
        <f t="shared" si="0"/>
        <v>408.47213114754101</v>
      </c>
      <c r="O7" s="184"/>
      <c r="Q7" s="8"/>
      <c r="R7" s="8"/>
      <c r="S7" s="23"/>
    </row>
    <row r="8" spans="2:20" ht="15" hidden="1" customHeight="1" x14ac:dyDescent="0.3">
      <c r="B8" s="8" t="s">
        <v>219</v>
      </c>
      <c r="C8" s="21">
        <v>44575</v>
      </c>
      <c r="D8" s="22">
        <v>0.52619212962962958</v>
      </c>
      <c r="E8" s="8" t="s">
        <v>24</v>
      </c>
      <c r="F8" s="8" t="s">
        <v>165</v>
      </c>
      <c r="G8" s="8" t="s">
        <v>185</v>
      </c>
      <c r="H8" s="8" t="s">
        <v>220</v>
      </c>
      <c r="I8" s="8">
        <v>248.84</v>
      </c>
      <c r="J8" s="30">
        <v>0</v>
      </c>
      <c r="K8" s="30">
        <f t="shared" si="1"/>
        <v>551.55999999999995</v>
      </c>
      <c r="L8" s="34">
        <v>551.55999999999995</v>
      </c>
      <c r="M8" s="10">
        <f t="shared" si="0"/>
        <v>45.115671912393942</v>
      </c>
      <c r="O8" s="184"/>
      <c r="Q8" s="8"/>
      <c r="R8" s="8"/>
      <c r="S8" s="23"/>
    </row>
    <row r="9" spans="2:20" ht="15" hidden="1" customHeight="1" x14ac:dyDescent="0.3">
      <c r="B9" s="8" t="s">
        <v>219</v>
      </c>
      <c r="C9" s="21">
        <v>44576</v>
      </c>
      <c r="D9" s="22">
        <v>0.47587962962962965</v>
      </c>
      <c r="E9" s="8" t="s">
        <v>24</v>
      </c>
      <c r="F9" s="8" t="s">
        <v>293</v>
      </c>
      <c r="G9" s="8" t="s">
        <v>196</v>
      </c>
      <c r="H9" s="8" t="s">
        <v>220</v>
      </c>
      <c r="I9" s="8">
        <v>282.67</v>
      </c>
      <c r="J9" s="11">
        <v>467426</v>
      </c>
      <c r="K9" s="11">
        <f t="shared" si="1"/>
        <v>656</v>
      </c>
      <c r="L9" s="113">
        <v>468082</v>
      </c>
      <c r="M9" s="10">
        <f t="shared" si="0"/>
        <v>43.089939024390247</v>
      </c>
      <c r="O9" s="184"/>
      <c r="Q9" s="8"/>
      <c r="R9" s="8"/>
      <c r="S9" s="23"/>
    </row>
    <row r="10" spans="2:20" ht="15" hidden="1" customHeight="1" x14ac:dyDescent="0.3">
      <c r="B10" s="8" t="s">
        <v>219</v>
      </c>
      <c r="C10" s="21">
        <v>44578</v>
      </c>
      <c r="D10" s="22">
        <v>0.64178240740740744</v>
      </c>
      <c r="E10" s="8" t="s">
        <v>24</v>
      </c>
      <c r="F10" s="8" t="s">
        <v>175</v>
      </c>
      <c r="G10" s="8" t="s">
        <v>172</v>
      </c>
      <c r="H10" s="8" t="s">
        <v>220</v>
      </c>
      <c r="I10" s="8">
        <v>236.22</v>
      </c>
      <c r="J10" s="11">
        <v>468082</v>
      </c>
      <c r="K10" s="11">
        <f t="shared" si="1"/>
        <v>532</v>
      </c>
      <c r="L10" s="113">
        <v>468614</v>
      </c>
      <c r="M10" s="10">
        <f t="shared" si="0"/>
        <v>44.402255639097746</v>
      </c>
      <c r="O10" s="184"/>
      <c r="Q10" s="8"/>
      <c r="R10" s="8"/>
      <c r="S10" s="23"/>
    </row>
    <row r="11" spans="2:20" ht="15" hidden="1" customHeight="1" x14ac:dyDescent="0.3">
      <c r="B11" s="8" t="s">
        <v>219</v>
      </c>
      <c r="C11" s="21">
        <v>44580</v>
      </c>
      <c r="D11" s="22">
        <v>0.49394675925925924</v>
      </c>
      <c r="E11" s="8" t="s">
        <v>24</v>
      </c>
      <c r="F11" s="8" t="s">
        <v>210</v>
      </c>
      <c r="G11" s="8" t="s">
        <v>211</v>
      </c>
      <c r="H11" s="8" t="s">
        <v>220</v>
      </c>
      <c r="I11" s="8">
        <v>345.29</v>
      </c>
      <c r="J11" s="11">
        <v>0</v>
      </c>
      <c r="K11" s="11">
        <f t="shared" si="1"/>
        <v>862.57</v>
      </c>
      <c r="L11" s="113">
        <v>862.57</v>
      </c>
      <c r="M11" s="10">
        <f t="shared" si="0"/>
        <v>40.030374346429852</v>
      </c>
      <c r="O11" s="184"/>
      <c r="Q11" s="8"/>
      <c r="R11" s="8"/>
      <c r="S11" s="23"/>
    </row>
    <row r="12" spans="2:20" ht="15" hidden="1" customHeight="1" x14ac:dyDescent="0.3">
      <c r="B12" s="8" t="s">
        <v>219</v>
      </c>
      <c r="C12" s="21">
        <v>44580</v>
      </c>
      <c r="D12" s="22">
        <v>0.98446759259259264</v>
      </c>
      <c r="E12" s="8" t="s">
        <v>24</v>
      </c>
      <c r="F12" s="8" t="s">
        <v>165</v>
      </c>
      <c r="G12" s="8" t="s">
        <v>185</v>
      </c>
      <c r="H12" s="8" t="s">
        <v>220</v>
      </c>
      <c r="I12" s="8">
        <v>248.83</v>
      </c>
      <c r="J12" s="11">
        <v>0</v>
      </c>
      <c r="K12" s="11">
        <f t="shared" si="1"/>
        <v>548.65</v>
      </c>
      <c r="L12" s="113">
        <v>548.65</v>
      </c>
      <c r="M12" s="10">
        <f t="shared" si="0"/>
        <v>45.353139524286888</v>
      </c>
      <c r="O12" s="184"/>
      <c r="Q12" s="8"/>
      <c r="R12" s="8"/>
      <c r="S12" s="23"/>
    </row>
    <row r="13" spans="2:20" ht="15" hidden="1" customHeight="1" x14ac:dyDescent="0.3">
      <c r="B13" s="8" t="s">
        <v>219</v>
      </c>
      <c r="C13" s="21">
        <v>44582</v>
      </c>
      <c r="D13" s="22">
        <v>0.33019675925925923</v>
      </c>
      <c r="E13" s="8" t="s">
        <v>24</v>
      </c>
      <c r="F13" s="8" t="s">
        <v>293</v>
      </c>
      <c r="G13" s="8" t="s">
        <v>196</v>
      </c>
      <c r="H13" s="8" t="s">
        <v>220</v>
      </c>
      <c r="I13" s="8">
        <v>274.01</v>
      </c>
      <c r="J13" s="11">
        <v>0</v>
      </c>
      <c r="K13" s="11">
        <f t="shared" si="1"/>
        <v>970.79</v>
      </c>
      <c r="L13" s="7">
        <v>970.79</v>
      </c>
      <c r="M13" s="10">
        <f t="shared" si="0"/>
        <v>28.225465857703519</v>
      </c>
      <c r="O13" s="184"/>
      <c r="Q13" s="8"/>
      <c r="R13" s="8"/>
      <c r="S13" s="23"/>
    </row>
    <row r="14" spans="2:20" ht="15" hidden="1" customHeight="1" x14ac:dyDescent="0.3">
      <c r="B14" s="8" t="s">
        <v>219</v>
      </c>
      <c r="C14" s="21">
        <v>44583</v>
      </c>
      <c r="D14" s="22">
        <v>0.52375000000000005</v>
      </c>
      <c r="E14" s="8" t="s">
        <v>24</v>
      </c>
      <c r="F14" s="8" t="s">
        <v>175</v>
      </c>
      <c r="G14" s="8" t="s">
        <v>172</v>
      </c>
      <c r="H14" s="8" t="s">
        <v>220</v>
      </c>
      <c r="I14" s="8">
        <v>217.34</v>
      </c>
      <c r="J14" s="11">
        <v>471015</v>
      </c>
      <c r="K14" s="11">
        <f t="shared" si="1"/>
        <v>508</v>
      </c>
      <c r="L14" s="113">
        <v>471523</v>
      </c>
      <c r="M14" s="10">
        <f t="shared" si="0"/>
        <v>42.783464566929133</v>
      </c>
      <c r="O14" s="184"/>
      <c r="R14" s="8"/>
      <c r="S14" s="23"/>
    </row>
    <row r="15" spans="2:20" ht="15" hidden="1" customHeight="1" x14ac:dyDescent="0.3">
      <c r="B15" s="8" t="s">
        <v>219</v>
      </c>
      <c r="C15" s="21">
        <v>44584</v>
      </c>
      <c r="D15" s="22">
        <v>0.74047453703703703</v>
      </c>
      <c r="E15" s="8" t="s">
        <v>24</v>
      </c>
      <c r="F15" s="8" t="s">
        <v>210</v>
      </c>
      <c r="G15" s="8" t="s">
        <v>211</v>
      </c>
      <c r="H15" s="8" t="s">
        <v>220</v>
      </c>
      <c r="I15" s="8">
        <v>329.88</v>
      </c>
      <c r="J15" s="28">
        <v>471523</v>
      </c>
      <c r="K15" s="28">
        <f t="shared" si="1"/>
        <v>841</v>
      </c>
      <c r="L15" s="219">
        <v>472364</v>
      </c>
      <c r="M15" s="10">
        <f t="shared" si="0"/>
        <v>39.224732461355529</v>
      </c>
      <c r="O15" s="184"/>
      <c r="R15" s="8"/>
      <c r="S15" s="23"/>
    </row>
    <row r="16" spans="2:20" ht="15" hidden="1" customHeight="1" x14ac:dyDescent="0.3">
      <c r="B16" s="8" t="s">
        <v>219</v>
      </c>
      <c r="C16" s="21">
        <v>44586</v>
      </c>
      <c r="D16" s="22">
        <v>0.28987268518518516</v>
      </c>
      <c r="E16" s="8" t="s">
        <v>24</v>
      </c>
      <c r="F16" s="8" t="s">
        <v>210</v>
      </c>
      <c r="G16" s="8" t="s">
        <v>211</v>
      </c>
      <c r="H16" s="8" t="s">
        <v>220</v>
      </c>
      <c r="I16" s="24">
        <v>383.15</v>
      </c>
      <c r="J16" s="7">
        <v>472364</v>
      </c>
      <c r="K16" s="7">
        <f t="shared" si="1"/>
        <v>1130</v>
      </c>
      <c r="L16" s="7">
        <v>473494</v>
      </c>
      <c r="M16" s="10">
        <f t="shared" si="0"/>
        <v>33.907079646017699</v>
      </c>
      <c r="O16" s="184"/>
      <c r="R16" s="8"/>
      <c r="S16" s="23"/>
    </row>
    <row r="17" spans="1:19" ht="15" hidden="1" customHeight="1" x14ac:dyDescent="0.3">
      <c r="B17" s="8" t="s">
        <v>219</v>
      </c>
      <c r="C17" s="21">
        <v>44587</v>
      </c>
      <c r="D17" s="22">
        <v>0.48822916666666666</v>
      </c>
      <c r="E17" s="8" t="s">
        <v>24</v>
      </c>
      <c r="F17" s="8" t="s">
        <v>175</v>
      </c>
      <c r="G17" s="8" t="s">
        <v>172</v>
      </c>
      <c r="H17" s="8" t="s">
        <v>220</v>
      </c>
      <c r="I17" s="8">
        <v>317.08</v>
      </c>
      <c r="J17" s="11">
        <v>0</v>
      </c>
      <c r="K17" s="11">
        <f t="shared" si="1"/>
        <v>915.28499999999997</v>
      </c>
      <c r="L17" s="115">
        <v>915.28499999999997</v>
      </c>
      <c r="M17" s="10">
        <f t="shared" si="0"/>
        <v>34.642761544218466</v>
      </c>
      <c r="O17" s="184"/>
      <c r="R17" s="8"/>
      <c r="S17" s="23"/>
    </row>
    <row r="18" spans="1:19" ht="15" hidden="1" customHeight="1" x14ac:dyDescent="0.3">
      <c r="B18" s="8" t="s">
        <v>219</v>
      </c>
      <c r="C18" s="21">
        <v>44588</v>
      </c>
      <c r="D18" s="22">
        <v>0.63785879629629627</v>
      </c>
      <c r="E18" s="8" t="s">
        <v>24</v>
      </c>
      <c r="F18" s="8" t="s">
        <v>210</v>
      </c>
      <c r="G18" s="8" t="s">
        <v>211</v>
      </c>
      <c r="H18" s="8" t="s">
        <v>220</v>
      </c>
      <c r="I18" s="8">
        <v>335.17</v>
      </c>
      <c r="J18" s="11">
        <v>0</v>
      </c>
      <c r="K18" s="11">
        <f t="shared" si="1"/>
        <v>819.85</v>
      </c>
      <c r="L18" s="11">
        <v>819.85</v>
      </c>
      <c r="M18" s="10">
        <f t="shared" si="0"/>
        <v>40.881868634506311</v>
      </c>
      <c r="O18" s="184"/>
      <c r="R18" s="8"/>
      <c r="S18" s="23"/>
    </row>
    <row r="19" spans="1:19" ht="15" hidden="1" customHeight="1" x14ac:dyDescent="0.3">
      <c r="B19" s="8" t="s">
        <v>219</v>
      </c>
      <c r="C19" s="21">
        <v>44589</v>
      </c>
      <c r="D19" s="22">
        <v>0.58304398148148151</v>
      </c>
      <c r="E19" s="8" t="s">
        <v>24</v>
      </c>
      <c r="F19" s="8" t="s">
        <v>278</v>
      </c>
      <c r="G19" s="8" t="s">
        <v>279</v>
      </c>
      <c r="H19" s="8" t="s">
        <v>220</v>
      </c>
      <c r="I19" s="8">
        <v>288.64</v>
      </c>
      <c r="J19" s="11">
        <v>0</v>
      </c>
      <c r="K19" s="11">
        <f t="shared" si="1"/>
        <v>712.54</v>
      </c>
      <c r="L19" s="11">
        <v>712.54</v>
      </c>
      <c r="M19" s="10">
        <f t="shared" si="0"/>
        <v>40.50860302579504</v>
      </c>
      <c r="O19" s="184"/>
      <c r="R19" s="8"/>
      <c r="S19" s="23"/>
    </row>
    <row r="20" spans="1:19" ht="15" hidden="1" customHeight="1" x14ac:dyDescent="0.3">
      <c r="B20" s="8" t="s">
        <v>219</v>
      </c>
      <c r="C20" s="21">
        <v>44590</v>
      </c>
      <c r="D20" s="22">
        <v>0.44968750000000002</v>
      </c>
      <c r="E20" s="8" t="s">
        <v>24</v>
      </c>
      <c r="F20" s="8" t="s">
        <v>340</v>
      </c>
      <c r="G20" s="8" t="s">
        <v>337</v>
      </c>
      <c r="H20" s="8" t="s">
        <v>220</v>
      </c>
      <c r="I20" s="8">
        <v>199.11</v>
      </c>
      <c r="J20" s="11">
        <v>0</v>
      </c>
      <c r="K20" s="11">
        <f t="shared" si="1"/>
        <v>660.53</v>
      </c>
      <c r="L20" s="11">
        <v>660.53</v>
      </c>
      <c r="M20" s="10">
        <f t="shared" si="0"/>
        <v>30.143975292568093</v>
      </c>
      <c r="O20" s="184"/>
      <c r="R20" s="8"/>
      <c r="S20" s="23"/>
    </row>
    <row r="21" spans="1:19" ht="15" hidden="1" customHeight="1" x14ac:dyDescent="0.3">
      <c r="B21" s="8" t="s">
        <v>219</v>
      </c>
      <c r="C21" s="21">
        <v>44591</v>
      </c>
      <c r="D21" s="22">
        <v>0.81003472222222228</v>
      </c>
      <c r="E21" s="8" t="s">
        <v>24</v>
      </c>
      <c r="F21" s="8" t="s">
        <v>278</v>
      </c>
      <c r="G21" s="8" t="s">
        <v>279</v>
      </c>
      <c r="H21" s="8" t="s">
        <v>220</v>
      </c>
      <c r="I21" s="8">
        <v>372.02</v>
      </c>
      <c r="J21" s="11">
        <v>0</v>
      </c>
      <c r="K21" s="11">
        <f t="shared" si="1"/>
        <v>969.31</v>
      </c>
      <c r="L21" s="11">
        <v>969.31</v>
      </c>
      <c r="M21" s="10">
        <f t="shared" si="0"/>
        <v>38.379878470252038</v>
      </c>
      <c r="O21" s="184"/>
      <c r="R21" s="8"/>
      <c r="S21" s="23"/>
    </row>
    <row r="22" spans="1:19" ht="15" hidden="1" customHeight="1" x14ac:dyDescent="0.3">
      <c r="A22" s="9">
        <v>562</v>
      </c>
      <c r="B22" s="8" t="s">
        <v>219</v>
      </c>
      <c r="C22" s="21">
        <v>44593</v>
      </c>
      <c r="D22" s="22">
        <v>0.33804398148148151</v>
      </c>
      <c r="E22" s="8" t="s">
        <v>25</v>
      </c>
      <c r="F22" s="8" t="s">
        <v>401</v>
      </c>
      <c r="G22" s="8" t="s">
        <v>402</v>
      </c>
      <c r="H22" s="8" t="s">
        <v>220</v>
      </c>
      <c r="I22" s="8">
        <v>298.08</v>
      </c>
      <c r="J22" s="11">
        <v>0</v>
      </c>
      <c r="K22" s="11">
        <f t="shared" si="1"/>
        <v>1003.75</v>
      </c>
      <c r="L22" s="11">
        <v>1003.75</v>
      </c>
      <c r="M22" s="10">
        <f t="shared" si="0"/>
        <v>29.696637608966377</v>
      </c>
      <c r="O22" s="184"/>
      <c r="R22" s="8"/>
    </row>
    <row r="23" spans="1:19" ht="15" hidden="1" customHeight="1" x14ac:dyDescent="0.3">
      <c r="A23" s="9">
        <v>563</v>
      </c>
      <c r="B23" s="8" t="s">
        <v>219</v>
      </c>
      <c r="C23" s="21">
        <v>44594</v>
      </c>
      <c r="D23" s="22">
        <v>0.80856481481481479</v>
      </c>
      <c r="E23" s="8" t="s">
        <v>25</v>
      </c>
      <c r="F23" s="8" t="s">
        <v>343</v>
      </c>
      <c r="G23" s="8" t="s">
        <v>344</v>
      </c>
      <c r="H23" s="8" t="s">
        <v>220</v>
      </c>
      <c r="I23" s="24">
        <v>260.02</v>
      </c>
      <c r="J23" s="7">
        <v>0</v>
      </c>
      <c r="K23" s="7">
        <f t="shared" si="1"/>
        <v>662.71</v>
      </c>
      <c r="L23" s="7">
        <v>662.71</v>
      </c>
      <c r="M23" s="10">
        <f t="shared" si="0"/>
        <v>39.235864857931816</v>
      </c>
      <c r="O23" s="184"/>
      <c r="R23" s="8"/>
    </row>
    <row r="24" spans="1:19" ht="15" hidden="1" customHeight="1" x14ac:dyDescent="0.3">
      <c r="A24" s="9">
        <v>564</v>
      </c>
      <c r="B24" s="8" t="s">
        <v>219</v>
      </c>
      <c r="C24" s="21">
        <v>44595</v>
      </c>
      <c r="D24" s="22">
        <v>0.6507060185185185</v>
      </c>
      <c r="E24" s="8" t="s">
        <v>25</v>
      </c>
      <c r="F24" s="8" t="s">
        <v>210</v>
      </c>
      <c r="G24" s="8" t="s">
        <v>211</v>
      </c>
      <c r="H24" s="8" t="s">
        <v>220</v>
      </c>
      <c r="I24" s="24">
        <v>208.22</v>
      </c>
      <c r="J24" s="7">
        <v>0</v>
      </c>
      <c r="K24" s="7">
        <f t="shared" si="1"/>
        <v>505.38</v>
      </c>
      <c r="L24" s="7">
        <v>505.38</v>
      </c>
      <c r="M24" s="10">
        <f t="shared" si="0"/>
        <v>41.200680675927025</v>
      </c>
      <c r="O24" s="184"/>
      <c r="R24" s="8"/>
    </row>
    <row r="25" spans="1:19" ht="15" hidden="1" customHeight="1" x14ac:dyDescent="0.3">
      <c r="A25" s="9">
        <v>565</v>
      </c>
      <c r="B25" s="8" t="s">
        <v>219</v>
      </c>
      <c r="C25" s="21">
        <v>44596</v>
      </c>
      <c r="D25" s="22">
        <v>0.43986111111111109</v>
      </c>
      <c r="E25" s="8" t="s">
        <v>25</v>
      </c>
      <c r="F25" s="8" t="s">
        <v>165</v>
      </c>
      <c r="G25" s="8" t="s">
        <v>185</v>
      </c>
      <c r="H25" s="8" t="s">
        <v>220</v>
      </c>
      <c r="I25" s="8">
        <v>265</v>
      </c>
      <c r="J25" s="30">
        <v>0</v>
      </c>
      <c r="K25" s="30">
        <f t="shared" si="1"/>
        <v>549.79</v>
      </c>
      <c r="L25" s="30">
        <v>549.79</v>
      </c>
      <c r="M25" s="10">
        <f t="shared" si="0"/>
        <v>48.200221902908389</v>
      </c>
      <c r="O25" s="184"/>
      <c r="R25" s="8"/>
    </row>
    <row r="26" spans="1:19" ht="15" hidden="1" customHeight="1" x14ac:dyDescent="0.3">
      <c r="A26" s="9">
        <v>566</v>
      </c>
      <c r="B26" s="8" t="s">
        <v>219</v>
      </c>
      <c r="C26" s="21">
        <v>44597</v>
      </c>
      <c r="D26" s="22">
        <v>0.59572916666666664</v>
      </c>
      <c r="E26" s="8" t="s">
        <v>25</v>
      </c>
      <c r="F26" s="8" t="s">
        <v>202</v>
      </c>
      <c r="G26" s="8" t="s">
        <v>203</v>
      </c>
      <c r="H26" s="8" t="s">
        <v>220</v>
      </c>
      <c r="I26" s="8">
        <v>335.22</v>
      </c>
      <c r="J26" s="11">
        <v>0</v>
      </c>
      <c r="K26" s="11">
        <f t="shared" si="1"/>
        <v>1050.2</v>
      </c>
      <c r="L26" s="11">
        <v>1050.2</v>
      </c>
      <c r="M26" s="10">
        <f t="shared" si="0"/>
        <v>31.919634355360888</v>
      </c>
      <c r="O26" s="184"/>
      <c r="R26" s="8"/>
    </row>
    <row r="27" spans="1:19" ht="15" hidden="1" customHeight="1" x14ac:dyDescent="0.3">
      <c r="A27" s="9">
        <v>567</v>
      </c>
      <c r="B27" s="8" t="s">
        <v>219</v>
      </c>
      <c r="C27" s="21">
        <v>44598</v>
      </c>
      <c r="D27" s="22">
        <v>0.65141203703703698</v>
      </c>
      <c r="E27" s="8" t="s">
        <v>25</v>
      </c>
      <c r="F27" s="8" t="s">
        <v>165</v>
      </c>
      <c r="G27" s="8" t="s">
        <v>185</v>
      </c>
      <c r="H27" s="8" t="s">
        <v>220</v>
      </c>
      <c r="I27" s="8">
        <v>250.01</v>
      </c>
      <c r="J27" s="11">
        <v>0</v>
      </c>
      <c r="K27" s="11">
        <f t="shared" si="1"/>
        <v>577.33000000000004</v>
      </c>
      <c r="L27" s="11">
        <v>577.33000000000004</v>
      </c>
      <c r="M27" s="10">
        <f t="shared" si="0"/>
        <v>43.304522543432697</v>
      </c>
      <c r="O27" s="184"/>
    </row>
    <row r="28" spans="1:19" ht="15" hidden="1" customHeight="1" x14ac:dyDescent="0.3">
      <c r="A28" s="9">
        <v>568</v>
      </c>
      <c r="B28" s="8" t="s">
        <v>219</v>
      </c>
      <c r="C28" s="21">
        <v>44600</v>
      </c>
      <c r="D28" s="22">
        <v>0.59210648148148148</v>
      </c>
      <c r="E28" s="8" t="s">
        <v>25</v>
      </c>
      <c r="F28" s="8" t="s">
        <v>169</v>
      </c>
      <c r="G28" s="8" t="s">
        <v>170</v>
      </c>
      <c r="H28" s="8" t="s">
        <v>220</v>
      </c>
      <c r="I28" s="8">
        <v>380</v>
      </c>
      <c r="J28" s="11">
        <v>0</v>
      </c>
      <c r="K28" s="28">
        <f t="shared" si="1"/>
        <v>1081.93</v>
      </c>
      <c r="L28" s="28">
        <v>1081.93</v>
      </c>
      <c r="M28" s="10">
        <f t="shared" si="0"/>
        <v>35.122420119601081</v>
      </c>
      <c r="O28" s="184"/>
      <c r="R28" s="8"/>
    </row>
    <row r="29" spans="1:19" ht="15" hidden="1" customHeight="1" x14ac:dyDescent="0.3">
      <c r="A29" s="9">
        <v>569</v>
      </c>
      <c r="B29" s="8" t="s">
        <v>219</v>
      </c>
      <c r="C29" s="21">
        <v>44602</v>
      </c>
      <c r="D29" s="22">
        <v>0.34640046296296295</v>
      </c>
      <c r="E29" s="8" t="s">
        <v>25</v>
      </c>
      <c r="F29" s="8" t="s">
        <v>311</v>
      </c>
      <c r="G29" s="8" t="s">
        <v>303</v>
      </c>
      <c r="H29" s="8" t="s">
        <v>220</v>
      </c>
      <c r="I29" s="8">
        <v>308</v>
      </c>
      <c r="J29" s="11">
        <v>0</v>
      </c>
      <c r="K29" s="11">
        <f t="shared" si="1"/>
        <v>724.55</v>
      </c>
      <c r="L29" s="7">
        <v>724.55</v>
      </c>
      <c r="M29" s="10">
        <f t="shared" si="0"/>
        <v>42.509143606376377</v>
      </c>
      <c r="O29" s="184"/>
      <c r="R29" s="8"/>
    </row>
    <row r="30" spans="1:19" ht="15" hidden="1" customHeight="1" x14ac:dyDescent="0.3">
      <c r="A30" s="9">
        <v>570</v>
      </c>
      <c r="B30" s="8" t="s">
        <v>219</v>
      </c>
      <c r="C30" s="21">
        <v>44602</v>
      </c>
      <c r="D30" s="22">
        <v>0.68996527777777772</v>
      </c>
      <c r="E30" s="8" t="s">
        <v>25</v>
      </c>
      <c r="F30" s="8" t="s">
        <v>210</v>
      </c>
      <c r="G30" s="8" t="s">
        <v>211</v>
      </c>
      <c r="H30" s="8" t="s">
        <v>220</v>
      </c>
      <c r="I30" s="8">
        <v>179.95</v>
      </c>
      <c r="J30" s="11">
        <v>0</v>
      </c>
      <c r="K30" s="11">
        <f t="shared" si="1"/>
        <v>430.7</v>
      </c>
      <c r="L30" s="11">
        <v>430.7</v>
      </c>
      <c r="M30" s="10">
        <f t="shared" si="0"/>
        <v>41.780821917808218</v>
      </c>
      <c r="O30" s="184"/>
      <c r="R30" s="8"/>
    </row>
    <row r="31" spans="1:19" ht="15" hidden="1" customHeight="1" x14ac:dyDescent="0.3">
      <c r="A31" s="9">
        <v>571</v>
      </c>
      <c r="B31" s="8" t="s">
        <v>219</v>
      </c>
      <c r="C31" s="21">
        <v>44603</v>
      </c>
      <c r="D31" s="22">
        <v>0.59024305555555556</v>
      </c>
      <c r="E31" s="8" t="s">
        <v>25</v>
      </c>
      <c r="F31" s="8" t="s">
        <v>165</v>
      </c>
      <c r="G31" s="8" t="s">
        <v>185</v>
      </c>
      <c r="H31" s="8" t="s">
        <v>220</v>
      </c>
      <c r="I31" s="8">
        <v>238.14</v>
      </c>
      <c r="J31" s="11">
        <v>0</v>
      </c>
      <c r="K31" s="11">
        <f t="shared" si="1"/>
        <v>551.41</v>
      </c>
      <c r="L31" s="11">
        <v>551.41</v>
      </c>
      <c r="M31" s="10">
        <f t="shared" si="0"/>
        <v>43.187464862806266</v>
      </c>
      <c r="O31" s="184"/>
      <c r="R31" s="8"/>
    </row>
    <row r="32" spans="1:19" ht="15" hidden="1" customHeight="1" x14ac:dyDescent="0.3">
      <c r="A32" s="9">
        <v>572</v>
      </c>
      <c r="B32" s="8" t="s">
        <v>219</v>
      </c>
      <c r="C32" s="21">
        <v>44604</v>
      </c>
      <c r="D32" s="22">
        <v>0.48744212962962963</v>
      </c>
      <c r="E32" s="8" t="s">
        <v>25</v>
      </c>
      <c r="F32" s="8" t="s">
        <v>293</v>
      </c>
      <c r="G32" s="8" t="s">
        <v>196</v>
      </c>
      <c r="H32" s="8" t="s">
        <v>220</v>
      </c>
      <c r="I32" s="8">
        <v>289.04000000000002</v>
      </c>
      <c r="J32" s="11">
        <v>0</v>
      </c>
      <c r="K32" s="11">
        <f t="shared" si="1"/>
        <v>967.97</v>
      </c>
      <c r="L32" s="11">
        <v>967.97</v>
      </c>
      <c r="M32" s="10">
        <f t="shared" si="0"/>
        <v>29.860429558767322</v>
      </c>
      <c r="O32" s="184"/>
      <c r="R32" s="8"/>
    </row>
    <row r="33" spans="1:18" ht="15" hidden="1" customHeight="1" x14ac:dyDescent="0.3">
      <c r="A33" s="9">
        <v>573</v>
      </c>
      <c r="B33" s="8" t="s">
        <v>219</v>
      </c>
      <c r="C33" s="21">
        <v>44606</v>
      </c>
      <c r="D33" s="22">
        <v>0.42655092592592592</v>
      </c>
      <c r="E33" s="8" t="s">
        <v>25</v>
      </c>
      <c r="F33" s="8" t="s">
        <v>331</v>
      </c>
      <c r="G33" s="8" t="s">
        <v>277</v>
      </c>
      <c r="H33" s="8" t="s">
        <v>220</v>
      </c>
      <c r="I33" s="8">
        <v>284.58999999999997</v>
      </c>
      <c r="J33" s="11">
        <v>0</v>
      </c>
      <c r="K33" s="11">
        <f t="shared" si="1"/>
        <v>750.75</v>
      </c>
      <c r="L33" s="53">
        <v>750.75</v>
      </c>
      <c r="M33" s="10">
        <f t="shared" si="0"/>
        <v>37.907425907425903</v>
      </c>
      <c r="O33" s="184"/>
      <c r="R33" s="8"/>
    </row>
    <row r="34" spans="1:18" ht="15" hidden="1" customHeight="1" x14ac:dyDescent="0.3">
      <c r="A34" s="9">
        <v>574</v>
      </c>
      <c r="B34" s="8" t="s">
        <v>219</v>
      </c>
      <c r="C34" s="21">
        <v>44607</v>
      </c>
      <c r="D34" s="22">
        <v>0.56193287037037043</v>
      </c>
      <c r="E34" s="8" t="s">
        <v>25</v>
      </c>
      <c r="F34" s="8" t="s">
        <v>166</v>
      </c>
      <c r="G34" s="8" t="s">
        <v>161</v>
      </c>
      <c r="H34" s="8" t="s">
        <v>220</v>
      </c>
      <c r="I34" s="8">
        <v>340.25</v>
      </c>
      <c r="J34" s="11">
        <v>0</v>
      </c>
      <c r="K34" s="11">
        <f t="shared" si="1"/>
        <v>903.58</v>
      </c>
      <c r="L34" s="11">
        <v>903.58</v>
      </c>
      <c r="M34" s="10">
        <f t="shared" si="0"/>
        <v>37.655769273334954</v>
      </c>
      <c r="O34" s="184"/>
      <c r="R34" s="8"/>
    </row>
    <row r="35" spans="1:18" ht="15" hidden="1" customHeight="1" x14ac:dyDescent="0.3">
      <c r="A35" s="9">
        <v>575</v>
      </c>
      <c r="B35" s="8" t="s">
        <v>219</v>
      </c>
      <c r="C35" s="21">
        <v>44608</v>
      </c>
      <c r="D35" s="22">
        <v>0.52140046296296294</v>
      </c>
      <c r="E35" s="8" t="s">
        <v>25</v>
      </c>
      <c r="F35" s="8" t="s">
        <v>278</v>
      </c>
      <c r="G35" s="8" t="s">
        <v>279</v>
      </c>
      <c r="H35" s="8" t="s">
        <v>220</v>
      </c>
      <c r="I35" s="8">
        <v>332.77</v>
      </c>
      <c r="J35" s="11">
        <v>0</v>
      </c>
      <c r="K35" s="11">
        <f t="shared" si="1"/>
        <v>788.88</v>
      </c>
      <c r="L35" s="53">
        <v>788.88</v>
      </c>
      <c r="M35" s="10">
        <f t="shared" si="0"/>
        <v>42.182587972822226</v>
      </c>
      <c r="O35" s="184"/>
      <c r="R35" s="8"/>
    </row>
    <row r="36" spans="1:18" ht="15" hidden="1" customHeight="1" x14ac:dyDescent="0.3">
      <c r="A36" s="9">
        <v>576</v>
      </c>
      <c r="B36" s="8" t="s">
        <v>219</v>
      </c>
      <c r="C36" s="21">
        <v>44609</v>
      </c>
      <c r="D36" s="22">
        <v>0.46113425925925927</v>
      </c>
      <c r="E36" s="8" t="s">
        <v>25</v>
      </c>
      <c r="F36" s="8" t="s">
        <v>169</v>
      </c>
      <c r="G36" s="8" t="s">
        <v>170</v>
      </c>
      <c r="H36" s="8" t="s">
        <v>220</v>
      </c>
      <c r="I36" s="8">
        <v>262.81</v>
      </c>
      <c r="J36" s="11">
        <v>0</v>
      </c>
      <c r="K36" s="11">
        <f t="shared" si="1"/>
        <v>843.11</v>
      </c>
      <c r="L36" s="11">
        <v>843.11</v>
      </c>
      <c r="M36" s="10">
        <f t="shared" ref="M36:M67" si="2">I36/K36*100</f>
        <v>31.171496008824473</v>
      </c>
      <c r="O36" s="184"/>
      <c r="R36" s="8"/>
    </row>
    <row r="37" spans="1:18" ht="15" hidden="1" customHeight="1" x14ac:dyDescent="0.3">
      <c r="A37" s="9">
        <v>1610</v>
      </c>
      <c r="B37" s="8" t="s">
        <v>219</v>
      </c>
      <c r="C37" s="21">
        <v>44626</v>
      </c>
      <c r="D37" s="22">
        <v>0.78565972222222225</v>
      </c>
      <c r="E37" s="8" t="s">
        <v>26</v>
      </c>
      <c r="F37" s="8" t="s">
        <v>210</v>
      </c>
      <c r="G37" s="8" t="s">
        <v>211</v>
      </c>
      <c r="H37" s="8" t="s">
        <v>220</v>
      </c>
      <c r="I37" s="8">
        <v>335.12</v>
      </c>
      <c r="J37" s="11">
        <v>0</v>
      </c>
      <c r="K37" s="89">
        <f t="shared" si="1"/>
        <v>858.89</v>
      </c>
      <c r="L37" s="53">
        <v>858.89</v>
      </c>
      <c r="M37" s="10">
        <f t="shared" si="2"/>
        <v>39.017802046827882</v>
      </c>
      <c r="O37" s="184"/>
      <c r="R37" s="8"/>
    </row>
    <row r="38" spans="1:18" ht="15" hidden="1" customHeight="1" x14ac:dyDescent="0.3">
      <c r="A38" s="9">
        <v>1611</v>
      </c>
      <c r="B38" s="8" t="s">
        <v>219</v>
      </c>
      <c r="C38" s="21">
        <v>44627</v>
      </c>
      <c r="D38" s="22">
        <v>0.72439814814814818</v>
      </c>
      <c r="E38" s="8" t="s">
        <v>26</v>
      </c>
      <c r="F38" s="8" t="s">
        <v>165</v>
      </c>
      <c r="G38" s="8" t="s">
        <v>185</v>
      </c>
      <c r="H38" s="8" t="s">
        <v>220</v>
      </c>
      <c r="I38" s="8">
        <v>250.09</v>
      </c>
      <c r="J38" s="11">
        <v>0</v>
      </c>
      <c r="K38" s="89">
        <f t="shared" ref="K38:K69" si="3">+L38-J38</f>
        <v>551.31600000000003</v>
      </c>
      <c r="L38" s="11">
        <v>551.31600000000003</v>
      </c>
      <c r="M38" s="10">
        <f t="shared" si="2"/>
        <v>45.362369312699066</v>
      </c>
      <c r="O38" s="184"/>
      <c r="R38" s="8"/>
    </row>
    <row r="39" spans="1:18" ht="15" hidden="1" customHeight="1" x14ac:dyDescent="0.3">
      <c r="A39" s="9">
        <v>1612</v>
      </c>
      <c r="B39" s="8" t="s">
        <v>219</v>
      </c>
      <c r="C39" s="21">
        <v>44629</v>
      </c>
      <c r="D39" s="22">
        <v>0.51726851851851852</v>
      </c>
      <c r="E39" s="8" t="s">
        <v>26</v>
      </c>
      <c r="F39" s="8" t="s">
        <v>210</v>
      </c>
      <c r="G39" s="8" t="s">
        <v>211</v>
      </c>
      <c r="H39" s="8" t="s">
        <v>220</v>
      </c>
      <c r="I39" s="8">
        <v>215.88</v>
      </c>
      <c r="J39" s="11">
        <v>0</v>
      </c>
      <c r="K39" s="89">
        <f t="shared" si="3"/>
        <v>570.55999999999995</v>
      </c>
      <c r="L39" s="53">
        <v>570.55999999999995</v>
      </c>
      <c r="M39" s="10">
        <f t="shared" si="2"/>
        <v>37.836511497476167</v>
      </c>
      <c r="O39" s="184"/>
      <c r="R39" s="8"/>
    </row>
    <row r="40" spans="1:18" ht="15" hidden="1" customHeight="1" x14ac:dyDescent="0.3">
      <c r="A40" s="9">
        <v>1613</v>
      </c>
      <c r="B40" s="8" t="s">
        <v>219</v>
      </c>
      <c r="C40" s="21">
        <v>44631</v>
      </c>
      <c r="D40" s="22">
        <v>0.47894675925925928</v>
      </c>
      <c r="E40" s="8" t="s">
        <v>26</v>
      </c>
      <c r="F40" s="8" t="s">
        <v>175</v>
      </c>
      <c r="G40" s="8" t="s">
        <v>172</v>
      </c>
      <c r="H40" s="8" t="s">
        <v>220</v>
      </c>
      <c r="I40" s="8">
        <v>365.85</v>
      </c>
      <c r="J40" s="11">
        <v>0</v>
      </c>
      <c r="K40" s="89">
        <f t="shared" si="3"/>
        <v>972.97</v>
      </c>
      <c r="L40" s="11">
        <v>972.97</v>
      </c>
      <c r="M40" s="10">
        <f t="shared" si="2"/>
        <v>37.601364893059397</v>
      </c>
      <c r="O40" s="184"/>
      <c r="R40" s="8"/>
    </row>
    <row r="41" spans="1:18" ht="15" hidden="1" customHeight="1" x14ac:dyDescent="0.3">
      <c r="A41" s="9">
        <v>1614</v>
      </c>
      <c r="B41" s="8" t="s">
        <v>219</v>
      </c>
      <c r="C41" s="21">
        <v>44632</v>
      </c>
      <c r="D41" s="22">
        <v>0.71675925925925921</v>
      </c>
      <c r="E41" s="8" t="s">
        <v>26</v>
      </c>
      <c r="F41" s="8" t="s">
        <v>210</v>
      </c>
      <c r="G41" s="8" t="s">
        <v>211</v>
      </c>
      <c r="H41" s="8" t="s">
        <v>220</v>
      </c>
      <c r="I41" s="8">
        <v>345.11</v>
      </c>
      <c r="J41" s="11">
        <v>0</v>
      </c>
      <c r="K41" s="89">
        <f t="shared" si="3"/>
        <v>871.5</v>
      </c>
      <c r="L41" s="53">
        <v>871.5</v>
      </c>
      <c r="M41" s="10">
        <f t="shared" si="2"/>
        <v>39.599541021227772</v>
      </c>
      <c r="O41" s="184"/>
      <c r="R41" s="8"/>
    </row>
    <row r="42" spans="1:18" ht="15" hidden="1" customHeight="1" x14ac:dyDescent="0.3">
      <c r="A42" s="9">
        <v>1615</v>
      </c>
      <c r="B42" s="8" t="s">
        <v>219</v>
      </c>
      <c r="C42" s="21">
        <v>44633</v>
      </c>
      <c r="D42" s="22">
        <v>0.66479166666666667</v>
      </c>
      <c r="E42" s="8" t="s">
        <v>26</v>
      </c>
      <c r="F42" s="8" t="s">
        <v>210</v>
      </c>
      <c r="G42" s="8" t="s">
        <v>211</v>
      </c>
      <c r="H42" s="8" t="s">
        <v>220</v>
      </c>
      <c r="I42" s="8">
        <v>309.72000000000003</v>
      </c>
      <c r="J42" s="11">
        <v>0</v>
      </c>
      <c r="K42" s="89">
        <f t="shared" si="3"/>
        <v>885.16</v>
      </c>
      <c r="L42" s="53">
        <v>885.16</v>
      </c>
      <c r="M42" s="10">
        <f t="shared" si="2"/>
        <v>34.990284242396861</v>
      </c>
      <c r="O42" s="184"/>
      <c r="R42" s="8"/>
    </row>
    <row r="43" spans="1:18" ht="15" hidden="1" customHeight="1" x14ac:dyDescent="0.3">
      <c r="A43" s="9">
        <v>1616</v>
      </c>
      <c r="B43" s="8" t="s">
        <v>219</v>
      </c>
      <c r="C43" s="21">
        <v>44636</v>
      </c>
      <c r="D43" s="22">
        <v>0.70210648148148147</v>
      </c>
      <c r="E43" s="8" t="s">
        <v>26</v>
      </c>
      <c r="F43" s="8" t="s">
        <v>205</v>
      </c>
      <c r="G43" s="8" t="s">
        <v>206</v>
      </c>
      <c r="H43" s="8" t="s">
        <v>220</v>
      </c>
      <c r="I43" s="8">
        <v>150</v>
      </c>
      <c r="J43" s="11">
        <v>0</v>
      </c>
      <c r="K43" s="89">
        <f t="shared" si="3"/>
        <v>1153.25</v>
      </c>
      <c r="L43" s="53">
        <v>1153.25</v>
      </c>
      <c r="M43" s="10">
        <f t="shared" si="2"/>
        <v>13.006720138738348</v>
      </c>
      <c r="O43" s="184"/>
      <c r="R43" s="8"/>
    </row>
    <row r="44" spans="1:18" ht="15" hidden="1" customHeight="1" x14ac:dyDescent="0.3">
      <c r="A44" s="9">
        <v>1617</v>
      </c>
      <c r="B44" s="8" t="s">
        <v>219</v>
      </c>
      <c r="C44" s="21">
        <v>44636</v>
      </c>
      <c r="D44" s="22">
        <v>0.84991898148148148</v>
      </c>
      <c r="E44" s="8" t="s">
        <v>26</v>
      </c>
      <c r="F44" s="8" t="s">
        <v>343</v>
      </c>
      <c r="G44" s="8" t="s">
        <v>344</v>
      </c>
      <c r="H44" s="8" t="s">
        <v>220</v>
      </c>
      <c r="I44" s="8">
        <v>303.72000000000003</v>
      </c>
      <c r="J44" s="11">
        <v>0</v>
      </c>
      <c r="K44" s="89">
        <f t="shared" si="3"/>
        <v>186.98</v>
      </c>
      <c r="L44" s="53">
        <v>186.98</v>
      </c>
      <c r="M44" s="10">
        <f t="shared" si="2"/>
        <v>162.43448497165474</v>
      </c>
      <c r="O44" s="184"/>
      <c r="R44" s="8"/>
    </row>
    <row r="45" spans="1:18" ht="15" hidden="1" customHeight="1" x14ac:dyDescent="0.3">
      <c r="A45" s="9">
        <v>1618</v>
      </c>
      <c r="B45" s="8" t="s">
        <v>219</v>
      </c>
      <c r="C45" s="21">
        <v>44637</v>
      </c>
      <c r="D45" s="22">
        <v>0.59104166666666669</v>
      </c>
      <c r="E45" s="8" t="s">
        <v>26</v>
      </c>
      <c r="F45" s="8" t="s">
        <v>366</v>
      </c>
      <c r="G45" s="8" t="s">
        <v>367</v>
      </c>
      <c r="H45" s="8" t="s">
        <v>220</v>
      </c>
      <c r="I45" s="8">
        <v>100</v>
      </c>
      <c r="J45" s="11">
        <v>0</v>
      </c>
      <c r="K45" s="89">
        <f t="shared" si="3"/>
        <v>306.77999999999997</v>
      </c>
      <c r="L45" s="53">
        <v>306.77999999999997</v>
      </c>
      <c r="M45" s="10">
        <f t="shared" si="2"/>
        <v>32.596649064476175</v>
      </c>
      <c r="O45" s="184"/>
      <c r="R45" s="8"/>
    </row>
    <row r="46" spans="1:18" ht="15" hidden="1" customHeight="1" x14ac:dyDescent="0.3">
      <c r="A46" s="9">
        <v>1619</v>
      </c>
      <c r="B46" s="8" t="s">
        <v>219</v>
      </c>
      <c r="C46" s="21">
        <v>44638</v>
      </c>
      <c r="D46" s="22">
        <v>0.44240740740740742</v>
      </c>
      <c r="E46" s="8" t="s">
        <v>26</v>
      </c>
      <c r="F46" s="8" t="s">
        <v>278</v>
      </c>
      <c r="G46" s="8" t="s">
        <v>279</v>
      </c>
      <c r="H46" s="8" t="s">
        <v>220</v>
      </c>
      <c r="I46" s="8">
        <v>267.76</v>
      </c>
      <c r="J46" s="11">
        <v>0</v>
      </c>
      <c r="K46" s="89">
        <f t="shared" si="3"/>
        <v>549.5</v>
      </c>
      <c r="L46" s="53">
        <v>549.5</v>
      </c>
      <c r="M46" s="10">
        <f t="shared" si="2"/>
        <v>48.72793448589627</v>
      </c>
      <c r="O46" s="184"/>
      <c r="R46" s="8"/>
    </row>
    <row r="47" spans="1:18" ht="15" hidden="1" customHeight="1" x14ac:dyDescent="0.3">
      <c r="A47" s="9">
        <v>1620</v>
      </c>
      <c r="B47" s="8" t="s">
        <v>219</v>
      </c>
      <c r="C47" s="21">
        <v>44638</v>
      </c>
      <c r="D47" s="22">
        <v>0.73393518518518519</v>
      </c>
      <c r="E47" s="8" t="s">
        <v>26</v>
      </c>
      <c r="F47" s="8" t="s">
        <v>278</v>
      </c>
      <c r="G47" s="8" t="s">
        <v>279</v>
      </c>
      <c r="H47" s="8" t="s">
        <v>220</v>
      </c>
      <c r="I47" s="8">
        <v>139</v>
      </c>
      <c r="J47" s="11">
        <v>0</v>
      </c>
      <c r="K47" s="89">
        <f t="shared" si="3"/>
        <v>363.55</v>
      </c>
      <c r="L47" s="53">
        <v>363.55</v>
      </c>
      <c r="M47" s="10">
        <f t="shared" si="2"/>
        <v>38.234080594141105</v>
      </c>
      <c r="O47" s="184"/>
      <c r="R47" s="8"/>
    </row>
    <row r="48" spans="1:18" ht="15" hidden="1" customHeight="1" x14ac:dyDescent="0.3">
      <c r="A48" s="9">
        <v>1621</v>
      </c>
      <c r="B48" s="8" t="s">
        <v>219</v>
      </c>
      <c r="C48" s="21">
        <v>44640</v>
      </c>
      <c r="D48" s="22">
        <v>0.43158564814814815</v>
      </c>
      <c r="E48" s="8" t="s">
        <v>26</v>
      </c>
      <c r="F48" s="8" t="s">
        <v>446</v>
      </c>
      <c r="G48" s="8" t="s">
        <v>402</v>
      </c>
      <c r="H48" s="8" t="s">
        <v>220</v>
      </c>
      <c r="I48" s="8">
        <f>50.03+274.3</f>
        <v>324.33000000000004</v>
      </c>
      <c r="J48" s="28">
        <v>0</v>
      </c>
      <c r="K48" s="96">
        <f t="shared" si="3"/>
        <v>1018.17</v>
      </c>
      <c r="L48" s="55">
        <v>1018.17</v>
      </c>
      <c r="M48" s="10">
        <f t="shared" si="2"/>
        <v>31.854209022069014</v>
      </c>
      <c r="O48" s="184"/>
      <c r="R48" s="8"/>
    </row>
    <row r="49" spans="1:18" ht="15" hidden="1" customHeight="1" x14ac:dyDescent="0.3">
      <c r="A49" s="9">
        <v>1622</v>
      </c>
      <c r="B49" s="8" t="s">
        <v>219</v>
      </c>
      <c r="C49" s="21">
        <v>44643</v>
      </c>
      <c r="D49" s="22">
        <v>0.3967013888888889</v>
      </c>
      <c r="E49" s="8" t="s">
        <v>26</v>
      </c>
      <c r="F49" s="8" t="s">
        <v>197</v>
      </c>
      <c r="G49" s="8" t="s">
        <v>44</v>
      </c>
      <c r="H49" s="8" t="s">
        <v>220</v>
      </c>
      <c r="I49" s="24">
        <v>150.59</v>
      </c>
      <c r="J49" s="7">
        <v>0</v>
      </c>
      <c r="K49" s="90">
        <f t="shared" si="3"/>
        <v>1085.8699999999999</v>
      </c>
      <c r="L49" s="32">
        <v>1085.8699999999999</v>
      </c>
      <c r="M49" s="10">
        <f t="shared" si="2"/>
        <v>13.8681425953383</v>
      </c>
      <c r="O49" s="184"/>
      <c r="R49" s="8"/>
    </row>
    <row r="50" spans="1:18" ht="15" hidden="1" customHeight="1" x14ac:dyDescent="0.3">
      <c r="A50" s="9">
        <v>1623</v>
      </c>
      <c r="B50" s="8" t="s">
        <v>219</v>
      </c>
      <c r="C50" s="21">
        <v>44643</v>
      </c>
      <c r="D50" s="22">
        <v>0.6482175925925926</v>
      </c>
      <c r="E50" s="8" t="s">
        <v>26</v>
      </c>
      <c r="F50" s="8" t="s">
        <v>366</v>
      </c>
      <c r="G50" s="8" t="s">
        <v>367</v>
      </c>
      <c r="H50" s="8" t="s">
        <v>220</v>
      </c>
      <c r="I50" s="8">
        <v>100.01</v>
      </c>
      <c r="J50" s="11">
        <v>0</v>
      </c>
      <c r="K50" s="89">
        <f t="shared" si="3"/>
        <v>388.5</v>
      </c>
      <c r="L50" s="53">
        <v>388.5</v>
      </c>
      <c r="M50" s="10">
        <f t="shared" si="2"/>
        <v>25.742599742599744</v>
      </c>
      <c r="O50" s="184"/>
      <c r="R50" s="8"/>
    </row>
    <row r="51" spans="1:18" ht="15" hidden="1" customHeight="1" x14ac:dyDescent="0.3">
      <c r="A51" s="9">
        <v>1624</v>
      </c>
      <c r="B51" s="8" t="s">
        <v>219</v>
      </c>
      <c r="C51" s="21">
        <v>44643</v>
      </c>
      <c r="D51" s="22">
        <v>0.92122685185185194</v>
      </c>
      <c r="E51" s="8" t="s">
        <v>26</v>
      </c>
      <c r="F51" s="8" t="s">
        <v>166</v>
      </c>
      <c r="G51" s="8" t="s">
        <v>161</v>
      </c>
      <c r="H51" s="8" t="s">
        <v>220</v>
      </c>
      <c r="I51" s="8">
        <v>365.41</v>
      </c>
      <c r="J51" s="11">
        <v>0</v>
      </c>
      <c r="K51" s="89">
        <f t="shared" si="3"/>
        <v>123.17</v>
      </c>
      <c r="L51" s="53">
        <v>123.17</v>
      </c>
      <c r="M51" s="10">
        <f t="shared" si="2"/>
        <v>296.6712673540635</v>
      </c>
      <c r="O51" s="184"/>
      <c r="R51" s="8"/>
    </row>
    <row r="52" spans="1:18" ht="15" hidden="1" customHeight="1" x14ac:dyDescent="0.3">
      <c r="A52" s="9">
        <v>1625</v>
      </c>
      <c r="B52" s="8" t="s">
        <v>219</v>
      </c>
      <c r="C52" s="21">
        <v>44645</v>
      </c>
      <c r="D52" s="22">
        <v>0.40145833333333331</v>
      </c>
      <c r="E52" s="8" t="s">
        <v>26</v>
      </c>
      <c r="F52" s="8" t="s">
        <v>210</v>
      </c>
      <c r="G52" s="8" t="s">
        <v>211</v>
      </c>
      <c r="H52" s="8" t="s">
        <v>220</v>
      </c>
      <c r="I52" s="8">
        <v>427.16</v>
      </c>
      <c r="J52" s="11">
        <v>0</v>
      </c>
      <c r="K52" s="89">
        <f t="shared" si="3"/>
        <v>961.3</v>
      </c>
      <c r="L52" s="53">
        <v>961.3</v>
      </c>
      <c r="M52" s="10">
        <f t="shared" si="2"/>
        <v>44.435660043690838</v>
      </c>
      <c r="O52" s="184"/>
      <c r="R52" s="8"/>
    </row>
    <row r="53" spans="1:18" ht="15" hidden="1" customHeight="1" x14ac:dyDescent="0.3">
      <c r="A53" s="9">
        <v>1626</v>
      </c>
      <c r="B53" s="8" t="s">
        <v>219</v>
      </c>
      <c r="C53" s="21">
        <v>44645</v>
      </c>
      <c r="D53" s="22">
        <v>0.98539351851851853</v>
      </c>
      <c r="E53" s="8" t="s">
        <v>26</v>
      </c>
      <c r="F53" s="8" t="s">
        <v>446</v>
      </c>
      <c r="G53" s="8" t="s">
        <v>402</v>
      </c>
      <c r="H53" s="8" t="s">
        <v>220</v>
      </c>
      <c r="I53" s="8">
        <v>234.67</v>
      </c>
      <c r="J53" s="11">
        <v>0</v>
      </c>
      <c r="K53" s="89">
        <f t="shared" si="3"/>
        <v>672.78</v>
      </c>
      <c r="L53" s="53">
        <v>672.78</v>
      </c>
      <c r="M53" s="10">
        <f t="shared" si="2"/>
        <v>34.880644490026455</v>
      </c>
      <c r="O53" s="184"/>
      <c r="R53" s="8"/>
    </row>
    <row r="54" spans="1:18" ht="15" hidden="1" customHeight="1" x14ac:dyDescent="0.3">
      <c r="A54" s="9">
        <v>1627</v>
      </c>
      <c r="B54" s="8" t="s">
        <v>219</v>
      </c>
      <c r="C54" s="21">
        <v>44648</v>
      </c>
      <c r="D54" s="22">
        <v>0.6196990740740741</v>
      </c>
      <c r="E54" s="8" t="s">
        <v>26</v>
      </c>
      <c r="F54" s="8" t="s">
        <v>311</v>
      </c>
      <c r="G54" s="8" t="s">
        <v>303</v>
      </c>
      <c r="H54" s="8" t="s">
        <v>220</v>
      </c>
      <c r="I54" s="8">
        <v>150.88999999999999</v>
      </c>
      <c r="J54" s="11">
        <v>0</v>
      </c>
      <c r="K54" s="89">
        <f t="shared" si="3"/>
        <v>851.87</v>
      </c>
      <c r="L54" s="53">
        <v>851.87</v>
      </c>
      <c r="M54" s="10">
        <f t="shared" si="2"/>
        <v>17.712796553464731</v>
      </c>
      <c r="O54" s="184"/>
      <c r="R54" s="8"/>
    </row>
    <row r="55" spans="1:18" ht="15" hidden="1" customHeight="1" x14ac:dyDescent="0.3">
      <c r="A55" s="9">
        <v>1628</v>
      </c>
      <c r="B55" s="8" t="s">
        <v>219</v>
      </c>
      <c r="C55" s="21">
        <v>44648</v>
      </c>
      <c r="D55" s="22">
        <v>0.89145833333333335</v>
      </c>
      <c r="E55" s="8" t="s">
        <v>26</v>
      </c>
      <c r="F55" s="8" t="s">
        <v>366</v>
      </c>
      <c r="G55" s="8" t="s">
        <v>367</v>
      </c>
      <c r="H55" s="8" t="s">
        <v>220</v>
      </c>
      <c r="I55" s="8">
        <v>100</v>
      </c>
      <c r="J55" s="11">
        <v>0</v>
      </c>
      <c r="K55" s="89">
        <f t="shared" si="3"/>
        <v>231.75</v>
      </c>
      <c r="L55" s="53">
        <v>231.75</v>
      </c>
      <c r="M55" s="10">
        <f t="shared" si="2"/>
        <v>43.149946062567423</v>
      </c>
      <c r="O55" s="184"/>
      <c r="R55" s="8"/>
    </row>
    <row r="56" spans="1:18" ht="15" hidden="1" customHeight="1" x14ac:dyDescent="0.3">
      <c r="A56" s="9">
        <v>1629</v>
      </c>
      <c r="B56" s="8" t="s">
        <v>219</v>
      </c>
      <c r="C56" s="21">
        <v>44648</v>
      </c>
      <c r="D56" s="22">
        <v>0.96674768518518517</v>
      </c>
      <c r="E56" s="8" t="s">
        <v>26</v>
      </c>
      <c r="F56" s="8" t="s">
        <v>166</v>
      </c>
      <c r="G56" s="8" t="s">
        <v>161</v>
      </c>
      <c r="H56" s="8" t="s">
        <v>220</v>
      </c>
      <c r="I56" s="8">
        <v>222.43</v>
      </c>
      <c r="J56" s="11">
        <v>0</v>
      </c>
      <c r="K56" s="89">
        <f t="shared" si="3"/>
        <v>123.61</v>
      </c>
      <c r="L56" s="53">
        <v>123.61</v>
      </c>
      <c r="M56" s="10">
        <f t="shared" si="2"/>
        <v>179.94498826955748</v>
      </c>
      <c r="O56" s="184"/>
      <c r="R56" s="8"/>
    </row>
    <row r="57" spans="1:18" ht="15" hidden="1" customHeight="1" x14ac:dyDescent="0.3">
      <c r="A57" s="9">
        <v>1630</v>
      </c>
      <c r="B57" s="8" t="s">
        <v>219</v>
      </c>
      <c r="C57" s="21">
        <v>44650</v>
      </c>
      <c r="D57" s="22">
        <v>0.43659722222222225</v>
      </c>
      <c r="E57" s="8" t="s">
        <v>26</v>
      </c>
      <c r="F57" s="8" t="s">
        <v>278</v>
      </c>
      <c r="G57" s="8" t="s">
        <v>279</v>
      </c>
      <c r="H57" s="8" t="s">
        <v>220</v>
      </c>
      <c r="I57" s="8">
        <v>200</v>
      </c>
      <c r="J57" s="11">
        <v>0</v>
      </c>
      <c r="K57" s="89">
        <f t="shared" si="3"/>
        <v>771.57</v>
      </c>
      <c r="L57" s="53">
        <v>771.57</v>
      </c>
      <c r="M57" s="10">
        <f t="shared" si="2"/>
        <v>25.92117371074562</v>
      </c>
      <c r="O57" s="184"/>
      <c r="R57" s="8"/>
    </row>
    <row r="58" spans="1:18" ht="15" hidden="1" customHeight="1" x14ac:dyDescent="0.3">
      <c r="A58" s="9">
        <v>1631</v>
      </c>
      <c r="B58" s="8" t="s">
        <v>219</v>
      </c>
      <c r="C58" s="21">
        <v>44651</v>
      </c>
      <c r="D58" s="22">
        <v>0.55874999999999997</v>
      </c>
      <c r="E58" s="8" t="s">
        <v>26</v>
      </c>
      <c r="F58" s="8" t="s">
        <v>335</v>
      </c>
      <c r="G58" s="8" t="s">
        <v>336</v>
      </c>
      <c r="H58" s="8" t="s">
        <v>220</v>
      </c>
      <c r="I58" s="8">
        <v>369.31</v>
      </c>
      <c r="J58" s="11">
        <v>0</v>
      </c>
      <c r="K58" s="89">
        <f t="shared" si="3"/>
        <v>724.21</v>
      </c>
      <c r="L58" s="53">
        <v>724.21</v>
      </c>
      <c r="M58" s="10">
        <f t="shared" si="2"/>
        <v>50.994877176509576</v>
      </c>
      <c r="O58" s="184"/>
      <c r="R58" s="8"/>
    </row>
    <row r="59" spans="1:18" ht="15" hidden="1" customHeight="1" x14ac:dyDescent="0.3">
      <c r="A59" s="9">
        <v>2637</v>
      </c>
      <c r="B59" s="8" t="s">
        <v>219</v>
      </c>
      <c r="C59" s="21">
        <v>44652</v>
      </c>
      <c r="D59" s="22">
        <v>0.63351851851851848</v>
      </c>
      <c r="E59" s="8" t="s">
        <v>27</v>
      </c>
      <c r="F59" s="8" t="s">
        <v>350</v>
      </c>
      <c r="G59" s="8" t="s">
        <v>351</v>
      </c>
      <c r="H59" s="8" t="s">
        <v>220</v>
      </c>
      <c r="I59" s="19">
        <v>285.89999999999998</v>
      </c>
      <c r="J59" s="11">
        <v>0</v>
      </c>
      <c r="K59" s="89">
        <f t="shared" si="3"/>
        <v>726.38</v>
      </c>
      <c r="L59" s="53">
        <v>726.38</v>
      </c>
      <c r="M59" s="10">
        <f t="shared" si="2"/>
        <v>39.359563864643846</v>
      </c>
      <c r="O59" s="184"/>
      <c r="R59" s="8"/>
    </row>
    <row r="60" spans="1:18" ht="15" hidden="1" customHeight="1" x14ac:dyDescent="0.3">
      <c r="A60" s="9">
        <v>2638</v>
      </c>
      <c r="B60" s="8" t="s">
        <v>219</v>
      </c>
      <c r="C60" s="21">
        <v>44654</v>
      </c>
      <c r="D60" s="22">
        <v>0.47864583333333338</v>
      </c>
      <c r="E60" s="8" t="s">
        <v>27</v>
      </c>
      <c r="F60" s="8" t="s">
        <v>169</v>
      </c>
      <c r="G60" s="8" t="s">
        <v>170</v>
      </c>
      <c r="H60" s="8" t="s">
        <v>220</v>
      </c>
      <c r="I60" s="19">
        <v>312</v>
      </c>
      <c r="J60" s="11">
        <v>0</v>
      </c>
      <c r="K60" s="89">
        <f t="shared" si="3"/>
        <v>922.77</v>
      </c>
      <c r="L60" s="53">
        <v>922.77</v>
      </c>
      <c r="M60" s="10">
        <f t="shared" si="2"/>
        <v>33.811242238044144</v>
      </c>
      <c r="O60" s="184"/>
      <c r="R60" s="8"/>
    </row>
    <row r="61" spans="1:18" ht="15.75" hidden="1" customHeight="1" x14ac:dyDescent="0.3">
      <c r="A61" s="9">
        <v>2639</v>
      </c>
      <c r="B61" s="8" t="s">
        <v>219</v>
      </c>
      <c r="C61" s="21">
        <v>44663</v>
      </c>
      <c r="D61" s="22">
        <v>0.27344907407407409</v>
      </c>
      <c r="E61" s="8" t="s">
        <v>27</v>
      </c>
      <c r="F61" s="8" t="s">
        <v>175</v>
      </c>
      <c r="G61" s="8" t="s">
        <v>172</v>
      </c>
      <c r="H61" s="8" t="s">
        <v>220</v>
      </c>
      <c r="I61" s="19">
        <v>222</v>
      </c>
      <c r="J61" s="11">
        <v>0</v>
      </c>
      <c r="K61" s="89">
        <f t="shared" si="3"/>
        <v>507.22</v>
      </c>
      <c r="L61" s="53">
        <v>507.22</v>
      </c>
      <c r="M61" s="10">
        <f t="shared" si="2"/>
        <v>43.767990221205785</v>
      </c>
      <c r="O61" s="184"/>
      <c r="R61" s="8"/>
    </row>
    <row r="62" spans="1:18" ht="15" hidden="1" customHeight="1" x14ac:dyDescent="0.3">
      <c r="A62" s="9">
        <v>2640</v>
      </c>
      <c r="B62" s="8" t="s">
        <v>219</v>
      </c>
      <c r="C62" s="21">
        <v>44665</v>
      </c>
      <c r="D62" s="22">
        <v>0.46431712962962962</v>
      </c>
      <c r="E62" s="8" t="s">
        <v>27</v>
      </c>
      <c r="F62" s="8" t="s">
        <v>311</v>
      </c>
      <c r="G62" s="8" t="s">
        <v>303</v>
      </c>
      <c r="H62" s="8" t="s">
        <v>220</v>
      </c>
      <c r="I62" s="19">
        <v>204.22</v>
      </c>
      <c r="J62" s="11">
        <v>0</v>
      </c>
      <c r="K62" s="89">
        <f t="shared" si="3"/>
        <v>794.56</v>
      </c>
      <c r="L62" s="53">
        <v>794.56</v>
      </c>
      <c r="M62" s="10">
        <f t="shared" si="2"/>
        <v>25.702275473217885</v>
      </c>
      <c r="O62" s="184"/>
      <c r="R62" s="8"/>
    </row>
    <row r="63" spans="1:18" ht="15" hidden="1" customHeight="1" x14ac:dyDescent="0.3">
      <c r="A63" s="9">
        <v>2641</v>
      </c>
      <c r="B63" s="8" t="s">
        <v>219</v>
      </c>
      <c r="C63" s="21">
        <v>44665</v>
      </c>
      <c r="D63" s="22">
        <v>0.73601851851851852</v>
      </c>
      <c r="E63" s="8" t="s">
        <v>27</v>
      </c>
      <c r="F63" s="8" t="s">
        <v>166</v>
      </c>
      <c r="G63" s="8" t="s">
        <v>161</v>
      </c>
      <c r="H63" s="8" t="s">
        <v>220</v>
      </c>
      <c r="I63" s="19">
        <v>216.61</v>
      </c>
      <c r="J63" s="11">
        <v>0</v>
      </c>
      <c r="K63" s="89">
        <f t="shared" si="3"/>
        <v>1149.1300000000001</v>
      </c>
      <c r="L63" s="53">
        <v>1149.1300000000001</v>
      </c>
      <c r="M63" s="10">
        <f t="shared" si="2"/>
        <v>18.849912542532177</v>
      </c>
      <c r="O63" s="184"/>
      <c r="R63" s="8"/>
    </row>
    <row r="64" spans="1:18" ht="15" hidden="1" customHeight="1" x14ac:dyDescent="0.3">
      <c r="A64" s="9">
        <v>2642</v>
      </c>
      <c r="B64" s="8" t="s">
        <v>219</v>
      </c>
      <c r="C64" s="21">
        <v>44666</v>
      </c>
      <c r="D64" s="22">
        <v>0.71986111111111117</v>
      </c>
      <c r="E64" s="8" t="s">
        <v>27</v>
      </c>
      <c r="F64" s="8" t="s">
        <v>278</v>
      </c>
      <c r="G64" s="8" t="s">
        <v>279</v>
      </c>
      <c r="H64" s="8" t="s">
        <v>220</v>
      </c>
      <c r="I64" s="19">
        <v>321.77</v>
      </c>
      <c r="J64" s="11">
        <v>0</v>
      </c>
      <c r="K64" s="89">
        <f t="shared" si="3"/>
        <v>1135.8900000000001</v>
      </c>
      <c r="L64" s="53">
        <v>1135.8900000000001</v>
      </c>
      <c r="M64" s="10">
        <f t="shared" si="2"/>
        <v>28.327566929896374</v>
      </c>
      <c r="O64" s="184"/>
      <c r="R64" s="8"/>
    </row>
    <row r="65" spans="1:18" ht="15" hidden="1" customHeight="1" thickBot="1" x14ac:dyDescent="0.35">
      <c r="A65" s="9">
        <v>2643</v>
      </c>
      <c r="B65" s="8" t="s">
        <v>219</v>
      </c>
      <c r="C65" s="21">
        <v>44667</v>
      </c>
      <c r="D65" s="22">
        <v>0.89792824074074085</v>
      </c>
      <c r="E65" s="8" t="s">
        <v>27</v>
      </c>
      <c r="F65" s="8" t="s">
        <v>446</v>
      </c>
      <c r="G65" s="8" t="s">
        <v>402</v>
      </c>
      <c r="H65" s="8" t="s">
        <v>220</v>
      </c>
      <c r="I65" s="19">
        <v>311.64</v>
      </c>
      <c r="J65" s="11">
        <v>0</v>
      </c>
      <c r="K65" s="89">
        <f t="shared" si="3"/>
        <v>1021.55</v>
      </c>
      <c r="L65" s="53">
        <v>1021.55</v>
      </c>
      <c r="M65" s="10">
        <f t="shared" si="2"/>
        <v>30.50658313347364</v>
      </c>
      <c r="O65" s="184"/>
      <c r="R65" s="186"/>
    </row>
    <row r="66" spans="1:18" ht="15" hidden="1" customHeight="1" x14ac:dyDescent="0.3">
      <c r="A66" s="9">
        <v>2644</v>
      </c>
      <c r="B66" s="8" t="s">
        <v>219</v>
      </c>
      <c r="C66" s="21">
        <v>44669</v>
      </c>
      <c r="D66" s="22">
        <v>0.48837962962962966</v>
      </c>
      <c r="E66" s="8" t="s">
        <v>27</v>
      </c>
      <c r="F66" s="8" t="s">
        <v>175</v>
      </c>
      <c r="G66" s="8" t="s">
        <v>172</v>
      </c>
      <c r="H66" s="8" t="s">
        <v>220</v>
      </c>
      <c r="I66" s="19">
        <v>154.66</v>
      </c>
      <c r="J66" s="11">
        <v>0</v>
      </c>
      <c r="K66" s="89">
        <f t="shared" si="3"/>
        <v>393.61</v>
      </c>
      <c r="L66" s="53">
        <v>393.61</v>
      </c>
      <c r="M66" s="10">
        <f t="shared" si="2"/>
        <v>39.292700896826801</v>
      </c>
      <c r="O66" s="184"/>
    </row>
    <row r="67" spans="1:18" ht="15" hidden="1" customHeight="1" x14ac:dyDescent="0.3">
      <c r="A67" s="9">
        <v>2645</v>
      </c>
      <c r="B67" s="8" t="s">
        <v>219</v>
      </c>
      <c r="C67" s="21">
        <v>44670</v>
      </c>
      <c r="D67" s="22">
        <v>0.77767361111111111</v>
      </c>
      <c r="E67" s="8" t="s">
        <v>27</v>
      </c>
      <c r="F67" s="8" t="s">
        <v>166</v>
      </c>
      <c r="G67" s="8" t="s">
        <v>161</v>
      </c>
      <c r="H67" s="8" t="s">
        <v>220</v>
      </c>
      <c r="I67" s="19">
        <v>200</v>
      </c>
      <c r="J67" s="11">
        <v>0</v>
      </c>
      <c r="K67" s="89">
        <f t="shared" si="3"/>
        <v>776</v>
      </c>
      <c r="L67" s="53">
        <v>776</v>
      </c>
      <c r="M67" s="10">
        <f t="shared" si="2"/>
        <v>25.773195876288657</v>
      </c>
    </row>
    <row r="68" spans="1:18" ht="15" hidden="1" customHeight="1" x14ac:dyDescent="0.3">
      <c r="A68" s="9">
        <v>2646</v>
      </c>
      <c r="B68" s="8" t="s">
        <v>219</v>
      </c>
      <c r="C68" s="21">
        <v>44671</v>
      </c>
      <c r="D68" s="22">
        <v>0.86179398148148145</v>
      </c>
      <c r="E68" s="8" t="s">
        <v>27</v>
      </c>
      <c r="F68" s="8" t="s">
        <v>533</v>
      </c>
      <c r="G68" s="8" t="s">
        <v>45</v>
      </c>
      <c r="H68" s="8" t="s">
        <v>220</v>
      </c>
      <c r="I68" s="19">
        <v>411.36</v>
      </c>
      <c r="J68" s="81"/>
      <c r="K68" s="89">
        <f t="shared" si="3"/>
        <v>12345</v>
      </c>
      <c r="L68" s="53">
        <v>12345</v>
      </c>
      <c r="M68" s="10">
        <f t="shared" ref="M68:M100" si="4">I68/K68*100</f>
        <v>3.3321992709599026</v>
      </c>
    </row>
    <row r="69" spans="1:18" ht="15" hidden="1" customHeight="1" x14ac:dyDescent="0.3">
      <c r="A69" s="9">
        <v>2647</v>
      </c>
      <c r="B69" s="8" t="s">
        <v>219</v>
      </c>
      <c r="C69" s="21">
        <v>44673</v>
      </c>
      <c r="D69" s="22">
        <v>0.67106481481481473</v>
      </c>
      <c r="E69" s="8" t="s">
        <v>27</v>
      </c>
      <c r="F69" s="8" t="s">
        <v>165</v>
      </c>
      <c r="G69" s="8" t="s">
        <v>185</v>
      </c>
      <c r="H69" s="8" t="s">
        <v>220</v>
      </c>
      <c r="I69" s="19">
        <v>350.02</v>
      </c>
      <c r="J69" s="11">
        <v>0</v>
      </c>
      <c r="K69" s="89">
        <f t="shared" si="3"/>
        <v>1506.4</v>
      </c>
      <c r="L69" s="53">
        <v>1506.4</v>
      </c>
      <c r="M69" s="10">
        <f t="shared" si="4"/>
        <v>23.235528412108337</v>
      </c>
    </row>
    <row r="70" spans="1:18" ht="15" hidden="1" customHeight="1" x14ac:dyDescent="0.3">
      <c r="A70" s="9">
        <v>2648</v>
      </c>
      <c r="B70" s="8" t="s">
        <v>219</v>
      </c>
      <c r="C70" s="21">
        <v>44675</v>
      </c>
      <c r="D70" s="22">
        <v>0.55223379629629632</v>
      </c>
      <c r="E70" s="8" t="s">
        <v>27</v>
      </c>
      <c r="F70" s="8" t="s">
        <v>166</v>
      </c>
      <c r="G70" s="8" t="s">
        <v>161</v>
      </c>
      <c r="H70" t="s">
        <v>220</v>
      </c>
      <c r="I70" s="19">
        <v>351.02</v>
      </c>
      <c r="J70" s="11">
        <v>0</v>
      </c>
      <c r="K70" s="89">
        <f t="shared" ref="K70:K78" si="5">+L70-J70</f>
        <v>1031.94</v>
      </c>
      <c r="L70" s="53">
        <v>1031.94</v>
      </c>
      <c r="M70" s="10">
        <f t="shared" si="4"/>
        <v>34.015543539353061</v>
      </c>
    </row>
    <row r="71" spans="1:18" ht="15" hidden="1" customHeight="1" x14ac:dyDescent="0.3">
      <c r="A71" s="9">
        <v>2649</v>
      </c>
      <c r="B71" s="8" t="s">
        <v>219</v>
      </c>
      <c r="C71" s="21">
        <v>44676</v>
      </c>
      <c r="D71" s="22">
        <v>0.79159722222222229</v>
      </c>
      <c r="E71" s="8" t="s">
        <v>27</v>
      </c>
      <c r="F71" s="8" t="s">
        <v>428</v>
      </c>
      <c r="G71" s="8" t="s">
        <v>429</v>
      </c>
      <c r="H71" s="8" t="s">
        <v>220</v>
      </c>
      <c r="I71" s="8">
        <f>151.35+137.2</f>
        <v>288.54999999999995</v>
      </c>
      <c r="J71" s="11">
        <v>0</v>
      </c>
      <c r="K71" s="89">
        <f t="shared" si="5"/>
        <v>840.83</v>
      </c>
      <c r="L71" s="11">
        <v>840.83</v>
      </c>
      <c r="M71" s="10">
        <f t="shared" si="4"/>
        <v>34.317281733525199</v>
      </c>
    </row>
    <row r="72" spans="1:18" ht="15" hidden="1" customHeight="1" x14ac:dyDescent="0.3">
      <c r="A72" s="9">
        <v>2650</v>
      </c>
      <c r="B72" s="8" t="s">
        <v>219</v>
      </c>
      <c r="C72" s="21">
        <v>44678</v>
      </c>
      <c r="D72" s="22">
        <v>0.48935185185185182</v>
      </c>
      <c r="E72" s="8" t="s">
        <v>27</v>
      </c>
      <c r="F72" s="8" t="s">
        <v>210</v>
      </c>
      <c r="G72" s="8" t="s">
        <v>211</v>
      </c>
      <c r="H72" s="8" t="s">
        <v>220</v>
      </c>
      <c r="I72" s="8">
        <v>328.29</v>
      </c>
      <c r="J72" s="11">
        <v>0</v>
      </c>
      <c r="K72" s="89">
        <f t="shared" si="5"/>
        <v>834.9</v>
      </c>
      <c r="L72" s="11">
        <v>834.9</v>
      </c>
      <c r="M72" s="10">
        <f t="shared" si="4"/>
        <v>39.320876751706798</v>
      </c>
    </row>
    <row r="73" spans="1:18" ht="15" hidden="1" customHeight="1" x14ac:dyDescent="0.3">
      <c r="A73" s="9">
        <v>2651</v>
      </c>
      <c r="B73" s="8" t="s">
        <v>219</v>
      </c>
      <c r="C73" s="21">
        <v>44678</v>
      </c>
      <c r="D73" s="22">
        <v>0.90302083333333327</v>
      </c>
      <c r="E73" s="8" t="s">
        <v>27</v>
      </c>
      <c r="F73" s="8" t="s">
        <v>165</v>
      </c>
      <c r="G73" s="8" t="s">
        <v>185</v>
      </c>
      <c r="H73" s="8" t="s">
        <v>220</v>
      </c>
      <c r="I73" s="8">
        <v>274.51</v>
      </c>
      <c r="J73" s="11">
        <v>0</v>
      </c>
      <c r="K73" s="89">
        <f t="shared" si="5"/>
        <v>548.19000000000005</v>
      </c>
      <c r="L73" s="11">
        <v>548.19000000000005</v>
      </c>
      <c r="M73" s="10">
        <f t="shared" si="4"/>
        <v>50.075703679381235</v>
      </c>
    </row>
    <row r="74" spans="1:18" ht="15" hidden="1" customHeight="1" x14ac:dyDescent="0.3">
      <c r="A74" s="9">
        <v>3755</v>
      </c>
      <c r="B74" s="8" t="s">
        <v>219</v>
      </c>
      <c r="C74" s="21">
        <v>44684</v>
      </c>
      <c r="D74" s="22">
        <v>0.49538194444444444</v>
      </c>
      <c r="E74" s="8" t="s">
        <v>28</v>
      </c>
      <c r="F74" s="8" t="s">
        <v>210</v>
      </c>
      <c r="G74" s="8" t="s">
        <v>211</v>
      </c>
      <c r="H74" s="8" t="s">
        <v>220</v>
      </c>
      <c r="I74" s="8">
        <v>392.34</v>
      </c>
      <c r="J74" s="11">
        <v>0</v>
      </c>
      <c r="K74" s="89">
        <f t="shared" si="5"/>
        <v>912</v>
      </c>
      <c r="L74" s="53">
        <v>912</v>
      </c>
      <c r="M74" s="10">
        <f t="shared" si="4"/>
        <v>43.01973684210526</v>
      </c>
    </row>
    <row r="75" spans="1:18" ht="15" hidden="1" customHeight="1" x14ac:dyDescent="0.3">
      <c r="A75" s="9">
        <v>3797</v>
      </c>
      <c r="B75" s="8" t="s">
        <v>219</v>
      </c>
      <c r="C75" s="21">
        <v>44685</v>
      </c>
      <c r="D75" s="22">
        <v>0.38096064814814817</v>
      </c>
      <c r="E75" s="8" t="s">
        <v>28</v>
      </c>
      <c r="F75" s="8" t="s">
        <v>169</v>
      </c>
      <c r="G75" s="8" t="s">
        <v>196</v>
      </c>
      <c r="H75" s="8" t="s">
        <v>220</v>
      </c>
      <c r="I75" s="8">
        <v>100</v>
      </c>
      <c r="J75" s="11">
        <v>0</v>
      </c>
      <c r="K75" s="89">
        <f t="shared" si="5"/>
        <v>500</v>
      </c>
      <c r="L75" s="53">
        <v>500</v>
      </c>
      <c r="M75" s="10">
        <f t="shared" si="4"/>
        <v>20</v>
      </c>
    </row>
    <row r="76" spans="1:18" ht="15" hidden="1" customHeight="1" x14ac:dyDescent="0.3">
      <c r="A76" s="9">
        <v>4157</v>
      </c>
      <c r="B76" s="8" t="s">
        <v>219</v>
      </c>
      <c r="C76" s="21">
        <v>44692</v>
      </c>
      <c r="D76" s="22">
        <v>0.7310416666666667</v>
      </c>
      <c r="E76" s="8" t="s">
        <v>28</v>
      </c>
      <c r="F76" s="8" t="s">
        <v>343</v>
      </c>
      <c r="G76" s="8" t="s">
        <v>344</v>
      </c>
      <c r="H76" s="8" t="s">
        <v>220</v>
      </c>
      <c r="I76" s="8">
        <v>200</v>
      </c>
      <c r="J76" s="11">
        <v>0</v>
      </c>
      <c r="K76" s="89">
        <f t="shared" si="5"/>
        <v>793</v>
      </c>
      <c r="L76" s="11">
        <v>793</v>
      </c>
      <c r="M76" s="10">
        <f t="shared" si="4"/>
        <v>25.220680958385877</v>
      </c>
    </row>
    <row r="77" spans="1:18" ht="15" hidden="1" customHeight="1" x14ac:dyDescent="0.3">
      <c r="A77" s="9">
        <v>4207</v>
      </c>
      <c r="B77" s="8" t="s">
        <v>219</v>
      </c>
      <c r="C77" s="21">
        <v>44693</v>
      </c>
      <c r="D77" s="22">
        <v>0.49</v>
      </c>
      <c r="E77" s="8" t="s">
        <v>28</v>
      </c>
      <c r="F77" s="8" t="s">
        <v>366</v>
      </c>
      <c r="G77" s="8" t="s">
        <v>367</v>
      </c>
      <c r="H77" s="8" t="s">
        <v>220</v>
      </c>
      <c r="I77" s="24">
        <v>100</v>
      </c>
      <c r="J77" s="31">
        <v>0</v>
      </c>
      <c r="K77" s="99">
        <f t="shared" si="5"/>
        <v>306</v>
      </c>
      <c r="L77" s="33">
        <v>306</v>
      </c>
      <c r="M77" s="10">
        <f t="shared" si="4"/>
        <v>32.679738562091501</v>
      </c>
    </row>
    <row r="78" spans="1:18" ht="15" hidden="1" customHeight="1" x14ac:dyDescent="0.3">
      <c r="A78" s="9">
        <v>4239</v>
      </c>
      <c r="B78" s="8" t="s">
        <v>219</v>
      </c>
      <c r="C78" s="21">
        <v>44693</v>
      </c>
      <c r="D78" s="22">
        <v>0.604375</v>
      </c>
      <c r="E78" s="8" t="s">
        <v>28</v>
      </c>
      <c r="F78" s="8" t="s">
        <v>166</v>
      </c>
      <c r="G78" s="8" t="s">
        <v>161</v>
      </c>
      <c r="H78" s="8" t="s">
        <v>220</v>
      </c>
      <c r="I78" s="24">
        <v>246.36500000000001</v>
      </c>
      <c r="J78" s="7">
        <v>0</v>
      </c>
      <c r="K78" s="90">
        <f t="shared" si="5"/>
        <v>123</v>
      </c>
      <c r="L78" s="32">
        <v>123</v>
      </c>
      <c r="M78" s="10">
        <f t="shared" si="4"/>
        <v>200.29674796747966</v>
      </c>
    </row>
    <row r="79" spans="1:18" ht="15" hidden="1" customHeight="1" x14ac:dyDescent="0.3">
      <c r="A79" s="9">
        <v>4264</v>
      </c>
      <c r="B79" s="8" t="s">
        <v>219</v>
      </c>
      <c r="C79" s="21">
        <v>44694</v>
      </c>
      <c r="D79" s="22">
        <v>0.48184027777777777</v>
      </c>
      <c r="E79" s="8" t="s">
        <v>28</v>
      </c>
      <c r="F79" s="8" t="s">
        <v>165</v>
      </c>
      <c r="G79" s="8" t="s">
        <v>185</v>
      </c>
      <c r="H79" s="8" t="s">
        <v>220</v>
      </c>
      <c r="I79" s="8">
        <v>300.02999999999997</v>
      </c>
      <c r="J79" s="29">
        <v>0</v>
      </c>
      <c r="K79" s="89">
        <f>+L79-J209</f>
        <v>627</v>
      </c>
      <c r="L79" s="68">
        <v>627</v>
      </c>
      <c r="M79" s="10">
        <f t="shared" si="4"/>
        <v>47.851674641148321</v>
      </c>
    </row>
    <row r="80" spans="1:18" ht="15" hidden="1" customHeight="1" x14ac:dyDescent="0.3">
      <c r="A80" s="9">
        <v>4306</v>
      </c>
      <c r="B80" s="8" t="s">
        <v>219</v>
      </c>
      <c r="C80" s="21">
        <v>44695</v>
      </c>
      <c r="D80" s="22">
        <v>0.66927083333333337</v>
      </c>
      <c r="E80" s="8" t="s">
        <v>28</v>
      </c>
      <c r="F80" s="8" t="s">
        <v>202</v>
      </c>
      <c r="G80" s="8" t="s">
        <v>203</v>
      </c>
      <c r="H80" s="8" t="s">
        <v>220</v>
      </c>
      <c r="I80" s="24">
        <v>200</v>
      </c>
      <c r="J80" s="7">
        <v>0</v>
      </c>
      <c r="K80" s="89">
        <f>+L80-J351</f>
        <v>1051</v>
      </c>
      <c r="L80" s="32">
        <v>1051</v>
      </c>
      <c r="M80" s="10">
        <f t="shared" si="4"/>
        <v>19.029495718363464</v>
      </c>
    </row>
    <row r="81" spans="1:13" ht="15" hidden="1" customHeight="1" x14ac:dyDescent="0.3">
      <c r="A81" s="9">
        <v>4374</v>
      </c>
      <c r="B81" s="8" t="s">
        <v>219</v>
      </c>
      <c r="C81" s="21">
        <v>44696</v>
      </c>
      <c r="D81" s="22">
        <v>0.69846064814814823</v>
      </c>
      <c r="E81" s="8" t="s">
        <v>28</v>
      </c>
      <c r="F81" s="8" t="s">
        <v>165</v>
      </c>
      <c r="G81" s="8" t="s">
        <v>185</v>
      </c>
      <c r="H81" s="8" t="s">
        <v>220</v>
      </c>
      <c r="I81" s="8">
        <v>379.9</v>
      </c>
      <c r="J81" s="11">
        <v>0</v>
      </c>
      <c r="K81" s="89">
        <f>+L81-J352</f>
        <v>575</v>
      </c>
      <c r="L81" s="53">
        <v>575</v>
      </c>
      <c r="M81" s="10">
        <f t="shared" si="4"/>
        <v>66.0695652173913</v>
      </c>
    </row>
    <row r="82" spans="1:13" ht="15" hidden="1" customHeight="1" x14ac:dyDescent="0.3">
      <c r="A82" s="9">
        <v>4483</v>
      </c>
      <c r="B82" s="8" t="s">
        <v>219</v>
      </c>
      <c r="C82" s="21">
        <v>44697</v>
      </c>
      <c r="D82" s="22">
        <v>0.57138888888888884</v>
      </c>
      <c r="E82" s="8" t="s">
        <v>28</v>
      </c>
      <c r="F82" s="8" t="s">
        <v>166</v>
      </c>
      <c r="G82" s="8" t="s">
        <v>161</v>
      </c>
      <c r="H82" s="8" t="s">
        <v>220</v>
      </c>
      <c r="I82" s="8">
        <v>100</v>
      </c>
      <c r="J82" s="11">
        <v>0</v>
      </c>
      <c r="K82" s="89">
        <f>+L82-J353</f>
        <v>590</v>
      </c>
      <c r="L82" s="53">
        <v>590</v>
      </c>
      <c r="M82" s="10">
        <f t="shared" si="4"/>
        <v>16.949152542372879</v>
      </c>
    </row>
    <row r="83" spans="1:13" ht="15" hidden="1" customHeight="1" x14ac:dyDescent="0.3">
      <c r="A83" s="9">
        <v>4541</v>
      </c>
      <c r="B83" s="8" t="s">
        <v>219</v>
      </c>
      <c r="C83" s="21">
        <v>44699</v>
      </c>
      <c r="D83" s="22">
        <v>0.4913541666666667</v>
      </c>
      <c r="E83" s="8" t="s">
        <v>28</v>
      </c>
      <c r="F83" s="8" t="s">
        <v>446</v>
      </c>
      <c r="G83" s="8" t="s">
        <v>402</v>
      </c>
      <c r="H83" s="8" t="s">
        <v>220</v>
      </c>
      <c r="I83" s="8">
        <v>292.39999999999998</v>
      </c>
      <c r="J83" s="11">
        <v>0</v>
      </c>
      <c r="K83" s="89">
        <f>+L83-J351</f>
        <v>595</v>
      </c>
      <c r="L83" s="53">
        <v>595</v>
      </c>
      <c r="M83" s="10">
        <f t="shared" si="4"/>
        <v>49.142857142857139</v>
      </c>
    </row>
    <row r="84" spans="1:13" ht="15" hidden="1" customHeight="1" x14ac:dyDescent="0.3">
      <c r="A84" s="9">
        <v>4594</v>
      </c>
      <c r="B84" s="8" t="s">
        <v>219</v>
      </c>
      <c r="C84" s="21">
        <v>44700</v>
      </c>
      <c r="D84" s="22">
        <v>0.85166666666666668</v>
      </c>
      <c r="E84" s="8" t="s">
        <v>28</v>
      </c>
      <c r="F84" s="8" t="s">
        <v>366</v>
      </c>
      <c r="G84" s="8" t="s">
        <v>367</v>
      </c>
      <c r="H84" s="8" t="s">
        <v>220</v>
      </c>
      <c r="I84" s="8">
        <v>100</v>
      </c>
      <c r="J84" s="11">
        <v>0</v>
      </c>
      <c r="K84" s="89">
        <f>+L84-J355</f>
        <v>1009</v>
      </c>
      <c r="L84" s="53">
        <v>1009</v>
      </c>
      <c r="M84" s="10">
        <f t="shared" si="4"/>
        <v>9.9108027750247771</v>
      </c>
    </row>
    <row r="85" spans="1:13" ht="15" hidden="1" customHeight="1" x14ac:dyDescent="0.3">
      <c r="A85" s="9">
        <v>4643</v>
      </c>
      <c r="B85" s="8" t="s">
        <v>219</v>
      </c>
      <c r="C85" s="21">
        <v>44701</v>
      </c>
      <c r="D85" s="22">
        <v>0.41952546296296295</v>
      </c>
      <c r="E85" s="8" t="s">
        <v>28</v>
      </c>
      <c r="F85" s="8" t="s">
        <v>166</v>
      </c>
      <c r="G85" s="8" t="s">
        <v>161</v>
      </c>
      <c r="H85" s="8" t="s">
        <v>220</v>
      </c>
      <c r="I85" s="8">
        <v>1189</v>
      </c>
      <c r="J85" s="11">
        <v>0</v>
      </c>
      <c r="K85" s="89">
        <f>+L85-J356</f>
        <v>123</v>
      </c>
      <c r="L85" s="53">
        <v>123</v>
      </c>
      <c r="M85" s="10">
        <f t="shared" si="4"/>
        <v>966.66666666666663</v>
      </c>
    </row>
    <row r="86" spans="1:13" ht="15" hidden="1" customHeight="1" x14ac:dyDescent="0.3">
      <c r="A86" s="9">
        <v>4718</v>
      </c>
      <c r="B86" s="8" t="s">
        <v>219</v>
      </c>
      <c r="C86" s="21">
        <v>44702</v>
      </c>
      <c r="D86" s="22">
        <v>0.68447916666666664</v>
      </c>
      <c r="E86" s="8" t="s">
        <v>28</v>
      </c>
      <c r="F86" s="8" t="s">
        <v>210</v>
      </c>
      <c r="G86" s="8" t="s">
        <v>211</v>
      </c>
      <c r="H86" s="8" t="s">
        <v>220</v>
      </c>
      <c r="I86" s="8">
        <v>447.45</v>
      </c>
      <c r="J86" s="11">
        <v>0</v>
      </c>
      <c r="K86" s="89">
        <f t="shared" ref="K86:K94" si="6">+L86-J353</f>
        <v>1139</v>
      </c>
      <c r="L86" s="53">
        <v>1139</v>
      </c>
      <c r="M86" s="10">
        <f t="shared" si="4"/>
        <v>39.284460052677787</v>
      </c>
    </row>
    <row r="87" spans="1:13" ht="15" hidden="1" customHeight="1" x14ac:dyDescent="0.3">
      <c r="A87" s="9">
        <v>4879</v>
      </c>
      <c r="B87" s="8" t="s">
        <v>219</v>
      </c>
      <c r="C87" s="21">
        <v>44705</v>
      </c>
      <c r="D87" s="22">
        <v>0.53059027777777779</v>
      </c>
      <c r="E87" s="8" t="s">
        <v>28</v>
      </c>
      <c r="F87" s="8" t="s">
        <v>197</v>
      </c>
      <c r="G87" s="8" t="s">
        <v>44</v>
      </c>
      <c r="H87" s="8" t="s">
        <v>220</v>
      </c>
      <c r="I87" s="8">
        <v>202</v>
      </c>
      <c r="J87" s="11">
        <v>0</v>
      </c>
      <c r="K87" s="89">
        <f t="shared" si="6"/>
        <v>1222</v>
      </c>
      <c r="L87" s="53">
        <v>1222</v>
      </c>
      <c r="M87" s="10">
        <f t="shared" si="4"/>
        <v>16.530278232405891</v>
      </c>
    </row>
    <row r="88" spans="1:13" ht="15" hidden="1" customHeight="1" x14ac:dyDescent="0.3">
      <c r="A88" s="9">
        <v>4880</v>
      </c>
      <c r="B88" s="8" t="s">
        <v>219</v>
      </c>
      <c r="C88" s="21">
        <v>44705</v>
      </c>
      <c r="D88" s="22">
        <v>0.63859953703703709</v>
      </c>
      <c r="E88" s="8" t="s">
        <v>28</v>
      </c>
      <c r="F88" s="8" t="s">
        <v>311</v>
      </c>
      <c r="G88" s="8" t="s">
        <v>303</v>
      </c>
      <c r="H88" s="8" t="s">
        <v>220</v>
      </c>
      <c r="I88" s="8">
        <v>212.17</v>
      </c>
      <c r="J88" s="11">
        <v>0</v>
      </c>
      <c r="K88" s="89">
        <f t="shared" si="6"/>
        <v>156</v>
      </c>
      <c r="L88" s="84">
        <v>156</v>
      </c>
      <c r="M88" s="10">
        <f t="shared" si="4"/>
        <v>136.00641025641025</v>
      </c>
    </row>
    <row r="89" spans="1:13" ht="15" hidden="1" customHeight="1" x14ac:dyDescent="0.3">
      <c r="A89" s="9">
        <v>4932</v>
      </c>
      <c r="B89" s="8" t="s">
        <v>219</v>
      </c>
      <c r="C89" s="21">
        <v>44706</v>
      </c>
      <c r="D89" s="22">
        <v>0.41482638888888884</v>
      </c>
      <c r="E89" s="8" t="s">
        <v>28</v>
      </c>
      <c r="F89" s="8" t="s">
        <v>210</v>
      </c>
      <c r="G89" s="8" t="s">
        <v>211</v>
      </c>
      <c r="H89" s="8" t="s">
        <v>220</v>
      </c>
      <c r="I89" s="24">
        <v>259.01</v>
      </c>
      <c r="J89" s="7">
        <v>0</v>
      </c>
      <c r="K89" s="89">
        <f t="shared" si="6"/>
        <v>431</v>
      </c>
      <c r="L89" s="32">
        <v>431</v>
      </c>
      <c r="M89" s="10">
        <f t="shared" si="4"/>
        <v>60.095127610208806</v>
      </c>
    </row>
    <row r="90" spans="1:13" ht="15" hidden="1" customHeight="1" x14ac:dyDescent="0.3">
      <c r="A90" s="9">
        <v>4933</v>
      </c>
      <c r="B90" s="8" t="s">
        <v>219</v>
      </c>
      <c r="C90" s="21">
        <v>44706</v>
      </c>
      <c r="D90" s="22">
        <v>0.88968749999999996</v>
      </c>
      <c r="E90" s="8" t="s">
        <v>28</v>
      </c>
      <c r="F90" s="8" t="s">
        <v>165</v>
      </c>
      <c r="G90" s="8" t="s">
        <v>185</v>
      </c>
      <c r="H90" s="8" t="s">
        <v>220</v>
      </c>
      <c r="I90" s="8">
        <v>252.04</v>
      </c>
      <c r="J90" s="30">
        <v>0</v>
      </c>
      <c r="K90" s="89">
        <f t="shared" si="6"/>
        <v>548</v>
      </c>
      <c r="L90" s="117">
        <v>548</v>
      </c>
      <c r="M90" s="10">
        <f t="shared" si="4"/>
        <v>45.992700729927009</v>
      </c>
    </row>
    <row r="91" spans="1:13" ht="15" hidden="1" customHeight="1" x14ac:dyDescent="0.3">
      <c r="A91" s="9">
        <v>5029</v>
      </c>
      <c r="B91" s="8" t="s">
        <v>219</v>
      </c>
      <c r="C91" s="21">
        <v>44708</v>
      </c>
      <c r="D91" s="22">
        <v>0.39864583333333337</v>
      </c>
      <c r="E91" s="8" t="s">
        <v>28</v>
      </c>
      <c r="F91" s="8" t="s">
        <v>634</v>
      </c>
      <c r="G91" s="8" t="s">
        <v>211</v>
      </c>
      <c r="H91" s="8" t="s">
        <v>220</v>
      </c>
      <c r="I91" s="8">
        <v>215.42</v>
      </c>
      <c r="J91" s="11">
        <v>0</v>
      </c>
      <c r="K91" s="89">
        <f t="shared" si="6"/>
        <v>574</v>
      </c>
      <c r="L91" s="7">
        <v>574</v>
      </c>
      <c r="M91" s="10">
        <f t="shared" si="4"/>
        <v>37.529616724738673</v>
      </c>
    </row>
    <row r="92" spans="1:13" ht="15" hidden="1" customHeight="1" x14ac:dyDescent="0.3">
      <c r="A92" s="9">
        <v>5145</v>
      </c>
      <c r="B92" s="8" t="s">
        <v>219</v>
      </c>
      <c r="C92" s="21">
        <v>44710</v>
      </c>
      <c r="D92" s="22">
        <v>0.46855324074074073</v>
      </c>
      <c r="E92" s="8" t="s">
        <v>28</v>
      </c>
      <c r="F92" s="8" t="s">
        <v>639</v>
      </c>
      <c r="G92" s="8" t="s">
        <v>44</v>
      </c>
      <c r="H92" s="8" t="s">
        <v>220</v>
      </c>
      <c r="I92" s="8">
        <v>115.68</v>
      </c>
      <c r="J92" s="11">
        <v>0</v>
      </c>
      <c r="K92" s="89">
        <f t="shared" si="6"/>
        <v>1163</v>
      </c>
      <c r="L92" s="83">
        <v>1163</v>
      </c>
      <c r="M92" s="10">
        <f t="shared" si="4"/>
        <v>9.9466895958727424</v>
      </c>
    </row>
    <row r="93" spans="1:13" ht="15" hidden="1" customHeight="1" x14ac:dyDescent="0.3">
      <c r="A93" s="9">
        <v>5146</v>
      </c>
      <c r="B93" s="8" t="s">
        <v>219</v>
      </c>
      <c r="C93" s="21">
        <v>44710</v>
      </c>
      <c r="D93" s="22">
        <v>0.58089120370370373</v>
      </c>
      <c r="E93" s="8" t="s">
        <v>28</v>
      </c>
      <c r="F93" s="8" t="s">
        <v>654</v>
      </c>
      <c r="G93" s="8" t="s">
        <v>303</v>
      </c>
      <c r="H93" s="8" t="s">
        <v>220</v>
      </c>
      <c r="I93" s="8">
        <v>250</v>
      </c>
      <c r="J93" s="11">
        <v>0</v>
      </c>
      <c r="K93" s="89">
        <f t="shared" si="6"/>
        <v>156</v>
      </c>
      <c r="L93" s="83">
        <v>156</v>
      </c>
      <c r="M93" s="10">
        <f t="shared" si="4"/>
        <v>160.25641025641028</v>
      </c>
    </row>
    <row r="94" spans="1:13" ht="15" hidden="1" customHeight="1" x14ac:dyDescent="0.3">
      <c r="A94" s="9">
        <v>5147</v>
      </c>
      <c r="B94" s="8" t="s">
        <v>219</v>
      </c>
      <c r="C94" s="21">
        <v>44710</v>
      </c>
      <c r="D94" s="22">
        <v>0.78560185185185183</v>
      </c>
      <c r="E94" s="8" t="s">
        <v>28</v>
      </c>
      <c r="F94" s="8" t="s">
        <v>632</v>
      </c>
      <c r="G94" s="8" t="s">
        <v>161</v>
      </c>
      <c r="H94" s="8" t="s">
        <v>220</v>
      </c>
      <c r="I94" s="8">
        <v>275.62</v>
      </c>
      <c r="J94" s="11">
        <v>0</v>
      </c>
      <c r="K94" s="89">
        <f t="shared" si="6"/>
        <v>354</v>
      </c>
      <c r="L94" s="83">
        <v>354</v>
      </c>
      <c r="M94" s="10">
        <f t="shared" si="4"/>
        <v>77.858757062146893</v>
      </c>
    </row>
    <row r="95" spans="1:13" ht="15" hidden="1" customHeight="1" x14ac:dyDescent="0.3">
      <c r="A95" s="9">
        <v>5198</v>
      </c>
      <c r="B95" s="8" t="s">
        <v>219</v>
      </c>
      <c r="C95" s="21">
        <v>44711</v>
      </c>
      <c r="D95" s="22">
        <v>0.81953703703703706</v>
      </c>
      <c r="E95" s="8" t="s">
        <v>28</v>
      </c>
      <c r="F95" s="8" t="s">
        <v>635</v>
      </c>
      <c r="G95" s="8" t="s">
        <v>185</v>
      </c>
      <c r="H95" s="8" t="s">
        <v>220</v>
      </c>
      <c r="I95" s="8">
        <v>293.01</v>
      </c>
      <c r="J95" s="53">
        <v>0</v>
      </c>
      <c r="K95" s="89">
        <f>+L95-J361</f>
        <v>624</v>
      </c>
      <c r="L95" s="83">
        <v>624</v>
      </c>
      <c r="M95" s="10">
        <f t="shared" si="4"/>
        <v>46.956730769230774</v>
      </c>
    </row>
    <row r="96" spans="1:13" ht="15.75" hidden="1" customHeight="1" x14ac:dyDescent="0.3">
      <c r="A96" s="9">
        <v>5278</v>
      </c>
      <c r="B96" s="8" t="s">
        <v>219</v>
      </c>
      <c r="C96" s="21">
        <v>44713</v>
      </c>
      <c r="D96" s="22">
        <v>0.61413194444444441</v>
      </c>
      <c r="E96" s="8" t="s">
        <v>29</v>
      </c>
      <c r="F96" s="8" t="s">
        <v>643</v>
      </c>
      <c r="G96" s="8" t="s">
        <v>203</v>
      </c>
      <c r="H96" s="8" t="s">
        <v>220</v>
      </c>
      <c r="I96" s="8">
        <v>341.97</v>
      </c>
      <c r="J96" s="53">
        <v>0</v>
      </c>
      <c r="K96" s="89">
        <f>+L96-J360</f>
        <v>1055</v>
      </c>
      <c r="L96" s="83">
        <v>1055</v>
      </c>
      <c r="M96" s="10">
        <f t="shared" si="4"/>
        <v>32.414218009478674</v>
      </c>
    </row>
    <row r="97" spans="1:20" ht="15" hidden="1" customHeight="1" x14ac:dyDescent="0.3">
      <c r="A97" s="9">
        <v>5341</v>
      </c>
      <c r="B97" s="8" t="s">
        <v>219</v>
      </c>
      <c r="C97" s="21">
        <v>44714</v>
      </c>
      <c r="D97" s="22">
        <v>0.75543981481481481</v>
      </c>
      <c r="E97" s="8" t="s">
        <v>29</v>
      </c>
      <c r="F97" s="8" t="s">
        <v>645</v>
      </c>
      <c r="G97" s="8" t="s">
        <v>279</v>
      </c>
      <c r="H97" s="8" t="s">
        <v>220</v>
      </c>
      <c r="I97" s="8">
        <v>296.13</v>
      </c>
      <c r="J97" s="53">
        <v>0</v>
      </c>
      <c r="K97" s="89">
        <f>+L97-J360</f>
        <v>736</v>
      </c>
      <c r="L97" s="7">
        <v>736</v>
      </c>
      <c r="M97" s="10">
        <f t="shared" si="4"/>
        <v>40.235054347826086</v>
      </c>
    </row>
    <row r="98" spans="1:20" ht="15" hidden="1" customHeight="1" x14ac:dyDescent="0.3">
      <c r="A98" s="9">
        <v>5405</v>
      </c>
      <c r="B98" s="8" t="s">
        <v>219</v>
      </c>
      <c r="C98" s="21">
        <v>44715</v>
      </c>
      <c r="D98" s="22">
        <v>0.84410879629629632</v>
      </c>
      <c r="E98" s="8" t="s">
        <v>29</v>
      </c>
      <c r="F98" s="8" t="s">
        <v>656</v>
      </c>
      <c r="G98" s="8" t="s">
        <v>495</v>
      </c>
      <c r="H98" s="8" t="s">
        <v>220</v>
      </c>
      <c r="I98" s="8">
        <v>99.97</v>
      </c>
      <c r="J98" s="53">
        <v>0</v>
      </c>
      <c r="K98" s="89">
        <f>+L98-J356</f>
        <v>831</v>
      </c>
      <c r="L98" s="11">
        <v>831</v>
      </c>
      <c r="M98" s="10">
        <f t="shared" si="4"/>
        <v>12.030084235860409</v>
      </c>
    </row>
    <row r="99" spans="1:20" ht="15" hidden="1" customHeight="1" x14ac:dyDescent="0.3">
      <c r="A99" s="9">
        <v>6052</v>
      </c>
      <c r="B99" s="8" t="s">
        <v>219</v>
      </c>
      <c r="C99" s="21">
        <v>44727</v>
      </c>
      <c r="D99" s="22">
        <v>0.68608796296296293</v>
      </c>
      <c r="E99" s="8" t="s">
        <v>29</v>
      </c>
      <c r="F99" s="8" t="s">
        <v>747</v>
      </c>
      <c r="G99" s="8" t="s">
        <v>539</v>
      </c>
      <c r="H99" s="8" t="s">
        <v>748</v>
      </c>
      <c r="I99" s="8">
        <v>354.93</v>
      </c>
      <c r="J99" s="107">
        <v>0</v>
      </c>
      <c r="K99" s="205"/>
      <c r="L99" s="213"/>
      <c r="M99" s="10" t="e">
        <f t="shared" si="4"/>
        <v>#DIV/0!</v>
      </c>
    </row>
    <row r="100" spans="1:20" ht="15" hidden="1" customHeight="1" x14ac:dyDescent="0.3">
      <c r="A100" s="9">
        <v>5607</v>
      </c>
      <c r="B100" s="8" t="s">
        <v>719</v>
      </c>
      <c r="C100" s="21">
        <v>44719</v>
      </c>
      <c r="D100" s="22">
        <v>0.82054398148148155</v>
      </c>
      <c r="E100" s="8" t="s">
        <v>29</v>
      </c>
      <c r="F100" s="8" t="s">
        <v>664</v>
      </c>
      <c r="G100" s="8" t="s">
        <v>388</v>
      </c>
      <c r="H100" s="8" t="s">
        <v>720</v>
      </c>
      <c r="I100" s="8">
        <v>45.97</v>
      </c>
      <c r="J100" s="53">
        <v>0</v>
      </c>
      <c r="K100" s="89" t="e">
        <f>+L100-#REF!</f>
        <v>#REF!</v>
      </c>
      <c r="L100" s="11"/>
      <c r="M100" s="10" t="e">
        <f t="shared" si="4"/>
        <v>#REF!</v>
      </c>
    </row>
    <row r="101" spans="1:20" ht="15" hidden="1" customHeight="1" x14ac:dyDescent="0.3">
      <c r="B101" s="8" t="s">
        <v>275</v>
      </c>
      <c r="C101" s="21">
        <v>44680</v>
      </c>
      <c r="D101" s="22">
        <v>0.42391203703703706</v>
      </c>
      <c r="E101" s="8" t="s">
        <v>580</v>
      </c>
      <c r="F101" s="8" t="s">
        <v>210</v>
      </c>
      <c r="G101" s="8" t="s">
        <v>211</v>
      </c>
      <c r="H101" s="8" t="s">
        <v>193</v>
      </c>
      <c r="I101" s="8">
        <v>575</v>
      </c>
      <c r="J101" s="11">
        <v>0</v>
      </c>
      <c r="K101" s="89">
        <f>+L101-J101</f>
        <v>1089.53</v>
      </c>
      <c r="L101" s="7">
        <v>1089.53</v>
      </c>
      <c r="M101" s="36">
        <f>I101/L101*100</f>
        <v>52.775049792112192</v>
      </c>
      <c r="O101" s="4" t="s">
        <v>79</v>
      </c>
      <c r="Q101" t="s">
        <v>29</v>
      </c>
      <c r="R101" s="18" t="s">
        <v>146</v>
      </c>
      <c r="S101" s="188" t="s">
        <v>37</v>
      </c>
      <c r="T101"/>
    </row>
    <row r="102" spans="1:20" ht="15" hidden="1" customHeight="1" x14ac:dyDescent="0.3">
      <c r="A102" s="9">
        <v>5729</v>
      </c>
      <c r="B102" s="8" t="s">
        <v>739</v>
      </c>
      <c r="C102" s="21">
        <v>44721</v>
      </c>
      <c r="D102" s="22">
        <v>0.62990740740740747</v>
      </c>
      <c r="E102" s="8" t="s">
        <v>29</v>
      </c>
      <c r="F102" s="8" t="s">
        <v>709</v>
      </c>
      <c r="G102" s="8" t="s">
        <v>44</v>
      </c>
      <c r="H102" s="8" t="s">
        <v>121</v>
      </c>
      <c r="I102" s="8">
        <v>303.66000000000003</v>
      </c>
      <c r="J102" s="11">
        <v>0</v>
      </c>
      <c r="K102" s="89">
        <f>+L102-J364</f>
        <v>1276</v>
      </c>
      <c r="L102" s="7">
        <v>1276</v>
      </c>
      <c r="M102" s="36">
        <f t="shared" ref="M102:M114" si="7">I102/K102*100</f>
        <v>23.797805642633229</v>
      </c>
    </row>
    <row r="103" spans="1:20" ht="15" hidden="1" customHeight="1" x14ac:dyDescent="0.3">
      <c r="A103" s="9">
        <v>6057</v>
      </c>
      <c r="B103" s="8" t="s">
        <v>751</v>
      </c>
      <c r="C103" s="21">
        <v>44727</v>
      </c>
      <c r="D103" s="22">
        <v>0.46398148148148149</v>
      </c>
      <c r="E103" s="8" t="s">
        <v>29</v>
      </c>
      <c r="F103" s="8" t="s">
        <v>634</v>
      </c>
      <c r="G103" s="8" t="s">
        <v>211</v>
      </c>
      <c r="H103" s="8" t="s">
        <v>121</v>
      </c>
      <c r="I103" s="164">
        <v>314</v>
      </c>
      <c r="J103" s="55">
        <v>0</v>
      </c>
      <c r="K103" s="96">
        <v>642</v>
      </c>
      <c r="L103" s="31">
        <v>642</v>
      </c>
      <c r="M103" s="121">
        <f t="shared" si="7"/>
        <v>48.909657320872277</v>
      </c>
    </row>
    <row r="104" spans="1:20" ht="15" hidden="1" customHeight="1" x14ac:dyDescent="0.3">
      <c r="A104" s="9">
        <v>6220</v>
      </c>
      <c r="B104" s="8" t="s">
        <v>751</v>
      </c>
      <c r="C104" s="21">
        <v>44730</v>
      </c>
      <c r="D104" s="22">
        <v>0.5540046296296296</v>
      </c>
      <c r="E104" s="8" t="s">
        <v>29</v>
      </c>
      <c r="F104" s="8" t="s">
        <v>634</v>
      </c>
      <c r="G104" s="8" t="s">
        <v>211</v>
      </c>
      <c r="H104" s="24" t="s">
        <v>121</v>
      </c>
      <c r="I104" s="160">
        <v>426.65</v>
      </c>
      <c r="J104" s="32">
        <v>0</v>
      </c>
      <c r="K104" s="90">
        <v>1000</v>
      </c>
      <c r="L104" s="7">
        <v>1000</v>
      </c>
      <c r="M104" s="91">
        <f t="shared" si="7"/>
        <v>42.664999999999999</v>
      </c>
    </row>
    <row r="105" spans="1:20" ht="15" hidden="1" customHeight="1" x14ac:dyDescent="0.3">
      <c r="A105" s="9">
        <v>6346</v>
      </c>
      <c r="B105" s="8" t="s">
        <v>751</v>
      </c>
      <c r="C105" s="21">
        <v>44734</v>
      </c>
      <c r="D105" s="22">
        <v>0.41192129629629631</v>
      </c>
      <c r="E105" s="8" t="s">
        <v>29</v>
      </c>
      <c r="F105" s="8" t="s">
        <v>638</v>
      </c>
      <c r="G105" s="8" t="s">
        <v>263</v>
      </c>
      <c r="H105" s="24" t="s">
        <v>121</v>
      </c>
      <c r="I105" s="160">
        <v>200.02</v>
      </c>
      <c r="J105" s="32">
        <v>0</v>
      </c>
      <c r="K105" s="90">
        <v>853</v>
      </c>
      <c r="L105" s="7">
        <v>853</v>
      </c>
      <c r="M105" s="91">
        <f t="shared" si="7"/>
        <v>23.449003516998829</v>
      </c>
    </row>
    <row r="106" spans="1:20" ht="15" hidden="1" customHeight="1" x14ac:dyDescent="0.3">
      <c r="A106" s="9">
        <v>6726</v>
      </c>
      <c r="B106" s="8" t="s">
        <v>751</v>
      </c>
      <c r="C106" s="21">
        <v>44741</v>
      </c>
      <c r="D106" s="22">
        <v>0.59741898148148154</v>
      </c>
      <c r="E106" s="8" t="s">
        <v>29</v>
      </c>
      <c r="F106" s="8" t="s">
        <v>651</v>
      </c>
      <c r="G106" s="8" t="s">
        <v>172</v>
      </c>
      <c r="H106" s="24" t="s">
        <v>121</v>
      </c>
      <c r="I106" s="160">
        <v>134.77000000000001</v>
      </c>
      <c r="J106" s="32">
        <v>0</v>
      </c>
      <c r="K106" s="90">
        <v>261</v>
      </c>
      <c r="L106" s="7">
        <v>261</v>
      </c>
      <c r="M106" s="91">
        <f t="shared" si="7"/>
        <v>51.636015325670506</v>
      </c>
    </row>
    <row r="107" spans="1:20" ht="15" hidden="1" customHeight="1" x14ac:dyDescent="0.3">
      <c r="B107" s="8" t="s">
        <v>405</v>
      </c>
      <c r="C107" s="21">
        <v>44680</v>
      </c>
      <c r="D107" s="22">
        <v>0.62331018518518522</v>
      </c>
      <c r="E107" s="8" t="s">
        <v>580</v>
      </c>
      <c r="F107" s="8" t="s">
        <v>166</v>
      </c>
      <c r="G107" s="8" t="s">
        <v>161</v>
      </c>
      <c r="H107" s="8" t="s">
        <v>233</v>
      </c>
      <c r="I107" s="44">
        <v>128.51</v>
      </c>
      <c r="J107" s="212"/>
      <c r="K107" s="92">
        <f>+L107-J245</f>
        <v>-704905</v>
      </c>
      <c r="L107" s="44">
        <v>1234</v>
      </c>
      <c r="M107" s="118">
        <f t="shared" si="7"/>
        <v>-1.8230825430377139E-2</v>
      </c>
      <c r="O107" s="4" t="s">
        <v>91</v>
      </c>
      <c r="Q107" t="s">
        <v>33</v>
      </c>
      <c r="R107" s="18" t="s">
        <v>10</v>
      </c>
      <c r="S107" s="12" t="s">
        <v>45</v>
      </c>
      <c r="T107"/>
    </row>
    <row r="108" spans="1:20" ht="15" hidden="1" customHeight="1" x14ac:dyDescent="0.3">
      <c r="B108" s="8" t="s">
        <v>405</v>
      </c>
      <c r="C108" s="21">
        <v>44680</v>
      </c>
      <c r="D108" s="22">
        <v>0.39842592592592596</v>
      </c>
      <c r="E108" s="8" t="s">
        <v>580</v>
      </c>
      <c r="F108" s="8" t="s">
        <v>459</v>
      </c>
      <c r="G108" s="8" t="s">
        <v>303</v>
      </c>
      <c r="H108" s="8" t="s">
        <v>233</v>
      </c>
      <c r="I108" s="8">
        <v>200</v>
      </c>
      <c r="J108" s="103"/>
      <c r="K108" s="89">
        <f>+L108-J246</f>
        <v>-608859</v>
      </c>
      <c r="L108" s="44">
        <v>98569</v>
      </c>
      <c r="M108" s="10">
        <f t="shared" si="7"/>
        <v>-3.2848327773753856E-2</v>
      </c>
      <c r="O108" s="4" t="s">
        <v>83</v>
      </c>
      <c r="R108" s="18" t="s">
        <v>153</v>
      </c>
      <c r="S108" s="12"/>
      <c r="T108"/>
    </row>
    <row r="109" spans="1:20" ht="15" hidden="1" customHeight="1" x14ac:dyDescent="0.3">
      <c r="A109" s="9">
        <v>6328</v>
      </c>
      <c r="B109" s="8" t="s">
        <v>756</v>
      </c>
      <c r="C109" s="21">
        <v>44734</v>
      </c>
      <c r="D109" s="22">
        <v>0.58468750000000003</v>
      </c>
      <c r="E109" s="8" t="s">
        <v>29</v>
      </c>
      <c r="F109" s="8" t="s">
        <v>651</v>
      </c>
      <c r="G109" s="8" t="s">
        <v>172</v>
      </c>
      <c r="H109" s="8" t="s">
        <v>313</v>
      </c>
      <c r="I109" s="8">
        <v>107.84</v>
      </c>
      <c r="J109" s="53">
        <v>0</v>
      </c>
      <c r="K109" s="89">
        <v>194</v>
      </c>
      <c r="L109" s="7">
        <v>194</v>
      </c>
      <c r="M109" s="10">
        <f t="shared" si="7"/>
        <v>55.58762886597939</v>
      </c>
    </row>
    <row r="110" spans="1:20" ht="15" hidden="1" customHeight="1" x14ac:dyDescent="0.3">
      <c r="A110" s="9">
        <v>6376</v>
      </c>
      <c r="B110" s="8" t="s">
        <v>756</v>
      </c>
      <c r="C110" s="21">
        <v>44735</v>
      </c>
      <c r="D110" s="22">
        <v>0.51280092592592597</v>
      </c>
      <c r="E110" s="8" t="s">
        <v>29</v>
      </c>
      <c r="F110" s="8" t="s">
        <v>634</v>
      </c>
      <c r="G110" s="8" t="s">
        <v>211</v>
      </c>
      <c r="H110" s="8" t="s">
        <v>313</v>
      </c>
      <c r="I110" s="8">
        <v>333.55</v>
      </c>
      <c r="J110" s="53">
        <v>0</v>
      </c>
      <c r="K110" s="89">
        <v>860</v>
      </c>
      <c r="L110" s="11">
        <v>860</v>
      </c>
      <c r="M110" s="10">
        <f t="shared" si="7"/>
        <v>38.784883720930239</v>
      </c>
    </row>
    <row r="111" spans="1:20" ht="15" hidden="1" customHeight="1" x14ac:dyDescent="0.3">
      <c r="A111" s="9">
        <v>6535</v>
      </c>
      <c r="B111" s="8" t="s">
        <v>756</v>
      </c>
      <c r="C111" s="21">
        <v>44738</v>
      </c>
      <c r="D111" s="22">
        <v>0.60200231481481481</v>
      </c>
      <c r="E111" s="8" t="s">
        <v>29</v>
      </c>
      <c r="F111" s="8" t="s">
        <v>634</v>
      </c>
      <c r="G111" s="8" t="s">
        <v>211</v>
      </c>
      <c r="H111" s="8" t="s">
        <v>313</v>
      </c>
      <c r="I111" s="8">
        <v>356.82</v>
      </c>
      <c r="J111" s="53">
        <v>0</v>
      </c>
      <c r="K111" s="89">
        <v>904</v>
      </c>
      <c r="L111" s="11">
        <v>904</v>
      </c>
      <c r="M111" s="10">
        <f t="shared" si="7"/>
        <v>39.471238938053098</v>
      </c>
    </row>
    <row r="112" spans="1:20" ht="15" hidden="1" customHeight="1" x14ac:dyDescent="0.3">
      <c r="A112" s="9">
        <v>6589</v>
      </c>
      <c r="B112" s="8" t="s">
        <v>756</v>
      </c>
      <c r="C112" s="21">
        <v>44739</v>
      </c>
      <c r="D112" s="22">
        <v>0.60804398148148142</v>
      </c>
      <c r="E112" s="8" t="s">
        <v>29</v>
      </c>
      <c r="F112" s="8" t="s">
        <v>693</v>
      </c>
      <c r="G112" s="8" t="s">
        <v>277</v>
      </c>
      <c r="H112" s="8" t="s">
        <v>313</v>
      </c>
      <c r="I112" s="8">
        <v>266.25</v>
      </c>
      <c r="J112" s="55">
        <v>0</v>
      </c>
      <c r="K112" s="96">
        <v>777</v>
      </c>
      <c r="L112" s="28">
        <v>777</v>
      </c>
      <c r="M112" s="10">
        <f t="shared" si="7"/>
        <v>34.266409266409262</v>
      </c>
    </row>
    <row r="113" spans="1:20" ht="15" hidden="1" customHeight="1" x14ac:dyDescent="0.3">
      <c r="A113" s="9">
        <v>6642</v>
      </c>
      <c r="B113" s="8" t="s">
        <v>756</v>
      </c>
      <c r="C113" s="21">
        <v>44740</v>
      </c>
      <c r="D113" s="22">
        <v>0.49957175925925923</v>
      </c>
      <c r="E113" s="8" t="s">
        <v>29</v>
      </c>
      <c r="F113" s="8" t="s">
        <v>662</v>
      </c>
      <c r="G113" s="8" t="s">
        <v>542</v>
      </c>
      <c r="H113" s="8" t="s">
        <v>313</v>
      </c>
      <c r="I113" s="24">
        <v>165.36</v>
      </c>
      <c r="J113" s="32">
        <v>0</v>
      </c>
      <c r="K113" s="90">
        <v>458</v>
      </c>
      <c r="L113" s="7">
        <v>458</v>
      </c>
      <c r="M113" s="10">
        <f t="shared" si="7"/>
        <v>36.104803493449786</v>
      </c>
    </row>
    <row r="114" spans="1:20" ht="15" hidden="1" customHeight="1" x14ac:dyDescent="0.3">
      <c r="A114" s="9">
        <v>6643</v>
      </c>
      <c r="B114" s="8" t="s">
        <v>756</v>
      </c>
      <c r="C114" s="21">
        <v>44740</v>
      </c>
      <c r="D114" s="22">
        <v>0.88163194444444448</v>
      </c>
      <c r="E114" s="8" t="s">
        <v>29</v>
      </c>
      <c r="F114" s="8" t="s">
        <v>634</v>
      </c>
      <c r="G114" s="8" t="s">
        <v>211</v>
      </c>
      <c r="H114" s="8" t="s">
        <v>313</v>
      </c>
      <c r="I114" s="8">
        <v>201.11</v>
      </c>
      <c r="J114" s="53">
        <v>0</v>
      </c>
      <c r="K114" s="89">
        <v>532</v>
      </c>
      <c r="L114" s="11">
        <v>532</v>
      </c>
      <c r="M114" s="10">
        <f t="shared" si="7"/>
        <v>37.80263157894737</v>
      </c>
    </row>
    <row r="115" spans="1:20" ht="15" hidden="1" customHeight="1" x14ac:dyDescent="0.3">
      <c r="A115" s="9">
        <v>6751</v>
      </c>
      <c r="B115" s="8" t="s">
        <v>756</v>
      </c>
      <c r="C115" s="21">
        <v>44742</v>
      </c>
      <c r="D115" s="22">
        <v>0.30959490740740742</v>
      </c>
      <c r="E115" s="8" t="s">
        <v>29</v>
      </c>
      <c r="F115" s="8" t="s">
        <v>210</v>
      </c>
      <c r="G115" s="8" t="s">
        <v>211</v>
      </c>
      <c r="H115" s="8" t="s">
        <v>313</v>
      </c>
      <c r="I115" s="164">
        <v>378.84</v>
      </c>
      <c r="J115" s="82"/>
      <c r="K115" s="82">
        <v>5252</v>
      </c>
      <c r="L115" s="82">
        <f>+K115-J115</f>
        <v>5252</v>
      </c>
      <c r="M115" s="10">
        <f>I115/L115*100</f>
        <v>7.2132520944402128</v>
      </c>
    </row>
    <row r="116" spans="1:20" ht="15" hidden="1" customHeight="1" x14ac:dyDescent="0.3">
      <c r="B116" s="8" t="s">
        <v>317</v>
      </c>
      <c r="C116" s="21">
        <v>44680</v>
      </c>
      <c r="D116" s="22">
        <v>0.57805555555555554</v>
      </c>
      <c r="E116" s="8" t="s">
        <v>580</v>
      </c>
      <c r="F116" s="8" t="s">
        <v>428</v>
      </c>
      <c r="G116" s="8" t="s">
        <v>429</v>
      </c>
      <c r="H116" s="24" t="s">
        <v>427</v>
      </c>
      <c r="I116" s="8">
        <v>200</v>
      </c>
      <c r="J116" s="55">
        <v>0</v>
      </c>
      <c r="K116" s="96">
        <f>+L116-J254</f>
        <v>897</v>
      </c>
      <c r="L116" s="55">
        <v>897</v>
      </c>
      <c r="M116" s="10">
        <f>I116/L116*100</f>
        <v>22.296544035674472</v>
      </c>
      <c r="O116" s="4" t="s">
        <v>82</v>
      </c>
      <c r="R116" s="187" t="s">
        <v>150</v>
      </c>
      <c r="S116" s="12"/>
      <c r="T116"/>
    </row>
    <row r="117" spans="1:20" ht="15" hidden="1" customHeight="1" x14ac:dyDescent="0.3">
      <c r="B117" s="8" t="s">
        <v>551</v>
      </c>
      <c r="C117" s="21">
        <v>44680</v>
      </c>
      <c r="D117" s="22">
        <v>0.74445601851851861</v>
      </c>
      <c r="E117" s="8" t="s">
        <v>580</v>
      </c>
      <c r="F117" s="8" t="s">
        <v>210</v>
      </c>
      <c r="G117" s="8" t="s">
        <v>211</v>
      </c>
      <c r="H117" s="8" t="s">
        <v>140</v>
      </c>
      <c r="I117" s="75">
        <v>434.23</v>
      </c>
      <c r="J117" s="32">
        <v>0</v>
      </c>
      <c r="K117" s="90">
        <f>+L117-J254</f>
        <v>1069</v>
      </c>
      <c r="L117" s="32">
        <v>1069</v>
      </c>
      <c r="M117" s="10">
        <f>I117/K117*100</f>
        <v>40.620205799812908</v>
      </c>
      <c r="O117" s="4" t="s">
        <v>78</v>
      </c>
      <c r="R117" s="18" t="s">
        <v>20</v>
      </c>
      <c r="S117" s="2"/>
      <c r="T117"/>
    </row>
    <row r="118" spans="1:20" ht="15" hidden="1" customHeight="1" x14ac:dyDescent="0.3">
      <c r="B118" s="8" t="s">
        <v>273</v>
      </c>
      <c r="C118" s="21">
        <v>44680</v>
      </c>
      <c r="D118" s="22">
        <v>0.86302083333333324</v>
      </c>
      <c r="E118" s="8" t="s">
        <v>580</v>
      </c>
      <c r="F118" s="8" t="s">
        <v>165</v>
      </c>
      <c r="G118" s="8" t="s">
        <v>185</v>
      </c>
      <c r="H118" s="8" t="s">
        <v>120</v>
      </c>
      <c r="I118" s="8">
        <v>188.01</v>
      </c>
      <c r="J118" s="67">
        <v>0</v>
      </c>
      <c r="K118" s="92">
        <f>+L118-J254</f>
        <v>429.78</v>
      </c>
      <c r="L118" s="34">
        <v>429.78</v>
      </c>
      <c r="M118" s="10">
        <f>I118/K118*100</f>
        <v>43.745637302806088</v>
      </c>
      <c r="O118" s="4" t="s">
        <v>86</v>
      </c>
      <c r="R118" s="18" t="s">
        <v>121</v>
      </c>
      <c r="S118" s="2"/>
      <c r="T118"/>
    </row>
    <row r="119" spans="1:20" ht="15" hidden="1" customHeight="1" x14ac:dyDescent="0.3">
      <c r="B119" s="8" t="s">
        <v>236</v>
      </c>
      <c r="C119" s="21">
        <v>44680</v>
      </c>
      <c r="D119" s="22">
        <v>0.5900347222222222</v>
      </c>
      <c r="E119" s="8" t="s">
        <v>580</v>
      </c>
      <c r="F119" s="8" t="s">
        <v>210</v>
      </c>
      <c r="G119" s="8" t="s">
        <v>211</v>
      </c>
      <c r="H119" s="8" t="s">
        <v>243</v>
      </c>
      <c r="I119" s="24">
        <v>144.47999999999999</v>
      </c>
      <c r="J119" s="23"/>
      <c r="K119" s="90">
        <f>+L119-J257</f>
        <v>8465</v>
      </c>
      <c r="L119" s="8">
        <v>8465</v>
      </c>
      <c r="M119" s="10">
        <f>I119/K119*100</f>
        <v>1.7067926757235674</v>
      </c>
      <c r="O119" s="4" t="s">
        <v>96</v>
      </c>
      <c r="R119" s="18" t="s">
        <v>154</v>
      </c>
      <c r="S119" s="2"/>
      <c r="T119"/>
    </row>
    <row r="120" spans="1:20" ht="15" hidden="1" customHeight="1" x14ac:dyDescent="0.3">
      <c r="B120" s="8" t="s">
        <v>257</v>
      </c>
      <c r="C120" s="21">
        <v>44680</v>
      </c>
      <c r="D120" s="22">
        <v>0.86166666666666669</v>
      </c>
      <c r="E120" s="8" t="s">
        <v>580</v>
      </c>
      <c r="F120" s="8" t="s">
        <v>165</v>
      </c>
      <c r="G120" s="8" t="s">
        <v>185</v>
      </c>
      <c r="H120" s="8" t="s">
        <v>124</v>
      </c>
      <c r="I120" s="8">
        <v>399.01</v>
      </c>
      <c r="J120" s="11">
        <v>0</v>
      </c>
      <c r="K120" s="96">
        <f>+L120-J257</f>
        <v>992.87</v>
      </c>
      <c r="L120" s="31">
        <v>992.87</v>
      </c>
      <c r="M120" s="10">
        <f>I120/K120*100</f>
        <v>40.187537139806821</v>
      </c>
      <c r="O120" s="4" t="s">
        <v>68</v>
      </c>
      <c r="R120" s="18" t="s">
        <v>109</v>
      </c>
      <c r="S120" s="2"/>
      <c r="T120"/>
    </row>
    <row r="121" spans="1:20" ht="15" hidden="1" customHeight="1" x14ac:dyDescent="0.3">
      <c r="B121" s="8" t="s">
        <v>423</v>
      </c>
      <c r="C121" s="21">
        <v>44680</v>
      </c>
      <c r="D121" s="22">
        <v>0.4472800925925926</v>
      </c>
      <c r="E121" s="8" t="s">
        <v>580</v>
      </c>
      <c r="F121" s="8" t="s">
        <v>428</v>
      </c>
      <c r="G121" s="8" t="s">
        <v>429</v>
      </c>
      <c r="H121" s="8" t="s">
        <v>424</v>
      </c>
      <c r="I121" s="54">
        <f>150.01+113.58</f>
        <v>263.58999999999997</v>
      </c>
      <c r="J121" s="28">
        <v>0</v>
      </c>
      <c r="K121" s="96">
        <f>+L121-J259</f>
        <v>247.99</v>
      </c>
      <c r="L121" s="31">
        <v>247.99</v>
      </c>
      <c r="M121" s="131">
        <f>I121/L121*100</f>
        <v>106.2905762329126</v>
      </c>
      <c r="O121" s="4" t="s">
        <v>47</v>
      </c>
      <c r="R121" s="18" t="s">
        <v>151</v>
      </c>
      <c r="S121" s="12"/>
      <c r="T121"/>
    </row>
    <row r="122" spans="1:20" ht="15" hidden="1" customHeight="1" x14ac:dyDescent="0.3">
      <c r="B122" s="8" t="s">
        <v>510</v>
      </c>
      <c r="C122" s="21">
        <v>44680</v>
      </c>
      <c r="D122" s="22">
        <v>0.81640046296296298</v>
      </c>
      <c r="E122" s="8" t="s">
        <v>580</v>
      </c>
      <c r="F122" s="8" t="s">
        <v>197</v>
      </c>
      <c r="G122" s="8" t="s">
        <v>44</v>
      </c>
      <c r="H122" s="24" t="s">
        <v>113</v>
      </c>
      <c r="I122" s="8">
        <v>96.93</v>
      </c>
      <c r="J122" s="32">
        <v>0</v>
      </c>
      <c r="K122" s="90">
        <f>+L122-J259</f>
        <v>253.62</v>
      </c>
      <c r="L122" s="32">
        <v>253.62</v>
      </c>
      <c r="M122" s="91">
        <f>I122/K122*100</f>
        <v>38.218594748048261</v>
      </c>
      <c r="O122" s="4" t="s">
        <v>53</v>
      </c>
      <c r="R122" s="18" t="s">
        <v>15</v>
      </c>
      <c r="S122" s="2"/>
      <c r="T122"/>
    </row>
    <row r="123" spans="1:20" ht="15" hidden="1" customHeight="1" x14ac:dyDescent="0.3">
      <c r="B123" s="8" t="s">
        <v>183</v>
      </c>
      <c r="C123" s="21">
        <v>44680</v>
      </c>
      <c r="D123" s="22">
        <v>0.4602430555555555</v>
      </c>
      <c r="E123" s="8" t="s">
        <v>580</v>
      </c>
      <c r="F123" s="8" t="s">
        <v>166</v>
      </c>
      <c r="G123" s="8" t="s">
        <v>161</v>
      </c>
      <c r="H123" s="8" t="s">
        <v>184</v>
      </c>
      <c r="I123" s="245">
        <v>222.27</v>
      </c>
      <c r="J123" s="67">
        <v>0</v>
      </c>
      <c r="K123" s="92">
        <f t="shared" ref="K123:K154" si="8">+L123-J123</f>
        <v>507.97</v>
      </c>
      <c r="L123" s="34">
        <v>507.97</v>
      </c>
      <c r="M123" s="61">
        <f>I123/L123*100</f>
        <v>43.756521054392977</v>
      </c>
      <c r="O123" s="4" t="s">
        <v>66</v>
      </c>
      <c r="P123" s="20" t="s">
        <v>159</v>
      </c>
      <c r="Q123" t="s">
        <v>25</v>
      </c>
      <c r="R123" s="18" t="s">
        <v>142</v>
      </c>
      <c r="S123" s="188" t="s">
        <v>157</v>
      </c>
      <c r="T123"/>
    </row>
    <row r="124" spans="1:20" ht="15" hidden="1" customHeight="1" x14ac:dyDescent="0.3">
      <c r="B124" s="8" t="s">
        <v>256</v>
      </c>
      <c r="C124" s="21">
        <v>44680</v>
      </c>
      <c r="D124" s="22">
        <v>0.2129861111111111</v>
      </c>
      <c r="E124" s="8" t="s">
        <v>580</v>
      </c>
      <c r="F124" s="8" t="s">
        <v>165</v>
      </c>
      <c r="G124" s="8" t="s">
        <v>185</v>
      </c>
      <c r="H124" s="8" t="s">
        <v>128</v>
      </c>
      <c r="I124" s="8">
        <v>273</v>
      </c>
      <c r="J124" s="103"/>
      <c r="K124" s="89">
        <f t="shared" si="8"/>
        <v>763103</v>
      </c>
      <c r="L124" s="8">
        <v>763103</v>
      </c>
      <c r="M124" s="10">
        <f t="shared" ref="M124:M155" si="9">I124/K124*100</f>
        <v>3.5774987124935952E-2</v>
      </c>
      <c r="O124" s="4" t="s">
        <v>92</v>
      </c>
      <c r="R124" s="18" t="s">
        <v>113</v>
      </c>
      <c r="S124" s="2"/>
      <c r="T124"/>
    </row>
    <row r="125" spans="1:20" ht="15" hidden="1" customHeight="1" x14ac:dyDescent="0.3">
      <c r="B125" s="8" t="s">
        <v>208</v>
      </c>
      <c r="C125" s="21">
        <v>44680</v>
      </c>
      <c r="D125" s="22">
        <v>0.84737268518518516</v>
      </c>
      <c r="E125" s="8" t="s">
        <v>580</v>
      </c>
      <c r="F125" s="8" t="s">
        <v>210</v>
      </c>
      <c r="G125" s="8" t="s">
        <v>211</v>
      </c>
      <c r="H125" s="8" t="s">
        <v>209</v>
      </c>
      <c r="I125" s="8">
        <v>467.74</v>
      </c>
      <c r="J125" s="53">
        <v>0</v>
      </c>
      <c r="K125" s="89">
        <f t="shared" si="8"/>
        <v>1124.6400000000001</v>
      </c>
      <c r="L125" s="7">
        <v>1124.6400000000001</v>
      </c>
      <c r="M125" s="10">
        <f t="shared" si="9"/>
        <v>41.59019775216958</v>
      </c>
      <c r="O125" s="4" t="s">
        <v>46</v>
      </c>
      <c r="Q125" t="s">
        <v>34</v>
      </c>
      <c r="R125" s="18" t="s">
        <v>11</v>
      </c>
      <c r="S125" s="12"/>
      <c r="T125"/>
    </row>
    <row r="126" spans="1:20" ht="15" hidden="1" customHeight="1" x14ac:dyDescent="0.3">
      <c r="B126" s="8" t="s">
        <v>356</v>
      </c>
      <c r="C126" s="21">
        <v>44572</v>
      </c>
      <c r="D126" s="22">
        <v>0.51780092592592586</v>
      </c>
      <c r="E126" s="8" t="s">
        <v>24</v>
      </c>
      <c r="F126" s="8" t="s">
        <v>175</v>
      </c>
      <c r="G126" s="8" t="s">
        <v>172</v>
      </c>
      <c r="H126" s="8" t="s">
        <v>113</v>
      </c>
      <c r="I126" s="8">
        <v>356.7</v>
      </c>
      <c r="J126" s="11">
        <v>0</v>
      </c>
      <c r="K126" s="11">
        <f t="shared" si="8"/>
        <v>906.92</v>
      </c>
      <c r="L126" s="7">
        <v>906.92</v>
      </c>
      <c r="M126" s="10">
        <f t="shared" si="9"/>
        <v>39.330922242314649</v>
      </c>
    </row>
    <row r="127" spans="1:20" ht="15" hidden="1" customHeight="1" x14ac:dyDescent="0.3">
      <c r="B127" s="8" t="s">
        <v>356</v>
      </c>
      <c r="C127" s="21">
        <v>44573</v>
      </c>
      <c r="D127" s="22">
        <v>0.40056712962962965</v>
      </c>
      <c r="E127" s="8" t="s">
        <v>24</v>
      </c>
      <c r="F127" s="8" t="s">
        <v>175</v>
      </c>
      <c r="G127" s="8" t="s">
        <v>172</v>
      </c>
      <c r="H127" s="8" t="s">
        <v>113</v>
      </c>
      <c r="I127" s="8">
        <v>145.01</v>
      </c>
      <c r="J127" s="11">
        <v>0</v>
      </c>
      <c r="K127" s="11">
        <f t="shared" si="8"/>
        <v>402.63</v>
      </c>
      <c r="L127" s="7">
        <v>402.63</v>
      </c>
      <c r="M127" s="10">
        <f t="shared" si="9"/>
        <v>36.015696793582194</v>
      </c>
    </row>
    <row r="128" spans="1:20" ht="15" hidden="1" customHeight="1" x14ac:dyDescent="0.3">
      <c r="B128" s="8" t="s">
        <v>356</v>
      </c>
      <c r="C128" s="21">
        <v>44574</v>
      </c>
      <c r="D128" s="22">
        <v>0.43821759259259263</v>
      </c>
      <c r="E128" s="8" t="s">
        <v>24</v>
      </c>
      <c r="F128" s="8" t="s">
        <v>210</v>
      </c>
      <c r="G128" s="8" t="s">
        <v>211</v>
      </c>
      <c r="H128" s="8" t="s">
        <v>113</v>
      </c>
      <c r="I128" s="8">
        <v>328.41</v>
      </c>
      <c r="J128" s="11">
        <v>0</v>
      </c>
      <c r="K128" s="11">
        <f t="shared" si="8"/>
        <v>828.4</v>
      </c>
      <c r="L128" s="7">
        <v>828.4</v>
      </c>
      <c r="M128" s="10">
        <f t="shared" si="9"/>
        <v>39.643891839690973</v>
      </c>
    </row>
    <row r="129" spans="1:13" ht="15" hidden="1" customHeight="1" x14ac:dyDescent="0.3">
      <c r="B129" s="8" t="s">
        <v>356</v>
      </c>
      <c r="C129" s="21">
        <v>44575</v>
      </c>
      <c r="D129" s="22">
        <v>0.77039351851851856</v>
      </c>
      <c r="E129" s="8" t="s">
        <v>24</v>
      </c>
      <c r="F129" s="8" t="s">
        <v>210</v>
      </c>
      <c r="G129" s="8" t="s">
        <v>211</v>
      </c>
      <c r="H129" s="8" t="s">
        <v>113</v>
      </c>
      <c r="I129" s="8">
        <v>400.6</v>
      </c>
      <c r="J129" s="11">
        <v>0</v>
      </c>
      <c r="K129" s="11">
        <f t="shared" si="8"/>
        <v>1063.47</v>
      </c>
      <c r="L129" s="7">
        <v>1063.47</v>
      </c>
      <c r="M129" s="10">
        <f t="shared" si="9"/>
        <v>37.66913970304757</v>
      </c>
    </row>
    <row r="130" spans="1:13" ht="15" hidden="1" customHeight="1" x14ac:dyDescent="0.3">
      <c r="B130" s="8" t="s">
        <v>356</v>
      </c>
      <c r="C130" s="21">
        <v>44576</v>
      </c>
      <c r="D130" s="22">
        <v>0.79484953703703709</v>
      </c>
      <c r="E130" s="8" t="s">
        <v>24</v>
      </c>
      <c r="F130" s="8" t="s">
        <v>175</v>
      </c>
      <c r="G130" s="8" t="s">
        <v>172</v>
      </c>
      <c r="H130" s="8" t="s">
        <v>113</v>
      </c>
      <c r="I130" s="8">
        <v>348.22</v>
      </c>
      <c r="J130" s="11">
        <v>0</v>
      </c>
      <c r="K130" s="11">
        <f t="shared" si="8"/>
        <v>916.73</v>
      </c>
      <c r="L130" s="7">
        <v>916.73</v>
      </c>
      <c r="M130" s="10">
        <f t="shared" si="9"/>
        <v>37.985011944629285</v>
      </c>
    </row>
    <row r="131" spans="1:13" ht="15" hidden="1" customHeight="1" x14ac:dyDescent="0.3">
      <c r="B131" s="8" t="s">
        <v>356</v>
      </c>
      <c r="C131" s="21">
        <v>44578</v>
      </c>
      <c r="D131" s="22">
        <v>0.47341435185185188</v>
      </c>
      <c r="E131" s="8" t="s">
        <v>24</v>
      </c>
      <c r="F131" s="8" t="s">
        <v>210</v>
      </c>
      <c r="G131" s="8" t="s">
        <v>211</v>
      </c>
      <c r="H131" s="8" t="s">
        <v>113</v>
      </c>
      <c r="I131" s="8">
        <v>330.63</v>
      </c>
      <c r="J131" s="11">
        <v>0</v>
      </c>
      <c r="K131" s="11">
        <f t="shared" si="8"/>
        <v>824.14</v>
      </c>
      <c r="L131" s="7">
        <v>824.14</v>
      </c>
      <c r="M131" s="10">
        <f t="shared" si="9"/>
        <v>40.118183803722665</v>
      </c>
    </row>
    <row r="132" spans="1:13" ht="15" hidden="1" customHeight="1" x14ac:dyDescent="0.3">
      <c r="B132" s="8" t="s">
        <v>356</v>
      </c>
      <c r="C132" s="21">
        <v>44578</v>
      </c>
      <c r="D132" s="22">
        <v>0.89268518518518514</v>
      </c>
      <c r="E132" s="8" t="s">
        <v>24</v>
      </c>
      <c r="F132" s="8" t="s">
        <v>165</v>
      </c>
      <c r="G132" s="8" t="s">
        <v>185</v>
      </c>
      <c r="H132" s="8" t="s">
        <v>113</v>
      </c>
      <c r="I132" s="8">
        <v>100</v>
      </c>
      <c r="J132" s="11">
        <v>0</v>
      </c>
      <c r="K132" s="30">
        <f t="shared" si="8"/>
        <v>547.66</v>
      </c>
      <c r="L132" s="34">
        <v>547.66</v>
      </c>
      <c r="M132" s="10">
        <f t="shared" si="9"/>
        <v>18.259504071869408</v>
      </c>
    </row>
    <row r="133" spans="1:13" ht="15" hidden="1" customHeight="1" x14ac:dyDescent="0.3">
      <c r="B133" s="8" t="s">
        <v>356</v>
      </c>
      <c r="C133" s="21">
        <v>44579</v>
      </c>
      <c r="D133" s="22">
        <v>0.76579861111111114</v>
      </c>
      <c r="E133" s="8" t="s">
        <v>24</v>
      </c>
      <c r="F133" s="8" t="s">
        <v>210</v>
      </c>
      <c r="G133" s="8" t="s">
        <v>211</v>
      </c>
      <c r="H133" s="8" t="s">
        <v>113</v>
      </c>
      <c r="I133" s="8">
        <v>391.99</v>
      </c>
      <c r="J133" s="11">
        <v>0</v>
      </c>
      <c r="K133" s="11">
        <f t="shared" si="8"/>
        <v>572.88</v>
      </c>
      <c r="L133" s="7">
        <v>572.88</v>
      </c>
      <c r="M133" s="10">
        <f t="shared" si="9"/>
        <v>68.424451892193829</v>
      </c>
    </row>
    <row r="134" spans="1:13" ht="15" hidden="1" customHeight="1" x14ac:dyDescent="0.3">
      <c r="B134" s="8" t="s">
        <v>356</v>
      </c>
      <c r="C134" s="21">
        <v>44581</v>
      </c>
      <c r="D134" s="22">
        <v>0.64608796296296289</v>
      </c>
      <c r="E134" s="8" t="s">
        <v>24</v>
      </c>
      <c r="F134" s="8" t="s">
        <v>175</v>
      </c>
      <c r="G134" s="8" t="s">
        <v>172</v>
      </c>
      <c r="H134" s="8" t="s">
        <v>113</v>
      </c>
      <c r="I134" s="8">
        <v>361.89</v>
      </c>
      <c r="J134" s="11">
        <v>0</v>
      </c>
      <c r="K134" s="11">
        <f t="shared" si="8"/>
        <v>845.23</v>
      </c>
      <c r="L134" s="7">
        <v>845.23</v>
      </c>
      <c r="M134" s="10">
        <f t="shared" si="9"/>
        <v>42.8155649941436</v>
      </c>
    </row>
    <row r="135" spans="1:13" ht="15" hidden="1" customHeight="1" x14ac:dyDescent="0.3">
      <c r="B135" s="8" t="s">
        <v>356</v>
      </c>
      <c r="C135" s="21">
        <v>44582</v>
      </c>
      <c r="D135" s="22">
        <v>0.61996527777777777</v>
      </c>
      <c r="E135" s="8" t="s">
        <v>24</v>
      </c>
      <c r="F135" s="8" t="s">
        <v>210</v>
      </c>
      <c r="G135" s="8" t="s">
        <v>211</v>
      </c>
      <c r="H135" s="8" t="s">
        <v>113</v>
      </c>
      <c r="I135" s="8">
        <v>340.04</v>
      </c>
      <c r="J135" s="11">
        <v>0</v>
      </c>
      <c r="K135" s="11">
        <f t="shared" si="8"/>
        <v>831.31</v>
      </c>
      <c r="L135" s="7">
        <v>831.31</v>
      </c>
      <c r="M135" s="10">
        <f t="shared" si="9"/>
        <v>40.90411519168542</v>
      </c>
    </row>
    <row r="136" spans="1:13" ht="15" hidden="1" customHeight="1" x14ac:dyDescent="0.3">
      <c r="B136" s="8" t="s">
        <v>356</v>
      </c>
      <c r="C136" s="21">
        <v>44583</v>
      </c>
      <c r="D136" s="22">
        <v>0.64385416666666673</v>
      </c>
      <c r="E136" s="8" t="s">
        <v>24</v>
      </c>
      <c r="F136" s="8" t="s">
        <v>210</v>
      </c>
      <c r="G136" s="8" t="s">
        <v>211</v>
      </c>
      <c r="H136" s="8" t="s">
        <v>113</v>
      </c>
      <c r="I136" s="8">
        <v>366.36</v>
      </c>
      <c r="J136" s="11">
        <v>0</v>
      </c>
      <c r="K136" s="11">
        <f t="shared" si="8"/>
        <v>1062.3599999999999</v>
      </c>
      <c r="L136" s="7">
        <v>1062.3599999999999</v>
      </c>
      <c r="M136" s="10">
        <f t="shared" si="9"/>
        <v>34.485485146278101</v>
      </c>
    </row>
    <row r="137" spans="1:13" ht="15" hidden="1" customHeight="1" x14ac:dyDescent="0.3">
      <c r="B137" s="8" t="s">
        <v>356</v>
      </c>
      <c r="C137" s="21">
        <v>44586</v>
      </c>
      <c r="D137" s="22">
        <v>0.36953703703703705</v>
      </c>
      <c r="E137" s="8" t="s">
        <v>24</v>
      </c>
      <c r="F137" s="8" t="s">
        <v>175</v>
      </c>
      <c r="G137" s="8" t="s">
        <v>172</v>
      </c>
      <c r="H137" s="8" t="s">
        <v>113</v>
      </c>
      <c r="I137" s="8">
        <v>328.21</v>
      </c>
      <c r="J137" s="11">
        <v>0</v>
      </c>
      <c r="K137" s="11">
        <f t="shared" si="8"/>
        <v>907.91</v>
      </c>
      <c r="L137" s="7">
        <v>907.91</v>
      </c>
      <c r="M137" s="10">
        <f t="shared" si="9"/>
        <v>36.150058926545583</v>
      </c>
    </row>
    <row r="138" spans="1:13" ht="15" hidden="1" customHeight="1" x14ac:dyDescent="0.3">
      <c r="B138" s="8" t="s">
        <v>356</v>
      </c>
      <c r="C138" s="21">
        <v>44591</v>
      </c>
      <c r="D138" s="22">
        <v>0.42413194444444446</v>
      </c>
      <c r="E138" s="8" t="s">
        <v>24</v>
      </c>
      <c r="F138" s="8" t="s">
        <v>210</v>
      </c>
      <c r="G138" s="8" t="s">
        <v>211</v>
      </c>
      <c r="H138" s="8" t="s">
        <v>113</v>
      </c>
      <c r="I138" s="8">
        <v>342.35</v>
      </c>
      <c r="J138" s="11">
        <v>0</v>
      </c>
      <c r="K138" s="11">
        <f t="shared" si="8"/>
        <v>853.61</v>
      </c>
      <c r="L138" s="7">
        <v>853.61</v>
      </c>
      <c r="M138" s="10">
        <f t="shared" si="9"/>
        <v>40.106137463244337</v>
      </c>
    </row>
    <row r="139" spans="1:13" ht="15" hidden="1" customHeight="1" x14ac:dyDescent="0.3">
      <c r="B139" s="8" t="s">
        <v>356</v>
      </c>
      <c r="C139" s="21">
        <v>44592</v>
      </c>
      <c r="D139" s="22">
        <v>0.59256944444444448</v>
      </c>
      <c r="E139" s="8" t="s">
        <v>24</v>
      </c>
      <c r="F139" s="8" t="s">
        <v>210</v>
      </c>
      <c r="G139" s="8" t="s">
        <v>211</v>
      </c>
      <c r="H139" s="8" t="s">
        <v>113</v>
      </c>
      <c r="I139" s="8">
        <v>422.36</v>
      </c>
      <c r="J139" s="11">
        <v>0</v>
      </c>
      <c r="K139" s="11">
        <f t="shared" si="8"/>
        <v>1062.79</v>
      </c>
      <c r="L139" s="7">
        <v>1062.79</v>
      </c>
      <c r="M139" s="10">
        <f t="shared" si="9"/>
        <v>39.740682543117643</v>
      </c>
    </row>
    <row r="140" spans="1:13" ht="15" hidden="1" customHeight="1" x14ac:dyDescent="0.3">
      <c r="A140" s="9">
        <v>13</v>
      </c>
      <c r="B140" s="8" t="s">
        <v>356</v>
      </c>
      <c r="C140" s="21">
        <v>44563</v>
      </c>
      <c r="D140" s="22">
        <v>0.4337037037037037</v>
      </c>
      <c r="E140" s="8" t="s">
        <v>24</v>
      </c>
      <c r="F140" s="8" t="s">
        <v>197</v>
      </c>
      <c r="G140" s="8" t="s">
        <v>44</v>
      </c>
      <c r="H140" s="8" t="s">
        <v>282</v>
      </c>
      <c r="I140" s="8">
        <v>274.5</v>
      </c>
      <c r="J140" s="11">
        <v>723520</v>
      </c>
      <c r="K140" s="11">
        <f t="shared" si="8"/>
        <v>872</v>
      </c>
      <c r="L140" s="7">
        <v>724392</v>
      </c>
      <c r="M140" s="10">
        <f t="shared" si="9"/>
        <v>31.479357798165136</v>
      </c>
    </row>
    <row r="141" spans="1:13" ht="15" hidden="1" customHeight="1" x14ac:dyDescent="0.3">
      <c r="A141" s="9">
        <v>14</v>
      </c>
      <c r="B141" s="8" t="s">
        <v>356</v>
      </c>
      <c r="C141" s="21">
        <v>44564</v>
      </c>
      <c r="D141" s="22">
        <v>4.6527777777777774E-3</v>
      </c>
      <c r="E141" s="8" t="s">
        <v>24</v>
      </c>
      <c r="F141" s="8" t="s">
        <v>210</v>
      </c>
      <c r="G141" s="8" t="s">
        <v>211</v>
      </c>
      <c r="H141" s="8" t="s">
        <v>282</v>
      </c>
      <c r="I141" s="8">
        <v>280.86</v>
      </c>
      <c r="J141" s="11">
        <v>724392</v>
      </c>
      <c r="K141" s="11">
        <f t="shared" si="8"/>
        <v>587</v>
      </c>
      <c r="L141" s="7">
        <v>724979</v>
      </c>
      <c r="M141" s="10">
        <f t="shared" si="9"/>
        <v>47.846678023850089</v>
      </c>
    </row>
    <row r="142" spans="1:13" ht="15" hidden="1" customHeight="1" x14ac:dyDescent="0.3">
      <c r="A142" s="9">
        <v>15</v>
      </c>
      <c r="B142" s="8" t="s">
        <v>356</v>
      </c>
      <c r="C142" s="21">
        <v>44564</v>
      </c>
      <c r="D142" s="22">
        <v>0.69643518518518521</v>
      </c>
      <c r="E142" s="8" t="s">
        <v>24</v>
      </c>
      <c r="F142" s="8" t="s">
        <v>165</v>
      </c>
      <c r="G142" s="8" t="s">
        <v>185</v>
      </c>
      <c r="H142" s="8" t="s">
        <v>282</v>
      </c>
      <c r="I142" s="8">
        <v>290.01</v>
      </c>
      <c r="J142" s="28">
        <v>724979</v>
      </c>
      <c r="K142" s="28">
        <f t="shared" si="8"/>
        <v>548</v>
      </c>
      <c r="L142" s="31">
        <v>725527</v>
      </c>
      <c r="M142" s="10">
        <f t="shared" si="9"/>
        <v>52.921532846715323</v>
      </c>
    </row>
    <row r="143" spans="1:13" ht="15" hidden="1" customHeight="1" x14ac:dyDescent="0.3">
      <c r="A143" s="9">
        <v>16</v>
      </c>
      <c r="B143" s="8" t="s">
        <v>356</v>
      </c>
      <c r="C143" s="21">
        <v>44566</v>
      </c>
      <c r="D143" s="22">
        <v>0.43035879629629631</v>
      </c>
      <c r="E143" s="8" t="s">
        <v>24</v>
      </c>
      <c r="F143" s="8" t="s">
        <v>340</v>
      </c>
      <c r="G143" s="8" t="s">
        <v>337</v>
      </c>
      <c r="H143" s="8" t="s">
        <v>282</v>
      </c>
      <c r="I143" s="24">
        <v>300.22000000000003</v>
      </c>
      <c r="J143" s="7">
        <v>725527</v>
      </c>
      <c r="K143" s="7">
        <f t="shared" si="8"/>
        <v>827</v>
      </c>
      <c r="L143" s="7">
        <v>726354</v>
      </c>
      <c r="M143" s="10">
        <f t="shared" si="9"/>
        <v>36.302297460701332</v>
      </c>
    </row>
    <row r="144" spans="1:13" ht="15" hidden="1" customHeight="1" x14ac:dyDescent="0.3">
      <c r="A144" s="9">
        <v>17</v>
      </c>
      <c r="B144" s="8" t="s">
        <v>356</v>
      </c>
      <c r="C144" s="21">
        <v>44567</v>
      </c>
      <c r="D144" s="22">
        <v>0.68096064814814816</v>
      </c>
      <c r="E144" s="8" t="s">
        <v>24</v>
      </c>
      <c r="F144" s="8" t="s">
        <v>165</v>
      </c>
      <c r="G144" s="8" t="s">
        <v>185</v>
      </c>
      <c r="H144" s="8" t="s">
        <v>282</v>
      </c>
      <c r="I144" s="8">
        <v>375</v>
      </c>
      <c r="J144" s="30">
        <v>726354</v>
      </c>
      <c r="K144" s="30">
        <f t="shared" si="8"/>
        <v>802</v>
      </c>
      <c r="L144" s="34">
        <v>727156</v>
      </c>
      <c r="M144" s="10">
        <f t="shared" si="9"/>
        <v>46.758104738154614</v>
      </c>
    </row>
    <row r="145" spans="1:13" ht="15" hidden="1" customHeight="1" x14ac:dyDescent="0.3">
      <c r="A145" s="9">
        <v>18</v>
      </c>
      <c r="B145" s="8" t="s">
        <v>356</v>
      </c>
      <c r="C145" s="21">
        <v>44568</v>
      </c>
      <c r="D145" s="22">
        <v>0.35706018518518517</v>
      </c>
      <c r="E145" s="8" t="s">
        <v>24</v>
      </c>
      <c r="F145" s="8" t="s">
        <v>210</v>
      </c>
      <c r="G145" s="8" t="s">
        <v>211</v>
      </c>
      <c r="H145" s="8" t="s">
        <v>282</v>
      </c>
      <c r="I145" s="8">
        <v>175.02</v>
      </c>
      <c r="J145" s="11">
        <v>727156</v>
      </c>
      <c r="K145" s="11">
        <f t="shared" si="8"/>
        <v>512</v>
      </c>
      <c r="L145" s="7">
        <v>727668</v>
      </c>
      <c r="M145" s="10">
        <f t="shared" si="9"/>
        <v>34.18359375</v>
      </c>
    </row>
    <row r="146" spans="1:13" ht="15" hidden="1" customHeight="1" x14ac:dyDescent="0.3">
      <c r="A146" s="9">
        <v>19</v>
      </c>
      <c r="B146" s="8" t="s">
        <v>356</v>
      </c>
      <c r="C146" s="21">
        <v>44569</v>
      </c>
      <c r="D146" s="22">
        <v>0.53959490740740745</v>
      </c>
      <c r="E146" s="8" t="s">
        <v>24</v>
      </c>
      <c r="F146" s="8" t="s">
        <v>175</v>
      </c>
      <c r="G146" s="8" t="s">
        <v>172</v>
      </c>
      <c r="H146" s="8" t="s">
        <v>282</v>
      </c>
      <c r="I146" s="8">
        <v>377.74</v>
      </c>
      <c r="J146" s="11">
        <v>727668</v>
      </c>
      <c r="K146" s="11">
        <f t="shared" si="8"/>
        <v>899</v>
      </c>
      <c r="L146" s="7">
        <v>728567</v>
      </c>
      <c r="M146" s="10">
        <f t="shared" si="9"/>
        <v>42.017797552836484</v>
      </c>
    </row>
    <row r="147" spans="1:13" ht="15" hidden="1" customHeight="1" x14ac:dyDescent="0.3">
      <c r="A147" s="9">
        <v>731</v>
      </c>
      <c r="B147" s="8" t="s">
        <v>356</v>
      </c>
      <c r="C147" s="21">
        <v>44593</v>
      </c>
      <c r="D147" s="22">
        <v>0.6725578703703704</v>
      </c>
      <c r="E147" s="8" t="s">
        <v>25</v>
      </c>
      <c r="F147" s="8" t="s">
        <v>175</v>
      </c>
      <c r="G147" s="8" t="s">
        <v>172</v>
      </c>
      <c r="H147" s="8" t="s">
        <v>113</v>
      </c>
      <c r="I147" s="24">
        <v>340.31</v>
      </c>
      <c r="J147" s="11">
        <v>0</v>
      </c>
      <c r="K147" s="11">
        <f t="shared" si="8"/>
        <v>916.81</v>
      </c>
      <c r="L147" s="7">
        <v>916.81</v>
      </c>
      <c r="M147" s="10">
        <f t="shared" si="9"/>
        <v>37.118923222914233</v>
      </c>
    </row>
    <row r="148" spans="1:13" ht="15" hidden="1" customHeight="1" x14ac:dyDescent="0.3">
      <c r="A148" s="9">
        <v>732</v>
      </c>
      <c r="B148" s="8" t="s">
        <v>356</v>
      </c>
      <c r="C148" s="21">
        <v>44596</v>
      </c>
      <c r="D148" s="22">
        <v>0.37386574074074069</v>
      </c>
      <c r="E148" s="8" t="s">
        <v>25</v>
      </c>
      <c r="F148" s="8" t="s">
        <v>210</v>
      </c>
      <c r="G148" s="8" t="s">
        <v>211</v>
      </c>
      <c r="H148" s="8" t="s">
        <v>113</v>
      </c>
      <c r="I148" s="24">
        <v>386.6</v>
      </c>
      <c r="J148" s="11">
        <v>0</v>
      </c>
      <c r="K148" s="11">
        <f t="shared" si="8"/>
        <v>940.13</v>
      </c>
      <c r="L148" s="7">
        <v>940.13</v>
      </c>
      <c r="M148" s="10">
        <f t="shared" si="9"/>
        <v>41.121972493165842</v>
      </c>
    </row>
    <row r="149" spans="1:13" ht="15" hidden="1" customHeight="1" x14ac:dyDescent="0.3">
      <c r="A149" s="9">
        <v>733</v>
      </c>
      <c r="B149" s="8" t="s">
        <v>356</v>
      </c>
      <c r="C149" s="21">
        <v>44596</v>
      </c>
      <c r="D149" s="22">
        <v>0.79542824074074081</v>
      </c>
      <c r="E149" s="8" t="s">
        <v>25</v>
      </c>
      <c r="F149" s="8" t="s">
        <v>165</v>
      </c>
      <c r="G149" s="8" t="s">
        <v>185</v>
      </c>
      <c r="H149" s="8" t="s">
        <v>113</v>
      </c>
      <c r="I149" s="24">
        <v>256.14999999999998</v>
      </c>
      <c r="J149" s="7">
        <v>0</v>
      </c>
      <c r="K149" s="11">
        <f t="shared" si="8"/>
        <v>547.65</v>
      </c>
      <c r="L149" s="7">
        <v>547.65</v>
      </c>
      <c r="M149" s="10">
        <f t="shared" si="9"/>
        <v>46.772573724093853</v>
      </c>
    </row>
    <row r="150" spans="1:13" ht="15" hidden="1" customHeight="1" x14ac:dyDescent="0.3">
      <c r="A150" s="9">
        <v>734</v>
      </c>
      <c r="B150" s="8" t="s">
        <v>356</v>
      </c>
      <c r="C150" s="21">
        <v>44597</v>
      </c>
      <c r="D150" s="22">
        <v>0.55812499999999998</v>
      </c>
      <c r="E150" s="8" t="s">
        <v>25</v>
      </c>
      <c r="F150" s="8" t="s">
        <v>340</v>
      </c>
      <c r="G150" s="8" t="s">
        <v>337</v>
      </c>
      <c r="H150" s="8" t="s">
        <v>113</v>
      </c>
      <c r="I150" s="24">
        <v>259.74</v>
      </c>
      <c r="J150" s="34">
        <v>0</v>
      </c>
      <c r="K150" s="11">
        <f t="shared" si="8"/>
        <v>826.56</v>
      </c>
      <c r="L150" s="34">
        <v>826.56</v>
      </c>
      <c r="M150" s="10">
        <f t="shared" si="9"/>
        <v>31.424216027874568</v>
      </c>
    </row>
    <row r="151" spans="1:13" ht="15" hidden="1" customHeight="1" x14ac:dyDescent="0.3">
      <c r="A151" s="9">
        <v>735</v>
      </c>
      <c r="B151" s="8" t="s">
        <v>356</v>
      </c>
      <c r="C151" s="21">
        <v>44598</v>
      </c>
      <c r="D151" s="22">
        <v>0.67811342592592594</v>
      </c>
      <c r="E151" s="8" t="s">
        <v>25</v>
      </c>
      <c r="F151" s="8" t="s">
        <v>165</v>
      </c>
      <c r="G151" s="8" t="s">
        <v>185</v>
      </c>
      <c r="H151" s="8" t="s">
        <v>113</v>
      </c>
      <c r="I151" s="24">
        <v>338.57</v>
      </c>
      <c r="J151" s="11">
        <v>0</v>
      </c>
      <c r="K151" s="11">
        <f t="shared" si="8"/>
        <v>803.66</v>
      </c>
      <c r="L151" s="7">
        <v>803.66</v>
      </c>
      <c r="M151" s="10">
        <f t="shared" si="9"/>
        <v>42.12851205733768</v>
      </c>
    </row>
    <row r="152" spans="1:13" ht="15" hidden="1" customHeight="1" x14ac:dyDescent="0.3">
      <c r="A152" s="9">
        <v>736</v>
      </c>
      <c r="B152" s="8" t="s">
        <v>356</v>
      </c>
      <c r="C152" s="21">
        <v>44599</v>
      </c>
      <c r="D152" s="22">
        <v>0.92420138888888881</v>
      </c>
      <c r="E152" s="8" t="s">
        <v>25</v>
      </c>
      <c r="F152" s="8" t="s">
        <v>210</v>
      </c>
      <c r="G152" s="8" t="s">
        <v>211</v>
      </c>
      <c r="H152" s="8" t="s">
        <v>113</v>
      </c>
      <c r="I152" s="24">
        <v>228.68</v>
      </c>
      <c r="J152" s="7">
        <v>0</v>
      </c>
      <c r="K152" s="11">
        <f t="shared" si="8"/>
        <v>572.16</v>
      </c>
      <c r="L152" s="7">
        <v>572.16</v>
      </c>
      <c r="M152" s="10">
        <f t="shared" si="9"/>
        <v>39.967841163310965</v>
      </c>
    </row>
    <row r="153" spans="1:13" ht="15" hidden="1" customHeight="1" x14ac:dyDescent="0.3">
      <c r="A153" s="9">
        <v>737</v>
      </c>
      <c r="B153" s="8" t="s">
        <v>356</v>
      </c>
      <c r="C153" s="21">
        <v>44601</v>
      </c>
      <c r="D153" s="22">
        <v>0.37299768518518522</v>
      </c>
      <c r="E153" s="8" t="s">
        <v>25</v>
      </c>
      <c r="F153" s="8" t="s">
        <v>175</v>
      </c>
      <c r="G153" s="8" t="s">
        <v>172</v>
      </c>
      <c r="H153" s="8" t="s">
        <v>113</v>
      </c>
      <c r="I153" s="24">
        <v>346.08</v>
      </c>
      <c r="J153" s="7">
        <v>0</v>
      </c>
      <c r="K153" s="11">
        <f t="shared" si="8"/>
        <v>978.6</v>
      </c>
      <c r="L153" s="7">
        <v>978.6</v>
      </c>
      <c r="M153" s="10">
        <f t="shared" si="9"/>
        <v>35.364806866952783</v>
      </c>
    </row>
    <row r="154" spans="1:13" ht="15" hidden="1" customHeight="1" x14ac:dyDescent="0.3">
      <c r="A154" s="9">
        <v>738</v>
      </c>
      <c r="B154" s="8" t="s">
        <v>356</v>
      </c>
      <c r="C154" s="21">
        <v>44606</v>
      </c>
      <c r="D154" s="22">
        <v>0.42722222222222223</v>
      </c>
      <c r="E154" s="8" t="s">
        <v>25</v>
      </c>
      <c r="F154" s="8" t="s">
        <v>210</v>
      </c>
      <c r="G154" s="8" t="s">
        <v>211</v>
      </c>
      <c r="H154" s="8" t="s">
        <v>113</v>
      </c>
      <c r="I154" s="24">
        <v>365.71</v>
      </c>
      <c r="J154" s="29">
        <v>0</v>
      </c>
      <c r="K154" s="11">
        <f t="shared" si="8"/>
        <v>888.37</v>
      </c>
      <c r="L154" s="35">
        <v>888.37</v>
      </c>
      <c r="M154" s="10">
        <f t="shared" si="9"/>
        <v>41.166405889437954</v>
      </c>
    </row>
    <row r="155" spans="1:13" ht="15" hidden="1" customHeight="1" x14ac:dyDescent="0.3">
      <c r="A155" s="9">
        <v>739</v>
      </c>
      <c r="B155" s="8" t="s">
        <v>356</v>
      </c>
      <c r="C155" s="21">
        <v>44607</v>
      </c>
      <c r="D155" s="22">
        <v>0.5216898148148148</v>
      </c>
      <c r="E155" s="8" t="s">
        <v>25</v>
      </c>
      <c r="F155" s="8" t="s">
        <v>210</v>
      </c>
      <c r="G155" s="8" t="s">
        <v>211</v>
      </c>
      <c r="H155" s="8" t="s">
        <v>113</v>
      </c>
      <c r="I155" s="24">
        <v>383.23</v>
      </c>
      <c r="J155" s="7">
        <v>0</v>
      </c>
      <c r="K155" s="11">
        <f t="shared" ref="K155:K186" si="10">+L155-J155</f>
        <v>1062.6199999999999</v>
      </c>
      <c r="L155" s="32">
        <v>1062.6199999999999</v>
      </c>
      <c r="M155" s="10">
        <f t="shared" si="9"/>
        <v>36.064632700306795</v>
      </c>
    </row>
    <row r="156" spans="1:13" ht="15" hidden="1" customHeight="1" x14ac:dyDescent="0.3">
      <c r="A156" s="9">
        <v>740</v>
      </c>
      <c r="B156" s="8" t="s">
        <v>356</v>
      </c>
      <c r="C156" s="21">
        <v>44608</v>
      </c>
      <c r="D156" s="22">
        <v>0.92085648148148147</v>
      </c>
      <c r="E156" s="8" t="s">
        <v>25</v>
      </c>
      <c r="F156" s="8" t="s">
        <v>175</v>
      </c>
      <c r="G156" s="8" t="s">
        <v>172</v>
      </c>
      <c r="H156" s="8" t="s">
        <v>113</v>
      </c>
      <c r="I156" s="24">
        <v>346.73</v>
      </c>
      <c r="J156" s="29">
        <v>0</v>
      </c>
      <c r="K156" s="11">
        <f t="shared" si="10"/>
        <v>944.83</v>
      </c>
      <c r="L156" s="68">
        <v>944.83</v>
      </c>
      <c r="M156" s="10">
        <f t="shared" ref="M156:M187" si="11">I156/K156*100</f>
        <v>36.697606976916482</v>
      </c>
    </row>
    <row r="157" spans="1:13" ht="15" hidden="1" customHeight="1" x14ac:dyDescent="0.3">
      <c r="A157" s="9">
        <v>741</v>
      </c>
      <c r="B157" s="8" t="s">
        <v>356</v>
      </c>
      <c r="C157" s="21">
        <v>44609</v>
      </c>
      <c r="D157" s="22">
        <v>0.82428240740740744</v>
      </c>
      <c r="E157" s="8" t="s">
        <v>25</v>
      </c>
      <c r="F157" s="8" t="s">
        <v>210</v>
      </c>
      <c r="G157" s="8" t="s">
        <v>211</v>
      </c>
      <c r="H157" s="8" t="s">
        <v>113</v>
      </c>
      <c r="I157" s="24">
        <v>326.60000000000002</v>
      </c>
      <c r="J157" s="7">
        <v>0</v>
      </c>
      <c r="K157" s="11">
        <f t="shared" si="10"/>
        <v>820.67</v>
      </c>
      <c r="L157" s="7">
        <v>820.67</v>
      </c>
      <c r="M157" s="10">
        <f t="shared" si="11"/>
        <v>39.796751434803276</v>
      </c>
    </row>
    <row r="158" spans="1:13" ht="15" hidden="1" customHeight="1" x14ac:dyDescent="0.3">
      <c r="A158" s="9">
        <v>742</v>
      </c>
      <c r="B158" s="8" t="s">
        <v>356</v>
      </c>
      <c r="C158" s="21">
        <v>44611</v>
      </c>
      <c r="D158" s="22">
        <v>0.30306712962962962</v>
      </c>
      <c r="E158" s="8" t="s">
        <v>25</v>
      </c>
      <c r="F158" s="8" t="s">
        <v>210</v>
      </c>
      <c r="G158" s="8" t="s">
        <v>211</v>
      </c>
      <c r="H158" s="8" t="s">
        <v>113</v>
      </c>
      <c r="I158" s="24">
        <v>394.1</v>
      </c>
      <c r="J158" s="11">
        <v>0</v>
      </c>
      <c r="K158" s="11">
        <f t="shared" si="10"/>
        <v>1063.78</v>
      </c>
      <c r="L158" s="11">
        <v>1063.78</v>
      </c>
      <c r="M158" s="10">
        <f t="shared" si="11"/>
        <v>37.047133805862117</v>
      </c>
    </row>
    <row r="159" spans="1:13" ht="15" hidden="1" customHeight="1" x14ac:dyDescent="0.3">
      <c r="A159" s="9">
        <v>743</v>
      </c>
      <c r="B159" s="8" t="s">
        <v>356</v>
      </c>
      <c r="C159" s="21">
        <v>44612</v>
      </c>
      <c r="D159" s="22">
        <v>0.69401620370370365</v>
      </c>
      <c r="E159" s="8" t="s">
        <v>25</v>
      </c>
      <c r="F159" s="8" t="s">
        <v>175</v>
      </c>
      <c r="G159" s="8" t="s">
        <v>172</v>
      </c>
      <c r="H159" s="8" t="s">
        <v>113</v>
      </c>
      <c r="I159" s="24">
        <f>94.07+239.52</f>
        <v>333.59000000000003</v>
      </c>
      <c r="J159" s="11">
        <v>0</v>
      </c>
      <c r="K159" s="11">
        <f t="shared" si="10"/>
        <v>920.24</v>
      </c>
      <c r="L159" s="7">
        <v>920.24</v>
      </c>
      <c r="M159" s="10">
        <f t="shared" si="11"/>
        <v>36.250326001912548</v>
      </c>
    </row>
    <row r="160" spans="1:13" ht="15" hidden="1" customHeight="1" x14ac:dyDescent="0.3">
      <c r="A160" s="9">
        <v>744</v>
      </c>
      <c r="B160" s="8" t="s">
        <v>356</v>
      </c>
      <c r="C160" s="21">
        <v>44617</v>
      </c>
      <c r="D160" s="22">
        <v>0.797337962962963</v>
      </c>
      <c r="E160" s="8" t="s">
        <v>25</v>
      </c>
      <c r="F160" s="8" t="s">
        <v>171</v>
      </c>
      <c r="G160" s="8" t="s">
        <v>172</v>
      </c>
      <c r="H160" s="8" t="s">
        <v>113</v>
      </c>
      <c r="I160" s="24">
        <v>203.19</v>
      </c>
      <c r="J160" s="11">
        <v>0</v>
      </c>
      <c r="K160" s="11">
        <f t="shared" si="10"/>
        <v>565.57000000000005</v>
      </c>
      <c r="L160" s="7">
        <v>565.57000000000005</v>
      </c>
      <c r="M160" s="10">
        <f t="shared" si="11"/>
        <v>35.926587336669193</v>
      </c>
    </row>
    <row r="161" spans="1:13" ht="15" hidden="1" customHeight="1" x14ac:dyDescent="0.3">
      <c r="A161" s="9">
        <v>745</v>
      </c>
      <c r="B161" s="8" t="s">
        <v>356</v>
      </c>
      <c r="C161" s="21">
        <v>44618</v>
      </c>
      <c r="D161" s="22">
        <v>0.57136574074074076</v>
      </c>
      <c r="E161" s="8" t="s">
        <v>25</v>
      </c>
      <c r="F161" s="8" t="s">
        <v>210</v>
      </c>
      <c r="G161" s="8" t="s">
        <v>211</v>
      </c>
      <c r="H161" s="8" t="s">
        <v>113</v>
      </c>
      <c r="I161" s="24">
        <v>271.98</v>
      </c>
      <c r="J161" s="11">
        <v>0</v>
      </c>
      <c r="K161" s="11">
        <f t="shared" si="10"/>
        <v>688.87</v>
      </c>
      <c r="L161" s="7">
        <v>688.87</v>
      </c>
      <c r="M161" s="10">
        <f t="shared" si="11"/>
        <v>39.482050314282816</v>
      </c>
    </row>
    <row r="162" spans="1:13" ht="15" hidden="1" customHeight="1" x14ac:dyDescent="0.3">
      <c r="A162" s="9">
        <v>746</v>
      </c>
      <c r="B162" s="8" t="s">
        <v>356</v>
      </c>
      <c r="C162" s="21">
        <v>44619</v>
      </c>
      <c r="D162" s="22">
        <v>1.5821759259259261E-2</v>
      </c>
      <c r="E162" s="8" t="s">
        <v>25</v>
      </c>
      <c r="F162" s="8" t="s">
        <v>165</v>
      </c>
      <c r="G162" s="8" t="s">
        <v>185</v>
      </c>
      <c r="H162" s="8" t="s">
        <v>113</v>
      </c>
      <c r="I162" s="24">
        <v>100</v>
      </c>
      <c r="J162" s="7">
        <v>0</v>
      </c>
      <c r="K162" s="11">
        <f t="shared" si="10"/>
        <v>548.41999999999996</v>
      </c>
      <c r="L162" s="7">
        <v>548.41999999999996</v>
      </c>
      <c r="M162" s="10">
        <f t="shared" si="11"/>
        <v>18.234200065643122</v>
      </c>
    </row>
    <row r="163" spans="1:13" ht="15" hidden="1" customHeight="1" x14ac:dyDescent="0.3">
      <c r="A163" s="9">
        <v>747</v>
      </c>
      <c r="B163" s="8" t="s">
        <v>356</v>
      </c>
      <c r="C163" s="21">
        <v>44620</v>
      </c>
      <c r="D163" s="22">
        <v>0.72454861111111113</v>
      </c>
      <c r="E163" s="8" t="s">
        <v>25</v>
      </c>
      <c r="F163" s="8" t="s">
        <v>210</v>
      </c>
      <c r="G163" s="8" t="s">
        <v>211</v>
      </c>
      <c r="H163" s="8" t="s">
        <v>113</v>
      </c>
      <c r="I163" s="24">
        <v>339.73</v>
      </c>
      <c r="J163" s="7">
        <v>0</v>
      </c>
      <c r="K163" s="11">
        <f t="shared" si="10"/>
        <v>573.5</v>
      </c>
      <c r="L163" s="7">
        <v>573.5</v>
      </c>
      <c r="M163" s="10">
        <f t="shared" si="11"/>
        <v>59.238012205754146</v>
      </c>
    </row>
    <row r="164" spans="1:13" ht="15" hidden="1" customHeight="1" x14ac:dyDescent="0.3">
      <c r="A164" s="9">
        <v>1274</v>
      </c>
      <c r="B164" s="8" t="s">
        <v>356</v>
      </c>
      <c r="C164" s="21">
        <v>44636</v>
      </c>
      <c r="D164" s="22">
        <v>0.47976851851851854</v>
      </c>
      <c r="E164" s="8" t="s">
        <v>26</v>
      </c>
      <c r="F164" s="8" t="s">
        <v>205</v>
      </c>
      <c r="G164" s="8" t="s">
        <v>206</v>
      </c>
      <c r="H164" s="8" t="s">
        <v>302</v>
      </c>
      <c r="I164" s="24">
        <v>150.05000000000001</v>
      </c>
      <c r="J164" s="32">
        <v>0</v>
      </c>
      <c r="K164" s="89">
        <f t="shared" si="10"/>
        <v>8.6199999999999992</v>
      </c>
      <c r="L164" s="32">
        <v>8.6199999999999992</v>
      </c>
      <c r="M164" s="10">
        <f t="shared" si="11"/>
        <v>1740.7192575406036</v>
      </c>
    </row>
    <row r="165" spans="1:13" ht="15" hidden="1" customHeight="1" x14ac:dyDescent="0.3">
      <c r="A165" s="9">
        <v>1275</v>
      </c>
      <c r="B165" s="8" t="s">
        <v>356</v>
      </c>
      <c r="C165" s="21">
        <v>44637</v>
      </c>
      <c r="D165" s="22">
        <v>0.39112268518518517</v>
      </c>
      <c r="E165" s="8" t="s">
        <v>26</v>
      </c>
      <c r="F165" s="8" t="s">
        <v>210</v>
      </c>
      <c r="G165" s="8" t="s">
        <v>211</v>
      </c>
      <c r="H165" s="8" t="s">
        <v>302</v>
      </c>
      <c r="I165" s="24">
        <v>335.01</v>
      </c>
      <c r="J165" s="32">
        <v>0</v>
      </c>
      <c r="K165" s="89">
        <f t="shared" si="10"/>
        <v>748.24</v>
      </c>
      <c r="L165" s="32">
        <v>748.24</v>
      </c>
      <c r="M165" s="10">
        <f t="shared" si="11"/>
        <v>44.773067464984493</v>
      </c>
    </row>
    <row r="166" spans="1:13" ht="15" hidden="1" customHeight="1" x14ac:dyDescent="0.3">
      <c r="A166" s="9">
        <v>1276</v>
      </c>
      <c r="B166" s="8" t="s">
        <v>356</v>
      </c>
      <c r="C166" s="21">
        <v>44638</v>
      </c>
      <c r="D166" s="22">
        <v>0.36711805555555554</v>
      </c>
      <c r="E166" s="8" t="s">
        <v>26</v>
      </c>
      <c r="F166" s="8" t="s">
        <v>166</v>
      </c>
      <c r="G166" s="8" t="s">
        <v>161</v>
      </c>
      <c r="H166" s="8" t="s">
        <v>302</v>
      </c>
      <c r="I166" s="24">
        <v>414.55</v>
      </c>
      <c r="J166" s="53">
        <v>0</v>
      </c>
      <c r="K166" s="89">
        <f t="shared" si="10"/>
        <v>1139.96</v>
      </c>
      <c r="L166" s="32">
        <v>1139.96</v>
      </c>
      <c r="M166" s="10">
        <f t="shared" si="11"/>
        <v>36.365311063546088</v>
      </c>
    </row>
    <row r="167" spans="1:13" ht="15" hidden="1" customHeight="1" x14ac:dyDescent="0.3">
      <c r="A167" s="9">
        <v>1277</v>
      </c>
      <c r="B167" s="8" t="s">
        <v>356</v>
      </c>
      <c r="C167" s="21">
        <v>44639</v>
      </c>
      <c r="D167" s="22">
        <v>0.36937500000000001</v>
      </c>
      <c r="E167" s="8" t="s">
        <v>26</v>
      </c>
      <c r="F167" s="8" t="s">
        <v>428</v>
      </c>
      <c r="G167" s="8" t="s">
        <v>429</v>
      </c>
      <c r="H167" s="8" t="s">
        <v>302</v>
      </c>
      <c r="I167" s="24">
        <v>284.76</v>
      </c>
      <c r="J167" s="53">
        <v>0</v>
      </c>
      <c r="K167" s="89">
        <f t="shared" si="10"/>
        <v>819.7</v>
      </c>
      <c r="L167" s="32">
        <v>819.7</v>
      </c>
      <c r="M167" s="10">
        <f t="shared" si="11"/>
        <v>34.739538855678902</v>
      </c>
    </row>
    <row r="168" spans="1:13" ht="15" hidden="1" customHeight="1" x14ac:dyDescent="0.3">
      <c r="A168" s="9">
        <v>1278</v>
      </c>
      <c r="B168" s="8" t="s">
        <v>356</v>
      </c>
      <c r="C168" s="21">
        <v>44642</v>
      </c>
      <c r="D168" s="22">
        <v>0.61510416666666667</v>
      </c>
      <c r="E168" s="8" t="s">
        <v>26</v>
      </c>
      <c r="F168" s="8" t="s">
        <v>210</v>
      </c>
      <c r="G168" s="8" t="s">
        <v>211</v>
      </c>
      <c r="H168" s="8" t="s">
        <v>302</v>
      </c>
      <c r="I168" s="24">
        <v>380.42</v>
      </c>
      <c r="J168" s="53">
        <v>0</v>
      </c>
      <c r="K168" s="94">
        <f t="shared" si="10"/>
        <v>1010.62</v>
      </c>
      <c r="L168" s="33">
        <v>1010.62</v>
      </c>
      <c r="M168" s="36">
        <f t="shared" si="11"/>
        <v>37.642239417387344</v>
      </c>
    </row>
    <row r="169" spans="1:13" ht="15" hidden="1" customHeight="1" x14ac:dyDescent="0.3">
      <c r="A169" s="9">
        <v>1279</v>
      </c>
      <c r="B169" s="8" t="s">
        <v>356</v>
      </c>
      <c r="C169" s="21">
        <v>44644</v>
      </c>
      <c r="D169" s="22">
        <v>0.41094907407407405</v>
      </c>
      <c r="E169" s="8" t="s">
        <v>26</v>
      </c>
      <c r="F169" s="8" t="s">
        <v>210</v>
      </c>
      <c r="G169" s="8" t="s">
        <v>211</v>
      </c>
      <c r="H169" s="8" t="s">
        <v>302</v>
      </c>
      <c r="I169" s="24">
        <v>433.06</v>
      </c>
      <c r="J169" s="53">
        <v>0</v>
      </c>
      <c r="K169" s="94">
        <f t="shared" si="10"/>
        <v>1121.3900000000001</v>
      </c>
      <c r="L169" s="32">
        <v>1121.3900000000001</v>
      </c>
      <c r="M169" s="36">
        <f t="shared" si="11"/>
        <v>38.618143553982108</v>
      </c>
    </row>
    <row r="170" spans="1:13" ht="15" hidden="1" customHeight="1" x14ac:dyDescent="0.3">
      <c r="A170" s="9">
        <v>1280</v>
      </c>
      <c r="B170" s="8" t="s">
        <v>356</v>
      </c>
      <c r="C170" s="21">
        <v>44646</v>
      </c>
      <c r="D170" s="22">
        <v>0.41745370370370366</v>
      </c>
      <c r="E170" s="8" t="s">
        <v>26</v>
      </c>
      <c r="F170" s="8" t="s">
        <v>391</v>
      </c>
      <c r="G170" s="8" t="s">
        <v>392</v>
      </c>
      <c r="H170" s="8" t="s">
        <v>302</v>
      </c>
      <c r="I170" s="24">
        <v>343.81</v>
      </c>
      <c r="J170" s="53">
        <v>0</v>
      </c>
      <c r="K170" s="89">
        <f t="shared" si="10"/>
        <v>960.37</v>
      </c>
      <c r="L170" s="37">
        <v>960.37</v>
      </c>
      <c r="M170" s="10">
        <f t="shared" si="11"/>
        <v>35.799743848724965</v>
      </c>
    </row>
    <row r="171" spans="1:13" ht="15" hidden="1" customHeight="1" x14ac:dyDescent="0.3">
      <c r="A171" s="9">
        <v>1741</v>
      </c>
      <c r="B171" s="8" t="s">
        <v>356</v>
      </c>
      <c r="C171" s="21">
        <v>44650</v>
      </c>
      <c r="D171" s="22">
        <v>0.37113425925925925</v>
      </c>
      <c r="E171" s="8" t="s">
        <v>26</v>
      </c>
      <c r="F171" s="8" t="s">
        <v>520</v>
      </c>
      <c r="G171" s="8" t="s">
        <v>521</v>
      </c>
      <c r="H171" s="8" t="s">
        <v>522</v>
      </c>
      <c r="I171" s="24">
        <v>50</v>
      </c>
      <c r="J171" s="11">
        <v>0</v>
      </c>
      <c r="K171" s="89">
        <f t="shared" si="10"/>
        <v>0</v>
      </c>
      <c r="L171" s="32"/>
      <c r="M171" s="10" t="e">
        <f t="shared" si="11"/>
        <v>#DIV/0!</v>
      </c>
    </row>
    <row r="172" spans="1:13" ht="15" hidden="1" customHeight="1" x14ac:dyDescent="0.3">
      <c r="A172" s="9">
        <v>1864</v>
      </c>
      <c r="B172" s="8" t="s">
        <v>356</v>
      </c>
      <c r="C172" s="21">
        <v>44621</v>
      </c>
      <c r="D172" s="22">
        <v>0.64377314814814812</v>
      </c>
      <c r="E172" s="8" t="s">
        <v>26</v>
      </c>
      <c r="F172" s="8" t="s">
        <v>171</v>
      </c>
      <c r="G172" s="8" t="s">
        <v>172</v>
      </c>
      <c r="H172" s="8" t="s">
        <v>113</v>
      </c>
      <c r="I172" s="24">
        <v>126.12</v>
      </c>
      <c r="J172" s="11">
        <v>0</v>
      </c>
      <c r="K172" s="89">
        <f t="shared" si="10"/>
        <v>852.44</v>
      </c>
      <c r="L172" s="7">
        <v>852.44</v>
      </c>
      <c r="M172" s="10">
        <f t="shared" si="11"/>
        <v>14.795176200084462</v>
      </c>
    </row>
    <row r="173" spans="1:13" ht="15" hidden="1" customHeight="1" x14ac:dyDescent="0.3">
      <c r="A173" s="9">
        <v>1865</v>
      </c>
      <c r="B173" s="8" t="s">
        <v>356</v>
      </c>
      <c r="C173" s="21">
        <v>44622</v>
      </c>
      <c r="D173" s="22">
        <v>0.52765046296296292</v>
      </c>
      <c r="E173" s="8" t="s">
        <v>26</v>
      </c>
      <c r="F173" s="8" t="s">
        <v>210</v>
      </c>
      <c r="G173" s="8" t="s">
        <v>211</v>
      </c>
      <c r="H173" s="8" t="s">
        <v>113</v>
      </c>
      <c r="I173" s="24">
        <v>426.95</v>
      </c>
      <c r="J173" s="11">
        <v>0</v>
      </c>
      <c r="K173" s="89">
        <f t="shared" si="10"/>
        <v>692.55</v>
      </c>
      <c r="L173" s="7">
        <v>692.55</v>
      </c>
      <c r="M173" s="10">
        <f t="shared" si="11"/>
        <v>61.648978413110967</v>
      </c>
    </row>
    <row r="174" spans="1:13" ht="15" hidden="1" customHeight="1" x14ac:dyDescent="0.3">
      <c r="A174" s="9">
        <v>1866</v>
      </c>
      <c r="B174" s="8" t="s">
        <v>356</v>
      </c>
      <c r="C174" s="21">
        <v>44624</v>
      </c>
      <c r="D174" s="22">
        <v>0.71076388888888886</v>
      </c>
      <c r="E174" s="8" t="s">
        <v>26</v>
      </c>
      <c r="F174" s="8" t="s">
        <v>210</v>
      </c>
      <c r="G174" s="8" t="s">
        <v>211</v>
      </c>
      <c r="H174" s="8" t="s">
        <v>113</v>
      </c>
      <c r="I174" s="24">
        <v>450.01</v>
      </c>
      <c r="J174" s="11">
        <v>0</v>
      </c>
      <c r="K174" s="89">
        <f t="shared" si="10"/>
        <v>1124.55</v>
      </c>
      <c r="L174" s="32">
        <v>1124.55</v>
      </c>
      <c r="M174" s="10">
        <f t="shared" si="11"/>
        <v>40.016895647147749</v>
      </c>
    </row>
    <row r="175" spans="1:13" ht="15" hidden="1" customHeight="1" x14ac:dyDescent="0.3">
      <c r="A175" s="9">
        <v>1867</v>
      </c>
      <c r="B175" s="8" t="s">
        <v>356</v>
      </c>
      <c r="C175" s="21">
        <v>44626</v>
      </c>
      <c r="D175" s="22">
        <v>0.34703703703703703</v>
      </c>
      <c r="E175" s="8" t="s">
        <v>26</v>
      </c>
      <c r="F175" s="8" t="s">
        <v>343</v>
      </c>
      <c r="G175" s="8" t="s">
        <v>344</v>
      </c>
      <c r="H175" s="8" t="s">
        <v>113</v>
      </c>
      <c r="I175" s="24">
        <v>441.79</v>
      </c>
      <c r="J175" s="11">
        <v>0</v>
      </c>
      <c r="K175" s="89">
        <f t="shared" si="10"/>
        <v>1244.23</v>
      </c>
      <c r="L175" s="32">
        <v>1244.23</v>
      </c>
      <c r="M175" s="10">
        <f t="shared" si="11"/>
        <v>35.507100777187503</v>
      </c>
    </row>
    <row r="176" spans="1:13" ht="15" hidden="1" customHeight="1" x14ac:dyDescent="0.3">
      <c r="A176" s="9">
        <v>1868</v>
      </c>
      <c r="B176" s="8" t="s">
        <v>356</v>
      </c>
      <c r="C176" s="21">
        <v>44626</v>
      </c>
      <c r="D176" s="22">
        <v>0.78888888888888886</v>
      </c>
      <c r="E176" s="8" t="s">
        <v>26</v>
      </c>
      <c r="F176" s="8" t="s">
        <v>210</v>
      </c>
      <c r="G176" s="8" t="s">
        <v>211</v>
      </c>
      <c r="H176" s="8" t="s">
        <v>113</v>
      </c>
      <c r="I176" s="24">
        <v>229.98</v>
      </c>
      <c r="J176" s="11">
        <v>0</v>
      </c>
      <c r="K176" s="89">
        <f t="shared" si="10"/>
        <v>505.63</v>
      </c>
      <c r="L176" s="32">
        <v>505.63</v>
      </c>
      <c r="M176" s="10">
        <f t="shared" si="11"/>
        <v>45.483851828412078</v>
      </c>
    </row>
    <row r="177" spans="1:13" ht="15" hidden="1" customHeight="1" x14ac:dyDescent="0.3">
      <c r="A177" s="9">
        <v>1869</v>
      </c>
      <c r="B177" s="8" t="s">
        <v>356</v>
      </c>
      <c r="C177" s="21">
        <v>44628</v>
      </c>
      <c r="D177" s="22">
        <v>0.44142361111111111</v>
      </c>
      <c r="E177" s="8" t="s">
        <v>26</v>
      </c>
      <c r="F177" s="8" t="s">
        <v>210</v>
      </c>
      <c r="G177" s="8" t="s">
        <v>211</v>
      </c>
      <c r="H177" s="8" t="s">
        <v>113</v>
      </c>
      <c r="I177" s="24">
        <v>400.47</v>
      </c>
      <c r="J177" s="11">
        <v>0</v>
      </c>
      <c r="K177" s="89">
        <f t="shared" si="10"/>
        <v>1063.94</v>
      </c>
      <c r="L177" s="32">
        <v>1063.94</v>
      </c>
      <c r="M177" s="10">
        <f t="shared" si="11"/>
        <v>37.640280466943629</v>
      </c>
    </row>
    <row r="178" spans="1:13" ht="15" hidden="1" customHeight="1" x14ac:dyDescent="0.3">
      <c r="A178" s="9">
        <v>1870</v>
      </c>
      <c r="B178" s="8" t="s">
        <v>356</v>
      </c>
      <c r="C178" s="21">
        <v>44629</v>
      </c>
      <c r="D178" s="22">
        <v>0.76490740740740737</v>
      </c>
      <c r="E178" s="8" t="s">
        <v>26</v>
      </c>
      <c r="F178" s="8" t="s">
        <v>175</v>
      </c>
      <c r="G178" s="8" t="s">
        <v>172</v>
      </c>
      <c r="H178" s="8" t="s">
        <v>113</v>
      </c>
      <c r="I178" s="8">
        <v>275.61</v>
      </c>
      <c r="J178" s="11">
        <v>0</v>
      </c>
      <c r="K178" s="89">
        <f t="shared" si="10"/>
        <v>872.71</v>
      </c>
      <c r="L178" s="32">
        <v>872.71</v>
      </c>
      <c r="M178" s="10">
        <f t="shared" si="11"/>
        <v>31.580937539388799</v>
      </c>
    </row>
    <row r="179" spans="1:13" ht="15" hidden="1" customHeight="1" x14ac:dyDescent="0.3">
      <c r="A179" s="9">
        <v>2471</v>
      </c>
      <c r="B179" s="8" t="s">
        <v>356</v>
      </c>
      <c r="C179" s="21">
        <v>44671</v>
      </c>
      <c r="D179" s="22">
        <v>0.4753472222222222</v>
      </c>
      <c r="E179" s="8" t="s">
        <v>27</v>
      </c>
      <c r="F179" s="8" t="s">
        <v>175</v>
      </c>
      <c r="G179" s="8" t="s">
        <v>172</v>
      </c>
      <c r="H179" s="8" t="s">
        <v>302</v>
      </c>
      <c r="I179" s="19">
        <v>254.27</v>
      </c>
      <c r="J179" s="53">
        <v>0</v>
      </c>
      <c r="K179" s="89">
        <f t="shared" si="10"/>
        <v>894.63</v>
      </c>
      <c r="L179" s="32">
        <v>894.63</v>
      </c>
      <c r="M179" s="10">
        <f t="shared" si="11"/>
        <v>28.421805662676192</v>
      </c>
    </row>
    <row r="180" spans="1:13" ht="15" hidden="1" customHeight="1" x14ac:dyDescent="0.3">
      <c r="A180" s="9">
        <v>2472</v>
      </c>
      <c r="B180" s="8" t="s">
        <v>356</v>
      </c>
      <c r="C180" s="21">
        <v>44673</v>
      </c>
      <c r="D180" s="22">
        <v>0.36505787037037035</v>
      </c>
      <c r="E180" s="8" t="s">
        <v>27</v>
      </c>
      <c r="F180" s="8" t="s">
        <v>210</v>
      </c>
      <c r="G180" s="8" t="s">
        <v>211</v>
      </c>
      <c r="H180" s="8" t="s">
        <v>302</v>
      </c>
      <c r="I180" s="19">
        <v>275.05</v>
      </c>
      <c r="J180" s="53">
        <v>0</v>
      </c>
      <c r="K180" s="89">
        <f t="shared" si="10"/>
        <v>860.42</v>
      </c>
      <c r="L180" s="32">
        <v>860.42</v>
      </c>
      <c r="M180" s="10">
        <f t="shared" si="11"/>
        <v>31.966946375026151</v>
      </c>
    </row>
    <row r="181" spans="1:13" ht="15" hidden="1" customHeight="1" x14ac:dyDescent="0.3">
      <c r="A181" s="9">
        <v>2473</v>
      </c>
      <c r="B181" s="8" t="s">
        <v>356</v>
      </c>
      <c r="C181" s="21">
        <v>44674</v>
      </c>
      <c r="D181" s="22">
        <v>0.14434027777777778</v>
      </c>
      <c r="E181" s="8" t="s">
        <v>27</v>
      </c>
      <c r="F181" s="8" t="s">
        <v>210</v>
      </c>
      <c r="G181" s="8" t="s">
        <v>211</v>
      </c>
      <c r="H181" s="8" t="s">
        <v>302</v>
      </c>
      <c r="I181" s="19">
        <v>422.26</v>
      </c>
      <c r="J181" s="53">
        <v>0</v>
      </c>
      <c r="K181" s="89">
        <f t="shared" si="10"/>
        <v>1062.56</v>
      </c>
      <c r="L181" s="32">
        <v>1062.56</v>
      </c>
      <c r="M181" s="10">
        <f t="shared" si="11"/>
        <v>39.739873513025145</v>
      </c>
    </row>
    <row r="182" spans="1:13" ht="15" hidden="1" customHeight="1" x14ac:dyDescent="0.3">
      <c r="A182" s="9">
        <v>2474</v>
      </c>
      <c r="B182" s="8" t="s">
        <v>356</v>
      </c>
      <c r="C182" s="21">
        <v>44675</v>
      </c>
      <c r="D182" s="22">
        <v>0.40824074074074074</v>
      </c>
      <c r="E182" s="8" t="s">
        <v>27</v>
      </c>
      <c r="F182" s="8" t="s">
        <v>428</v>
      </c>
      <c r="G182" s="8" t="s">
        <v>429</v>
      </c>
      <c r="H182" s="8" t="s">
        <v>302</v>
      </c>
      <c r="I182" s="19">
        <v>152.35</v>
      </c>
      <c r="J182" s="53">
        <v>0</v>
      </c>
      <c r="K182" s="89">
        <f t="shared" si="10"/>
        <v>925.78</v>
      </c>
      <c r="L182" s="32">
        <v>925.78</v>
      </c>
      <c r="M182" s="10">
        <f t="shared" si="11"/>
        <v>16.456393527619952</v>
      </c>
    </row>
    <row r="183" spans="1:13" ht="15" hidden="1" customHeight="1" x14ac:dyDescent="0.3">
      <c r="A183" s="9">
        <v>2475</v>
      </c>
      <c r="B183" s="8" t="s">
        <v>356</v>
      </c>
      <c r="C183" s="21">
        <v>44677</v>
      </c>
      <c r="D183" s="22">
        <v>0.33457175925925925</v>
      </c>
      <c r="E183" s="8" t="s">
        <v>27</v>
      </c>
      <c r="F183" s="8" t="s">
        <v>197</v>
      </c>
      <c r="G183" s="8" t="s">
        <v>44</v>
      </c>
      <c r="H183" s="8" t="s">
        <v>302</v>
      </c>
      <c r="I183" s="8">
        <v>276.52</v>
      </c>
      <c r="J183" s="53">
        <v>0</v>
      </c>
      <c r="K183" s="89">
        <f t="shared" si="10"/>
        <v>423.74</v>
      </c>
      <c r="L183" s="7">
        <v>423.74</v>
      </c>
      <c r="M183" s="10">
        <f t="shared" si="11"/>
        <v>65.256997215273515</v>
      </c>
    </row>
    <row r="184" spans="1:13" ht="15" hidden="1" customHeight="1" x14ac:dyDescent="0.3">
      <c r="A184" s="9">
        <v>2476</v>
      </c>
      <c r="B184" s="8" t="s">
        <v>356</v>
      </c>
      <c r="C184" s="21">
        <v>44677</v>
      </c>
      <c r="D184" s="22">
        <v>0.67724537037037036</v>
      </c>
      <c r="E184" s="8" t="s">
        <v>27</v>
      </c>
      <c r="F184" s="8" t="s">
        <v>210</v>
      </c>
      <c r="G184" s="8" t="s">
        <v>211</v>
      </c>
      <c r="H184" s="8" t="s">
        <v>302</v>
      </c>
      <c r="I184" s="8">
        <v>338.81</v>
      </c>
      <c r="J184" s="53">
        <v>0</v>
      </c>
      <c r="K184" s="89">
        <f t="shared" si="10"/>
        <v>586.91</v>
      </c>
      <c r="L184" s="7">
        <v>586.91</v>
      </c>
      <c r="M184" s="10">
        <f t="shared" si="11"/>
        <v>57.727760644732584</v>
      </c>
    </row>
    <row r="185" spans="1:13" ht="15" hidden="1" customHeight="1" x14ac:dyDescent="0.3">
      <c r="A185" s="9">
        <v>2477</v>
      </c>
      <c r="B185" s="8" t="s">
        <v>356</v>
      </c>
      <c r="C185" s="21">
        <v>44678</v>
      </c>
      <c r="D185" s="22">
        <v>0.88776620370370374</v>
      </c>
      <c r="E185" s="8" t="s">
        <v>27</v>
      </c>
      <c r="F185" s="8" t="s">
        <v>210</v>
      </c>
      <c r="G185" s="8" t="s">
        <v>211</v>
      </c>
      <c r="H185" s="8" t="s">
        <v>302</v>
      </c>
      <c r="I185" s="8">
        <v>433.7</v>
      </c>
      <c r="J185" s="53">
        <v>0</v>
      </c>
      <c r="K185" s="89">
        <f t="shared" si="10"/>
        <v>1115.58</v>
      </c>
      <c r="L185" s="7">
        <v>1115.58</v>
      </c>
      <c r="M185" s="10">
        <f t="shared" si="11"/>
        <v>38.876638161315192</v>
      </c>
    </row>
    <row r="186" spans="1:13" ht="15" hidden="1" customHeight="1" x14ac:dyDescent="0.3">
      <c r="A186" s="9">
        <v>2609</v>
      </c>
      <c r="B186" s="8" t="s">
        <v>356</v>
      </c>
      <c r="C186" s="21">
        <v>44657</v>
      </c>
      <c r="D186" s="22">
        <v>8.880787037037037E-2</v>
      </c>
      <c r="E186" s="8" t="s">
        <v>27</v>
      </c>
      <c r="F186" s="8" t="s">
        <v>175</v>
      </c>
      <c r="G186" s="8" t="s">
        <v>172</v>
      </c>
      <c r="H186" s="8" t="s">
        <v>199</v>
      </c>
      <c r="I186" s="19">
        <v>327.9</v>
      </c>
      <c r="J186" s="53">
        <v>0</v>
      </c>
      <c r="K186" s="89">
        <f t="shared" si="10"/>
        <v>857.28</v>
      </c>
      <c r="L186" s="11">
        <v>857.28</v>
      </c>
      <c r="M186" s="10">
        <f t="shared" si="11"/>
        <v>38.24888017917133</v>
      </c>
    </row>
    <row r="187" spans="1:13" ht="15" hidden="1" customHeight="1" x14ac:dyDescent="0.3">
      <c r="A187" s="9">
        <v>2610</v>
      </c>
      <c r="B187" s="8" t="s">
        <v>356</v>
      </c>
      <c r="C187" s="21">
        <v>44657</v>
      </c>
      <c r="D187" s="22">
        <v>0.78482638888888889</v>
      </c>
      <c r="E187" s="8" t="s">
        <v>27</v>
      </c>
      <c r="F187" s="8" t="s">
        <v>210</v>
      </c>
      <c r="G187" s="8" t="s">
        <v>211</v>
      </c>
      <c r="H187" s="8" t="s">
        <v>199</v>
      </c>
      <c r="I187" s="19">
        <v>263.05</v>
      </c>
      <c r="J187" s="53">
        <v>0</v>
      </c>
      <c r="K187" s="89">
        <f t="shared" ref="K187:K191" si="12">+L187-J187</f>
        <v>696.38</v>
      </c>
      <c r="L187" s="11">
        <v>696.38</v>
      </c>
      <c r="M187" s="10">
        <f t="shared" si="11"/>
        <v>37.773916539820213</v>
      </c>
    </row>
    <row r="188" spans="1:13" ht="15" hidden="1" customHeight="1" x14ac:dyDescent="0.3">
      <c r="A188" s="9">
        <v>2611</v>
      </c>
      <c r="B188" s="8" t="s">
        <v>356</v>
      </c>
      <c r="C188" s="21">
        <v>44659</v>
      </c>
      <c r="D188" s="22">
        <v>0.29550925925925925</v>
      </c>
      <c r="E188" s="8" t="s">
        <v>27</v>
      </c>
      <c r="F188" s="8" t="s">
        <v>210</v>
      </c>
      <c r="G188" s="8" t="s">
        <v>211</v>
      </c>
      <c r="H188" s="8" t="s">
        <v>199</v>
      </c>
      <c r="I188" s="19">
        <v>391.9</v>
      </c>
      <c r="J188" s="53">
        <v>0</v>
      </c>
      <c r="K188" s="89">
        <f t="shared" si="12"/>
        <v>1064.5899999999999</v>
      </c>
      <c r="L188" s="11">
        <v>1064.5899999999999</v>
      </c>
      <c r="M188" s="10">
        <f t="shared" ref="M188:M219" si="13">I188/K188*100</f>
        <v>36.812293934754223</v>
      </c>
    </row>
    <row r="189" spans="1:13" ht="15" hidden="1" customHeight="1" x14ac:dyDescent="0.3">
      <c r="A189" s="9">
        <v>3634</v>
      </c>
      <c r="B189" s="8" t="s">
        <v>356</v>
      </c>
      <c r="C189" s="21">
        <v>44652</v>
      </c>
      <c r="D189" s="22">
        <v>0.35656249999999995</v>
      </c>
      <c r="E189" s="8" t="s">
        <v>27</v>
      </c>
      <c r="F189" s="8" t="s">
        <v>171</v>
      </c>
      <c r="G189" s="8" t="s">
        <v>172</v>
      </c>
      <c r="H189" s="8" t="s">
        <v>8</v>
      </c>
      <c r="I189" s="19">
        <v>183.65</v>
      </c>
      <c r="J189" s="53">
        <v>0</v>
      </c>
      <c r="K189" s="89">
        <f t="shared" si="12"/>
        <v>315.86</v>
      </c>
      <c r="L189" s="53">
        <v>315.86</v>
      </c>
      <c r="M189" s="10">
        <f t="shared" si="13"/>
        <v>58.14284809725828</v>
      </c>
    </row>
    <row r="190" spans="1:13" ht="15" hidden="1" customHeight="1" x14ac:dyDescent="0.3">
      <c r="A190" s="9">
        <v>3635</v>
      </c>
      <c r="B190" s="8" t="s">
        <v>356</v>
      </c>
      <c r="C190" s="21">
        <v>44652</v>
      </c>
      <c r="D190" s="22">
        <v>0.86824074074074076</v>
      </c>
      <c r="E190" s="8" t="s">
        <v>27</v>
      </c>
      <c r="F190" s="8" t="s">
        <v>210</v>
      </c>
      <c r="G190" s="8" t="s">
        <v>211</v>
      </c>
      <c r="H190" s="8" t="s">
        <v>8</v>
      </c>
      <c r="I190" s="19">
        <v>300.89999999999998</v>
      </c>
      <c r="J190" s="53">
        <v>0</v>
      </c>
      <c r="K190" s="89">
        <f t="shared" si="12"/>
        <v>604.29999999999995</v>
      </c>
      <c r="L190" s="53">
        <v>604.29999999999995</v>
      </c>
      <c r="M190" s="10">
        <f t="shared" si="13"/>
        <v>49.793149098130066</v>
      </c>
    </row>
    <row r="191" spans="1:13" ht="15" hidden="1" customHeight="1" x14ac:dyDescent="0.3">
      <c r="A191" s="9">
        <v>3636</v>
      </c>
      <c r="B191" s="8" t="s">
        <v>356</v>
      </c>
      <c r="C191" s="21">
        <v>44654</v>
      </c>
      <c r="D191" s="22">
        <v>0.61023148148148143</v>
      </c>
      <c r="E191" s="8" t="s">
        <v>27</v>
      </c>
      <c r="F191" s="8" t="s">
        <v>210</v>
      </c>
      <c r="G191" s="8" t="s">
        <v>211</v>
      </c>
      <c r="H191" s="8" t="s">
        <v>8</v>
      </c>
      <c r="I191" s="19">
        <v>417.84</v>
      </c>
      <c r="J191" s="53">
        <v>0</v>
      </c>
      <c r="K191" s="89">
        <f t="shared" si="12"/>
        <v>1063.9000000000001</v>
      </c>
      <c r="L191" s="32">
        <v>1063.9000000000001</v>
      </c>
      <c r="M191" s="10">
        <f t="shared" si="13"/>
        <v>39.274367891719145</v>
      </c>
    </row>
    <row r="192" spans="1:13" ht="15" hidden="1" customHeight="1" x14ac:dyDescent="0.3">
      <c r="A192" s="9">
        <v>3749</v>
      </c>
      <c r="B192" s="8" t="s">
        <v>356</v>
      </c>
      <c r="C192" s="21">
        <v>44684</v>
      </c>
      <c r="D192" s="22">
        <v>0.37423611111111116</v>
      </c>
      <c r="E192" s="8" t="s">
        <v>28</v>
      </c>
      <c r="F192" s="8" t="s">
        <v>175</v>
      </c>
      <c r="G192" s="8" t="s">
        <v>172</v>
      </c>
      <c r="H192" s="8" t="s">
        <v>302</v>
      </c>
      <c r="I192" s="24">
        <v>395.75</v>
      </c>
      <c r="J192" s="32">
        <v>0</v>
      </c>
      <c r="K192" s="90">
        <f>+L192-J323</f>
        <v>1052.8</v>
      </c>
      <c r="L192" s="32">
        <v>1052.8</v>
      </c>
      <c r="M192" s="10">
        <f t="shared" si="13"/>
        <v>37.590235562310035</v>
      </c>
    </row>
    <row r="193" spans="1:13" ht="15" hidden="1" customHeight="1" x14ac:dyDescent="0.3">
      <c r="A193" s="9">
        <v>3860</v>
      </c>
      <c r="B193" s="8" t="s">
        <v>356</v>
      </c>
      <c r="C193" s="21">
        <v>44686</v>
      </c>
      <c r="D193" s="22">
        <v>4.4837962962962961E-2</v>
      </c>
      <c r="E193" s="8" t="s">
        <v>28</v>
      </c>
      <c r="F193" s="8" t="s">
        <v>210</v>
      </c>
      <c r="G193" s="8" t="s">
        <v>211</v>
      </c>
      <c r="H193" s="8" t="s">
        <v>302</v>
      </c>
      <c r="I193" s="24">
        <f>291.06+399.87</f>
        <v>690.93000000000006</v>
      </c>
      <c r="J193" s="32">
        <v>0</v>
      </c>
      <c r="K193" s="90">
        <f>+L193-J322</f>
        <v>1759</v>
      </c>
      <c r="L193" s="32">
        <v>1759</v>
      </c>
      <c r="M193" s="10">
        <f t="shared" si="13"/>
        <v>39.279704377487214</v>
      </c>
    </row>
    <row r="194" spans="1:13" ht="15" hidden="1" customHeight="1" x14ac:dyDescent="0.3">
      <c r="A194" s="9">
        <v>3911</v>
      </c>
      <c r="B194" s="8" t="s">
        <v>356</v>
      </c>
      <c r="C194" s="21">
        <v>44687</v>
      </c>
      <c r="D194" s="22">
        <v>0.54511574074074076</v>
      </c>
      <c r="E194" s="8" t="s">
        <v>28</v>
      </c>
      <c r="F194" s="8" t="s">
        <v>331</v>
      </c>
      <c r="G194" s="8" t="s">
        <v>277</v>
      </c>
      <c r="H194" s="8" t="s">
        <v>302</v>
      </c>
      <c r="I194" s="24">
        <v>298</v>
      </c>
      <c r="J194" s="32">
        <v>0</v>
      </c>
      <c r="K194" s="90">
        <f>+L194-J194</f>
        <v>857.72</v>
      </c>
      <c r="L194" s="32">
        <v>857.72</v>
      </c>
      <c r="M194" s="10">
        <f t="shared" si="13"/>
        <v>34.743272862938952</v>
      </c>
    </row>
    <row r="195" spans="1:13" ht="15" hidden="1" customHeight="1" x14ac:dyDescent="0.3">
      <c r="A195" s="9">
        <v>4154</v>
      </c>
      <c r="B195" s="8" t="s">
        <v>356</v>
      </c>
      <c r="C195" s="21">
        <v>44692</v>
      </c>
      <c r="D195" s="22">
        <v>0.46032407407407411</v>
      </c>
      <c r="E195" s="8" t="s">
        <v>28</v>
      </c>
      <c r="F195" s="8" t="s">
        <v>197</v>
      </c>
      <c r="G195" s="8" t="s">
        <v>44</v>
      </c>
      <c r="H195" s="8" t="s">
        <v>302</v>
      </c>
      <c r="I195" s="8">
        <v>118.11</v>
      </c>
      <c r="J195" s="67">
        <v>0</v>
      </c>
      <c r="K195" s="92">
        <f>+L195-J325</f>
        <v>793</v>
      </c>
      <c r="L195" s="67">
        <v>793</v>
      </c>
      <c r="M195" s="10">
        <f t="shared" si="13"/>
        <v>14.894073139974779</v>
      </c>
    </row>
    <row r="196" spans="1:13" ht="15" hidden="1" customHeight="1" x14ac:dyDescent="0.3">
      <c r="A196" s="9">
        <v>4180</v>
      </c>
      <c r="B196" s="8" t="s">
        <v>356</v>
      </c>
      <c r="C196" s="21">
        <v>44692</v>
      </c>
      <c r="D196" s="22">
        <v>0.78641203703703699</v>
      </c>
      <c r="E196" s="8" t="s">
        <v>28</v>
      </c>
      <c r="F196" s="8" t="s">
        <v>166</v>
      </c>
      <c r="G196" s="8" t="s">
        <v>161</v>
      </c>
      <c r="H196" s="8" t="s">
        <v>302</v>
      </c>
      <c r="I196" s="8">
        <v>401.82</v>
      </c>
      <c r="J196" s="53">
        <v>0</v>
      </c>
      <c r="K196" s="89">
        <f>+L196-J326</f>
        <v>511</v>
      </c>
      <c r="L196" s="53">
        <v>511</v>
      </c>
      <c r="M196" s="10">
        <f t="shared" si="13"/>
        <v>78.634050880626233</v>
      </c>
    </row>
    <row r="197" spans="1:13" ht="15" hidden="1" customHeight="1" x14ac:dyDescent="0.3">
      <c r="A197" s="9">
        <v>4203</v>
      </c>
      <c r="B197" s="8" t="s">
        <v>356</v>
      </c>
      <c r="C197" s="21">
        <v>44693</v>
      </c>
      <c r="D197" s="22">
        <v>0.99159722222222213</v>
      </c>
      <c r="E197" s="8" t="s">
        <v>28</v>
      </c>
      <c r="F197" s="8" t="s">
        <v>210</v>
      </c>
      <c r="G197" s="8" t="s">
        <v>211</v>
      </c>
      <c r="H197" s="8" t="s">
        <v>302</v>
      </c>
      <c r="I197" s="8">
        <v>434.63</v>
      </c>
      <c r="J197" s="55">
        <v>0</v>
      </c>
      <c r="K197" s="96">
        <f>+L197-J327</f>
        <v>251</v>
      </c>
      <c r="L197" s="55">
        <v>251</v>
      </c>
      <c r="M197" s="10">
        <f t="shared" si="13"/>
        <v>173.15936254980079</v>
      </c>
    </row>
    <row r="198" spans="1:13" ht="15" hidden="1" customHeight="1" x14ac:dyDescent="0.3">
      <c r="A198" s="9">
        <v>4297</v>
      </c>
      <c r="B198" s="8" t="s">
        <v>356</v>
      </c>
      <c r="C198" s="21">
        <v>44695</v>
      </c>
      <c r="D198" s="22">
        <v>0.90098379629629621</v>
      </c>
      <c r="E198" s="8" t="s">
        <v>28</v>
      </c>
      <c r="F198" s="8" t="s">
        <v>175</v>
      </c>
      <c r="G198" s="8" t="s">
        <v>172</v>
      </c>
      <c r="H198" s="8" t="s">
        <v>302</v>
      </c>
      <c r="I198" s="24">
        <v>387.21</v>
      </c>
      <c r="J198" s="32">
        <v>0</v>
      </c>
      <c r="K198" s="90">
        <f>+L198-J327</f>
        <v>1044</v>
      </c>
      <c r="L198" s="32">
        <v>1044</v>
      </c>
      <c r="M198" s="10">
        <f t="shared" si="13"/>
        <v>37.089080459770116</v>
      </c>
    </row>
    <row r="199" spans="1:13" ht="15" hidden="1" customHeight="1" x14ac:dyDescent="0.3">
      <c r="A199" s="9">
        <v>4364</v>
      </c>
      <c r="B199" s="8" t="s">
        <v>356</v>
      </c>
      <c r="C199" s="21">
        <v>44696</v>
      </c>
      <c r="D199" s="22">
        <v>0.89347222222222233</v>
      </c>
      <c r="E199" s="8" t="s">
        <v>28</v>
      </c>
      <c r="F199" s="8" t="s">
        <v>210</v>
      </c>
      <c r="G199" s="8" t="s">
        <v>211</v>
      </c>
      <c r="H199" s="8" t="s">
        <v>302</v>
      </c>
      <c r="I199" s="24">
        <v>130.41999999999999</v>
      </c>
      <c r="J199" s="32">
        <v>0</v>
      </c>
      <c r="K199" s="90">
        <f>+L199-J328</f>
        <v>75</v>
      </c>
      <c r="L199" s="32">
        <v>75</v>
      </c>
      <c r="M199" s="10">
        <f t="shared" si="13"/>
        <v>173.89333333333332</v>
      </c>
    </row>
    <row r="200" spans="1:13" ht="15" hidden="1" customHeight="1" x14ac:dyDescent="0.3">
      <c r="A200" s="9">
        <v>4399</v>
      </c>
      <c r="B200" s="8" t="s">
        <v>356</v>
      </c>
      <c r="C200" s="21">
        <v>44696</v>
      </c>
      <c r="D200" s="22">
        <v>0.84317129629629628</v>
      </c>
      <c r="E200" s="8" t="s">
        <v>28</v>
      </c>
      <c r="F200" s="8" t="s">
        <v>166</v>
      </c>
      <c r="G200" s="8" t="s">
        <v>161</v>
      </c>
      <c r="H200" s="8" t="s">
        <v>302</v>
      </c>
      <c r="I200" s="8">
        <f>100+100</f>
        <v>200</v>
      </c>
      <c r="J200" s="67">
        <v>0</v>
      </c>
      <c r="K200" s="92">
        <f>+L200-J329</f>
        <v>624</v>
      </c>
      <c r="L200" s="67">
        <v>624</v>
      </c>
      <c r="M200" s="10">
        <f t="shared" si="13"/>
        <v>32.051282051282051</v>
      </c>
    </row>
    <row r="201" spans="1:13" ht="15" hidden="1" customHeight="1" x14ac:dyDescent="0.3">
      <c r="A201" s="9">
        <v>4438</v>
      </c>
      <c r="B201" s="8" t="s">
        <v>356</v>
      </c>
      <c r="C201" s="21">
        <v>44697</v>
      </c>
      <c r="D201" s="22">
        <v>0.55491898148148155</v>
      </c>
      <c r="E201" s="8" t="s">
        <v>28</v>
      </c>
      <c r="F201" s="8" t="s">
        <v>210</v>
      </c>
      <c r="G201" s="8" t="s">
        <v>211</v>
      </c>
      <c r="H201" s="8" t="s">
        <v>302</v>
      </c>
      <c r="I201" s="8">
        <v>423.68</v>
      </c>
      <c r="J201" s="53">
        <v>0</v>
      </c>
      <c r="K201" s="89">
        <f>+L201-J330</f>
        <v>1063</v>
      </c>
      <c r="L201" s="53">
        <v>1063</v>
      </c>
      <c r="M201" s="10">
        <f t="shared" si="13"/>
        <v>39.857008466603951</v>
      </c>
    </row>
    <row r="202" spans="1:13" ht="15" hidden="1" customHeight="1" x14ac:dyDescent="0.3">
      <c r="A202" s="9">
        <v>4492</v>
      </c>
      <c r="B202" s="8" t="s">
        <v>356</v>
      </c>
      <c r="C202" s="21">
        <v>44698</v>
      </c>
      <c r="D202" s="22">
        <v>0.73625000000000007</v>
      </c>
      <c r="E202" s="8" t="s">
        <v>28</v>
      </c>
      <c r="F202" s="8" t="s">
        <v>485</v>
      </c>
      <c r="G202" s="8" t="s">
        <v>486</v>
      </c>
      <c r="H202" s="8" t="s">
        <v>302</v>
      </c>
      <c r="I202" s="8">
        <v>326.02999999999997</v>
      </c>
      <c r="J202" s="55">
        <v>0</v>
      </c>
      <c r="K202" s="96">
        <f>+L202-J330</f>
        <v>886</v>
      </c>
      <c r="L202" s="55">
        <v>886</v>
      </c>
      <c r="M202" s="10">
        <f t="shared" si="13"/>
        <v>36.797968397291193</v>
      </c>
    </row>
    <row r="203" spans="1:13" ht="15" hidden="1" customHeight="1" x14ac:dyDescent="0.3">
      <c r="A203" s="9">
        <v>4595</v>
      </c>
      <c r="B203" s="8" t="s">
        <v>356</v>
      </c>
      <c r="C203" s="21">
        <v>44700</v>
      </c>
      <c r="D203" s="22">
        <v>3.2233796296296295E-2</v>
      </c>
      <c r="E203" s="8" t="s">
        <v>28</v>
      </c>
      <c r="F203" s="8" t="s">
        <v>210</v>
      </c>
      <c r="G203" s="8" t="s">
        <v>211</v>
      </c>
      <c r="H203" s="8" t="s">
        <v>302</v>
      </c>
      <c r="I203" s="24">
        <v>378.04</v>
      </c>
      <c r="J203" s="32">
        <v>0</v>
      </c>
      <c r="K203" s="90">
        <f>+L203-J593</f>
        <v>863</v>
      </c>
      <c r="L203" s="32">
        <v>863</v>
      </c>
      <c r="M203" s="10">
        <f t="shared" si="13"/>
        <v>43.805330243337195</v>
      </c>
    </row>
    <row r="204" spans="1:13" ht="15" hidden="1" customHeight="1" x14ac:dyDescent="0.3">
      <c r="A204" s="9">
        <v>4645</v>
      </c>
      <c r="B204" s="8" t="s">
        <v>356</v>
      </c>
      <c r="C204" s="21">
        <v>44701</v>
      </c>
      <c r="D204" s="22">
        <v>1.9756944444444445E-2</v>
      </c>
      <c r="E204" s="8" t="s">
        <v>28</v>
      </c>
      <c r="F204" s="8" t="s">
        <v>210</v>
      </c>
      <c r="G204" s="8" t="s">
        <v>211</v>
      </c>
      <c r="H204" s="8" t="s">
        <v>302</v>
      </c>
      <c r="I204" s="8">
        <v>422.61</v>
      </c>
      <c r="J204" s="67">
        <v>0</v>
      </c>
      <c r="K204" s="92">
        <f>+L204-J475</f>
        <v>1055</v>
      </c>
      <c r="L204" s="67">
        <v>1055</v>
      </c>
      <c r="M204" s="10">
        <f t="shared" si="13"/>
        <v>40.057819905213272</v>
      </c>
    </row>
    <row r="205" spans="1:13" ht="15" hidden="1" customHeight="1" x14ac:dyDescent="0.3">
      <c r="A205" s="9">
        <v>4698</v>
      </c>
      <c r="B205" s="8" t="s">
        <v>356</v>
      </c>
      <c r="C205" s="21">
        <v>44702</v>
      </c>
      <c r="D205" s="22">
        <v>0.40599537037037042</v>
      </c>
      <c r="E205" s="8" t="s">
        <v>28</v>
      </c>
      <c r="F205" s="8" t="s">
        <v>485</v>
      </c>
      <c r="G205" s="8" t="s">
        <v>486</v>
      </c>
      <c r="H205" s="8" t="s">
        <v>302</v>
      </c>
      <c r="I205" s="8">
        <v>318.58999999999997</v>
      </c>
      <c r="J205" s="53">
        <v>0</v>
      </c>
      <c r="K205" s="89">
        <f>+L205-J476</f>
        <v>866</v>
      </c>
      <c r="L205" s="53">
        <v>866</v>
      </c>
      <c r="M205" s="10">
        <f t="shared" si="13"/>
        <v>36.788683602771357</v>
      </c>
    </row>
    <row r="206" spans="1:13" ht="15" hidden="1" customHeight="1" x14ac:dyDescent="0.3">
      <c r="A206" s="9">
        <v>4918</v>
      </c>
      <c r="B206" s="8" t="s">
        <v>356</v>
      </c>
      <c r="C206" s="21">
        <v>44706</v>
      </c>
      <c r="D206" s="22">
        <v>0.73131944444444441</v>
      </c>
      <c r="E206" s="8" t="s">
        <v>28</v>
      </c>
      <c r="F206" s="8" t="s">
        <v>210</v>
      </c>
      <c r="G206" s="8" t="s">
        <v>211</v>
      </c>
      <c r="H206" s="8" t="s">
        <v>302</v>
      </c>
      <c r="I206" s="8">
        <v>416.18</v>
      </c>
      <c r="J206" s="53">
        <v>0</v>
      </c>
      <c r="K206" s="89">
        <f>+L206-J477</f>
        <v>929</v>
      </c>
      <c r="L206" s="53">
        <v>929</v>
      </c>
      <c r="M206" s="10">
        <f t="shared" si="13"/>
        <v>44.798708288482239</v>
      </c>
    </row>
    <row r="207" spans="1:13" ht="15" hidden="1" customHeight="1" x14ac:dyDescent="0.3">
      <c r="A207" s="9">
        <v>5072</v>
      </c>
      <c r="B207" s="8" t="s">
        <v>356</v>
      </c>
      <c r="C207" s="21">
        <v>44709</v>
      </c>
      <c r="D207" s="22">
        <v>6.6886574074074071E-2</v>
      </c>
      <c r="E207" s="8" t="s">
        <v>28</v>
      </c>
      <c r="F207" s="8" t="s">
        <v>634</v>
      </c>
      <c r="G207" s="8" t="s">
        <v>211</v>
      </c>
      <c r="H207" s="8" t="s">
        <v>302</v>
      </c>
      <c r="I207" s="8">
        <v>412.32</v>
      </c>
      <c r="J207" s="11">
        <v>0</v>
      </c>
      <c r="K207" s="89">
        <f>+L207-J405</f>
        <v>961</v>
      </c>
      <c r="L207" s="11">
        <v>961</v>
      </c>
      <c r="M207" s="10">
        <f t="shared" si="13"/>
        <v>42.905306971904267</v>
      </c>
    </row>
    <row r="208" spans="1:13" ht="15" hidden="1" customHeight="1" x14ac:dyDescent="0.3">
      <c r="A208" s="9">
        <v>5181</v>
      </c>
      <c r="B208" s="8" t="s">
        <v>356</v>
      </c>
      <c r="C208" s="21">
        <v>44711</v>
      </c>
      <c r="D208" s="22">
        <v>0.43827546296296299</v>
      </c>
      <c r="E208" s="8" t="s">
        <v>28</v>
      </c>
      <c r="F208" s="8" t="s">
        <v>683</v>
      </c>
      <c r="G208" s="8" t="s">
        <v>486</v>
      </c>
      <c r="H208" s="8" t="s">
        <v>302</v>
      </c>
      <c r="I208" s="8">
        <v>350.39</v>
      </c>
      <c r="J208" s="53">
        <v>0</v>
      </c>
      <c r="K208" s="89">
        <f>+L208-J426</f>
        <v>928</v>
      </c>
      <c r="L208" s="11">
        <v>928</v>
      </c>
      <c r="M208" s="10">
        <f t="shared" si="13"/>
        <v>37.757543103448278</v>
      </c>
    </row>
    <row r="209" spans="1:19" ht="15" hidden="1" customHeight="1" x14ac:dyDescent="0.3">
      <c r="A209" s="9">
        <v>5440</v>
      </c>
      <c r="B209" s="8" t="s">
        <v>356</v>
      </c>
      <c r="C209" s="21">
        <v>44716</v>
      </c>
      <c r="D209" s="22">
        <v>0.45053240740740735</v>
      </c>
      <c r="E209" s="8" t="s">
        <v>29</v>
      </c>
      <c r="F209" s="8" t="s">
        <v>634</v>
      </c>
      <c r="G209" s="8" t="s">
        <v>211</v>
      </c>
      <c r="H209" s="8" t="s">
        <v>302</v>
      </c>
      <c r="I209" s="8">
        <v>396.99</v>
      </c>
      <c r="J209" s="53">
        <v>0</v>
      </c>
      <c r="K209" s="89">
        <f>+L209-J426</f>
        <v>865</v>
      </c>
      <c r="L209" s="11">
        <v>865</v>
      </c>
      <c r="M209" s="10">
        <f t="shared" si="13"/>
        <v>45.894797687861271</v>
      </c>
    </row>
    <row r="210" spans="1:19" ht="15" hidden="1" customHeight="1" x14ac:dyDescent="0.3">
      <c r="A210" s="9">
        <v>5498</v>
      </c>
      <c r="B210" s="8" t="s">
        <v>356</v>
      </c>
      <c r="C210" s="21">
        <v>44717</v>
      </c>
      <c r="D210" s="22">
        <v>0.73435185185185192</v>
      </c>
      <c r="E210" s="8" t="s">
        <v>29</v>
      </c>
      <c r="F210" s="8" t="s">
        <v>634</v>
      </c>
      <c r="G210" s="8" t="s">
        <v>211</v>
      </c>
      <c r="H210" s="8" t="s">
        <v>302</v>
      </c>
      <c r="I210" s="8">
        <v>417</v>
      </c>
      <c r="J210" s="53">
        <v>0</v>
      </c>
      <c r="K210" s="89">
        <f>+L210-J427</f>
        <v>1062</v>
      </c>
      <c r="L210" s="11">
        <v>1062</v>
      </c>
      <c r="M210" s="10">
        <f t="shared" si="13"/>
        <v>39.265536723163841</v>
      </c>
    </row>
    <row r="211" spans="1:19" ht="15" hidden="1" customHeight="1" x14ac:dyDescent="0.3">
      <c r="A211" s="9">
        <v>5575</v>
      </c>
      <c r="B211" s="8" t="s">
        <v>356</v>
      </c>
      <c r="C211" s="21">
        <v>44719</v>
      </c>
      <c r="D211" s="22">
        <v>0.49618055555555557</v>
      </c>
      <c r="E211" s="8" t="s">
        <v>29</v>
      </c>
      <c r="F211" s="8" t="s">
        <v>651</v>
      </c>
      <c r="G211" s="8" t="s">
        <v>172</v>
      </c>
      <c r="H211" s="8" t="s">
        <v>302</v>
      </c>
      <c r="I211" s="8">
        <v>410.02</v>
      </c>
      <c r="J211" s="53">
        <v>0</v>
      </c>
      <c r="K211" s="89" t="e">
        <f>+L211-#REF!</f>
        <v>#REF!</v>
      </c>
      <c r="L211" s="7">
        <v>1069</v>
      </c>
      <c r="M211" s="10" t="e">
        <f t="shared" si="13"/>
        <v>#REF!</v>
      </c>
    </row>
    <row r="212" spans="1:19" ht="15" hidden="1" customHeight="1" x14ac:dyDescent="0.3">
      <c r="A212" s="9">
        <v>5576</v>
      </c>
      <c r="B212" s="8" t="s">
        <v>356</v>
      </c>
      <c r="C212" s="21">
        <v>44719</v>
      </c>
      <c r="D212" s="22">
        <v>0.9720833333333333</v>
      </c>
      <c r="E212" s="8" t="s">
        <v>29</v>
      </c>
      <c r="F212" s="8" t="s">
        <v>632</v>
      </c>
      <c r="G212" s="8" t="s">
        <v>161</v>
      </c>
      <c r="H212" s="8" t="s">
        <v>302</v>
      </c>
      <c r="I212" s="8">
        <v>255.06</v>
      </c>
      <c r="J212" s="53">
        <v>0</v>
      </c>
      <c r="K212" s="92" t="e">
        <f>+L212-#REF!</f>
        <v>#REF!</v>
      </c>
      <c r="L212" s="30">
        <v>620</v>
      </c>
      <c r="M212" s="10" t="e">
        <f t="shared" si="13"/>
        <v>#REF!</v>
      </c>
    </row>
    <row r="213" spans="1:19" ht="15" hidden="1" customHeight="1" x14ac:dyDescent="0.3">
      <c r="A213" s="9">
        <v>5641</v>
      </c>
      <c r="B213" s="8" t="s">
        <v>356</v>
      </c>
      <c r="C213" s="21">
        <v>44720</v>
      </c>
      <c r="D213" s="22">
        <v>0.77938657407407408</v>
      </c>
      <c r="E213" s="8" t="s">
        <v>29</v>
      </c>
      <c r="F213" s="8" t="s">
        <v>635</v>
      </c>
      <c r="G213" s="8" t="s">
        <v>185</v>
      </c>
      <c r="H213" s="8" t="s">
        <v>302</v>
      </c>
      <c r="I213" s="8">
        <v>312.39</v>
      </c>
      <c r="J213" s="53">
        <v>0</v>
      </c>
      <c r="K213" s="89" t="e">
        <f>+L213-#REF!</f>
        <v>#REF!</v>
      </c>
      <c r="L213" s="11">
        <v>632</v>
      </c>
      <c r="M213" s="10" t="e">
        <f t="shared" si="13"/>
        <v>#REF!</v>
      </c>
    </row>
    <row r="214" spans="1:19" ht="15" hidden="1" customHeight="1" x14ac:dyDescent="0.3">
      <c r="A214" s="9">
        <v>5705</v>
      </c>
      <c r="B214" s="8" t="s">
        <v>356</v>
      </c>
      <c r="C214" s="21">
        <v>44721</v>
      </c>
      <c r="D214" s="22">
        <v>0.96424768518518522</v>
      </c>
      <c r="E214" s="8" t="s">
        <v>29</v>
      </c>
      <c r="F214" s="8" t="s">
        <v>634</v>
      </c>
      <c r="G214" s="8" t="s">
        <v>211</v>
      </c>
      <c r="H214" s="8" t="s">
        <v>302</v>
      </c>
      <c r="I214" s="8">
        <v>185</v>
      </c>
      <c r="J214" s="53">
        <v>0</v>
      </c>
      <c r="K214" s="89" t="e">
        <f>+L214-#REF!</f>
        <v>#REF!</v>
      </c>
      <c r="L214" s="11">
        <v>583</v>
      </c>
      <c r="M214" s="10" t="e">
        <f t="shared" si="13"/>
        <v>#REF!</v>
      </c>
    </row>
    <row r="215" spans="1:19" ht="15" hidden="1" customHeight="1" x14ac:dyDescent="0.3">
      <c r="A215" s="9">
        <v>5752</v>
      </c>
      <c r="B215" s="8" t="s">
        <v>356</v>
      </c>
      <c r="C215" s="21">
        <v>44722</v>
      </c>
      <c r="D215" s="22">
        <v>0.28437499999999999</v>
      </c>
      <c r="E215" s="8" t="s">
        <v>29</v>
      </c>
      <c r="F215" s="8" t="s">
        <v>637</v>
      </c>
      <c r="G215" s="8" t="s">
        <v>196</v>
      </c>
      <c r="H215" s="8" t="s">
        <v>302</v>
      </c>
      <c r="I215" s="8">
        <v>150</v>
      </c>
      <c r="J215" s="53">
        <v>0</v>
      </c>
      <c r="K215" s="89" t="e">
        <f>+L215-#REF!</f>
        <v>#REF!</v>
      </c>
      <c r="L215" s="11">
        <v>481</v>
      </c>
      <c r="M215" s="10" t="e">
        <f t="shared" si="13"/>
        <v>#REF!</v>
      </c>
    </row>
    <row r="216" spans="1:19" ht="15" hidden="1" customHeight="1" x14ac:dyDescent="0.3">
      <c r="A216" s="9">
        <v>5753</v>
      </c>
      <c r="B216" s="8" t="s">
        <v>356</v>
      </c>
      <c r="C216" s="21">
        <v>44722</v>
      </c>
      <c r="D216" s="22">
        <v>0.72090277777777778</v>
      </c>
      <c r="E216" s="8" t="s">
        <v>29</v>
      </c>
      <c r="F216" s="8" t="s">
        <v>731</v>
      </c>
      <c r="G216" s="8" t="s">
        <v>521</v>
      </c>
      <c r="H216" s="8" t="s">
        <v>302</v>
      </c>
      <c r="I216" s="8">
        <v>100</v>
      </c>
      <c r="J216" s="53">
        <v>0</v>
      </c>
      <c r="K216" s="89" t="e">
        <f>+L216-#REF!</f>
        <v>#REF!</v>
      </c>
      <c r="L216" s="11">
        <v>431</v>
      </c>
      <c r="M216" s="10" t="e">
        <f t="shared" si="13"/>
        <v>#REF!</v>
      </c>
    </row>
    <row r="217" spans="1:19" ht="15" hidden="1" customHeight="1" x14ac:dyDescent="0.3">
      <c r="A217" s="9">
        <v>5790</v>
      </c>
      <c r="B217" s="8" t="s">
        <v>356</v>
      </c>
      <c r="C217" s="21">
        <v>44723</v>
      </c>
      <c r="D217" s="22">
        <v>0.69738425925925929</v>
      </c>
      <c r="E217" s="8" t="s">
        <v>29</v>
      </c>
      <c r="F217" s="8" t="s">
        <v>632</v>
      </c>
      <c r="G217" s="8" t="s">
        <v>161</v>
      </c>
      <c r="H217" s="8" t="s">
        <v>302</v>
      </c>
      <c r="I217" s="24">
        <v>439.85</v>
      </c>
      <c r="J217" s="32">
        <v>0</v>
      </c>
      <c r="K217" s="90" t="e">
        <f>+L217-#REF!</f>
        <v>#REF!</v>
      </c>
      <c r="L217" s="7">
        <v>796</v>
      </c>
      <c r="M217" s="10" t="e">
        <f t="shared" si="13"/>
        <v>#REF!</v>
      </c>
    </row>
    <row r="218" spans="1:19" ht="15" hidden="1" customHeight="1" x14ac:dyDescent="0.3">
      <c r="A218" s="9">
        <v>5857</v>
      </c>
      <c r="B218" s="8" t="s">
        <v>356</v>
      </c>
      <c r="C218" s="21">
        <v>44724</v>
      </c>
      <c r="D218" s="22">
        <v>0.76085648148148144</v>
      </c>
      <c r="E218" s="8" t="s">
        <v>29</v>
      </c>
      <c r="F218" s="8" t="s">
        <v>634</v>
      </c>
      <c r="G218" s="8" t="s">
        <v>211</v>
      </c>
      <c r="H218" s="8" t="s">
        <v>302</v>
      </c>
      <c r="I218" s="8">
        <v>393.45</v>
      </c>
      <c r="J218" s="67">
        <v>0</v>
      </c>
      <c r="K218" s="92" t="e">
        <f>+L218-#REF!</f>
        <v>#REF!</v>
      </c>
      <c r="L218" s="30">
        <v>943</v>
      </c>
      <c r="M218" s="10" t="e">
        <f t="shared" si="13"/>
        <v>#REF!</v>
      </c>
    </row>
    <row r="219" spans="1:19" ht="15" hidden="1" customHeight="1" x14ac:dyDescent="0.3">
      <c r="A219" s="9">
        <v>5909</v>
      </c>
      <c r="B219" s="8" t="s">
        <v>356</v>
      </c>
      <c r="C219" s="21">
        <v>44725</v>
      </c>
      <c r="D219" s="22">
        <v>0.32651620370370371</v>
      </c>
      <c r="E219" s="8" t="s">
        <v>29</v>
      </c>
      <c r="F219" s="8" t="s">
        <v>637</v>
      </c>
      <c r="G219" s="8" t="s">
        <v>196</v>
      </c>
      <c r="H219" s="8" t="s">
        <v>302</v>
      </c>
      <c r="I219" s="8">
        <v>153</v>
      </c>
      <c r="J219" s="53">
        <v>0</v>
      </c>
      <c r="K219" s="89" t="e">
        <f>+L219-#REF!</f>
        <v>#REF!</v>
      </c>
      <c r="L219" s="11">
        <v>481</v>
      </c>
      <c r="M219" s="10" t="e">
        <f t="shared" si="13"/>
        <v>#REF!</v>
      </c>
      <c r="N219" s="2"/>
      <c r="O219" s="2"/>
      <c r="P219" s="2"/>
      <c r="Q219" s="2"/>
      <c r="R219" s="2"/>
      <c r="S219" s="2"/>
    </row>
    <row r="220" spans="1:19" ht="15" hidden="1" customHeight="1" x14ac:dyDescent="0.3">
      <c r="A220" s="9">
        <v>5910</v>
      </c>
      <c r="B220" s="8" t="s">
        <v>356</v>
      </c>
      <c r="C220" s="21">
        <v>44725</v>
      </c>
      <c r="D220" s="22">
        <v>0.63797453703703699</v>
      </c>
      <c r="E220" s="8" t="s">
        <v>29</v>
      </c>
      <c r="F220" s="8" t="s">
        <v>652</v>
      </c>
      <c r="G220" s="8" t="s">
        <v>535</v>
      </c>
      <c r="H220" s="8" t="s">
        <v>302</v>
      </c>
      <c r="I220" s="8">
        <v>181.02</v>
      </c>
      <c r="J220" s="53">
        <v>0</v>
      </c>
      <c r="K220" s="89" t="e">
        <f>+L220-#REF!</f>
        <v>#REF!</v>
      </c>
      <c r="L220" s="11">
        <v>417</v>
      </c>
      <c r="M220" s="10" t="e">
        <f t="shared" ref="M220:M232" si="14">I220/K220*100</f>
        <v>#REF!</v>
      </c>
      <c r="N220" s="2"/>
      <c r="O220" s="2"/>
      <c r="P220" s="2"/>
      <c r="Q220" s="2"/>
      <c r="R220" s="2"/>
      <c r="S220" s="2"/>
    </row>
    <row r="221" spans="1:19" ht="15" hidden="1" customHeight="1" x14ac:dyDescent="0.3">
      <c r="A221" s="9">
        <v>5965</v>
      </c>
      <c r="B221" s="8" t="s">
        <v>356</v>
      </c>
      <c r="C221" s="21">
        <v>44726</v>
      </c>
      <c r="D221" s="22">
        <v>0.8068171296296297</v>
      </c>
      <c r="E221" s="8" t="s">
        <v>29</v>
      </c>
      <c r="F221" s="8" t="s">
        <v>634</v>
      </c>
      <c r="G221" s="8" t="s">
        <v>211</v>
      </c>
      <c r="H221" s="8" t="s">
        <v>302</v>
      </c>
      <c r="I221" s="8">
        <v>409.39</v>
      </c>
      <c r="J221" s="53">
        <v>0</v>
      </c>
      <c r="K221" s="89" t="e">
        <f>+L221-#REF!</f>
        <v>#REF!</v>
      </c>
      <c r="L221" s="11">
        <v>888</v>
      </c>
      <c r="M221" s="10" t="e">
        <f t="shared" si="14"/>
        <v>#REF!</v>
      </c>
      <c r="N221" s="2"/>
      <c r="O221" s="2"/>
      <c r="P221" s="2"/>
      <c r="Q221" s="2"/>
      <c r="R221" s="2"/>
      <c r="S221" s="2"/>
    </row>
    <row r="222" spans="1:19" ht="15" hidden="1" customHeight="1" x14ac:dyDescent="0.3">
      <c r="A222" s="9">
        <v>6022</v>
      </c>
      <c r="B222" s="8" t="s">
        <v>356</v>
      </c>
      <c r="C222" s="21">
        <v>44727</v>
      </c>
      <c r="D222" s="22">
        <v>0.82628472222222227</v>
      </c>
      <c r="E222" s="8" t="s">
        <v>29</v>
      </c>
      <c r="F222" s="8" t="s">
        <v>634</v>
      </c>
      <c r="G222" s="8" t="s">
        <v>211</v>
      </c>
      <c r="H222" s="8" t="s">
        <v>302</v>
      </c>
      <c r="I222" s="8">
        <v>429.52</v>
      </c>
      <c r="J222" s="53">
        <v>0</v>
      </c>
      <c r="K222" s="89">
        <v>1063</v>
      </c>
      <c r="L222" s="11">
        <v>1063</v>
      </c>
      <c r="M222" s="10">
        <f t="shared" si="14"/>
        <v>40.406396989651924</v>
      </c>
    </row>
    <row r="223" spans="1:19" ht="15" hidden="1" customHeight="1" x14ac:dyDescent="0.3">
      <c r="A223" s="9">
        <v>6084</v>
      </c>
      <c r="B223" s="8" t="s">
        <v>356</v>
      </c>
      <c r="C223" s="21">
        <v>44728</v>
      </c>
      <c r="D223" s="22">
        <v>0.71225694444444443</v>
      </c>
      <c r="E223" s="8" t="s">
        <v>29</v>
      </c>
      <c r="F223" s="8" t="s">
        <v>683</v>
      </c>
      <c r="G223" s="8" t="s">
        <v>486</v>
      </c>
      <c r="H223" s="8" t="s">
        <v>302</v>
      </c>
      <c r="I223" s="8">
        <v>200</v>
      </c>
      <c r="J223" s="53">
        <v>0</v>
      </c>
      <c r="K223" s="89">
        <v>877</v>
      </c>
      <c r="L223" s="11">
        <v>877</v>
      </c>
      <c r="M223" s="10">
        <f t="shared" si="14"/>
        <v>22.805017103762829</v>
      </c>
    </row>
    <row r="224" spans="1:19" ht="15" hidden="1" customHeight="1" x14ac:dyDescent="0.3">
      <c r="A224" s="9">
        <v>6284</v>
      </c>
      <c r="B224" s="8" t="s">
        <v>356</v>
      </c>
      <c r="C224" s="21">
        <v>44733</v>
      </c>
      <c r="D224" s="22">
        <v>0.67222222222222217</v>
      </c>
      <c r="E224" s="8" t="s">
        <v>29</v>
      </c>
      <c r="F224" s="8" t="s">
        <v>651</v>
      </c>
      <c r="G224" s="8" t="s">
        <v>172</v>
      </c>
      <c r="H224" s="8" t="s">
        <v>302</v>
      </c>
      <c r="I224" s="8">
        <v>183.43</v>
      </c>
      <c r="J224" s="53">
        <v>0</v>
      </c>
      <c r="K224" s="89">
        <v>175</v>
      </c>
      <c r="L224" s="11">
        <v>175</v>
      </c>
      <c r="M224" s="10">
        <f t="shared" si="14"/>
        <v>104.81714285714285</v>
      </c>
    </row>
    <row r="225" spans="1:20" ht="15" hidden="1" customHeight="1" x14ac:dyDescent="0.3">
      <c r="A225" s="9">
        <v>6317</v>
      </c>
      <c r="B225" s="8" t="s">
        <v>356</v>
      </c>
      <c r="C225" s="21">
        <v>44734</v>
      </c>
      <c r="D225" s="22">
        <v>0.43637731481481484</v>
      </c>
      <c r="E225" s="8" t="s">
        <v>29</v>
      </c>
      <c r="F225" s="8" t="s">
        <v>634</v>
      </c>
      <c r="G225" s="8" t="s">
        <v>211</v>
      </c>
      <c r="H225" s="8" t="s">
        <v>302</v>
      </c>
      <c r="I225" s="8">
        <v>322.17</v>
      </c>
      <c r="J225" s="53">
        <v>0</v>
      </c>
      <c r="K225" s="89">
        <v>696</v>
      </c>
      <c r="L225" s="11">
        <v>696</v>
      </c>
      <c r="M225" s="10">
        <f t="shared" si="14"/>
        <v>46.288793103448278</v>
      </c>
    </row>
    <row r="226" spans="1:20" ht="15" hidden="1" customHeight="1" x14ac:dyDescent="0.3">
      <c r="A226" s="9">
        <v>6366</v>
      </c>
      <c r="B226" s="8" t="s">
        <v>356</v>
      </c>
      <c r="C226" s="21">
        <v>44735</v>
      </c>
      <c r="D226" s="22">
        <v>0.56267361111111114</v>
      </c>
      <c r="E226" s="8" t="s">
        <v>29</v>
      </c>
      <c r="F226" s="8" t="s">
        <v>634</v>
      </c>
      <c r="G226" s="8" t="s">
        <v>211</v>
      </c>
      <c r="H226" s="8" t="s">
        <v>302</v>
      </c>
      <c r="I226" s="8">
        <v>445.27</v>
      </c>
      <c r="J226" s="53">
        <v>0</v>
      </c>
      <c r="K226" s="89">
        <v>1062</v>
      </c>
      <c r="L226" s="11">
        <v>1062</v>
      </c>
      <c r="M226" s="10">
        <f t="shared" si="14"/>
        <v>41.927495291902069</v>
      </c>
    </row>
    <row r="227" spans="1:20" ht="15" hidden="1" customHeight="1" x14ac:dyDescent="0.3">
      <c r="A227" s="9">
        <v>6472</v>
      </c>
      <c r="B227" s="8" t="s">
        <v>356</v>
      </c>
      <c r="C227" s="21">
        <v>44737</v>
      </c>
      <c r="D227" s="22">
        <v>0.34614583333333332</v>
      </c>
      <c r="E227" s="8" t="s">
        <v>29</v>
      </c>
      <c r="F227" s="8" t="s">
        <v>651</v>
      </c>
      <c r="G227" s="8" t="s">
        <v>172</v>
      </c>
      <c r="H227" s="8" t="s">
        <v>302</v>
      </c>
      <c r="I227" s="8">
        <v>402.2</v>
      </c>
      <c r="J227" s="53">
        <v>0</v>
      </c>
      <c r="K227" s="89">
        <v>1066</v>
      </c>
      <c r="L227" s="11">
        <v>1066</v>
      </c>
      <c r="M227" s="10">
        <f t="shared" si="14"/>
        <v>37.729831144465294</v>
      </c>
    </row>
    <row r="228" spans="1:20" ht="15" hidden="1" customHeight="1" x14ac:dyDescent="0.3">
      <c r="A228" s="9">
        <v>6473</v>
      </c>
      <c r="B228" s="8" t="s">
        <v>356</v>
      </c>
      <c r="C228" s="21">
        <v>44737</v>
      </c>
      <c r="D228" s="22">
        <v>0.80311342592592594</v>
      </c>
      <c r="E228" s="8" t="s">
        <v>29</v>
      </c>
      <c r="F228" s="8" t="s">
        <v>634</v>
      </c>
      <c r="G228" s="8" t="s">
        <v>211</v>
      </c>
      <c r="H228" s="8" t="s">
        <v>302</v>
      </c>
      <c r="I228" s="24">
        <v>298.52</v>
      </c>
      <c r="J228" s="32">
        <v>0</v>
      </c>
      <c r="K228" s="90">
        <v>688</v>
      </c>
      <c r="L228" s="7">
        <v>688</v>
      </c>
      <c r="M228" s="10">
        <f t="shared" si="14"/>
        <v>43.389534883720927</v>
      </c>
    </row>
    <row r="229" spans="1:20" ht="15" hidden="1" customHeight="1" x14ac:dyDescent="0.3">
      <c r="A229" s="9">
        <v>6523</v>
      </c>
      <c r="B229" s="8" t="s">
        <v>356</v>
      </c>
      <c r="C229" s="21">
        <v>44738</v>
      </c>
      <c r="D229" s="22">
        <v>0.85151620370370373</v>
      </c>
      <c r="E229" s="8" t="s">
        <v>29</v>
      </c>
      <c r="F229" s="8" t="s">
        <v>634</v>
      </c>
      <c r="G229" s="8" t="s">
        <v>211</v>
      </c>
      <c r="H229" s="8" t="s">
        <v>302</v>
      </c>
      <c r="I229" s="24">
        <v>420.46</v>
      </c>
      <c r="J229" s="32">
        <v>0</v>
      </c>
      <c r="K229" s="90">
        <v>1062</v>
      </c>
      <c r="L229" s="7">
        <v>1062</v>
      </c>
      <c r="M229" s="10">
        <f t="shared" si="14"/>
        <v>39.591337099811675</v>
      </c>
    </row>
    <row r="230" spans="1:20" ht="15" hidden="1" customHeight="1" x14ac:dyDescent="0.3">
      <c r="A230" s="9">
        <v>6577</v>
      </c>
      <c r="B230" s="8" t="s">
        <v>356</v>
      </c>
      <c r="C230" s="21">
        <v>44739</v>
      </c>
      <c r="D230" s="22">
        <v>0.74418981481481483</v>
      </c>
      <c r="E230" s="8" t="s">
        <v>29</v>
      </c>
      <c r="F230" s="8" t="s">
        <v>731</v>
      </c>
      <c r="G230" s="8" t="s">
        <v>521</v>
      </c>
      <c r="H230" s="8" t="s">
        <v>302</v>
      </c>
      <c r="I230" s="8">
        <v>150</v>
      </c>
      <c r="J230" s="67">
        <v>0</v>
      </c>
      <c r="K230" s="92">
        <v>881</v>
      </c>
      <c r="L230" s="30">
        <v>881</v>
      </c>
      <c r="M230" s="10">
        <f t="shared" si="14"/>
        <v>17.026106696935301</v>
      </c>
    </row>
    <row r="231" spans="1:20" ht="15" hidden="1" customHeight="1" x14ac:dyDescent="0.3">
      <c r="A231" s="9">
        <v>6631</v>
      </c>
      <c r="B231" s="8" t="s">
        <v>356</v>
      </c>
      <c r="C231" s="21">
        <v>44740</v>
      </c>
      <c r="D231" s="22">
        <v>0.67331018518518515</v>
      </c>
      <c r="E231" s="8" t="s">
        <v>29</v>
      </c>
      <c r="F231" s="8" t="s">
        <v>639</v>
      </c>
      <c r="G231" s="8" t="s">
        <v>44</v>
      </c>
      <c r="H231" s="8" t="s">
        <v>302</v>
      </c>
      <c r="I231" s="24">
        <v>234</v>
      </c>
      <c r="J231" s="32">
        <v>0</v>
      </c>
      <c r="K231" s="90">
        <v>277</v>
      </c>
      <c r="L231" s="7">
        <v>277</v>
      </c>
      <c r="M231" s="10">
        <f t="shared" si="14"/>
        <v>84.476534296028888</v>
      </c>
    </row>
    <row r="232" spans="1:20" ht="15" hidden="1" customHeight="1" x14ac:dyDescent="0.3">
      <c r="A232" s="9">
        <v>6699</v>
      </c>
      <c r="B232" s="8" t="s">
        <v>356</v>
      </c>
      <c r="C232" s="21">
        <v>44741</v>
      </c>
      <c r="D232" s="22">
        <v>0.34190972222222221</v>
      </c>
      <c r="E232" s="8" t="s">
        <v>29</v>
      </c>
      <c r="F232" s="8" t="s">
        <v>634</v>
      </c>
      <c r="G232" s="8" t="s">
        <v>211</v>
      </c>
      <c r="H232" s="8" t="s">
        <v>302</v>
      </c>
      <c r="I232" s="8">
        <v>592</v>
      </c>
      <c r="J232" s="67">
        <v>0</v>
      </c>
      <c r="K232" s="92">
        <v>587</v>
      </c>
      <c r="L232" s="30">
        <v>587</v>
      </c>
      <c r="M232" s="10">
        <f t="shared" si="14"/>
        <v>100.8517887563884</v>
      </c>
    </row>
    <row r="233" spans="1:20" ht="15" hidden="1" customHeight="1" x14ac:dyDescent="0.3">
      <c r="A233" s="9">
        <v>6750</v>
      </c>
      <c r="B233" s="8" t="s">
        <v>356</v>
      </c>
      <c r="C233" s="21">
        <v>44742</v>
      </c>
      <c r="D233" s="22">
        <v>0.3520833333333333</v>
      </c>
      <c r="E233" s="8" t="s">
        <v>29</v>
      </c>
      <c r="F233" s="8" t="s">
        <v>210</v>
      </c>
      <c r="G233" s="8" t="s">
        <v>211</v>
      </c>
      <c r="H233" s="8" t="s">
        <v>302</v>
      </c>
      <c r="I233" s="8">
        <v>420.03</v>
      </c>
      <c r="J233" s="82"/>
      <c r="K233" s="82">
        <v>773509</v>
      </c>
      <c r="L233" s="82">
        <f>+K233-J233</f>
        <v>773509</v>
      </c>
      <c r="M233" s="10">
        <f>I233/L233*100</f>
        <v>5.4301889182931294E-2</v>
      </c>
    </row>
    <row r="234" spans="1:20" ht="15" hidden="1" customHeight="1" x14ac:dyDescent="0.3">
      <c r="B234" s="54" t="s">
        <v>267</v>
      </c>
      <c r="C234" s="234">
        <v>44680</v>
      </c>
      <c r="D234" s="235">
        <v>0.38394675925925931</v>
      </c>
      <c r="E234" s="54" t="s">
        <v>580</v>
      </c>
      <c r="F234" s="54" t="s">
        <v>210</v>
      </c>
      <c r="G234" s="54" t="s">
        <v>211</v>
      </c>
      <c r="H234" s="54" t="s">
        <v>129</v>
      </c>
      <c r="I234" s="54">
        <v>293.87</v>
      </c>
      <c r="J234" s="28">
        <v>0</v>
      </c>
      <c r="K234" s="96">
        <f>+L234-J370</f>
        <v>684.65</v>
      </c>
      <c r="L234" s="28">
        <v>684.65</v>
      </c>
      <c r="M234" s="131">
        <f>I234/K234*100</f>
        <v>42.922661213758857</v>
      </c>
      <c r="O234" s="4" t="s">
        <v>93</v>
      </c>
      <c r="R234" s="18" t="s">
        <v>118</v>
      </c>
      <c r="S234" s="2"/>
      <c r="T234"/>
    </row>
    <row r="235" spans="1:20" ht="15" hidden="1" customHeight="1" x14ac:dyDescent="0.3">
      <c r="B235" s="8" t="s">
        <v>179</v>
      </c>
      <c r="C235" s="21">
        <v>44680</v>
      </c>
      <c r="D235" s="22">
        <v>1.5046296296296297E-4</v>
      </c>
      <c r="E235" s="8" t="s">
        <v>580</v>
      </c>
      <c r="F235" s="8" t="s">
        <v>165</v>
      </c>
      <c r="G235" s="8" t="s">
        <v>185</v>
      </c>
      <c r="H235" s="24" t="s">
        <v>305</v>
      </c>
      <c r="I235" s="8">
        <v>150</v>
      </c>
      <c r="J235" s="7">
        <v>0</v>
      </c>
      <c r="K235" s="90">
        <f>+L235-J235</f>
        <v>624</v>
      </c>
      <c r="L235" s="7">
        <v>624</v>
      </c>
      <c r="M235" s="91">
        <f>I235/K235*100</f>
        <v>24.03846153846154</v>
      </c>
      <c r="O235" s="4" t="s">
        <v>49</v>
      </c>
      <c r="Q235" t="s">
        <v>31</v>
      </c>
      <c r="R235" s="18" t="s">
        <v>21</v>
      </c>
      <c r="S235" s="12" t="s">
        <v>44</v>
      </c>
      <c r="T235"/>
    </row>
    <row r="236" spans="1:20" ht="15" hidden="1" customHeight="1" x14ac:dyDescent="0.3">
      <c r="B236" s="44" t="s">
        <v>437</v>
      </c>
      <c r="C236" s="59">
        <v>44680</v>
      </c>
      <c r="D236" s="60">
        <v>0.22574074074074071</v>
      </c>
      <c r="E236" s="44" t="s">
        <v>580</v>
      </c>
      <c r="F236" s="44" t="s">
        <v>401</v>
      </c>
      <c r="G236" s="44" t="s">
        <v>402</v>
      </c>
      <c r="H236" s="44" t="s">
        <v>438</v>
      </c>
      <c r="I236" s="44">
        <v>30.04</v>
      </c>
      <c r="J236" s="67">
        <v>0</v>
      </c>
      <c r="K236" s="92">
        <f>+L236-J236</f>
        <v>654</v>
      </c>
      <c r="L236" s="30">
        <v>654</v>
      </c>
      <c r="M236" s="61">
        <f>I236/L236*100</f>
        <v>4.5932721712538225</v>
      </c>
      <c r="O236" s="4" t="s">
        <v>50</v>
      </c>
      <c r="R236" s="18" t="s">
        <v>13</v>
      </c>
      <c r="S236" s="12"/>
      <c r="T236"/>
    </row>
    <row r="237" spans="1:20" ht="15" hidden="1" customHeight="1" x14ac:dyDescent="0.3">
      <c r="B237" s="8" t="s">
        <v>437</v>
      </c>
      <c r="C237" s="21">
        <v>44680</v>
      </c>
      <c r="D237" s="22">
        <v>0.46621527777777777</v>
      </c>
      <c r="E237" s="8" t="s">
        <v>580</v>
      </c>
      <c r="F237" s="8" t="s">
        <v>428</v>
      </c>
      <c r="G237" s="8" t="s">
        <v>429</v>
      </c>
      <c r="H237" s="8" t="s">
        <v>438</v>
      </c>
      <c r="I237" s="54">
        <v>250.41</v>
      </c>
      <c r="J237" s="55">
        <v>0</v>
      </c>
      <c r="K237" s="96">
        <f>+L237-J237</f>
        <v>247.46</v>
      </c>
      <c r="L237" s="28">
        <v>247.46</v>
      </c>
      <c r="M237" s="131">
        <f>I237/L237*100</f>
        <v>101.19211185646164</v>
      </c>
      <c r="O237" s="4" t="s">
        <v>58</v>
      </c>
      <c r="R237" s="18" t="s">
        <v>14</v>
      </c>
      <c r="S237" s="12"/>
      <c r="T237"/>
    </row>
    <row r="238" spans="1:20" ht="15" hidden="1" customHeight="1" x14ac:dyDescent="0.3">
      <c r="B238" s="8" t="s">
        <v>271</v>
      </c>
      <c r="C238" s="21">
        <v>44680</v>
      </c>
      <c r="D238" s="22">
        <v>1.1724537037037035E-2</v>
      </c>
      <c r="E238" s="8" t="s">
        <v>580</v>
      </c>
      <c r="F238" s="8" t="s">
        <v>166</v>
      </c>
      <c r="G238" s="8" t="s">
        <v>161</v>
      </c>
      <c r="H238" s="24" t="s">
        <v>522</v>
      </c>
      <c r="I238" s="8">
        <v>269.02</v>
      </c>
      <c r="J238" s="7">
        <v>0</v>
      </c>
      <c r="K238" s="90">
        <f>+L238-J376</f>
        <v>815</v>
      </c>
      <c r="L238" s="7">
        <v>815</v>
      </c>
      <c r="M238" s="91">
        <f>I238/L238*100</f>
        <v>33.00858895705521</v>
      </c>
      <c r="O238" s="4" t="s">
        <v>48</v>
      </c>
      <c r="P238" s="20" t="s">
        <v>160</v>
      </c>
      <c r="Q238" t="s">
        <v>26</v>
      </c>
      <c r="R238" s="18" t="s">
        <v>141</v>
      </c>
      <c r="S238" s="12" t="s">
        <v>40</v>
      </c>
      <c r="T238"/>
    </row>
    <row r="239" spans="1:20" ht="15" hidden="1" customHeight="1" x14ac:dyDescent="0.3">
      <c r="B239" s="8" t="s">
        <v>465</v>
      </c>
      <c r="C239" s="21">
        <v>44680</v>
      </c>
      <c r="D239" s="22">
        <v>0.54495370370370366</v>
      </c>
      <c r="E239" s="8" t="s">
        <v>580</v>
      </c>
      <c r="F239" s="8" t="s">
        <v>459</v>
      </c>
      <c r="G239" s="8" t="s">
        <v>303</v>
      </c>
      <c r="H239" s="8" t="s">
        <v>121</v>
      </c>
      <c r="I239" s="44">
        <v>442.18</v>
      </c>
      <c r="J239" s="30">
        <v>0</v>
      </c>
      <c r="K239" s="92">
        <f>+L239-J376</f>
        <v>245</v>
      </c>
      <c r="L239" s="67">
        <v>245</v>
      </c>
      <c r="M239" s="61">
        <f t="shared" ref="M239:M270" si="15">I239/K239*100</f>
        <v>180.48163265306124</v>
      </c>
      <c r="O239" s="4" t="s">
        <v>98</v>
      </c>
      <c r="R239" s="18" t="s">
        <v>17</v>
      </c>
      <c r="S239" s="2"/>
      <c r="T239"/>
    </row>
    <row r="240" spans="1:20" ht="15" hidden="1" customHeight="1" x14ac:dyDescent="0.3">
      <c r="B240" s="8" t="s">
        <v>507</v>
      </c>
      <c r="C240" s="21">
        <v>44680</v>
      </c>
      <c r="D240" s="22">
        <v>0.83569444444444452</v>
      </c>
      <c r="E240" s="8" t="s">
        <v>580</v>
      </c>
      <c r="F240" s="8" t="s">
        <v>197</v>
      </c>
      <c r="G240" s="8" t="s">
        <v>44</v>
      </c>
      <c r="H240" s="8" t="s">
        <v>251</v>
      </c>
      <c r="I240" s="8">
        <v>150.58000000000001</v>
      </c>
      <c r="J240" s="53">
        <v>0</v>
      </c>
      <c r="K240" s="89">
        <f>+L240-J377</f>
        <v>1182.8399999999999</v>
      </c>
      <c r="L240" s="81">
        <v>1182.8399999999999</v>
      </c>
      <c r="M240" s="10">
        <f t="shared" si="15"/>
        <v>12.730377734943021</v>
      </c>
      <c r="O240" s="4" t="s">
        <v>60</v>
      </c>
      <c r="R240" s="18" t="s">
        <v>23</v>
      </c>
      <c r="S240" s="2"/>
      <c r="T240"/>
    </row>
    <row r="241" spans="1:20" ht="15" hidden="1" customHeight="1" x14ac:dyDescent="0.3">
      <c r="B241" s="8" t="s">
        <v>507</v>
      </c>
      <c r="C241" s="21">
        <v>44680</v>
      </c>
      <c r="D241" s="22">
        <v>0.96478009259259256</v>
      </c>
      <c r="E241" s="8" t="s">
        <v>580</v>
      </c>
      <c r="F241" s="8" t="s">
        <v>311</v>
      </c>
      <c r="G241" s="8" t="s">
        <v>303</v>
      </c>
      <c r="H241" s="8" t="s">
        <v>251</v>
      </c>
      <c r="I241" s="8">
        <v>363.86</v>
      </c>
      <c r="J241" s="53">
        <v>0</v>
      </c>
      <c r="K241" s="89">
        <f>+L241-J378</f>
        <v>157</v>
      </c>
      <c r="L241" s="53">
        <v>157</v>
      </c>
      <c r="M241" s="10">
        <f t="shared" si="15"/>
        <v>231.7579617834395</v>
      </c>
      <c r="O241" s="4" t="s">
        <v>54</v>
      </c>
      <c r="R241" s="18" t="s">
        <v>18</v>
      </c>
      <c r="S241" s="2"/>
      <c r="T241"/>
    </row>
    <row r="242" spans="1:20" ht="15" hidden="1" customHeight="1" x14ac:dyDescent="0.3">
      <c r="B242" s="8" t="s">
        <v>244</v>
      </c>
      <c r="C242" s="21">
        <v>44680</v>
      </c>
      <c r="D242" s="22">
        <v>0.74256944444444439</v>
      </c>
      <c r="E242" s="8" t="s">
        <v>580</v>
      </c>
      <c r="F242" s="8" t="s">
        <v>329</v>
      </c>
      <c r="G242" s="8" t="s">
        <v>330</v>
      </c>
      <c r="H242" s="8" t="s">
        <v>247</v>
      </c>
      <c r="I242" s="236">
        <v>200.03</v>
      </c>
      <c r="J242" s="103"/>
      <c r="K242" s="89" t="e">
        <f>+L242-#REF!</f>
        <v>#REF!</v>
      </c>
      <c r="L242" s="82">
        <v>1000</v>
      </c>
      <c r="M242" s="10" t="e">
        <f t="shared" si="15"/>
        <v>#REF!</v>
      </c>
      <c r="O242" s="4" t="s">
        <v>74</v>
      </c>
      <c r="R242" s="18" t="s">
        <v>155</v>
      </c>
      <c r="S242" s="2"/>
      <c r="T242"/>
    </row>
    <row r="243" spans="1:20" ht="15" hidden="1" customHeight="1" x14ac:dyDescent="0.3">
      <c r="A243" s="9">
        <v>196</v>
      </c>
      <c r="B243" s="8" t="s">
        <v>434</v>
      </c>
      <c r="C243" s="21">
        <v>44602</v>
      </c>
      <c r="D243" s="22">
        <v>0.49184027777777778</v>
      </c>
      <c r="E243" s="8" t="s">
        <v>25</v>
      </c>
      <c r="F243" s="8" t="s">
        <v>175</v>
      </c>
      <c r="G243" s="8" t="s">
        <v>172</v>
      </c>
      <c r="H243" s="8" t="s">
        <v>302</v>
      </c>
      <c r="I243" s="24">
        <v>302.08999999999997</v>
      </c>
      <c r="J243" s="7">
        <v>704288</v>
      </c>
      <c r="K243" s="11">
        <f t="shared" ref="K243:K276" si="16">+L243-J243</f>
        <v>947</v>
      </c>
      <c r="L243" s="32">
        <v>705235</v>
      </c>
      <c r="M243" s="10">
        <f t="shared" si="15"/>
        <v>31.899683210137276</v>
      </c>
    </row>
    <row r="244" spans="1:20" ht="15" hidden="1" customHeight="1" x14ac:dyDescent="0.3">
      <c r="A244" s="9">
        <v>197</v>
      </c>
      <c r="B244" s="8" t="s">
        <v>434</v>
      </c>
      <c r="C244" s="21">
        <v>44603</v>
      </c>
      <c r="D244" s="22">
        <v>0.51761574074074079</v>
      </c>
      <c r="E244" s="8" t="s">
        <v>25</v>
      </c>
      <c r="F244" s="8" t="s">
        <v>210</v>
      </c>
      <c r="G244" s="8" t="s">
        <v>211</v>
      </c>
      <c r="H244" s="8" t="s">
        <v>302</v>
      </c>
      <c r="I244" s="8">
        <v>314.49</v>
      </c>
      <c r="J244" s="67">
        <v>705235</v>
      </c>
      <c r="K244" s="53">
        <f t="shared" si="16"/>
        <v>904</v>
      </c>
      <c r="L244" s="32">
        <v>706139</v>
      </c>
      <c r="M244" s="10">
        <f t="shared" si="15"/>
        <v>34.788716814159294</v>
      </c>
    </row>
    <row r="245" spans="1:20" ht="15" hidden="1" customHeight="1" x14ac:dyDescent="0.3">
      <c r="A245" s="9">
        <v>198</v>
      </c>
      <c r="B245" s="8" t="s">
        <v>434</v>
      </c>
      <c r="C245" s="21">
        <v>44605</v>
      </c>
      <c r="D245" s="22">
        <v>0.55961805555555555</v>
      </c>
      <c r="E245" s="8" t="s">
        <v>25</v>
      </c>
      <c r="F245" s="8" t="s">
        <v>293</v>
      </c>
      <c r="G245" s="8" t="s">
        <v>196</v>
      </c>
      <c r="H245" s="8" t="s">
        <v>302</v>
      </c>
      <c r="I245" s="8">
        <v>377.78</v>
      </c>
      <c r="J245" s="53">
        <v>706139</v>
      </c>
      <c r="K245" s="53">
        <f t="shared" si="16"/>
        <v>1289</v>
      </c>
      <c r="L245" s="67">
        <v>707428</v>
      </c>
      <c r="M245" s="10">
        <f t="shared" si="15"/>
        <v>29.307990690457718</v>
      </c>
    </row>
    <row r="246" spans="1:20" ht="15" hidden="1" customHeight="1" x14ac:dyDescent="0.3">
      <c r="A246" s="9">
        <v>199</v>
      </c>
      <c r="B246" s="8" t="s">
        <v>434</v>
      </c>
      <c r="C246" s="21">
        <v>44606</v>
      </c>
      <c r="D246" s="22">
        <v>0.94956018518518526</v>
      </c>
      <c r="E246" s="8" t="s">
        <v>25</v>
      </c>
      <c r="F246" s="8" t="s">
        <v>175</v>
      </c>
      <c r="G246" s="8" t="s">
        <v>172</v>
      </c>
      <c r="H246" s="8" t="s">
        <v>302</v>
      </c>
      <c r="I246" s="8">
        <v>197.63</v>
      </c>
      <c r="J246" s="53">
        <v>707428</v>
      </c>
      <c r="K246" s="53">
        <f t="shared" si="16"/>
        <v>495</v>
      </c>
      <c r="L246" s="53">
        <v>707923</v>
      </c>
      <c r="M246" s="10">
        <f t="shared" si="15"/>
        <v>39.925252525252525</v>
      </c>
    </row>
    <row r="247" spans="1:20" ht="15" hidden="1" customHeight="1" x14ac:dyDescent="0.3">
      <c r="A247" s="9">
        <v>200</v>
      </c>
      <c r="B247" s="8" t="s">
        <v>434</v>
      </c>
      <c r="C247" s="21">
        <v>44607</v>
      </c>
      <c r="D247" s="22">
        <v>0.99131944444444453</v>
      </c>
      <c r="E247" s="8" t="s">
        <v>25</v>
      </c>
      <c r="F247" s="8" t="s">
        <v>210</v>
      </c>
      <c r="G247" s="8" t="s">
        <v>211</v>
      </c>
      <c r="H247" s="8" t="s">
        <v>302</v>
      </c>
      <c r="I247" s="8">
        <v>327.98</v>
      </c>
      <c r="J247" s="53">
        <v>707923</v>
      </c>
      <c r="K247" s="53">
        <f t="shared" si="16"/>
        <v>903</v>
      </c>
      <c r="L247" s="53">
        <v>708826</v>
      </c>
      <c r="M247" s="10">
        <f t="shared" si="15"/>
        <v>36.321151716500552</v>
      </c>
    </row>
    <row r="248" spans="1:20" ht="15" hidden="1" customHeight="1" x14ac:dyDescent="0.3">
      <c r="A248" s="9">
        <v>201</v>
      </c>
      <c r="B248" s="8" t="s">
        <v>434</v>
      </c>
      <c r="C248" s="21">
        <v>44610</v>
      </c>
      <c r="D248" s="22">
        <v>2.1157407407407406E-2</v>
      </c>
      <c r="E248" s="8" t="s">
        <v>25</v>
      </c>
      <c r="F248" s="8" t="s">
        <v>210</v>
      </c>
      <c r="G248" s="8" t="s">
        <v>211</v>
      </c>
      <c r="H248" s="8" t="s">
        <v>302</v>
      </c>
      <c r="I248" s="8">
        <v>381.4</v>
      </c>
      <c r="J248" s="53">
        <v>708826</v>
      </c>
      <c r="K248" s="53">
        <f t="shared" si="16"/>
        <v>931</v>
      </c>
      <c r="L248" s="53">
        <v>709757</v>
      </c>
      <c r="M248" s="10">
        <f t="shared" si="15"/>
        <v>40.966702470461868</v>
      </c>
    </row>
    <row r="249" spans="1:20" ht="15" hidden="1" customHeight="1" x14ac:dyDescent="0.3">
      <c r="A249" s="9">
        <v>202</v>
      </c>
      <c r="B249" s="8" t="s">
        <v>434</v>
      </c>
      <c r="C249" s="21">
        <v>44611</v>
      </c>
      <c r="D249" s="22">
        <v>0.39318287037037036</v>
      </c>
      <c r="E249" s="8" t="s">
        <v>25</v>
      </c>
      <c r="F249" s="8" t="s">
        <v>175</v>
      </c>
      <c r="G249" s="8" t="s">
        <v>172</v>
      </c>
      <c r="H249" s="8" t="s">
        <v>302</v>
      </c>
      <c r="I249" s="8">
        <v>325.44</v>
      </c>
      <c r="J249" s="53">
        <v>709757</v>
      </c>
      <c r="K249" s="53">
        <f t="shared" si="16"/>
        <v>976</v>
      </c>
      <c r="L249" s="53">
        <v>710733</v>
      </c>
      <c r="M249" s="10">
        <f t="shared" si="15"/>
        <v>33.344262295081968</v>
      </c>
    </row>
    <row r="250" spans="1:20" ht="15" hidden="1" customHeight="1" x14ac:dyDescent="0.3">
      <c r="A250" s="9">
        <v>203</v>
      </c>
      <c r="B250" s="8" t="s">
        <v>434</v>
      </c>
      <c r="C250" s="21">
        <v>44612</v>
      </c>
      <c r="D250" s="22">
        <v>0.52984953703703697</v>
      </c>
      <c r="E250" s="8" t="s">
        <v>25</v>
      </c>
      <c r="F250" s="8" t="s">
        <v>210</v>
      </c>
      <c r="G250" s="8" t="s">
        <v>211</v>
      </c>
      <c r="H250" s="8" t="s">
        <v>302</v>
      </c>
      <c r="I250" s="8">
        <v>315.32</v>
      </c>
      <c r="J250" s="53">
        <v>710733</v>
      </c>
      <c r="K250" s="53">
        <f t="shared" si="16"/>
        <v>856</v>
      </c>
      <c r="L250" s="53">
        <v>711589</v>
      </c>
      <c r="M250" s="10">
        <f t="shared" si="15"/>
        <v>36.836448598130836</v>
      </c>
    </row>
    <row r="251" spans="1:20" ht="15" hidden="1" customHeight="1" x14ac:dyDescent="0.3">
      <c r="A251" s="9">
        <v>204</v>
      </c>
      <c r="B251" s="8" t="s">
        <v>434</v>
      </c>
      <c r="C251" s="21">
        <v>44613</v>
      </c>
      <c r="D251" s="22">
        <v>0.9412152777777778</v>
      </c>
      <c r="E251" s="8" t="s">
        <v>25</v>
      </c>
      <c r="F251" s="8" t="s">
        <v>210</v>
      </c>
      <c r="G251" s="8" t="s">
        <v>211</v>
      </c>
      <c r="H251" s="8" t="s">
        <v>302</v>
      </c>
      <c r="I251" s="8">
        <v>409.1</v>
      </c>
      <c r="J251" s="53">
        <v>711589</v>
      </c>
      <c r="K251" s="53">
        <f t="shared" si="16"/>
        <v>1094</v>
      </c>
      <c r="L251" s="53">
        <v>712683</v>
      </c>
      <c r="M251" s="10">
        <f t="shared" si="15"/>
        <v>37.394881170018287</v>
      </c>
    </row>
    <row r="252" spans="1:20" ht="15" hidden="1" customHeight="1" x14ac:dyDescent="0.3">
      <c r="A252" s="9">
        <v>205</v>
      </c>
      <c r="B252" s="8" t="s">
        <v>434</v>
      </c>
      <c r="C252" s="21">
        <v>44615</v>
      </c>
      <c r="D252" s="22">
        <v>0.39048611111111109</v>
      </c>
      <c r="E252" s="8" t="s">
        <v>25</v>
      </c>
      <c r="F252" s="8" t="s">
        <v>428</v>
      </c>
      <c r="G252" s="8" t="s">
        <v>429</v>
      </c>
      <c r="H252" s="8" t="s">
        <v>302</v>
      </c>
      <c r="I252" s="8">
        <v>338.1</v>
      </c>
      <c r="J252" s="53">
        <v>712683</v>
      </c>
      <c r="K252" s="53">
        <f t="shared" si="16"/>
        <v>966</v>
      </c>
      <c r="L252" s="32">
        <v>713649</v>
      </c>
      <c r="M252" s="36">
        <f t="shared" si="15"/>
        <v>35</v>
      </c>
    </row>
    <row r="253" spans="1:20" ht="15" hidden="1" customHeight="1" x14ac:dyDescent="0.3">
      <c r="A253" s="9">
        <v>206</v>
      </c>
      <c r="B253" s="8" t="s">
        <v>434</v>
      </c>
      <c r="C253" s="21">
        <v>44616</v>
      </c>
      <c r="D253" s="22">
        <v>0.54306712962962966</v>
      </c>
      <c r="E253" s="8" t="s">
        <v>25</v>
      </c>
      <c r="F253" s="8" t="s">
        <v>210</v>
      </c>
      <c r="G253" s="8" t="s">
        <v>211</v>
      </c>
      <c r="H253" s="8" t="s">
        <v>302</v>
      </c>
      <c r="I253" s="8">
        <v>338.56</v>
      </c>
      <c r="J253" s="53">
        <v>713649</v>
      </c>
      <c r="K253" s="53">
        <f t="shared" si="16"/>
        <v>923</v>
      </c>
      <c r="L253" s="33">
        <v>714572</v>
      </c>
      <c r="M253" s="36">
        <f t="shared" si="15"/>
        <v>36.680390032502707</v>
      </c>
    </row>
    <row r="254" spans="1:20" ht="15" hidden="1" customHeight="1" x14ac:dyDescent="0.3">
      <c r="A254" s="9">
        <v>207</v>
      </c>
      <c r="B254" s="8" t="s">
        <v>434</v>
      </c>
      <c r="C254" s="21">
        <v>44617</v>
      </c>
      <c r="D254" s="22">
        <v>0.74515046296296295</v>
      </c>
      <c r="E254" s="8" t="s">
        <v>25</v>
      </c>
      <c r="F254" s="8" t="s">
        <v>210</v>
      </c>
      <c r="G254" s="8" t="s">
        <v>211</v>
      </c>
      <c r="H254" s="8" t="s">
        <v>302</v>
      </c>
      <c r="I254" s="8">
        <v>405.81</v>
      </c>
      <c r="J254" s="53">
        <v>0</v>
      </c>
      <c r="K254" s="53">
        <f t="shared" si="16"/>
        <v>1064.6600000000001</v>
      </c>
      <c r="L254" s="32">
        <v>1064.6600000000001</v>
      </c>
      <c r="M254" s="36">
        <f t="shared" si="15"/>
        <v>38.116393966148813</v>
      </c>
    </row>
    <row r="255" spans="1:20" ht="15" hidden="1" customHeight="1" x14ac:dyDescent="0.3">
      <c r="A255" s="9">
        <v>208</v>
      </c>
      <c r="B255" s="8" t="s">
        <v>434</v>
      </c>
      <c r="C255" s="21">
        <v>44618</v>
      </c>
      <c r="D255" s="22">
        <v>0.70650462962962957</v>
      </c>
      <c r="E255" s="8" t="s">
        <v>25</v>
      </c>
      <c r="F255" s="8" t="s">
        <v>175</v>
      </c>
      <c r="G255" s="8" t="s">
        <v>172</v>
      </c>
      <c r="H255" s="8" t="s">
        <v>302</v>
      </c>
      <c r="I255" s="8">
        <v>308.7</v>
      </c>
      <c r="J255" s="53">
        <v>0</v>
      </c>
      <c r="K255" s="53">
        <f t="shared" si="16"/>
        <v>828.86</v>
      </c>
      <c r="L255" s="32">
        <v>828.86</v>
      </c>
      <c r="M255" s="36">
        <f t="shared" si="15"/>
        <v>37.243925391501584</v>
      </c>
    </row>
    <row r="256" spans="1:20" ht="15" hidden="1" customHeight="1" x14ac:dyDescent="0.3">
      <c r="A256" s="9">
        <v>209</v>
      </c>
      <c r="B256" s="8" t="s">
        <v>434</v>
      </c>
      <c r="C256" s="21">
        <v>44619</v>
      </c>
      <c r="D256" s="22">
        <v>0.98652777777777778</v>
      </c>
      <c r="E256" s="8" t="s">
        <v>25</v>
      </c>
      <c r="F256" s="8" t="s">
        <v>210</v>
      </c>
      <c r="G256" s="8" t="s">
        <v>211</v>
      </c>
      <c r="H256" s="8" t="s">
        <v>302</v>
      </c>
      <c r="I256" s="8">
        <v>363.6</v>
      </c>
      <c r="J256" s="53">
        <v>0</v>
      </c>
      <c r="K256" s="53">
        <f t="shared" si="16"/>
        <v>847.37</v>
      </c>
      <c r="L256" s="32">
        <v>847.37</v>
      </c>
      <c r="M256" s="36">
        <f t="shared" si="15"/>
        <v>42.909236815086679</v>
      </c>
    </row>
    <row r="257" spans="1:13" ht="15" hidden="1" customHeight="1" x14ac:dyDescent="0.3">
      <c r="A257" s="9">
        <v>1269</v>
      </c>
      <c r="B257" s="8" t="s">
        <v>434</v>
      </c>
      <c r="C257" s="21">
        <v>44621</v>
      </c>
      <c r="D257" s="22">
        <v>0.9213541666666667</v>
      </c>
      <c r="E257" s="8" t="s">
        <v>26</v>
      </c>
      <c r="F257" s="8" t="s">
        <v>210</v>
      </c>
      <c r="G257" s="8" t="s">
        <v>211</v>
      </c>
      <c r="H257" s="8" t="s">
        <v>302</v>
      </c>
      <c r="I257" s="8">
        <v>433.91</v>
      </c>
      <c r="J257" s="53">
        <v>0</v>
      </c>
      <c r="K257" s="89">
        <f t="shared" si="16"/>
        <v>1121.53</v>
      </c>
      <c r="L257" s="67">
        <v>1121.53</v>
      </c>
      <c r="M257" s="10">
        <f t="shared" si="15"/>
        <v>38.689112194947981</v>
      </c>
    </row>
    <row r="258" spans="1:13" ht="15" hidden="1" customHeight="1" x14ac:dyDescent="0.3">
      <c r="A258" s="9">
        <v>1270</v>
      </c>
      <c r="B258" s="8" t="s">
        <v>434</v>
      </c>
      <c r="C258" s="21">
        <v>44623</v>
      </c>
      <c r="D258" s="22">
        <v>0.676875</v>
      </c>
      <c r="E258" s="8" t="s">
        <v>26</v>
      </c>
      <c r="F258" s="8" t="s">
        <v>175</v>
      </c>
      <c r="G258" s="8" t="s">
        <v>172</v>
      </c>
      <c r="H258" s="8" t="s">
        <v>302</v>
      </c>
      <c r="I258" s="24">
        <v>347.63</v>
      </c>
      <c r="J258" s="7">
        <v>0</v>
      </c>
      <c r="K258" s="90">
        <f t="shared" si="16"/>
        <v>1035.1099999999999</v>
      </c>
      <c r="L258" s="7">
        <v>1035.1099999999999</v>
      </c>
      <c r="M258" s="10">
        <f t="shared" si="15"/>
        <v>33.583870313300039</v>
      </c>
    </row>
    <row r="259" spans="1:13" ht="15" hidden="1" customHeight="1" x14ac:dyDescent="0.3">
      <c r="A259" s="9">
        <v>1271</v>
      </c>
      <c r="B259" s="8" t="s">
        <v>434</v>
      </c>
      <c r="C259" s="21">
        <v>44624</v>
      </c>
      <c r="D259" s="22">
        <v>0.7780555555555555</v>
      </c>
      <c r="E259" s="8" t="s">
        <v>26</v>
      </c>
      <c r="F259" s="8" t="s">
        <v>210</v>
      </c>
      <c r="G259" s="8" t="s">
        <v>211</v>
      </c>
      <c r="H259" s="8" t="s">
        <v>302</v>
      </c>
      <c r="I259" s="8">
        <v>333.07</v>
      </c>
      <c r="J259" s="68">
        <v>0</v>
      </c>
      <c r="K259" s="93">
        <f t="shared" si="16"/>
        <v>831.56</v>
      </c>
      <c r="L259" s="68">
        <v>831.56</v>
      </c>
      <c r="M259" s="10">
        <f t="shared" si="15"/>
        <v>40.053634133435956</v>
      </c>
    </row>
    <row r="260" spans="1:13" ht="15" hidden="1" customHeight="1" x14ac:dyDescent="0.3">
      <c r="A260" s="9">
        <v>1272</v>
      </c>
      <c r="B260" s="8" t="s">
        <v>434</v>
      </c>
      <c r="C260" s="21">
        <v>44625</v>
      </c>
      <c r="D260" s="22">
        <v>0.90768518518518526</v>
      </c>
      <c r="E260" s="8" t="s">
        <v>26</v>
      </c>
      <c r="F260" s="8" t="s">
        <v>210</v>
      </c>
      <c r="G260" s="8" t="s">
        <v>211</v>
      </c>
      <c r="H260" s="8" t="s">
        <v>302</v>
      </c>
      <c r="I260" s="24">
        <v>368.56</v>
      </c>
      <c r="J260" s="32">
        <v>0</v>
      </c>
      <c r="K260" s="90">
        <f t="shared" si="16"/>
        <v>1062.5999999999999</v>
      </c>
      <c r="L260" s="32">
        <v>1062.5999999999999</v>
      </c>
      <c r="M260" s="10">
        <f t="shared" si="15"/>
        <v>34.684735554300779</v>
      </c>
    </row>
    <row r="261" spans="1:13" ht="15" hidden="1" customHeight="1" x14ac:dyDescent="0.3">
      <c r="A261" s="9">
        <v>1273</v>
      </c>
      <c r="B261" s="8" t="s">
        <v>434</v>
      </c>
      <c r="C261" s="21">
        <v>44627</v>
      </c>
      <c r="D261" s="22">
        <v>0.72396990740740741</v>
      </c>
      <c r="E261" s="8" t="s">
        <v>26</v>
      </c>
      <c r="F261" s="8" t="s">
        <v>391</v>
      </c>
      <c r="G261" s="8" t="s">
        <v>392</v>
      </c>
      <c r="H261" s="8" t="s">
        <v>302</v>
      </c>
      <c r="I261" s="8">
        <v>314.35000000000002</v>
      </c>
      <c r="J261" s="67">
        <v>0</v>
      </c>
      <c r="K261" s="92">
        <f t="shared" si="16"/>
        <v>911.39</v>
      </c>
      <c r="L261" s="67">
        <v>911.39</v>
      </c>
      <c r="M261" s="10">
        <f t="shared" si="15"/>
        <v>34.491271574188879</v>
      </c>
    </row>
    <row r="262" spans="1:13" ht="15" hidden="1" customHeight="1" x14ac:dyDescent="0.3">
      <c r="A262" s="9">
        <v>1892</v>
      </c>
      <c r="B262" s="8" t="s">
        <v>434</v>
      </c>
      <c r="C262" s="21">
        <v>44642</v>
      </c>
      <c r="D262" s="22">
        <v>0.76796296296296296</v>
      </c>
      <c r="E262" s="8" t="s">
        <v>26</v>
      </c>
      <c r="F262" s="8" t="s">
        <v>197</v>
      </c>
      <c r="G262" s="8" t="s">
        <v>44</v>
      </c>
      <c r="H262" s="8" t="s">
        <v>137</v>
      </c>
      <c r="I262" s="8">
        <v>137.44999999999999</v>
      </c>
      <c r="J262" s="11">
        <v>0</v>
      </c>
      <c r="K262" s="89">
        <f t="shared" si="16"/>
        <v>277.44</v>
      </c>
      <c r="L262" s="11">
        <v>277.44</v>
      </c>
      <c r="M262" s="10">
        <f t="shared" si="15"/>
        <v>49.542243367935406</v>
      </c>
    </row>
    <row r="263" spans="1:13" ht="15" hidden="1" customHeight="1" x14ac:dyDescent="0.3">
      <c r="A263" s="9">
        <v>1893</v>
      </c>
      <c r="B263" s="8" t="s">
        <v>434</v>
      </c>
      <c r="C263" s="21">
        <v>44644</v>
      </c>
      <c r="D263" s="22">
        <v>3.8668981481481478E-2</v>
      </c>
      <c r="E263" s="8" t="s">
        <v>26</v>
      </c>
      <c r="F263" s="8" t="s">
        <v>165</v>
      </c>
      <c r="G263" s="8" t="s">
        <v>185</v>
      </c>
      <c r="H263" s="8" t="s">
        <v>137</v>
      </c>
      <c r="I263" s="8">
        <v>563.96</v>
      </c>
      <c r="J263" s="11">
        <v>0</v>
      </c>
      <c r="K263" s="89">
        <f t="shared" si="16"/>
        <v>1142.72</v>
      </c>
      <c r="L263" s="11">
        <v>1142.72</v>
      </c>
      <c r="M263" s="10">
        <f t="shared" si="15"/>
        <v>49.352422290674888</v>
      </c>
    </row>
    <row r="264" spans="1:13" ht="15" hidden="1" customHeight="1" x14ac:dyDescent="0.3">
      <c r="A264" s="9">
        <v>1894</v>
      </c>
      <c r="B264" s="8" t="s">
        <v>434</v>
      </c>
      <c r="C264" s="21">
        <v>44644</v>
      </c>
      <c r="D264" s="22">
        <v>0.81179398148148152</v>
      </c>
      <c r="E264" s="8" t="s">
        <v>26</v>
      </c>
      <c r="F264" s="8" t="s">
        <v>166</v>
      </c>
      <c r="G264" s="8" t="s">
        <v>161</v>
      </c>
      <c r="H264" s="8" t="s">
        <v>137</v>
      </c>
      <c r="I264" s="8">
        <v>160.02000000000001</v>
      </c>
      <c r="J264" s="28">
        <v>0</v>
      </c>
      <c r="K264" s="96">
        <f t="shared" si="16"/>
        <v>590.80999999999995</v>
      </c>
      <c r="L264" s="28">
        <v>590.80999999999995</v>
      </c>
      <c r="M264" s="10">
        <f t="shared" si="15"/>
        <v>27.084849613242838</v>
      </c>
    </row>
    <row r="265" spans="1:13" ht="15" hidden="1" customHeight="1" x14ac:dyDescent="0.3">
      <c r="A265" s="9">
        <v>1895</v>
      </c>
      <c r="B265" s="8" t="s">
        <v>434</v>
      </c>
      <c r="C265" s="21">
        <v>44648</v>
      </c>
      <c r="D265" s="22">
        <v>0.8650578703703703</v>
      </c>
      <c r="E265" s="8" t="s">
        <v>26</v>
      </c>
      <c r="F265" s="8" t="s">
        <v>175</v>
      </c>
      <c r="G265" s="8" t="s">
        <v>172</v>
      </c>
      <c r="H265" s="8" t="s">
        <v>137</v>
      </c>
      <c r="I265" s="24">
        <v>464.2</v>
      </c>
      <c r="J265" s="7">
        <v>0</v>
      </c>
      <c r="K265" s="90">
        <f t="shared" si="16"/>
        <v>1415</v>
      </c>
      <c r="L265" s="7">
        <v>1415</v>
      </c>
      <c r="M265" s="10">
        <f t="shared" si="15"/>
        <v>32.805653710247348</v>
      </c>
    </row>
    <row r="266" spans="1:13" ht="15" hidden="1" customHeight="1" x14ac:dyDescent="0.3">
      <c r="A266" s="9">
        <v>1896</v>
      </c>
      <c r="B266" s="8" t="s">
        <v>434</v>
      </c>
      <c r="C266" s="21">
        <v>44649</v>
      </c>
      <c r="D266" s="22">
        <v>0.48998842592592595</v>
      </c>
      <c r="E266" s="8" t="s">
        <v>26</v>
      </c>
      <c r="F266" s="8" t="s">
        <v>210</v>
      </c>
      <c r="G266" s="8" t="s">
        <v>211</v>
      </c>
      <c r="H266" s="8" t="s">
        <v>137</v>
      </c>
      <c r="I266" s="8">
        <v>318.95999999999998</v>
      </c>
      <c r="J266" s="30">
        <v>0</v>
      </c>
      <c r="K266" s="92">
        <f t="shared" si="16"/>
        <v>695.84</v>
      </c>
      <c r="L266" s="30">
        <v>695.84</v>
      </c>
      <c r="M266" s="10">
        <f t="shared" si="15"/>
        <v>45.838123706599212</v>
      </c>
    </row>
    <row r="267" spans="1:13" ht="15" hidden="1" customHeight="1" x14ac:dyDescent="0.3">
      <c r="A267" s="9">
        <v>3162</v>
      </c>
      <c r="B267" s="8" t="s">
        <v>434</v>
      </c>
      <c r="C267" s="21">
        <v>44658</v>
      </c>
      <c r="D267" s="22">
        <v>0.50920138888888888</v>
      </c>
      <c r="E267" s="8" t="s">
        <v>27</v>
      </c>
      <c r="F267" s="8" t="s">
        <v>210</v>
      </c>
      <c r="G267" s="8" t="s">
        <v>211</v>
      </c>
      <c r="H267" s="8" t="s">
        <v>137</v>
      </c>
      <c r="I267" s="19">
        <v>450.01</v>
      </c>
      <c r="J267" s="11">
        <v>0</v>
      </c>
      <c r="K267" s="89">
        <f t="shared" si="16"/>
        <v>921.4</v>
      </c>
      <c r="L267" s="11">
        <v>921.4</v>
      </c>
      <c r="M267" s="10">
        <f t="shared" si="15"/>
        <v>48.839808986325153</v>
      </c>
    </row>
    <row r="268" spans="1:13" ht="15" hidden="1" customHeight="1" x14ac:dyDescent="0.3">
      <c r="A268" s="9">
        <v>3163</v>
      </c>
      <c r="B268" s="8" t="s">
        <v>434</v>
      </c>
      <c r="C268" s="21">
        <v>44660</v>
      </c>
      <c r="D268" s="22">
        <v>0.48055555555555557</v>
      </c>
      <c r="E268" s="8" t="s">
        <v>27</v>
      </c>
      <c r="F268" s="8" t="s">
        <v>175</v>
      </c>
      <c r="G268" s="8" t="s">
        <v>172</v>
      </c>
      <c r="H268" s="8" t="s">
        <v>137</v>
      </c>
      <c r="I268" s="19">
        <v>461.25</v>
      </c>
      <c r="J268" s="11">
        <v>0</v>
      </c>
      <c r="K268" s="89">
        <f t="shared" si="16"/>
        <v>1228.42</v>
      </c>
      <c r="L268" s="11">
        <v>1228.42</v>
      </c>
      <c r="M268" s="10">
        <f t="shared" si="15"/>
        <v>37.548232689145408</v>
      </c>
    </row>
    <row r="269" spans="1:13" ht="15" hidden="1" customHeight="1" x14ac:dyDescent="0.3">
      <c r="A269" s="9">
        <v>3164</v>
      </c>
      <c r="B269" s="8" t="s">
        <v>434</v>
      </c>
      <c r="C269" s="21">
        <v>44661</v>
      </c>
      <c r="D269" s="22">
        <v>0.3817592592592593</v>
      </c>
      <c r="E269" s="8" t="s">
        <v>27</v>
      </c>
      <c r="F269" s="8" t="s">
        <v>210</v>
      </c>
      <c r="G269" s="8" t="s">
        <v>211</v>
      </c>
      <c r="H269" s="8" t="s">
        <v>137</v>
      </c>
      <c r="I269" s="19">
        <v>284.39999999999998</v>
      </c>
      <c r="J269" s="30">
        <v>0</v>
      </c>
      <c r="K269" s="92">
        <f t="shared" si="16"/>
        <v>709.16</v>
      </c>
      <c r="L269" s="30">
        <v>709.16</v>
      </c>
      <c r="M269" s="10">
        <f t="shared" si="15"/>
        <v>40.103784759433694</v>
      </c>
    </row>
    <row r="270" spans="1:13" ht="15" hidden="1" customHeight="1" x14ac:dyDescent="0.3">
      <c r="A270" s="9">
        <v>3165</v>
      </c>
      <c r="B270" s="8" t="s">
        <v>434</v>
      </c>
      <c r="C270" s="21">
        <v>44662</v>
      </c>
      <c r="D270" s="22">
        <v>0.42650462962962959</v>
      </c>
      <c r="E270" s="8" t="s">
        <v>27</v>
      </c>
      <c r="F270" s="8" t="s">
        <v>210</v>
      </c>
      <c r="G270" s="8" t="s">
        <v>211</v>
      </c>
      <c r="H270" s="8" t="s">
        <v>137</v>
      </c>
      <c r="I270" s="19">
        <v>385.06</v>
      </c>
      <c r="J270" s="11">
        <v>0</v>
      </c>
      <c r="K270" s="89">
        <f t="shared" si="16"/>
        <v>1063.21</v>
      </c>
      <c r="L270" s="53">
        <v>1063.21</v>
      </c>
      <c r="M270" s="10">
        <f t="shared" si="15"/>
        <v>36.216739872649804</v>
      </c>
    </row>
    <row r="271" spans="1:13" ht="15" hidden="1" customHeight="1" x14ac:dyDescent="0.3">
      <c r="A271" s="9">
        <v>3166</v>
      </c>
      <c r="B271" s="8" t="s">
        <v>434</v>
      </c>
      <c r="C271" s="21">
        <v>44663</v>
      </c>
      <c r="D271" s="22">
        <v>0.54267361111111112</v>
      </c>
      <c r="E271" s="8" t="s">
        <v>27</v>
      </c>
      <c r="F271" s="8" t="s">
        <v>175</v>
      </c>
      <c r="G271" s="8" t="s">
        <v>172</v>
      </c>
      <c r="H271" s="8" t="s">
        <v>137</v>
      </c>
      <c r="I271" s="190">
        <v>321.07</v>
      </c>
      <c r="J271" s="7">
        <v>0</v>
      </c>
      <c r="K271" s="90">
        <f t="shared" si="16"/>
        <v>947.79</v>
      </c>
      <c r="L271" s="32">
        <v>947.79</v>
      </c>
      <c r="M271" s="10">
        <f t="shared" ref="M271:M302" si="17">I271/K271*100</f>
        <v>33.875647559058443</v>
      </c>
    </row>
    <row r="272" spans="1:13" ht="15" hidden="1" customHeight="1" x14ac:dyDescent="0.3">
      <c r="A272" s="9">
        <v>3167</v>
      </c>
      <c r="B272" s="8" t="s">
        <v>434</v>
      </c>
      <c r="C272" s="21">
        <v>44671</v>
      </c>
      <c r="D272" s="22">
        <v>0.9024537037037037</v>
      </c>
      <c r="E272" s="8" t="s">
        <v>27</v>
      </c>
      <c r="F272" s="8" t="s">
        <v>210</v>
      </c>
      <c r="G272" s="8" t="s">
        <v>211</v>
      </c>
      <c r="H272" s="8" t="s">
        <v>137</v>
      </c>
      <c r="I272" s="19">
        <v>442.07</v>
      </c>
      <c r="J272" s="30">
        <v>0</v>
      </c>
      <c r="K272" s="92">
        <f t="shared" si="16"/>
        <v>892.88</v>
      </c>
      <c r="L272" s="67">
        <v>892.88</v>
      </c>
      <c r="M272" s="10">
        <f t="shared" si="17"/>
        <v>49.51057252934325</v>
      </c>
    </row>
    <row r="273" spans="1:13" ht="15" hidden="1" customHeight="1" x14ac:dyDescent="0.3">
      <c r="A273" s="9">
        <v>3168</v>
      </c>
      <c r="B273" s="8" t="s">
        <v>434</v>
      </c>
      <c r="C273" s="21">
        <v>44673</v>
      </c>
      <c r="D273" s="22">
        <v>0.42124999999999996</v>
      </c>
      <c r="E273" s="8" t="s">
        <v>27</v>
      </c>
      <c r="F273" s="8" t="s">
        <v>166</v>
      </c>
      <c r="G273" s="8" t="s">
        <v>161</v>
      </c>
      <c r="H273" s="8" t="s">
        <v>137</v>
      </c>
      <c r="I273" s="19">
        <v>421.63</v>
      </c>
      <c r="J273" s="11">
        <v>0</v>
      </c>
      <c r="K273" s="89">
        <f t="shared" si="16"/>
        <v>1139.44</v>
      </c>
      <c r="L273" s="53">
        <v>1139.44</v>
      </c>
      <c r="M273" s="10">
        <f t="shared" si="17"/>
        <v>37.003264761637297</v>
      </c>
    </row>
    <row r="274" spans="1:13" ht="15" hidden="1" customHeight="1" x14ac:dyDescent="0.3">
      <c r="A274" s="9">
        <v>3169</v>
      </c>
      <c r="B274" s="8" t="s">
        <v>434</v>
      </c>
      <c r="C274" s="21">
        <v>44674</v>
      </c>
      <c r="D274" s="22">
        <v>0.88952546296296298</v>
      </c>
      <c r="E274" s="8" t="s">
        <v>27</v>
      </c>
      <c r="F274" s="8" t="s">
        <v>171</v>
      </c>
      <c r="G274" s="8" t="s">
        <v>172</v>
      </c>
      <c r="H274" s="8" t="s">
        <v>137</v>
      </c>
      <c r="I274" s="19">
        <v>405</v>
      </c>
      <c r="J274" s="11">
        <v>0</v>
      </c>
      <c r="K274" s="89">
        <f t="shared" si="16"/>
        <v>1137.99</v>
      </c>
      <c r="L274" s="53">
        <v>1137.99</v>
      </c>
      <c r="M274" s="10">
        <f t="shared" si="17"/>
        <v>35.589064930271796</v>
      </c>
    </row>
    <row r="275" spans="1:13" ht="15" hidden="1" customHeight="1" x14ac:dyDescent="0.3">
      <c r="A275" s="9">
        <v>3170</v>
      </c>
      <c r="B275" s="8" t="s">
        <v>434</v>
      </c>
      <c r="C275" s="21">
        <v>44675</v>
      </c>
      <c r="D275" s="22">
        <v>0.70307870370370373</v>
      </c>
      <c r="E275" s="8" t="s">
        <v>27</v>
      </c>
      <c r="F275" s="8" t="s">
        <v>166</v>
      </c>
      <c r="G275" s="8" t="s">
        <v>161</v>
      </c>
      <c r="H275" s="8" t="s">
        <v>137</v>
      </c>
      <c r="I275" s="19">
        <v>286.18</v>
      </c>
      <c r="J275" s="11">
        <v>0</v>
      </c>
      <c r="K275" s="89">
        <f t="shared" si="16"/>
        <v>616.14</v>
      </c>
      <c r="L275" s="32">
        <v>616.14</v>
      </c>
      <c r="M275" s="10">
        <f t="shared" si="17"/>
        <v>46.447236017788171</v>
      </c>
    </row>
    <row r="276" spans="1:13" ht="15" hidden="1" customHeight="1" x14ac:dyDescent="0.3">
      <c r="A276" s="9">
        <v>3171</v>
      </c>
      <c r="B276" s="8" t="s">
        <v>434</v>
      </c>
      <c r="C276" s="21">
        <v>44677</v>
      </c>
      <c r="D276" s="22">
        <v>0.89064814814814808</v>
      </c>
      <c r="E276" s="8" t="s">
        <v>27</v>
      </c>
      <c r="F276" s="8" t="s">
        <v>210</v>
      </c>
      <c r="G276" s="8" t="s">
        <v>211</v>
      </c>
      <c r="H276" s="8" t="s">
        <v>137</v>
      </c>
      <c r="I276" s="8">
        <v>527.30999999999995</v>
      </c>
      <c r="J276" s="11">
        <v>0</v>
      </c>
      <c r="K276" s="92">
        <f t="shared" si="16"/>
        <v>1204</v>
      </c>
      <c r="L276" s="30">
        <v>1204</v>
      </c>
      <c r="M276" s="10">
        <f t="shared" si="17"/>
        <v>43.796511627906973</v>
      </c>
    </row>
    <row r="277" spans="1:13" ht="15" hidden="1" customHeight="1" x14ac:dyDescent="0.3">
      <c r="A277" s="9">
        <v>3734</v>
      </c>
      <c r="B277" s="8" t="s">
        <v>434</v>
      </c>
      <c r="C277" s="21">
        <v>44683</v>
      </c>
      <c r="D277" s="22">
        <v>0.79082175925925924</v>
      </c>
      <c r="E277" s="8" t="s">
        <v>28</v>
      </c>
      <c r="F277" s="8" t="s">
        <v>210</v>
      </c>
      <c r="G277" s="8" t="s">
        <v>211</v>
      </c>
      <c r="H277" s="8" t="s">
        <v>137</v>
      </c>
      <c r="I277" s="8">
        <v>463.51</v>
      </c>
      <c r="J277" s="11">
        <v>0</v>
      </c>
      <c r="K277" s="89">
        <f>+L277-J409</f>
        <v>1120.97</v>
      </c>
      <c r="L277" s="81">
        <v>1120.97</v>
      </c>
      <c r="M277" s="10">
        <f t="shared" si="17"/>
        <v>41.349010232209608</v>
      </c>
    </row>
    <row r="278" spans="1:13" ht="15" hidden="1" customHeight="1" x14ac:dyDescent="0.3">
      <c r="A278" s="9">
        <v>3890</v>
      </c>
      <c r="B278" s="8" t="s">
        <v>434</v>
      </c>
      <c r="C278" s="21">
        <v>44686</v>
      </c>
      <c r="D278" s="22">
        <v>0.35781250000000003</v>
      </c>
      <c r="E278" s="8" t="s">
        <v>28</v>
      </c>
      <c r="F278" s="8" t="s">
        <v>175</v>
      </c>
      <c r="G278" s="8" t="s">
        <v>172</v>
      </c>
      <c r="H278" s="8" t="s">
        <v>137</v>
      </c>
      <c r="I278" s="8">
        <v>161.43</v>
      </c>
      <c r="J278" s="11">
        <v>0</v>
      </c>
      <c r="K278" s="89">
        <f t="shared" ref="K278:K284" si="18">+L278-J407</f>
        <v>1122</v>
      </c>
      <c r="L278" s="53">
        <v>1122</v>
      </c>
      <c r="M278" s="10">
        <f t="shared" si="17"/>
        <v>14.387700534759359</v>
      </c>
    </row>
    <row r="279" spans="1:13" ht="15" hidden="1" customHeight="1" x14ac:dyDescent="0.3">
      <c r="A279" s="9">
        <v>3891</v>
      </c>
      <c r="B279" s="8" t="s">
        <v>434</v>
      </c>
      <c r="C279" s="21">
        <v>44686</v>
      </c>
      <c r="D279" s="22">
        <v>0.50777777777777777</v>
      </c>
      <c r="E279" s="8" t="s">
        <v>28</v>
      </c>
      <c r="F279" s="8" t="s">
        <v>197</v>
      </c>
      <c r="G279" s="8" t="s">
        <v>44</v>
      </c>
      <c r="H279" s="8" t="s">
        <v>137</v>
      </c>
      <c r="I279" s="8">
        <v>106.29</v>
      </c>
      <c r="J279" s="11">
        <v>0</v>
      </c>
      <c r="K279" s="89">
        <f t="shared" si="18"/>
        <v>122</v>
      </c>
      <c r="L279" s="53">
        <v>122</v>
      </c>
      <c r="M279" s="10">
        <f t="shared" si="17"/>
        <v>87.122950819672141</v>
      </c>
    </row>
    <row r="280" spans="1:13" ht="15" hidden="1" customHeight="1" x14ac:dyDescent="0.3">
      <c r="A280" s="9">
        <v>3892</v>
      </c>
      <c r="B280" s="8" t="s">
        <v>434</v>
      </c>
      <c r="C280" s="21">
        <v>44686</v>
      </c>
      <c r="D280" s="22">
        <v>0.93299768518518522</v>
      </c>
      <c r="E280" s="8" t="s">
        <v>28</v>
      </c>
      <c r="F280" s="8" t="s">
        <v>210</v>
      </c>
      <c r="G280" s="8" t="s">
        <v>211</v>
      </c>
      <c r="H280" s="8" t="s">
        <v>137</v>
      </c>
      <c r="I280" s="8">
        <v>482.8</v>
      </c>
      <c r="J280" s="11">
        <v>0</v>
      </c>
      <c r="K280" s="89">
        <f t="shared" si="18"/>
        <v>587</v>
      </c>
      <c r="L280" s="53">
        <v>587</v>
      </c>
      <c r="M280" s="10">
        <f t="shared" si="17"/>
        <v>82.248722316865425</v>
      </c>
    </row>
    <row r="281" spans="1:13" ht="15" hidden="1" customHeight="1" x14ac:dyDescent="0.3">
      <c r="A281" s="9">
        <v>3950</v>
      </c>
      <c r="B281" s="8" t="s">
        <v>434</v>
      </c>
      <c r="C281" s="21">
        <v>44687</v>
      </c>
      <c r="D281" s="22">
        <v>0.96817129629629628</v>
      </c>
      <c r="E281" s="8" t="s">
        <v>28</v>
      </c>
      <c r="F281" s="8" t="s">
        <v>210</v>
      </c>
      <c r="G281" s="8" t="s">
        <v>211</v>
      </c>
      <c r="H281" s="8" t="s">
        <v>137</v>
      </c>
      <c r="I281" s="189">
        <v>425.98</v>
      </c>
      <c r="J281" s="11">
        <v>0</v>
      </c>
      <c r="K281" s="89">
        <f t="shared" si="18"/>
        <v>910</v>
      </c>
      <c r="L281" s="53">
        <v>910</v>
      </c>
      <c r="M281" s="10">
        <f t="shared" si="17"/>
        <v>46.810989010989012</v>
      </c>
    </row>
    <row r="282" spans="1:13" ht="15" hidden="1" customHeight="1" x14ac:dyDescent="0.3">
      <c r="A282" s="9">
        <v>4037</v>
      </c>
      <c r="B282" s="8" t="s">
        <v>434</v>
      </c>
      <c r="C282" s="21">
        <v>44689</v>
      </c>
      <c r="D282" s="22">
        <v>6.3715277777777787E-2</v>
      </c>
      <c r="E282" s="8" t="s">
        <v>28</v>
      </c>
      <c r="F282" s="8" t="s">
        <v>428</v>
      </c>
      <c r="G282" s="8" t="s">
        <v>429</v>
      </c>
      <c r="H282" s="8" t="s">
        <v>137</v>
      </c>
      <c r="I282" s="189">
        <v>150.03</v>
      </c>
      <c r="J282" s="11">
        <v>0</v>
      </c>
      <c r="K282" s="89">
        <f t="shared" si="18"/>
        <v>898</v>
      </c>
      <c r="L282" s="53">
        <v>898</v>
      </c>
      <c r="M282" s="10">
        <f t="shared" si="17"/>
        <v>16.707126948775056</v>
      </c>
    </row>
    <row r="283" spans="1:13" ht="15" hidden="1" customHeight="1" x14ac:dyDescent="0.3">
      <c r="A283" s="9">
        <v>4038</v>
      </c>
      <c r="B283" s="8" t="s">
        <v>434</v>
      </c>
      <c r="C283" s="21">
        <v>44689</v>
      </c>
      <c r="D283" s="22">
        <v>0.47060185185185183</v>
      </c>
      <c r="E283" s="8" t="s">
        <v>28</v>
      </c>
      <c r="F283" s="8" t="s">
        <v>175</v>
      </c>
      <c r="G283" s="8" t="s">
        <v>172</v>
      </c>
      <c r="H283" s="8" t="s">
        <v>137</v>
      </c>
      <c r="I283" s="189">
        <v>247.83</v>
      </c>
      <c r="J283" s="11">
        <v>0</v>
      </c>
      <c r="K283" s="89">
        <f t="shared" si="18"/>
        <v>153</v>
      </c>
      <c r="L283" s="53">
        <v>153</v>
      </c>
      <c r="M283" s="10">
        <f t="shared" si="17"/>
        <v>161.98039215686276</v>
      </c>
    </row>
    <row r="284" spans="1:13" ht="15" hidden="1" customHeight="1" x14ac:dyDescent="0.3">
      <c r="A284" s="9">
        <v>4085</v>
      </c>
      <c r="B284" s="8" t="s">
        <v>434</v>
      </c>
      <c r="C284" s="21">
        <v>44690</v>
      </c>
      <c r="D284" s="22">
        <v>0.91913194444444446</v>
      </c>
      <c r="E284" s="8" t="s">
        <v>28</v>
      </c>
      <c r="F284" s="8" t="s">
        <v>210</v>
      </c>
      <c r="G284" s="8" t="s">
        <v>211</v>
      </c>
      <c r="H284" s="8" t="s">
        <v>137</v>
      </c>
      <c r="I284" s="189">
        <v>341.37</v>
      </c>
      <c r="J284" s="11">
        <v>0</v>
      </c>
      <c r="K284" s="89">
        <f t="shared" si="18"/>
        <v>852</v>
      </c>
      <c r="L284" s="53">
        <v>852</v>
      </c>
      <c r="M284" s="10">
        <f t="shared" si="17"/>
        <v>40.066901408450704</v>
      </c>
    </row>
    <row r="285" spans="1:13" ht="15" hidden="1" customHeight="1" x14ac:dyDescent="0.3">
      <c r="A285" s="9">
        <v>4176</v>
      </c>
      <c r="B285" s="8" t="s">
        <v>434</v>
      </c>
      <c r="C285" s="21">
        <v>44692</v>
      </c>
      <c r="D285" s="22">
        <v>0.54135416666666669</v>
      </c>
      <c r="E285" s="8" t="s">
        <v>28</v>
      </c>
      <c r="F285" s="8" t="s">
        <v>293</v>
      </c>
      <c r="G285" s="8" t="s">
        <v>196</v>
      </c>
      <c r="H285" s="8" t="s">
        <v>137</v>
      </c>
      <c r="I285" s="189">
        <v>241.56</v>
      </c>
      <c r="J285" s="11">
        <v>0</v>
      </c>
      <c r="K285" s="89">
        <f>+L285-J417</f>
        <v>1529</v>
      </c>
      <c r="L285" s="53">
        <v>1529</v>
      </c>
      <c r="M285" s="10">
        <f t="shared" si="17"/>
        <v>15.798561151079138</v>
      </c>
    </row>
    <row r="286" spans="1:13" ht="15" hidden="1" customHeight="1" x14ac:dyDescent="0.3">
      <c r="A286" s="9">
        <v>4221</v>
      </c>
      <c r="B286" s="8" t="s">
        <v>434</v>
      </c>
      <c r="C286" s="21">
        <v>44693</v>
      </c>
      <c r="D286" s="22">
        <v>0.51461805555555562</v>
      </c>
      <c r="E286" s="8" t="s">
        <v>28</v>
      </c>
      <c r="F286" s="8" t="s">
        <v>171</v>
      </c>
      <c r="G286" s="8" t="s">
        <v>172</v>
      </c>
      <c r="H286" s="8" t="s">
        <v>137</v>
      </c>
      <c r="I286" s="189">
        <v>6.06</v>
      </c>
      <c r="J286" s="11">
        <v>0</v>
      </c>
      <c r="K286" s="89">
        <f>+L286-J418</f>
        <v>618</v>
      </c>
      <c r="L286" s="53">
        <v>618</v>
      </c>
      <c r="M286" s="10">
        <f t="shared" si="17"/>
        <v>0.98058252427184467</v>
      </c>
    </row>
    <row r="287" spans="1:13" ht="15" hidden="1" customHeight="1" x14ac:dyDescent="0.3">
      <c r="A287" s="9">
        <v>4623</v>
      </c>
      <c r="B287" s="8" t="s">
        <v>434</v>
      </c>
      <c r="C287" s="21">
        <v>44700</v>
      </c>
      <c r="D287" s="22">
        <v>0.35681712962962964</v>
      </c>
      <c r="E287" s="8" t="s">
        <v>28</v>
      </c>
      <c r="F287" s="8" t="s">
        <v>175</v>
      </c>
      <c r="G287" s="8" t="s">
        <v>172</v>
      </c>
      <c r="H287" s="8" t="s">
        <v>137</v>
      </c>
      <c r="I287" s="189">
        <v>612</v>
      </c>
      <c r="J287" s="7">
        <v>0</v>
      </c>
      <c r="K287" s="90">
        <f>+L287-J419</f>
        <v>32</v>
      </c>
      <c r="L287" s="32">
        <v>32</v>
      </c>
      <c r="M287" s="10">
        <f t="shared" si="17"/>
        <v>1912.5</v>
      </c>
    </row>
    <row r="288" spans="1:13" ht="15" hidden="1" customHeight="1" x14ac:dyDescent="0.3">
      <c r="A288" s="9">
        <v>4674</v>
      </c>
      <c r="B288" s="8" t="s">
        <v>434</v>
      </c>
      <c r="C288" s="21">
        <v>44701</v>
      </c>
      <c r="D288" s="22">
        <v>0.34327546296296302</v>
      </c>
      <c r="E288" s="8" t="s">
        <v>28</v>
      </c>
      <c r="F288" s="8" t="s">
        <v>210</v>
      </c>
      <c r="G288" s="8" t="s">
        <v>211</v>
      </c>
      <c r="H288" s="8" t="s">
        <v>137</v>
      </c>
      <c r="I288" s="8">
        <v>348.07</v>
      </c>
      <c r="J288" s="11">
        <v>0</v>
      </c>
      <c r="K288" s="89">
        <f>+L288-J420</f>
        <v>831</v>
      </c>
      <c r="L288" s="53">
        <v>831</v>
      </c>
      <c r="M288" s="10">
        <f t="shared" si="17"/>
        <v>41.885679903730441</v>
      </c>
    </row>
    <row r="289" spans="1:13" ht="15" hidden="1" customHeight="1" x14ac:dyDescent="0.3">
      <c r="A289" s="9">
        <v>4792</v>
      </c>
      <c r="B289" s="8" t="s">
        <v>434</v>
      </c>
      <c r="C289" s="21">
        <v>44703</v>
      </c>
      <c r="D289" s="22">
        <v>0.54025462962962967</v>
      </c>
      <c r="E289" s="8" t="s">
        <v>28</v>
      </c>
      <c r="F289" s="8" t="s">
        <v>210</v>
      </c>
      <c r="G289" s="8" t="s">
        <v>211</v>
      </c>
      <c r="H289" s="8" t="s">
        <v>111</v>
      </c>
      <c r="I289" s="8">
        <v>426.84</v>
      </c>
      <c r="J289" s="11">
        <v>0</v>
      </c>
      <c r="K289" s="89">
        <f>+L289-J560</f>
        <v>587</v>
      </c>
      <c r="L289" s="53">
        <v>587</v>
      </c>
      <c r="M289" s="10">
        <f t="shared" si="17"/>
        <v>72.715502555366257</v>
      </c>
    </row>
    <row r="290" spans="1:13" ht="15" hidden="1" customHeight="1" x14ac:dyDescent="0.3">
      <c r="A290" s="9">
        <v>4901</v>
      </c>
      <c r="B290" s="8" t="s">
        <v>434</v>
      </c>
      <c r="C290" s="21">
        <v>44705</v>
      </c>
      <c r="D290" s="22">
        <v>0.21930555555555556</v>
      </c>
      <c r="E290" s="8" t="s">
        <v>28</v>
      </c>
      <c r="F290" s="8" t="s">
        <v>311</v>
      </c>
      <c r="G290" s="8" t="s">
        <v>303</v>
      </c>
      <c r="H290" s="8" t="s">
        <v>111</v>
      </c>
      <c r="I290" s="8">
        <v>250</v>
      </c>
      <c r="J290" s="11">
        <v>0</v>
      </c>
      <c r="K290" s="89">
        <f>+L290-J561</f>
        <v>1542</v>
      </c>
      <c r="L290" s="53">
        <v>1542</v>
      </c>
      <c r="M290" s="10">
        <f t="shared" si="17"/>
        <v>16.212710765239947</v>
      </c>
    </row>
    <row r="291" spans="1:13" ht="15" hidden="1" customHeight="1" x14ac:dyDescent="0.3">
      <c r="A291" s="9">
        <v>4902</v>
      </c>
      <c r="B291" s="8" t="s">
        <v>434</v>
      </c>
      <c r="C291" s="21">
        <v>44705</v>
      </c>
      <c r="D291" s="22">
        <v>0.6882638888888889</v>
      </c>
      <c r="E291" s="8" t="s">
        <v>28</v>
      </c>
      <c r="F291" s="8" t="s">
        <v>210</v>
      </c>
      <c r="G291" s="8" t="s">
        <v>211</v>
      </c>
      <c r="H291" s="8" t="s">
        <v>111</v>
      </c>
      <c r="I291" s="8">
        <v>449.04</v>
      </c>
      <c r="J291" s="11">
        <v>0</v>
      </c>
      <c r="K291" s="89">
        <f>+L291-J562</f>
        <v>354</v>
      </c>
      <c r="L291" s="53">
        <v>354</v>
      </c>
      <c r="M291" s="10">
        <f t="shared" si="17"/>
        <v>126.84745762711864</v>
      </c>
    </row>
    <row r="292" spans="1:13" ht="15" hidden="1" customHeight="1" x14ac:dyDescent="0.3">
      <c r="A292" s="9">
        <v>4960</v>
      </c>
      <c r="B292" s="8" t="s">
        <v>434</v>
      </c>
      <c r="C292" s="21">
        <v>44706</v>
      </c>
      <c r="D292" s="22">
        <v>0.89696759259259251</v>
      </c>
      <c r="E292" s="8" t="s">
        <v>28</v>
      </c>
      <c r="F292" s="8" t="s">
        <v>210</v>
      </c>
      <c r="G292" s="8" t="s">
        <v>211</v>
      </c>
      <c r="H292" s="8" t="s">
        <v>111</v>
      </c>
      <c r="I292" s="8">
        <v>521</v>
      </c>
      <c r="J292" s="11">
        <v>0</v>
      </c>
      <c r="K292" s="89">
        <f>+L292-J563</f>
        <v>1239</v>
      </c>
      <c r="L292" s="53">
        <v>1239</v>
      </c>
      <c r="M292" s="10">
        <f t="shared" si="17"/>
        <v>42.050040355125098</v>
      </c>
    </row>
    <row r="293" spans="1:13" ht="15" hidden="1" customHeight="1" x14ac:dyDescent="0.3">
      <c r="A293" s="9">
        <v>5001</v>
      </c>
      <c r="B293" s="8" t="s">
        <v>434</v>
      </c>
      <c r="C293" s="21">
        <v>44707</v>
      </c>
      <c r="D293" s="22">
        <v>0.83443287037037039</v>
      </c>
      <c r="E293" s="8" t="s">
        <v>28</v>
      </c>
      <c r="F293" s="8" t="s">
        <v>649</v>
      </c>
      <c r="G293" s="8" t="s">
        <v>500</v>
      </c>
      <c r="H293" s="8" t="s">
        <v>111</v>
      </c>
      <c r="I293" s="8">
        <v>264.31</v>
      </c>
      <c r="J293" s="11">
        <v>0</v>
      </c>
      <c r="K293" s="89">
        <f>+L293-J564</f>
        <v>630</v>
      </c>
      <c r="L293" s="11">
        <v>630</v>
      </c>
      <c r="M293" s="10">
        <f t="shared" si="17"/>
        <v>41.953968253968256</v>
      </c>
    </row>
    <row r="294" spans="1:13" ht="15" hidden="1" customHeight="1" x14ac:dyDescent="0.3">
      <c r="A294" s="9">
        <v>5108</v>
      </c>
      <c r="B294" s="8" t="s">
        <v>434</v>
      </c>
      <c r="C294" s="21">
        <v>44709</v>
      </c>
      <c r="D294" s="22">
        <v>0.60946759259259264</v>
      </c>
      <c r="E294" s="8" t="s">
        <v>28</v>
      </c>
      <c r="F294" s="8" t="s">
        <v>634</v>
      </c>
      <c r="G294" s="8" t="s">
        <v>211</v>
      </c>
      <c r="H294" s="8" t="s">
        <v>111</v>
      </c>
      <c r="I294" s="8">
        <v>390</v>
      </c>
      <c r="J294" s="11">
        <v>0</v>
      </c>
      <c r="K294" s="89">
        <f>+L294-J564</f>
        <v>1190</v>
      </c>
      <c r="L294" s="11">
        <v>1190</v>
      </c>
      <c r="M294" s="10">
        <f t="shared" si="17"/>
        <v>32.773109243697476</v>
      </c>
    </row>
    <row r="295" spans="1:13" ht="15" hidden="1" customHeight="1" x14ac:dyDescent="0.3">
      <c r="A295" s="9">
        <v>5161</v>
      </c>
      <c r="B295" s="8" t="s">
        <v>434</v>
      </c>
      <c r="C295" s="21">
        <v>44710</v>
      </c>
      <c r="D295" s="22">
        <v>0.84165509259259252</v>
      </c>
      <c r="E295" s="8" t="s">
        <v>28</v>
      </c>
      <c r="F295" s="8" t="s">
        <v>635</v>
      </c>
      <c r="G295" s="8" t="s">
        <v>185</v>
      </c>
      <c r="H295" s="8" t="s">
        <v>137</v>
      </c>
      <c r="I295" s="8">
        <v>376.02</v>
      </c>
      <c r="J295" s="11">
        <v>0</v>
      </c>
      <c r="K295" s="89">
        <f>+L295-J427</f>
        <v>471</v>
      </c>
      <c r="L295" s="11">
        <v>471</v>
      </c>
      <c r="M295" s="10">
        <f t="shared" si="17"/>
        <v>79.834394904458591</v>
      </c>
    </row>
    <row r="296" spans="1:13" ht="15" hidden="1" customHeight="1" x14ac:dyDescent="0.3">
      <c r="A296" s="9">
        <v>5214</v>
      </c>
      <c r="B296" s="8" t="s">
        <v>434</v>
      </c>
      <c r="C296" s="21">
        <v>44711</v>
      </c>
      <c r="D296" s="22">
        <v>0.9654166666666667</v>
      </c>
      <c r="E296" s="8" t="s">
        <v>28</v>
      </c>
      <c r="F296" s="8" t="s">
        <v>634</v>
      </c>
      <c r="G296" s="8" t="s">
        <v>211</v>
      </c>
      <c r="H296" s="8" t="s">
        <v>137</v>
      </c>
      <c r="I296" s="24">
        <v>234.66</v>
      </c>
      <c r="J296" s="32">
        <v>0</v>
      </c>
      <c r="K296" s="90">
        <f>+L296-J428</f>
        <v>572</v>
      </c>
      <c r="L296" s="7">
        <v>572</v>
      </c>
      <c r="M296" s="10">
        <f t="shared" si="17"/>
        <v>41.02447552447552</v>
      </c>
    </row>
    <row r="297" spans="1:13" ht="15" hidden="1" customHeight="1" x14ac:dyDescent="0.3">
      <c r="A297" s="9">
        <v>5358</v>
      </c>
      <c r="B297" s="8" t="s">
        <v>434</v>
      </c>
      <c r="C297" s="21">
        <v>44714</v>
      </c>
      <c r="D297" s="22">
        <v>0.10115740740740742</v>
      </c>
      <c r="E297" s="8" t="s">
        <v>29</v>
      </c>
      <c r="F297" s="8" t="s">
        <v>705</v>
      </c>
      <c r="G297" s="8" t="s">
        <v>303</v>
      </c>
      <c r="H297" s="8" t="s">
        <v>137</v>
      </c>
      <c r="I297" s="8">
        <v>493.29</v>
      </c>
      <c r="J297" s="67">
        <v>0</v>
      </c>
      <c r="K297" s="92">
        <f>+L297-J429</f>
        <v>1336</v>
      </c>
      <c r="L297" s="30">
        <v>1336</v>
      </c>
      <c r="M297" s="10">
        <f t="shared" si="17"/>
        <v>36.922904191616766</v>
      </c>
    </row>
    <row r="298" spans="1:13" ht="15" hidden="1" customHeight="1" x14ac:dyDescent="0.3">
      <c r="A298" s="9">
        <v>5418</v>
      </c>
      <c r="B298" s="8" t="s">
        <v>434</v>
      </c>
      <c r="C298" s="21">
        <v>44715</v>
      </c>
      <c r="D298" s="22">
        <v>0.3564930555555556</v>
      </c>
      <c r="E298" s="8" t="s">
        <v>29</v>
      </c>
      <c r="F298" s="8" t="s">
        <v>645</v>
      </c>
      <c r="G298" s="8" t="s">
        <v>279</v>
      </c>
      <c r="H298" s="8" t="s">
        <v>137</v>
      </c>
      <c r="I298" s="24">
        <v>520.13</v>
      </c>
      <c r="J298" s="32">
        <v>0</v>
      </c>
      <c r="K298" s="89">
        <f>+L298-J430</f>
        <v>1145</v>
      </c>
      <c r="L298" s="7">
        <v>1145</v>
      </c>
      <c r="M298" s="10">
        <f t="shared" si="17"/>
        <v>45.426200873362447</v>
      </c>
    </row>
    <row r="299" spans="1:13" ht="15" hidden="1" customHeight="1" x14ac:dyDescent="0.3">
      <c r="A299" s="9">
        <v>5419</v>
      </c>
      <c r="B299" s="8" t="s">
        <v>434</v>
      </c>
      <c r="C299" s="21">
        <v>44715</v>
      </c>
      <c r="D299" s="22">
        <v>0.6893055555555555</v>
      </c>
      <c r="E299" s="8" t="s">
        <v>29</v>
      </c>
      <c r="F299" s="8" t="s">
        <v>634</v>
      </c>
      <c r="G299" s="8" t="s">
        <v>211</v>
      </c>
      <c r="H299" s="8" t="s">
        <v>137</v>
      </c>
      <c r="I299" s="24">
        <v>113.68</v>
      </c>
      <c r="J299" s="32">
        <v>0</v>
      </c>
      <c r="K299" s="89">
        <f>+L299-J428</f>
        <v>350</v>
      </c>
      <c r="L299" s="7">
        <v>350</v>
      </c>
      <c r="M299" s="10">
        <f t="shared" si="17"/>
        <v>32.480000000000004</v>
      </c>
    </row>
    <row r="300" spans="1:13" ht="15" hidden="1" customHeight="1" x14ac:dyDescent="0.3">
      <c r="A300" s="9">
        <v>5517</v>
      </c>
      <c r="B300" s="8" t="s">
        <v>434</v>
      </c>
      <c r="C300" s="21">
        <v>44717</v>
      </c>
      <c r="D300" s="22">
        <v>0.40980324074074076</v>
      </c>
      <c r="E300" s="8" t="s">
        <v>29</v>
      </c>
      <c r="F300" s="8" t="s">
        <v>651</v>
      </c>
      <c r="G300" s="8" t="s">
        <v>172</v>
      </c>
      <c r="H300" s="8" t="s">
        <v>137</v>
      </c>
      <c r="I300" s="8">
        <v>376.78</v>
      </c>
      <c r="J300" s="30">
        <v>0</v>
      </c>
      <c r="K300" s="89">
        <f>+L300-J428</f>
        <v>935</v>
      </c>
      <c r="L300" s="30">
        <v>935</v>
      </c>
      <c r="M300" s="10">
        <f t="shared" si="17"/>
        <v>40.297326203208556</v>
      </c>
    </row>
    <row r="301" spans="1:13" ht="15" hidden="1" customHeight="1" x14ac:dyDescent="0.3">
      <c r="A301" s="9">
        <v>5616</v>
      </c>
      <c r="B301" s="8" t="s">
        <v>434</v>
      </c>
      <c r="C301" s="21">
        <v>44719</v>
      </c>
      <c r="D301" s="22">
        <v>0.92932870370370368</v>
      </c>
      <c r="E301" s="8" t="s">
        <v>29</v>
      </c>
      <c r="F301" s="8" t="s">
        <v>634</v>
      </c>
      <c r="G301" s="8" t="s">
        <v>211</v>
      </c>
      <c r="H301" s="8" t="s">
        <v>137</v>
      </c>
      <c r="I301" s="24">
        <v>372.72</v>
      </c>
      <c r="J301" s="32">
        <v>0</v>
      </c>
      <c r="K301" s="89" t="e">
        <f>+L301-#REF!</f>
        <v>#REF!</v>
      </c>
      <c r="L301" s="7">
        <v>867</v>
      </c>
      <c r="M301" s="10" t="e">
        <f t="shared" si="17"/>
        <v>#REF!</v>
      </c>
    </row>
    <row r="302" spans="1:13" ht="15" hidden="1" customHeight="1" x14ac:dyDescent="0.3">
      <c r="A302" s="9">
        <v>5726</v>
      </c>
      <c r="B302" s="8" t="s">
        <v>434</v>
      </c>
      <c r="C302" s="21">
        <v>44721</v>
      </c>
      <c r="D302" s="22">
        <v>3.1377314814814809E-2</v>
      </c>
      <c r="E302" s="8" t="s">
        <v>29</v>
      </c>
      <c r="F302" s="8" t="s">
        <v>634</v>
      </c>
      <c r="G302" s="8" t="s">
        <v>211</v>
      </c>
      <c r="H302" s="8" t="s">
        <v>137</v>
      </c>
      <c r="I302" s="24">
        <v>491.74</v>
      </c>
      <c r="J302" s="32">
        <v>0</v>
      </c>
      <c r="K302" s="89" t="e">
        <f>+L302-#REF!</f>
        <v>#REF!</v>
      </c>
      <c r="L302" s="7">
        <v>1120</v>
      </c>
      <c r="M302" s="10" t="e">
        <f t="shared" si="17"/>
        <v>#REF!</v>
      </c>
    </row>
    <row r="303" spans="1:13" ht="15" hidden="1" customHeight="1" x14ac:dyDescent="0.3">
      <c r="A303" s="9">
        <v>5825</v>
      </c>
      <c r="B303" s="8" t="s">
        <v>434</v>
      </c>
      <c r="C303" s="21">
        <v>44723</v>
      </c>
      <c r="D303" s="22">
        <v>0.3721180555555556</v>
      </c>
      <c r="E303" s="8" t="s">
        <v>29</v>
      </c>
      <c r="F303" s="8" t="s">
        <v>639</v>
      </c>
      <c r="G303" s="8" t="s">
        <v>44</v>
      </c>
      <c r="H303" s="8" t="s">
        <v>137</v>
      </c>
      <c r="I303" s="24">
        <v>115.48</v>
      </c>
      <c r="J303" s="32">
        <v>0</v>
      </c>
      <c r="K303" s="89" t="e">
        <f>+L303-#REF!</f>
        <v>#REF!</v>
      </c>
      <c r="L303" s="7">
        <v>1168</v>
      </c>
      <c r="M303" s="10" t="e">
        <f t="shared" ref="M303:M309" si="19">I303/K303*100</f>
        <v>#REF!</v>
      </c>
    </row>
    <row r="304" spans="1:13" ht="15" hidden="1" customHeight="1" x14ac:dyDescent="0.3">
      <c r="A304" s="9">
        <v>5826</v>
      </c>
      <c r="B304" s="8" t="s">
        <v>434</v>
      </c>
      <c r="C304" s="21">
        <v>44723</v>
      </c>
      <c r="D304" s="22">
        <v>0.72730324074074071</v>
      </c>
      <c r="E304" s="8" t="s">
        <v>29</v>
      </c>
      <c r="F304" s="8" t="s">
        <v>632</v>
      </c>
      <c r="G304" s="8" t="s">
        <v>161</v>
      </c>
      <c r="H304" s="8" t="s">
        <v>137</v>
      </c>
      <c r="I304" s="8">
        <v>583</v>
      </c>
      <c r="J304" s="67">
        <v>0</v>
      </c>
      <c r="K304" s="89" t="e">
        <f>+L304-#REF!</f>
        <v>#REF!</v>
      </c>
      <c r="L304" s="30">
        <v>510</v>
      </c>
      <c r="M304" s="10" t="e">
        <f t="shared" si="19"/>
        <v>#REF!</v>
      </c>
    </row>
    <row r="305" spans="1:20" ht="15" hidden="1" customHeight="1" x14ac:dyDescent="0.3">
      <c r="A305" s="9">
        <v>5883</v>
      </c>
      <c r="B305" s="8" t="s">
        <v>434</v>
      </c>
      <c r="C305" s="21">
        <v>44724</v>
      </c>
      <c r="D305" s="22">
        <v>0.80489583333333325</v>
      </c>
      <c r="E305" s="8" t="s">
        <v>29</v>
      </c>
      <c r="F305" s="8" t="s">
        <v>634</v>
      </c>
      <c r="G305" s="8" t="s">
        <v>211</v>
      </c>
      <c r="H305" s="8" t="s">
        <v>137</v>
      </c>
      <c r="I305" s="24">
        <v>391.91</v>
      </c>
      <c r="J305" s="33">
        <v>0</v>
      </c>
      <c r="K305" s="89" t="e">
        <f>+L305-#REF!</f>
        <v>#REF!</v>
      </c>
      <c r="L305" s="31">
        <v>986</v>
      </c>
      <c r="M305" s="10" t="e">
        <f t="shared" si="19"/>
        <v>#REF!</v>
      </c>
    </row>
    <row r="306" spans="1:20" ht="15" hidden="1" customHeight="1" x14ac:dyDescent="0.3">
      <c r="A306" s="9">
        <v>5991</v>
      </c>
      <c r="B306" s="8" t="s">
        <v>434</v>
      </c>
      <c r="C306" s="21">
        <v>44726</v>
      </c>
      <c r="D306" s="22">
        <v>0.41446759259259264</v>
      </c>
      <c r="E306" s="8" t="s">
        <v>29</v>
      </c>
      <c r="F306" s="8" t="s">
        <v>679</v>
      </c>
      <c r="G306" s="8" t="s">
        <v>392</v>
      </c>
      <c r="H306" s="8" t="s">
        <v>137</v>
      </c>
      <c r="I306" s="24">
        <v>356.01</v>
      </c>
      <c r="J306" s="32">
        <v>0</v>
      </c>
      <c r="K306" s="89">
        <v>902</v>
      </c>
      <c r="L306" s="7">
        <v>902</v>
      </c>
      <c r="M306" s="10">
        <f t="shared" si="19"/>
        <v>39.468957871396896</v>
      </c>
    </row>
    <row r="307" spans="1:20" ht="15" hidden="1" customHeight="1" x14ac:dyDescent="0.3">
      <c r="A307" s="9">
        <v>6443</v>
      </c>
      <c r="B307" s="8" t="s">
        <v>434</v>
      </c>
      <c r="C307" s="21">
        <v>44736</v>
      </c>
      <c r="D307" s="22">
        <v>0.68462962962962959</v>
      </c>
      <c r="E307" s="8" t="s">
        <v>29</v>
      </c>
      <c r="F307" s="8" t="s">
        <v>639</v>
      </c>
      <c r="G307" s="8" t="s">
        <v>44</v>
      </c>
      <c r="H307" s="8" t="s">
        <v>137</v>
      </c>
      <c r="I307" s="8">
        <v>134.77000000000001</v>
      </c>
      <c r="J307" s="67">
        <v>0</v>
      </c>
      <c r="K307" s="92">
        <v>290</v>
      </c>
      <c r="L307" s="30">
        <v>290</v>
      </c>
      <c r="M307" s="10">
        <f t="shared" si="19"/>
        <v>46.472413793103449</v>
      </c>
    </row>
    <row r="308" spans="1:20" ht="15" hidden="1" customHeight="1" x14ac:dyDescent="0.3">
      <c r="A308" s="9">
        <v>6503</v>
      </c>
      <c r="B308" s="8" t="s">
        <v>434</v>
      </c>
      <c r="C308" s="21">
        <v>44737</v>
      </c>
      <c r="D308" s="22">
        <v>0.73017361111111112</v>
      </c>
      <c r="E308" s="8" t="s">
        <v>29</v>
      </c>
      <c r="F308" s="8" t="s">
        <v>634</v>
      </c>
      <c r="G308" s="8" t="s">
        <v>211</v>
      </c>
      <c r="H308" s="8" t="s">
        <v>137</v>
      </c>
      <c r="I308" s="160">
        <v>325.42</v>
      </c>
      <c r="J308" s="53">
        <v>0</v>
      </c>
      <c r="K308" s="89">
        <v>587</v>
      </c>
      <c r="L308" s="11">
        <v>587</v>
      </c>
      <c r="M308" s="10">
        <f t="shared" si="19"/>
        <v>55.437819420783654</v>
      </c>
    </row>
    <row r="309" spans="1:20" ht="15" hidden="1" customHeight="1" x14ac:dyDescent="0.3">
      <c r="A309" s="9">
        <v>6667</v>
      </c>
      <c r="B309" s="8" t="s">
        <v>434</v>
      </c>
      <c r="C309" s="21">
        <v>44740</v>
      </c>
      <c r="D309" s="22">
        <v>1.4618055555555556E-2</v>
      </c>
      <c r="E309" s="8" t="s">
        <v>29</v>
      </c>
      <c r="F309" s="8" t="s">
        <v>634</v>
      </c>
      <c r="G309" s="8" t="s">
        <v>211</v>
      </c>
      <c r="H309" s="8" t="s">
        <v>137</v>
      </c>
      <c r="I309" s="160">
        <v>443.37</v>
      </c>
      <c r="J309" s="53">
        <v>0</v>
      </c>
      <c r="K309" s="89">
        <v>1063</v>
      </c>
      <c r="L309" s="11">
        <v>1063</v>
      </c>
      <c r="M309" s="10">
        <f t="shared" si="19"/>
        <v>41.709313264346193</v>
      </c>
    </row>
    <row r="310" spans="1:20" ht="15" hidden="1" customHeight="1" x14ac:dyDescent="0.3">
      <c r="A310" s="9">
        <v>6680</v>
      </c>
      <c r="B310" s="54" t="s">
        <v>300</v>
      </c>
      <c r="C310" s="234">
        <v>44740</v>
      </c>
      <c r="D310" s="235">
        <v>0.81520833333333342</v>
      </c>
      <c r="E310" s="54" t="s">
        <v>29</v>
      </c>
      <c r="F310" s="54" t="s">
        <v>642</v>
      </c>
      <c r="G310" s="54" t="s">
        <v>203</v>
      </c>
      <c r="H310" s="54" t="s">
        <v>111</v>
      </c>
      <c r="I310" s="164">
        <v>310.77999999999997</v>
      </c>
      <c r="J310" s="175">
        <f>310+269+50+350+135+200</f>
        <v>1314</v>
      </c>
      <c r="K310" s="228">
        <v>887</v>
      </c>
      <c r="L310" s="228">
        <v>3324</v>
      </c>
      <c r="M310" s="229">
        <f>+J310/L310*100</f>
        <v>39.530685920577618</v>
      </c>
    </row>
    <row r="311" spans="1:20" ht="15" hidden="1" customHeight="1" x14ac:dyDescent="0.3">
      <c r="B311" s="8" t="s">
        <v>244</v>
      </c>
      <c r="C311" s="21">
        <v>44680</v>
      </c>
      <c r="D311" s="22">
        <v>0.86940972222222224</v>
      </c>
      <c r="E311" s="8" t="s">
        <v>580</v>
      </c>
      <c r="F311" s="8" t="s">
        <v>319</v>
      </c>
      <c r="G311" s="8" t="s">
        <v>320</v>
      </c>
      <c r="H311" s="8" t="s">
        <v>247</v>
      </c>
      <c r="I311" s="236">
        <v>150</v>
      </c>
      <c r="J311" s="233"/>
      <c r="K311" s="90">
        <f>+L311-J448</f>
        <v>1234</v>
      </c>
      <c r="L311" s="8">
        <v>1234</v>
      </c>
      <c r="M311" s="91">
        <f t="shared" ref="M311:M342" si="20">I311/K311*100</f>
        <v>12.155591572123177</v>
      </c>
      <c r="O311" s="4" t="s">
        <v>52</v>
      </c>
      <c r="R311" s="18" t="s">
        <v>16</v>
      </c>
      <c r="S311" s="2"/>
      <c r="T311"/>
    </row>
    <row r="312" spans="1:20" ht="15" hidden="1" customHeight="1" x14ac:dyDescent="0.3">
      <c r="B312" s="44" t="s">
        <v>288</v>
      </c>
      <c r="C312" s="59">
        <v>44680</v>
      </c>
      <c r="D312" s="60">
        <v>0.30258101851851854</v>
      </c>
      <c r="E312" s="44" t="s">
        <v>580</v>
      </c>
      <c r="F312" s="44" t="s">
        <v>584</v>
      </c>
      <c r="G312" s="44" t="s">
        <v>585</v>
      </c>
      <c r="H312" s="44" t="s">
        <v>255</v>
      </c>
      <c r="I312" s="44">
        <v>120.04</v>
      </c>
      <c r="J312" s="67">
        <v>0</v>
      </c>
      <c r="K312" s="93">
        <f>+L312-J449</f>
        <v>748</v>
      </c>
      <c r="L312" s="68">
        <v>748</v>
      </c>
      <c r="M312" s="61">
        <f t="shared" si="20"/>
        <v>16.048128342245992</v>
      </c>
      <c r="O312" s="4" t="s">
        <v>67</v>
      </c>
      <c r="R312" s="18" t="s">
        <v>130</v>
      </c>
      <c r="S312" s="2"/>
      <c r="T312"/>
    </row>
    <row r="313" spans="1:20" ht="15" hidden="1" customHeight="1" x14ac:dyDescent="0.3">
      <c r="B313" s="8" t="s">
        <v>383</v>
      </c>
      <c r="C313" s="21">
        <v>44680</v>
      </c>
      <c r="D313" s="22">
        <v>7.3379629629629628E-3</v>
      </c>
      <c r="E313" s="8" t="s">
        <v>580</v>
      </c>
      <c r="F313" s="8" t="s">
        <v>165</v>
      </c>
      <c r="G313" s="8" t="s">
        <v>185</v>
      </c>
      <c r="H313" s="8" t="s">
        <v>306</v>
      </c>
      <c r="I313" s="8">
        <v>150</v>
      </c>
      <c r="J313" s="55">
        <v>0</v>
      </c>
      <c r="K313" s="96">
        <f t="shared" ref="K313:K344" si="21">+L313-J313</f>
        <v>484</v>
      </c>
      <c r="L313" s="32">
        <v>484</v>
      </c>
      <c r="M313" s="10">
        <f t="shared" si="20"/>
        <v>30.991735537190085</v>
      </c>
      <c r="O313" s="4" t="s">
        <v>89</v>
      </c>
      <c r="Q313" t="s">
        <v>32</v>
      </c>
      <c r="R313" s="18" t="s">
        <v>9</v>
      </c>
      <c r="S313" s="12" t="s">
        <v>43</v>
      </c>
      <c r="T313"/>
    </row>
    <row r="314" spans="1:20" ht="15" hidden="1" customHeight="1" x14ac:dyDescent="0.3">
      <c r="B314" s="8" t="s">
        <v>300</v>
      </c>
      <c r="C314" s="21">
        <v>44567</v>
      </c>
      <c r="D314" s="22">
        <v>0.28983796296296299</v>
      </c>
      <c r="E314" s="8" t="s">
        <v>24</v>
      </c>
      <c r="F314" s="8" t="s">
        <v>175</v>
      </c>
      <c r="G314" s="8" t="s">
        <v>172</v>
      </c>
      <c r="H314" s="8" t="s">
        <v>111</v>
      </c>
      <c r="I314" s="24">
        <v>54.23</v>
      </c>
      <c r="J314" s="7">
        <v>0</v>
      </c>
      <c r="K314" s="34">
        <f t="shared" si="21"/>
        <v>35.56</v>
      </c>
      <c r="L314" s="34">
        <v>35.56</v>
      </c>
      <c r="M314" s="10">
        <f t="shared" si="20"/>
        <v>152.50281214848144</v>
      </c>
    </row>
    <row r="315" spans="1:20" ht="15" hidden="1" customHeight="1" x14ac:dyDescent="0.3">
      <c r="B315" s="8" t="s">
        <v>300</v>
      </c>
      <c r="C315" s="21">
        <v>44569</v>
      </c>
      <c r="D315" s="22">
        <v>0.72203703703703714</v>
      </c>
      <c r="E315" s="8" t="s">
        <v>24</v>
      </c>
      <c r="F315" s="8" t="s">
        <v>205</v>
      </c>
      <c r="G315" s="8" t="s">
        <v>206</v>
      </c>
      <c r="H315" s="8" t="s">
        <v>111</v>
      </c>
      <c r="I315" s="24">
        <v>367.51</v>
      </c>
      <c r="J315" s="7">
        <v>0</v>
      </c>
      <c r="K315" s="7">
        <f t="shared" si="21"/>
        <v>948.55</v>
      </c>
      <c r="L315" s="7">
        <v>948.55</v>
      </c>
      <c r="M315" s="10">
        <f t="shared" si="20"/>
        <v>38.744399346370777</v>
      </c>
    </row>
    <row r="316" spans="1:20" ht="15" hidden="1" customHeight="1" x14ac:dyDescent="0.3">
      <c r="B316" s="8" t="s">
        <v>300</v>
      </c>
      <c r="C316" s="21">
        <v>44570</v>
      </c>
      <c r="D316" s="22">
        <v>0.34887731481481482</v>
      </c>
      <c r="E316" s="8" t="s">
        <v>24</v>
      </c>
      <c r="F316" s="8" t="s">
        <v>210</v>
      </c>
      <c r="G316" s="8" t="s">
        <v>211</v>
      </c>
      <c r="H316" s="8" t="s">
        <v>111</v>
      </c>
      <c r="I316" s="8">
        <v>301.33999999999997</v>
      </c>
      <c r="J316" s="30">
        <v>0</v>
      </c>
      <c r="K316" s="30">
        <f t="shared" si="21"/>
        <v>713.92</v>
      </c>
      <c r="L316" s="30">
        <v>713.92</v>
      </c>
      <c r="M316" s="10">
        <f t="shared" si="20"/>
        <v>42.209211116091438</v>
      </c>
    </row>
    <row r="317" spans="1:20" ht="15" hidden="1" customHeight="1" x14ac:dyDescent="0.3">
      <c r="B317" s="8" t="s">
        <v>300</v>
      </c>
      <c r="C317" s="21">
        <v>44571</v>
      </c>
      <c r="D317" s="22">
        <v>0.43784722222222222</v>
      </c>
      <c r="E317" s="8" t="s">
        <v>24</v>
      </c>
      <c r="F317" s="8" t="s">
        <v>210</v>
      </c>
      <c r="G317" s="8" t="s">
        <v>211</v>
      </c>
      <c r="H317" s="8" t="s">
        <v>111</v>
      </c>
      <c r="I317" s="8">
        <v>401.34</v>
      </c>
      <c r="J317" s="11">
        <v>0</v>
      </c>
      <c r="K317" s="11">
        <f t="shared" si="21"/>
        <v>1063.48</v>
      </c>
      <c r="L317" s="11">
        <v>1063.48</v>
      </c>
      <c r="M317" s="10">
        <f t="shared" si="20"/>
        <v>37.738368375521873</v>
      </c>
    </row>
    <row r="318" spans="1:20" ht="15" hidden="1" customHeight="1" x14ac:dyDescent="0.3">
      <c r="B318" s="8" t="s">
        <v>300</v>
      </c>
      <c r="C318" s="21">
        <v>44572</v>
      </c>
      <c r="D318" s="22">
        <v>0.7669097222222222</v>
      </c>
      <c r="E318" s="8" t="s">
        <v>24</v>
      </c>
      <c r="F318" s="8" t="s">
        <v>205</v>
      </c>
      <c r="G318" s="8" t="s">
        <v>206</v>
      </c>
      <c r="H318" s="8" t="s">
        <v>111</v>
      </c>
      <c r="I318" s="8">
        <v>381.03</v>
      </c>
      <c r="J318" s="11">
        <v>0</v>
      </c>
      <c r="K318" s="11">
        <f t="shared" si="21"/>
        <v>1069.4100000000001</v>
      </c>
      <c r="L318" s="11">
        <v>1069.4100000000001</v>
      </c>
      <c r="M318" s="10">
        <f t="shared" si="20"/>
        <v>35.629926782057389</v>
      </c>
    </row>
    <row r="319" spans="1:20" ht="15" hidden="1" customHeight="1" x14ac:dyDescent="0.3">
      <c r="B319" s="8" t="s">
        <v>300</v>
      </c>
      <c r="C319" s="21">
        <v>44573</v>
      </c>
      <c r="D319" s="22">
        <v>0.32505787037037037</v>
      </c>
      <c r="E319" s="8" t="s">
        <v>24</v>
      </c>
      <c r="F319" s="8" t="s">
        <v>210</v>
      </c>
      <c r="G319" s="8" t="s">
        <v>211</v>
      </c>
      <c r="H319" s="8" t="s">
        <v>111</v>
      </c>
      <c r="I319" s="8">
        <v>298.36</v>
      </c>
      <c r="J319" s="11">
        <v>0</v>
      </c>
      <c r="K319" s="11">
        <f t="shared" si="21"/>
        <v>714.34</v>
      </c>
      <c r="L319" s="11">
        <v>714.34</v>
      </c>
      <c r="M319" s="10">
        <f t="shared" si="20"/>
        <v>41.767225690847496</v>
      </c>
    </row>
    <row r="320" spans="1:20" ht="15" hidden="1" customHeight="1" x14ac:dyDescent="0.3">
      <c r="B320" s="8" t="s">
        <v>300</v>
      </c>
      <c r="C320" s="21">
        <v>44574</v>
      </c>
      <c r="D320" s="22">
        <v>0.57248842592592586</v>
      </c>
      <c r="E320" s="8" t="s">
        <v>24</v>
      </c>
      <c r="F320" s="8" t="s">
        <v>210</v>
      </c>
      <c r="G320" s="8" t="s">
        <v>211</v>
      </c>
      <c r="H320" s="8" t="s">
        <v>111</v>
      </c>
      <c r="I320" s="8">
        <v>397.38</v>
      </c>
      <c r="J320" s="11">
        <v>0</v>
      </c>
      <c r="K320" s="11">
        <f t="shared" si="21"/>
        <v>1062.74</v>
      </c>
      <c r="L320" s="11">
        <v>1062.74</v>
      </c>
      <c r="M320" s="10">
        <f t="shared" si="20"/>
        <v>37.392024389784893</v>
      </c>
    </row>
    <row r="321" spans="1:13" ht="15" hidden="1" customHeight="1" x14ac:dyDescent="0.3">
      <c r="B321" s="8" t="s">
        <v>300</v>
      </c>
      <c r="C321" s="21">
        <v>44575</v>
      </c>
      <c r="D321" s="22">
        <v>0.85408564814814814</v>
      </c>
      <c r="E321" s="8" t="s">
        <v>24</v>
      </c>
      <c r="F321" s="8" t="s">
        <v>205</v>
      </c>
      <c r="G321" s="8" t="s">
        <v>206</v>
      </c>
      <c r="H321" s="8" t="s">
        <v>111</v>
      </c>
      <c r="I321" s="8">
        <v>364.59</v>
      </c>
      <c r="J321" s="11">
        <v>0</v>
      </c>
      <c r="K321" s="11">
        <f t="shared" si="21"/>
        <v>960.7</v>
      </c>
      <c r="L321" s="11">
        <v>960.7</v>
      </c>
      <c r="M321" s="10">
        <f t="shared" si="20"/>
        <v>37.950452794837091</v>
      </c>
    </row>
    <row r="322" spans="1:13" ht="15" hidden="1" customHeight="1" x14ac:dyDescent="0.3">
      <c r="B322" s="8" t="s">
        <v>300</v>
      </c>
      <c r="C322" s="21">
        <v>44576</v>
      </c>
      <c r="D322" s="22">
        <v>0.42084490740740743</v>
      </c>
      <c r="E322" s="8" t="s">
        <v>24</v>
      </c>
      <c r="F322" s="8" t="s">
        <v>210</v>
      </c>
      <c r="G322" s="8" t="s">
        <v>211</v>
      </c>
      <c r="H322" s="8" t="s">
        <v>111</v>
      </c>
      <c r="I322" s="8">
        <v>301.45999999999998</v>
      </c>
      <c r="J322" s="11">
        <v>0</v>
      </c>
      <c r="K322" s="11">
        <f t="shared" si="21"/>
        <v>713.49</v>
      </c>
      <c r="L322" s="11">
        <v>713.49</v>
      </c>
      <c r="M322" s="10">
        <f t="shared" si="20"/>
        <v>42.251468135502947</v>
      </c>
    </row>
    <row r="323" spans="1:13" ht="15" hidden="1" customHeight="1" x14ac:dyDescent="0.3">
      <c r="B323" s="8" t="s">
        <v>300</v>
      </c>
      <c r="C323" s="21">
        <v>44578</v>
      </c>
      <c r="D323" s="22">
        <v>0.94511574074074067</v>
      </c>
      <c r="E323" s="8" t="s">
        <v>24</v>
      </c>
      <c r="F323" s="8" t="s">
        <v>210</v>
      </c>
      <c r="G323" s="8" t="s">
        <v>211</v>
      </c>
      <c r="H323" s="8" t="s">
        <v>111</v>
      </c>
      <c r="I323" s="8">
        <v>522.63</v>
      </c>
      <c r="J323" s="11">
        <v>0</v>
      </c>
      <c r="K323" s="11">
        <f t="shared" si="21"/>
        <v>1130.67</v>
      </c>
      <c r="L323" s="7">
        <v>1130.67</v>
      </c>
      <c r="M323" s="10">
        <f t="shared" si="20"/>
        <v>46.223035899068691</v>
      </c>
    </row>
    <row r="324" spans="1:13" ht="15" hidden="1" customHeight="1" x14ac:dyDescent="0.3">
      <c r="B324" s="8" t="s">
        <v>300</v>
      </c>
      <c r="C324" s="21">
        <v>44581</v>
      </c>
      <c r="D324" s="22">
        <v>0.14341435185185183</v>
      </c>
      <c r="E324" s="8" t="s">
        <v>24</v>
      </c>
      <c r="F324" s="8" t="s">
        <v>171</v>
      </c>
      <c r="G324" s="8" t="s">
        <v>172</v>
      </c>
      <c r="H324" s="8" t="s">
        <v>111</v>
      </c>
      <c r="I324" s="8">
        <v>540.74</v>
      </c>
      <c r="J324" s="11">
        <v>0</v>
      </c>
      <c r="K324" s="30">
        <f t="shared" si="21"/>
        <v>1265.44</v>
      </c>
      <c r="L324" s="30">
        <v>1265.44</v>
      </c>
      <c r="M324" s="10">
        <f t="shared" si="20"/>
        <v>42.731381969907702</v>
      </c>
    </row>
    <row r="325" spans="1:13" ht="15" hidden="1" customHeight="1" x14ac:dyDescent="0.3">
      <c r="B325" s="8" t="s">
        <v>300</v>
      </c>
      <c r="C325" s="21">
        <v>44581</v>
      </c>
      <c r="D325" s="22">
        <v>0.55278935185185185</v>
      </c>
      <c r="E325" s="8" t="s">
        <v>24</v>
      </c>
      <c r="F325" s="8" t="s">
        <v>210</v>
      </c>
      <c r="G325" s="8" t="s">
        <v>211</v>
      </c>
      <c r="H325" s="8" t="s">
        <v>111</v>
      </c>
      <c r="I325" s="8">
        <v>292.31</v>
      </c>
      <c r="J325" s="11">
        <v>0</v>
      </c>
      <c r="K325" s="11">
        <f t="shared" si="21"/>
        <v>689.75</v>
      </c>
      <c r="L325" s="11">
        <v>689.75</v>
      </c>
      <c r="M325" s="10">
        <f t="shared" si="20"/>
        <v>42.379122870605293</v>
      </c>
    </row>
    <row r="326" spans="1:13" ht="15" hidden="1" customHeight="1" x14ac:dyDescent="0.3">
      <c r="B326" s="8" t="s">
        <v>300</v>
      </c>
      <c r="C326" s="21">
        <v>44582</v>
      </c>
      <c r="D326" s="22">
        <v>0.56565972222222227</v>
      </c>
      <c r="E326" s="8" t="s">
        <v>24</v>
      </c>
      <c r="F326" s="8" t="s">
        <v>210</v>
      </c>
      <c r="G326" s="8" t="s">
        <v>211</v>
      </c>
      <c r="H326" s="8" t="s">
        <v>111</v>
      </c>
      <c r="I326" s="8">
        <v>430.75</v>
      </c>
      <c r="J326" s="11">
        <v>0</v>
      </c>
      <c r="K326" s="11">
        <f t="shared" si="21"/>
        <v>1063.21</v>
      </c>
      <c r="L326" s="11">
        <v>1063.21</v>
      </c>
      <c r="M326" s="10">
        <f t="shared" si="20"/>
        <v>40.514103516708829</v>
      </c>
    </row>
    <row r="327" spans="1:13" ht="15" hidden="1" customHeight="1" x14ac:dyDescent="0.3">
      <c r="B327" s="8" t="s">
        <v>300</v>
      </c>
      <c r="C327" s="21">
        <v>44584</v>
      </c>
      <c r="D327" s="22">
        <v>6.9305555555555551E-2</v>
      </c>
      <c r="E327" s="8" t="s">
        <v>24</v>
      </c>
      <c r="F327" s="8" t="s">
        <v>175</v>
      </c>
      <c r="G327" s="8" t="s">
        <v>172</v>
      </c>
      <c r="H327" s="8" t="s">
        <v>111</v>
      </c>
      <c r="I327" s="8">
        <v>499.51</v>
      </c>
      <c r="J327" s="11">
        <v>0</v>
      </c>
      <c r="K327" s="11">
        <f t="shared" si="21"/>
        <v>1183.6600000000001</v>
      </c>
      <c r="L327" s="11">
        <v>1183.6600000000001</v>
      </c>
      <c r="M327" s="10">
        <f t="shared" si="20"/>
        <v>42.200462970785523</v>
      </c>
    </row>
    <row r="328" spans="1:13" ht="15" hidden="1" customHeight="1" x14ac:dyDescent="0.3">
      <c r="B328" s="8" t="s">
        <v>300</v>
      </c>
      <c r="C328" s="21">
        <v>44584</v>
      </c>
      <c r="D328" s="22">
        <v>0.5282175925925926</v>
      </c>
      <c r="E328" s="8" t="s">
        <v>24</v>
      </c>
      <c r="F328" s="8" t="s">
        <v>210</v>
      </c>
      <c r="G328" s="8" t="s">
        <v>211</v>
      </c>
      <c r="H328" s="8" t="s">
        <v>111</v>
      </c>
      <c r="I328" s="8">
        <v>316.06</v>
      </c>
      <c r="J328" s="11">
        <v>0</v>
      </c>
      <c r="K328" s="11">
        <f t="shared" si="21"/>
        <v>693.54</v>
      </c>
      <c r="L328" s="11">
        <v>693.54</v>
      </c>
      <c r="M328" s="10">
        <f t="shared" si="20"/>
        <v>45.571992963635843</v>
      </c>
    </row>
    <row r="329" spans="1:13" ht="15" hidden="1" customHeight="1" x14ac:dyDescent="0.3">
      <c r="B329" s="8" t="s">
        <v>300</v>
      </c>
      <c r="C329" s="21">
        <v>44585</v>
      </c>
      <c r="D329" s="22">
        <v>0.83119212962962974</v>
      </c>
      <c r="E329" s="8" t="s">
        <v>24</v>
      </c>
      <c r="F329" s="8" t="s">
        <v>210</v>
      </c>
      <c r="G329" s="8" t="s">
        <v>211</v>
      </c>
      <c r="H329" s="8" t="s">
        <v>111</v>
      </c>
      <c r="I329" s="8">
        <v>498.6</v>
      </c>
      <c r="J329" s="11">
        <v>0</v>
      </c>
      <c r="K329" s="11">
        <f t="shared" si="21"/>
        <v>1121.76</v>
      </c>
      <c r="L329" s="11">
        <v>1121.76</v>
      </c>
      <c r="M329" s="10">
        <f t="shared" si="20"/>
        <v>44.448010269576379</v>
      </c>
    </row>
    <row r="330" spans="1:13" ht="15" hidden="1" customHeight="1" x14ac:dyDescent="0.3">
      <c r="A330" s="9">
        <v>934</v>
      </c>
      <c r="B330" s="8" t="s">
        <v>300</v>
      </c>
      <c r="C330" s="21">
        <v>44599</v>
      </c>
      <c r="D330" s="22">
        <v>0.79236111111111107</v>
      </c>
      <c r="E330" s="8" t="s">
        <v>25</v>
      </c>
      <c r="F330" s="8" t="s">
        <v>175</v>
      </c>
      <c r="G330" s="8" t="s">
        <v>172</v>
      </c>
      <c r="H330" s="8" t="s">
        <v>111</v>
      </c>
      <c r="I330" s="8">
        <v>426.44</v>
      </c>
      <c r="J330" s="11">
        <v>0</v>
      </c>
      <c r="K330" s="11">
        <f t="shared" si="21"/>
        <v>1111.3</v>
      </c>
      <c r="L330" s="11">
        <v>1111.3</v>
      </c>
      <c r="M330" s="10">
        <f t="shared" si="20"/>
        <v>38.373076576981916</v>
      </c>
    </row>
    <row r="331" spans="1:13" ht="15" hidden="1" customHeight="1" x14ac:dyDescent="0.3">
      <c r="A331" s="9">
        <v>935</v>
      </c>
      <c r="B331" s="8" t="s">
        <v>300</v>
      </c>
      <c r="C331" s="21">
        <v>44601</v>
      </c>
      <c r="D331" s="22">
        <v>7.9745370370370369E-2</v>
      </c>
      <c r="E331" s="8" t="s">
        <v>25</v>
      </c>
      <c r="F331" s="8" t="s">
        <v>210</v>
      </c>
      <c r="G331" s="8" t="s">
        <v>211</v>
      </c>
      <c r="H331" s="8" t="s">
        <v>111</v>
      </c>
      <c r="I331" s="8">
        <v>321.85000000000002</v>
      </c>
      <c r="J331" s="11">
        <v>0</v>
      </c>
      <c r="K331" s="11">
        <f t="shared" si="21"/>
        <v>738.97</v>
      </c>
      <c r="L331" s="53">
        <v>738.97</v>
      </c>
      <c r="M331" s="10">
        <f t="shared" si="20"/>
        <v>43.553865515514836</v>
      </c>
    </row>
    <row r="332" spans="1:13" ht="15" hidden="1" customHeight="1" x14ac:dyDescent="0.3">
      <c r="A332" s="9">
        <v>936</v>
      </c>
      <c r="B332" s="8" t="s">
        <v>300</v>
      </c>
      <c r="C332" s="21">
        <v>44602</v>
      </c>
      <c r="D332" s="22">
        <v>0.19001157407407407</v>
      </c>
      <c r="E332" s="8" t="s">
        <v>25</v>
      </c>
      <c r="F332" s="8" t="s">
        <v>210</v>
      </c>
      <c r="G332" s="8" t="s">
        <v>211</v>
      </c>
      <c r="H332" s="8" t="s">
        <v>111</v>
      </c>
      <c r="I332" s="8">
        <v>442.45</v>
      </c>
      <c r="J332" s="11">
        <v>0</v>
      </c>
      <c r="K332" s="11">
        <f t="shared" si="21"/>
        <v>1063.99</v>
      </c>
      <c r="L332" s="11">
        <v>1063.99</v>
      </c>
      <c r="M332" s="10">
        <f t="shared" si="20"/>
        <v>41.584037443960938</v>
      </c>
    </row>
    <row r="333" spans="1:13" ht="15" hidden="1" customHeight="1" x14ac:dyDescent="0.3">
      <c r="A333" s="9">
        <v>937</v>
      </c>
      <c r="B333" s="8" t="s">
        <v>300</v>
      </c>
      <c r="C333" s="21">
        <v>44604</v>
      </c>
      <c r="D333" s="22">
        <v>1.5219907407407409E-2</v>
      </c>
      <c r="E333" s="8" t="s">
        <v>25</v>
      </c>
      <c r="F333" s="8" t="s">
        <v>175</v>
      </c>
      <c r="G333" s="8" t="s">
        <v>172</v>
      </c>
      <c r="H333" s="8" t="s">
        <v>111</v>
      </c>
      <c r="I333" s="8">
        <v>463.19</v>
      </c>
      <c r="J333" s="11">
        <v>0</v>
      </c>
      <c r="K333" s="11">
        <f t="shared" si="21"/>
        <v>1178.1099999999999</v>
      </c>
      <c r="L333" s="11">
        <v>1178.1099999999999</v>
      </c>
      <c r="M333" s="10">
        <f t="shared" si="20"/>
        <v>39.316362648649111</v>
      </c>
    </row>
    <row r="334" spans="1:13" ht="15" hidden="1" customHeight="1" x14ac:dyDescent="0.3">
      <c r="A334" s="9">
        <v>938</v>
      </c>
      <c r="B334" s="8" t="s">
        <v>300</v>
      </c>
      <c r="C334" s="21">
        <v>44604</v>
      </c>
      <c r="D334" s="22">
        <v>0.86027777777777781</v>
      </c>
      <c r="E334" s="8" t="s">
        <v>25</v>
      </c>
      <c r="F334" s="8" t="s">
        <v>210</v>
      </c>
      <c r="G334" s="8" t="s">
        <v>211</v>
      </c>
      <c r="H334" s="8" t="s">
        <v>111</v>
      </c>
      <c r="I334" s="8">
        <v>307.58</v>
      </c>
      <c r="J334" s="11">
        <v>0</v>
      </c>
      <c r="K334" s="11">
        <f t="shared" si="21"/>
        <v>688.71</v>
      </c>
      <c r="L334" s="11">
        <v>688.71</v>
      </c>
      <c r="M334" s="10">
        <f t="shared" si="20"/>
        <v>44.660306950675896</v>
      </c>
    </row>
    <row r="335" spans="1:13" ht="15" hidden="1" customHeight="1" x14ac:dyDescent="0.3">
      <c r="A335" s="9">
        <v>939</v>
      </c>
      <c r="B335" s="8" t="s">
        <v>300</v>
      </c>
      <c r="C335" s="21">
        <v>44605</v>
      </c>
      <c r="D335" s="22">
        <v>0.71876157407407415</v>
      </c>
      <c r="E335" s="8" t="s">
        <v>25</v>
      </c>
      <c r="F335" s="8" t="s">
        <v>210</v>
      </c>
      <c r="G335" s="8" t="s">
        <v>211</v>
      </c>
      <c r="H335" s="8" t="s">
        <v>111</v>
      </c>
      <c r="I335" s="8">
        <v>429.77</v>
      </c>
      <c r="J335" s="11">
        <v>0</v>
      </c>
      <c r="K335" s="11">
        <f t="shared" si="21"/>
        <v>1063.0999999999999</v>
      </c>
      <c r="L335" s="11">
        <v>1063.0999999999999</v>
      </c>
      <c r="M335" s="10">
        <f t="shared" si="20"/>
        <v>40.426112313046751</v>
      </c>
    </row>
    <row r="336" spans="1:13" ht="15" hidden="1" customHeight="1" x14ac:dyDescent="0.3">
      <c r="A336" s="9">
        <v>940</v>
      </c>
      <c r="B336" s="8" t="s">
        <v>300</v>
      </c>
      <c r="C336" s="21">
        <v>44607</v>
      </c>
      <c r="D336" s="22">
        <v>0.32162037037037039</v>
      </c>
      <c r="E336" s="8" t="s">
        <v>25</v>
      </c>
      <c r="F336" s="8" t="s">
        <v>414</v>
      </c>
      <c r="G336" s="8" t="s">
        <v>449</v>
      </c>
      <c r="H336" s="8" t="s">
        <v>111</v>
      </c>
      <c r="I336" s="8">
        <v>441.99</v>
      </c>
      <c r="J336" s="11">
        <v>0</v>
      </c>
      <c r="K336" s="11">
        <f t="shared" si="21"/>
        <v>1110.19</v>
      </c>
      <c r="L336" s="11">
        <v>1110.19</v>
      </c>
      <c r="M336" s="10">
        <f t="shared" si="20"/>
        <v>39.81210423441032</v>
      </c>
    </row>
    <row r="337" spans="1:13" ht="15" hidden="1" customHeight="1" x14ac:dyDescent="0.3">
      <c r="A337" s="9">
        <v>941</v>
      </c>
      <c r="B337" s="8" t="s">
        <v>300</v>
      </c>
      <c r="C337" s="21">
        <v>44607</v>
      </c>
      <c r="D337" s="22">
        <v>0.73353009259259261</v>
      </c>
      <c r="E337" s="8" t="s">
        <v>25</v>
      </c>
      <c r="F337" s="8" t="s">
        <v>166</v>
      </c>
      <c r="G337" s="8" t="s">
        <v>161</v>
      </c>
      <c r="H337" s="8" t="s">
        <v>111</v>
      </c>
      <c r="I337" s="8">
        <v>253.16</v>
      </c>
      <c r="J337" s="11">
        <v>0</v>
      </c>
      <c r="K337" s="11">
        <f t="shared" si="21"/>
        <v>559.49</v>
      </c>
      <c r="L337" s="11">
        <v>559.49</v>
      </c>
      <c r="M337" s="10">
        <f t="shared" si="20"/>
        <v>45.248351176964732</v>
      </c>
    </row>
    <row r="338" spans="1:13" ht="15" hidden="1" customHeight="1" x14ac:dyDescent="0.3">
      <c r="A338" s="9">
        <v>942</v>
      </c>
      <c r="B338" s="8" t="s">
        <v>300</v>
      </c>
      <c r="C338" s="21">
        <v>44609</v>
      </c>
      <c r="D338" s="22">
        <v>0.29271990740740744</v>
      </c>
      <c r="E338" s="8" t="s">
        <v>25</v>
      </c>
      <c r="F338" s="8" t="s">
        <v>166</v>
      </c>
      <c r="G338" s="8" t="s">
        <v>161</v>
      </c>
      <c r="H338" s="8" t="s">
        <v>111</v>
      </c>
      <c r="I338" s="8">
        <v>546.55999999999995</v>
      </c>
      <c r="J338" s="11">
        <v>0</v>
      </c>
      <c r="K338" s="11">
        <f t="shared" si="21"/>
        <v>1280.72</v>
      </c>
      <c r="L338" s="11">
        <v>1280.72</v>
      </c>
      <c r="M338" s="10">
        <f t="shared" si="20"/>
        <v>42.67599475295146</v>
      </c>
    </row>
    <row r="339" spans="1:13" ht="15" hidden="1" customHeight="1" x14ac:dyDescent="0.3">
      <c r="A339" s="9">
        <v>943</v>
      </c>
      <c r="B339" s="8" t="s">
        <v>300</v>
      </c>
      <c r="C339" s="21">
        <v>44610</v>
      </c>
      <c r="D339" s="22">
        <v>0.99370370370370376</v>
      </c>
      <c r="E339" s="8" t="s">
        <v>25</v>
      </c>
      <c r="F339" s="8" t="s">
        <v>175</v>
      </c>
      <c r="G339" s="8" t="s">
        <v>172</v>
      </c>
      <c r="H339" s="8" t="s">
        <v>111</v>
      </c>
      <c r="I339" s="8">
        <v>405.72</v>
      </c>
      <c r="J339" s="11">
        <v>0</v>
      </c>
      <c r="K339" s="11">
        <f t="shared" si="21"/>
        <v>1010.52</v>
      </c>
      <c r="L339" s="11">
        <v>1010.52</v>
      </c>
      <c r="M339" s="10">
        <f t="shared" si="20"/>
        <v>40.149625935162099</v>
      </c>
    </row>
    <row r="340" spans="1:13" ht="15" hidden="1" customHeight="1" x14ac:dyDescent="0.3">
      <c r="A340" s="9">
        <v>944</v>
      </c>
      <c r="B340" s="8" t="s">
        <v>300</v>
      </c>
      <c r="C340" s="21">
        <v>44611</v>
      </c>
      <c r="D340" s="22">
        <v>0.77539351851851857</v>
      </c>
      <c r="E340" s="8" t="s">
        <v>25</v>
      </c>
      <c r="F340" s="8" t="s">
        <v>210</v>
      </c>
      <c r="G340" s="8" t="s">
        <v>211</v>
      </c>
      <c r="H340" s="8" t="s">
        <v>111</v>
      </c>
      <c r="I340" s="24">
        <v>292.07</v>
      </c>
      <c r="J340" s="7">
        <v>0</v>
      </c>
      <c r="K340" s="11">
        <f t="shared" si="21"/>
        <v>694.5</v>
      </c>
      <c r="L340" s="7">
        <v>694.5</v>
      </c>
      <c r="M340" s="10">
        <f t="shared" si="20"/>
        <v>42.05471562275018</v>
      </c>
    </row>
    <row r="341" spans="1:13" ht="15" hidden="1" customHeight="1" x14ac:dyDescent="0.3">
      <c r="A341" s="9">
        <v>945</v>
      </c>
      <c r="B341" s="8" t="s">
        <v>300</v>
      </c>
      <c r="C341" s="21">
        <v>44612</v>
      </c>
      <c r="D341" s="22">
        <v>0.81696759259259266</v>
      </c>
      <c r="E341" s="8" t="s">
        <v>25</v>
      </c>
      <c r="F341" s="8" t="s">
        <v>210</v>
      </c>
      <c r="G341" s="8" t="s">
        <v>211</v>
      </c>
      <c r="H341" s="8" t="s">
        <v>111</v>
      </c>
      <c r="I341" s="24">
        <v>449.93</v>
      </c>
      <c r="J341" s="7">
        <v>0</v>
      </c>
      <c r="K341" s="11">
        <f t="shared" si="21"/>
        <v>1063.43</v>
      </c>
      <c r="L341" s="7">
        <v>1063.43</v>
      </c>
      <c r="M341" s="10">
        <f t="shared" si="20"/>
        <v>42.309319842396768</v>
      </c>
    </row>
    <row r="342" spans="1:13" ht="15" hidden="1" customHeight="1" x14ac:dyDescent="0.3">
      <c r="A342" s="9">
        <v>946</v>
      </c>
      <c r="B342" s="8" t="s">
        <v>300</v>
      </c>
      <c r="C342" s="21">
        <v>44614</v>
      </c>
      <c r="D342" s="22">
        <v>0.5549884259259259</v>
      </c>
      <c r="E342" s="8" t="s">
        <v>25</v>
      </c>
      <c r="F342" s="8" t="s">
        <v>205</v>
      </c>
      <c r="G342" s="8" t="s">
        <v>206</v>
      </c>
      <c r="H342" s="8" t="s">
        <v>111</v>
      </c>
      <c r="I342" s="24">
        <v>438</v>
      </c>
      <c r="J342" s="7">
        <v>0</v>
      </c>
      <c r="K342" s="11">
        <f t="shared" si="21"/>
        <v>1126.8800000000001</v>
      </c>
      <c r="L342" s="32">
        <v>1126.8800000000001</v>
      </c>
      <c r="M342" s="10">
        <f t="shared" si="20"/>
        <v>38.86837995172511</v>
      </c>
    </row>
    <row r="343" spans="1:13" ht="15" hidden="1" customHeight="1" x14ac:dyDescent="0.3">
      <c r="A343" s="9">
        <v>947</v>
      </c>
      <c r="B343" s="8" t="s">
        <v>300</v>
      </c>
      <c r="C343" s="21">
        <v>44615</v>
      </c>
      <c r="D343" s="22">
        <v>2.7662037037037041E-2</v>
      </c>
      <c r="E343" s="8" t="s">
        <v>25</v>
      </c>
      <c r="F343" s="8" t="s">
        <v>210</v>
      </c>
      <c r="G343" s="8" t="s">
        <v>211</v>
      </c>
      <c r="H343" s="8" t="s">
        <v>111</v>
      </c>
      <c r="I343" s="24">
        <v>326.88</v>
      </c>
      <c r="J343" s="7">
        <v>0</v>
      </c>
      <c r="K343" s="11">
        <f t="shared" si="21"/>
        <v>735.14</v>
      </c>
      <c r="L343" s="7">
        <v>735.14</v>
      </c>
      <c r="M343" s="10">
        <f t="shared" ref="M343:M374" si="22">I343/K343*100</f>
        <v>44.464999863971485</v>
      </c>
    </row>
    <row r="344" spans="1:13" ht="15" hidden="1" customHeight="1" x14ac:dyDescent="0.3">
      <c r="A344" s="9">
        <v>948</v>
      </c>
      <c r="B344" s="8" t="s">
        <v>300</v>
      </c>
      <c r="C344" s="21">
        <v>44616</v>
      </c>
      <c r="D344" s="22">
        <v>0.30944444444444447</v>
      </c>
      <c r="E344" s="8" t="s">
        <v>25</v>
      </c>
      <c r="F344" s="8" t="s">
        <v>210</v>
      </c>
      <c r="G344" s="8" t="s">
        <v>211</v>
      </c>
      <c r="H344" s="8" t="s">
        <v>111</v>
      </c>
      <c r="I344" s="24">
        <v>444.52</v>
      </c>
      <c r="J344" s="7">
        <v>0</v>
      </c>
      <c r="K344" s="11">
        <f t="shared" si="21"/>
        <v>1063.76</v>
      </c>
      <c r="L344" s="7">
        <v>1063.76</v>
      </c>
      <c r="M344" s="10">
        <f t="shared" si="22"/>
        <v>41.787621267955174</v>
      </c>
    </row>
    <row r="345" spans="1:13" ht="15" hidden="1" customHeight="1" x14ac:dyDescent="0.3">
      <c r="A345" s="9">
        <v>949</v>
      </c>
      <c r="B345" s="8" t="s">
        <v>300</v>
      </c>
      <c r="C345" s="21">
        <v>44617</v>
      </c>
      <c r="D345" s="22">
        <v>0.66571759259259256</v>
      </c>
      <c r="E345" s="8" t="s">
        <v>25</v>
      </c>
      <c r="F345" s="8" t="s">
        <v>414</v>
      </c>
      <c r="G345" s="8" t="s">
        <v>449</v>
      </c>
      <c r="H345" s="8" t="s">
        <v>111</v>
      </c>
      <c r="I345" s="8">
        <v>427.2</v>
      </c>
      <c r="J345" s="30">
        <v>0</v>
      </c>
      <c r="K345" s="11">
        <f t="shared" ref="K345:K376" si="23">+L345-J345</f>
        <v>1145.5999999999999</v>
      </c>
      <c r="L345" s="30">
        <v>1145.5999999999999</v>
      </c>
      <c r="M345" s="10">
        <f t="shared" si="22"/>
        <v>37.290502793296092</v>
      </c>
    </row>
    <row r="346" spans="1:13" ht="15" hidden="1" customHeight="1" x14ac:dyDescent="0.3">
      <c r="A346" s="9">
        <v>950</v>
      </c>
      <c r="B346" s="8" t="s">
        <v>300</v>
      </c>
      <c r="C346" s="21">
        <v>44618</v>
      </c>
      <c r="D346" s="22">
        <v>0.6240162037037037</v>
      </c>
      <c r="E346" s="8" t="s">
        <v>25</v>
      </c>
      <c r="F346" s="8" t="s">
        <v>210</v>
      </c>
      <c r="G346" s="8" t="s">
        <v>211</v>
      </c>
      <c r="H346" s="8" t="s">
        <v>111</v>
      </c>
      <c r="I346" s="8">
        <v>284.52999999999997</v>
      </c>
      <c r="J346" s="11">
        <v>0</v>
      </c>
      <c r="K346" s="11">
        <f t="shared" si="23"/>
        <v>646.83000000000004</v>
      </c>
      <c r="L346" s="11">
        <v>646.83000000000004</v>
      </c>
      <c r="M346" s="10">
        <f t="shared" si="22"/>
        <v>43.988374070466726</v>
      </c>
    </row>
    <row r="347" spans="1:13" ht="15" hidden="1" customHeight="1" x14ac:dyDescent="0.3">
      <c r="A347" s="9">
        <v>951</v>
      </c>
      <c r="B347" s="8" t="s">
        <v>300</v>
      </c>
      <c r="C347" s="21">
        <v>44619</v>
      </c>
      <c r="D347" s="22">
        <v>0.83871527777777777</v>
      </c>
      <c r="E347" s="8" t="s">
        <v>25</v>
      </c>
      <c r="F347" s="8" t="s">
        <v>202</v>
      </c>
      <c r="G347" s="8" t="s">
        <v>203</v>
      </c>
      <c r="H347" s="8" t="s">
        <v>111</v>
      </c>
      <c r="I347" s="24">
        <v>431.02</v>
      </c>
      <c r="J347" s="31">
        <v>0</v>
      </c>
      <c r="K347" s="11">
        <f t="shared" si="23"/>
        <v>1091.1600000000001</v>
      </c>
      <c r="L347" s="31">
        <v>1091.1600000000001</v>
      </c>
      <c r="M347" s="10">
        <f t="shared" si="22"/>
        <v>39.50108141794054</v>
      </c>
    </row>
    <row r="348" spans="1:13" ht="15" hidden="1" customHeight="1" x14ac:dyDescent="0.3">
      <c r="A348" s="9">
        <v>2103</v>
      </c>
      <c r="B348" s="8" t="s">
        <v>300</v>
      </c>
      <c r="C348" s="21">
        <v>44621</v>
      </c>
      <c r="D348" s="22">
        <v>0.47815972222222225</v>
      </c>
      <c r="E348" s="8" t="s">
        <v>26</v>
      </c>
      <c r="F348" s="8" t="s">
        <v>165</v>
      </c>
      <c r="G348" s="8" t="s">
        <v>185</v>
      </c>
      <c r="H348" s="8" t="s">
        <v>111</v>
      </c>
      <c r="I348" s="24">
        <v>444.31</v>
      </c>
      <c r="J348" s="7">
        <v>0</v>
      </c>
      <c r="K348" s="90">
        <f t="shared" si="23"/>
        <v>1234</v>
      </c>
      <c r="L348" s="7">
        <v>1234</v>
      </c>
      <c r="M348" s="10">
        <f t="shared" si="22"/>
        <v>36.005672609400321</v>
      </c>
    </row>
    <row r="349" spans="1:13" ht="15" hidden="1" customHeight="1" x14ac:dyDescent="0.3">
      <c r="A349" s="9">
        <v>2104</v>
      </c>
      <c r="B349" s="8" t="s">
        <v>300</v>
      </c>
      <c r="C349" s="21">
        <v>44622</v>
      </c>
      <c r="D349" s="22">
        <v>0.45836805555555554</v>
      </c>
      <c r="E349" s="8" t="s">
        <v>26</v>
      </c>
      <c r="F349" s="8" t="s">
        <v>470</v>
      </c>
      <c r="G349" s="8" t="s">
        <v>471</v>
      </c>
      <c r="H349" s="8" t="s">
        <v>111</v>
      </c>
      <c r="I349" s="8">
        <v>406.32</v>
      </c>
      <c r="J349" s="7">
        <v>0</v>
      </c>
      <c r="K349" s="92">
        <f t="shared" si="23"/>
        <v>1232.1099999999999</v>
      </c>
      <c r="L349" s="30">
        <v>1232.1099999999999</v>
      </c>
      <c r="M349" s="10">
        <f t="shared" si="22"/>
        <v>32.977575054175361</v>
      </c>
    </row>
    <row r="350" spans="1:13" ht="15" hidden="1" customHeight="1" x14ac:dyDescent="0.3">
      <c r="A350" s="9">
        <v>2105</v>
      </c>
      <c r="B350" s="8" t="s">
        <v>300</v>
      </c>
      <c r="C350" s="21">
        <v>44631</v>
      </c>
      <c r="D350" s="22">
        <v>0.34278935185185189</v>
      </c>
      <c r="E350" s="8" t="s">
        <v>26</v>
      </c>
      <c r="F350" s="8" t="s">
        <v>175</v>
      </c>
      <c r="G350" s="8" t="s">
        <v>172</v>
      </c>
      <c r="H350" s="8" t="s">
        <v>111</v>
      </c>
      <c r="I350" s="8">
        <v>424.66</v>
      </c>
      <c r="J350" s="29">
        <v>0</v>
      </c>
      <c r="K350" s="93">
        <f t="shared" si="23"/>
        <v>1120.9000000000001</v>
      </c>
      <c r="L350" s="28">
        <v>1120.9000000000001</v>
      </c>
      <c r="M350" s="10">
        <f t="shared" si="22"/>
        <v>37.885627620661964</v>
      </c>
    </row>
    <row r="351" spans="1:13" ht="15" hidden="1" customHeight="1" x14ac:dyDescent="0.3">
      <c r="A351" s="9">
        <v>2106</v>
      </c>
      <c r="B351" s="8" t="s">
        <v>300</v>
      </c>
      <c r="C351" s="21">
        <v>44632</v>
      </c>
      <c r="D351" s="22">
        <v>8.8993055555555547E-2</v>
      </c>
      <c r="E351" s="8" t="s">
        <v>26</v>
      </c>
      <c r="F351" s="8" t="s">
        <v>210</v>
      </c>
      <c r="G351" s="8" t="s">
        <v>211</v>
      </c>
      <c r="H351" s="8" t="s">
        <v>111</v>
      </c>
      <c r="I351" s="24">
        <v>345.87</v>
      </c>
      <c r="J351" s="7">
        <v>0</v>
      </c>
      <c r="K351" s="90">
        <f t="shared" si="23"/>
        <v>842.37</v>
      </c>
      <c r="L351" s="7">
        <v>842.37</v>
      </c>
      <c r="M351" s="10">
        <f t="shared" si="22"/>
        <v>41.059154528295167</v>
      </c>
    </row>
    <row r="352" spans="1:13" ht="15" hidden="1" customHeight="1" x14ac:dyDescent="0.3">
      <c r="A352" s="9">
        <v>2107</v>
      </c>
      <c r="B352" s="8" t="s">
        <v>300</v>
      </c>
      <c r="C352" s="21">
        <v>44633</v>
      </c>
      <c r="D352" s="22">
        <v>0.19271990740740741</v>
      </c>
      <c r="E352" s="8" t="s">
        <v>26</v>
      </c>
      <c r="F352" s="8" t="s">
        <v>210</v>
      </c>
      <c r="G352" s="8" t="s">
        <v>211</v>
      </c>
      <c r="H352" s="8" t="s">
        <v>111</v>
      </c>
      <c r="I352" s="24">
        <v>348.11</v>
      </c>
      <c r="J352" s="7">
        <v>0</v>
      </c>
      <c r="K352" s="90">
        <f t="shared" si="23"/>
        <v>911.52</v>
      </c>
      <c r="L352" s="7">
        <v>911.52</v>
      </c>
      <c r="M352" s="10">
        <f t="shared" si="22"/>
        <v>38.190056169913994</v>
      </c>
    </row>
    <row r="353" spans="1:13" ht="15" hidden="1" customHeight="1" x14ac:dyDescent="0.3">
      <c r="A353" s="9">
        <v>2108</v>
      </c>
      <c r="B353" s="8" t="s">
        <v>300</v>
      </c>
      <c r="C353" s="21">
        <v>44636</v>
      </c>
      <c r="D353" s="22">
        <v>0.2412037037037037</v>
      </c>
      <c r="E353" s="8" t="s">
        <v>26</v>
      </c>
      <c r="F353" s="8" t="s">
        <v>197</v>
      </c>
      <c r="G353" s="8" t="s">
        <v>44</v>
      </c>
      <c r="H353" s="8" t="s">
        <v>111</v>
      </c>
      <c r="I353" s="24">
        <v>458.52</v>
      </c>
      <c r="J353" s="7">
        <v>0</v>
      </c>
      <c r="K353" s="90">
        <f t="shared" si="23"/>
        <v>1280.45</v>
      </c>
      <c r="L353" s="7">
        <v>1280.45</v>
      </c>
      <c r="M353" s="10">
        <f t="shared" si="22"/>
        <v>35.809285797961657</v>
      </c>
    </row>
    <row r="354" spans="1:13" ht="15" hidden="1" customHeight="1" x14ac:dyDescent="0.3">
      <c r="A354" s="9">
        <v>2109</v>
      </c>
      <c r="B354" s="8" t="s">
        <v>300</v>
      </c>
      <c r="C354" s="21">
        <v>44636</v>
      </c>
      <c r="D354" s="22">
        <v>0.69359953703703703</v>
      </c>
      <c r="E354" s="8" t="s">
        <v>26</v>
      </c>
      <c r="F354" s="8" t="s">
        <v>210</v>
      </c>
      <c r="G354" s="8" t="s">
        <v>211</v>
      </c>
      <c r="H354" s="8" t="s">
        <v>111</v>
      </c>
      <c r="I354" s="8">
        <v>253.34</v>
      </c>
      <c r="J354" s="28">
        <v>0</v>
      </c>
      <c r="K354" s="96">
        <f t="shared" si="23"/>
        <v>587.28</v>
      </c>
      <c r="L354" s="55">
        <v>587.28</v>
      </c>
      <c r="M354" s="10">
        <f t="shared" si="22"/>
        <v>43.137855877945782</v>
      </c>
    </row>
    <row r="355" spans="1:13" ht="15" hidden="1" customHeight="1" x14ac:dyDescent="0.3">
      <c r="A355" s="9">
        <v>2110</v>
      </c>
      <c r="B355" s="8" t="s">
        <v>300</v>
      </c>
      <c r="C355" s="21">
        <v>44637</v>
      </c>
      <c r="D355" s="22">
        <v>0.56155092592592593</v>
      </c>
      <c r="E355" s="8" t="s">
        <v>26</v>
      </c>
      <c r="F355" s="8" t="s">
        <v>210</v>
      </c>
      <c r="G355" s="8" t="s">
        <v>211</v>
      </c>
      <c r="H355" s="8" t="s">
        <v>111</v>
      </c>
      <c r="I355" s="24">
        <v>403.9</v>
      </c>
      <c r="J355" s="7">
        <v>0</v>
      </c>
      <c r="K355" s="90">
        <f t="shared" si="23"/>
        <v>1062.82</v>
      </c>
      <c r="L355" s="7">
        <v>1062.82</v>
      </c>
      <c r="M355" s="10">
        <f t="shared" si="22"/>
        <v>38.002672136391865</v>
      </c>
    </row>
    <row r="356" spans="1:13" ht="15" hidden="1" customHeight="1" x14ac:dyDescent="0.3">
      <c r="A356" s="9">
        <v>2111</v>
      </c>
      <c r="B356" s="8" t="s">
        <v>300</v>
      </c>
      <c r="C356" s="21">
        <v>44639</v>
      </c>
      <c r="D356" s="22">
        <v>0.80769675925925932</v>
      </c>
      <c r="E356" s="8" t="s">
        <v>26</v>
      </c>
      <c r="F356" s="8" t="s">
        <v>197</v>
      </c>
      <c r="G356" s="8" t="s">
        <v>44</v>
      </c>
      <c r="H356" s="8" t="s">
        <v>111</v>
      </c>
      <c r="I356" s="8">
        <v>400</v>
      </c>
      <c r="J356" s="30">
        <v>0</v>
      </c>
      <c r="K356" s="92">
        <f t="shared" si="23"/>
        <v>1324.86</v>
      </c>
      <c r="L356" s="30">
        <v>1324.86</v>
      </c>
      <c r="M356" s="10">
        <f t="shared" si="22"/>
        <v>30.191869329589544</v>
      </c>
    </row>
    <row r="357" spans="1:13" ht="15" hidden="1" customHeight="1" x14ac:dyDescent="0.3">
      <c r="A357" s="9">
        <v>2112</v>
      </c>
      <c r="B357" s="8" t="s">
        <v>300</v>
      </c>
      <c r="C357" s="21">
        <v>44640</v>
      </c>
      <c r="D357" s="22">
        <v>0.20907407407407408</v>
      </c>
      <c r="E357" s="8" t="s">
        <v>26</v>
      </c>
      <c r="F357" s="8" t="s">
        <v>210</v>
      </c>
      <c r="G357" s="8" t="s">
        <v>211</v>
      </c>
      <c r="H357" s="8" t="s">
        <v>111</v>
      </c>
      <c r="I357" s="8">
        <v>335.72</v>
      </c>
      <c r="J357" s="11">
        <v>0</v>
      </c>
      <c r="K357" s="89">
        <f t="shared" si="23"/>
        <v>586.88</v>
      </c>
      <c r="L357" s="11">
        <v>586.88</v>
      </c>
      <c r="M357" s="10">
        <f t="shared" si="22"/>
        <v>57.204198473282453</v>
      </c>
    </row>
    <row r="358" spans="1:13" ht="15" hidden="1" customHeight="1" x14ac:dyDescent="0.3">
      <c r="A358" s="9">
        <v>2113</v>
      </c>
      <c r="B358" s="8" t="s">
        <v>300</v>
      </c>
      <c r="C358" s="21">
        <v>44640</v>
      </c>
      <c r="D358" s="22">
        <v>0.69652777777777775</v>
      </c>
      <c r="E358" s="8" t="s">
        <v>26</v>
      </c>
      <c r="F358" s="8" t="s">
        <v>165</v>
      </c>
      <c r="G358" s="8" t="s">
        <v>185</v>
      </c>
      <c r="H358" s="8" t="s">
        <v>111</v>
      </c>
      <c r="I358" s="8">
        <v>258.22000000000003</v>
      </c>
      <c r="J358" s="11">
        <v>0</v>
      </c>
      <c r="K358" s="89">
        <f t="shared" si="23"/>
        <v>550.39</v>
      </c>
      <c r="L358" s="11">
        <v>550.39</v>
      </c>
      <c r="M358" s="10">
        <f t="shared" si="22"/>
        <v>46.915823325278446</v>
      </c>
    </row>
    <row r="359" spans="1:13" ht="15" hidden="1" customHeight="1" x14ac:dyDescent="0.3">
      <c r="A359" s="9">
        <v>2114</v>
      </c>
      <c r="B359" s="8" t="s">
        <v>300</v>
      </c>
      <c r="C359" s="21">
        <v>44642</v>
      </c>
      <c r="D359" s="22">
        <v>0.94803240740740735</v>
      </c>
      <c r="E359" s="8" t="s">
        <v>26</v>
      </c>
      <c r="F359" s="8" t="s">
        <v>210</v>
      </c>
      <c r="G359" s="8" t="s">
        <v>211</v>
      </c>
      <c r="H359" s="8" t="s">
        <v>111</v>
      </c>
      <c r="I359" s="8">
        <v>247</v>
      </c>
      <c r="J359" s="30">
        <v>0</v>
      </c>
      <c r="K359" s="92">
        <f t="shared" si="23"/>
        <v>485</v>
      </c>
      <c r="L359" s="30">
        <v>485</v>
      </c>
      <c r="M359" s="10">
        <f t="shared" si="22"/>
        <v>50.927835051546388</v>
      </c>
    </row>
    <row r="360" spans="1:13" ht="15" hidden="1" customHeight="1" x14ac:dyDescent="0.3">
      <c r="A360" s="9">
        <v>2115</v>
      </c>
      <c r="B360" s="8" t="s">
        <v>300</v>
      </c>
      <c r="C360" s="21">
        <v>44644</v>
      </c>
      <c r="D360" s="22">
        <v>0.70182870370370365</v>
      </c>
      <c r="E360" s="8" t="s">
        <v>26</v>
      </c>
      <c r="F360" s="8" t="s">
        <v>197</v>
      </c>
      <c r="G360" s="8" t="s">
        <v>44</v>
      </c>
      <c r="H360" s="8" t="s">
        <v>111</v>
      </c>
      <c r="I360" s="8">
        <v>250</v>
      </c>
      <c r="J360" s="11">
        <v>0</v>
      </c>
      <c r="K360" s="89">
        <f t="shared" si="23"/>
        <v>1225.3399999999999</v>
      </c>
      <c r="L360" s="11">
        <v>1225.3399999999999</v>
      </c>
      <c r="M360" s="10">
        <f t="shared" si="22"/>
        <v>20.402500530465016</v>
      </c>
    </row>
    <row r="361" spans="1:13" ht="15" hidden="1" customHeight="1" x14ac:dyDescent="0.3">
      <c r="A361" s="9">
        <v>2116</v>
      </c>
      <c r="B361" s="8" t="s">
        <v>300</v>
      </c>
      <c r="C361" s="21">
        <v>44645</v>
      </c>
      <c r="D361" s="22">
        <v>0.13587962962962963</v>
      </c>
      <c r="E361" s="8" t="s">
        <v>26</v>
      </c>
      <c r="F361" s="8" t="s">
        <v>210</v>
      </c>
      <c r="G361" s="8" t="s">
        <v>211</v>
      </c>
      <c r="H361" s="8" t="s">
        <v>111</v>
      </c>
      <c r="I361" s="8">
        <v>502.86</v>
      </c>
      <c r="J361" s="11">
        <v>0</v>
      </c>
      <c r="K361" s="89">
        <f t="shared" si="23"/>
        <v>586.75</v>
      </c>
      <c r="L361" s="11">
        <v>586.75</v>
      </c>
      <c r="M361" s="10">
        <f t="shared" si="22"/>
        <v>85.702599062633155</v>
      </c>
    </row>
    <row r="362" spans="1:13" ht="15" hidden="1" customHeight="1" x14ac:dyDescent="0.3">
      <c r="A362" s="9">
        <v>2117</v>
      </c>
      <c r="B362" s="8" t="s">
        <v>300</v>
      </c>
      <c r="C362" s="21">
        <v>44645</v>
      </c>
      <c r="D362" s="22">
        <v>0.91641203703703711</v>
      </c>
      <c r="E362" s="8" t="s">
        <v>26</v>
      </c>
      <c r="F362" s="8" t="s">
        <v>166</v>
      </c>
      <c r="G362" s="8" t="s">
        <v>161</v>
      </c>
      <c r="H362" s="8" t="s">
        <v>111</v>
      </c>
      <c r="I362" s="8">
        <v>200</v>
      </c>
      <c r="J362" s="11">
        <v>0</v>
      </c>
      <c r="K362" s="89">
        <f t="shared" si="23"/>
        <v>1146.1600000000001</v>
      </c>
      <c r="L362" s="11">
        <v>1146.1600000000001</v>
      </c>
      <c r="M362" s="10">
        <f t="shared" si="22"/>
        <v>17.449570740559782</v>
      </c>
    </row>
    <row r="363" spans="1:13" ht="15" hidden="1" customHeight="1" x14ac:dyDescent="0.3">
      <c r="A363" s="9">
        <v>2118</v>
      </c>
      <c r="B363" s="8" t="s">
        <v>300</v>
      </c>
      <c r="C363" s="21">
        <v>44647</v>
      </c>
      <c r="D363" s="22">
        <v>0.84068287037037026</v>
      </c>
      <c r="E363" s="8" t="s">
        <v>26</v>
      </c>
      <c r="F363" s="8" t="s">
        <v>169</v>
      </c>
      <c r="G363" s="8" t="s">
        <v>196</v>
      </c>
      <c r="H363" s="8" t="s">
        <v>111</v>
      </c>
      <c r="I363" s="8">
        <v>150</v>
      </c>
      <c r="J363" s="11">
        <v>0</v>
      </c>
      <c r="K363" s="89">
        <f t="shared" si="23"/>
        <v>444.88</v>
      </c>
      <c r="L363" s="53">
        <v>444.88</v>
      </c>
      <c r="M363" s="10">
        <f t="shared" si="22"/>
        <v>33.716957381765873</v>
      </c>
    </row>
    <row r="364" spans="1:13" ht="15" hidden="1" customHeight="1" x14ac:dyDescent="0.3">
      <c r="A364" s="9">
        <v>2119</v>
      </c>
      <c r="B364" s="8" t="s">
        <v>300</v>
      </c>
      <c r="C364" s="21">
        <v>44648</v>
      </c>
      <c r="D364" s="22">
        <v>0.8997222222222222</v>
      </c>
      <c r="E364" s="8" t="s">
        <v>26</v>
      </c>
      <c r="F364" s="8" t="s">
        <v>171</v>
      </c>
      <c r="G364" s="8" t="s">
        <v>172</v>
      </c>
      <c r="H364" s="8" t="s">
        <v>111</v>
      </c>
      <c r="I364" s="8">
        <v>479.15</v>
      </c>
      <c r="J364" s="11">
        <v>0</v>
      </c>
      <c r="K364" s="89">
        <f t="shared" si="23"/>
        <v>612.53</v>
      </c>
      <c r="L364" s="7">
        <v>612.53</v>
      </c>
      <c r="M364" s="10">
        <f t="shared" si="22"/>
        <v>78.224740012734074</v>
      </c>
    </row>
    <row r="365" spans="1:13" ht="15" hidden="1" customHeight="1" x14ac:dyDescent="0.3">
      <c r="A365" s="9">
        <v>2120</v>
      </c>
      <c r="B365" s="8" t="s">
        <v>300</v>
      </c>
      <c r="C365" s="21">
        <v>44650</v>
      </c>
      <c r="D365" s="22">
        <v>0.30453703703703705</v>
      </c>
      <c r="E365" s="8" t="s">
        <v>26</v>
      </c>
      <c r="F365" s="8" t="s">
        <v>210</v>
      </c>
      <c r="G365" s="8" t="s">
        <v>211</v>
      </c>
      <c r="H365" s="8" t="s">
        <v>111</v>
      </c>
      <c r="I365" s="8">
        <v>406.15</v>
      </c>
      <c r="J365" s="11">
        <v>0</v>
      </c>
      <c r="K365" s="92">
        <f t="shared" si="23"/>
        <v>946.82</v>
      </c>
      <c r="L365" s="67">
        <v>946.82</v>
      </c>
      <c r="M365" s="10">
        <f t="shared" si="22"/>
        <v>42.896221034621149</v>
      </c>
    </row>
    <row r="366" spans="1:13" ht="15" hidden="1" customHeight="1" x14ac:dyDescent="0.3">
      <c r="A366" s="9">
        <v>2121</v>
      </c>
      <c r="B366" s="8" t="s">
        <v>300</v>
      </c>
      <c r="C366" s="21">
        <v>44651</v>
      </c>
      <c r="D366" s="22">
        <v>0.56685185185185183</v>
      </c>
      <c r="E366" s="8" t="s">
        <v>26</v>
      </c>
      <c r="F366" s="8" t="s">
        <v>210</v>
      </c>
      <c r="G366" s="8" t="s">
        <v>211</v>
      </c>
      <c r="H366" s="8" t="s">
        <v>111</v>
      </c>
      <c r="I366" s="8">
        <v>436.56</v>
      </c>
      <c r="J366" s="11">
        <v>0</v>
      </c>
      <c r="K366" s="89">
        <f t="shared" si="23"/>
        <v>760.75</v>
      </c>
      <c r="L366" s="11">
        <v>760.75</v>
      </c>
      <c r="M366" s="10">
        <f t="shared" si="22"/>
        <v>57.385474860335194</v>
      </c>
    </row>
    <row r="367" spans="1:13" ht="15" hidden="1" customHeight="1" x14ac:dyDescent="0.3">
      <c r="A367" s="9">
        <v>3384</v>
      </c>
      <c r="B367" s="8" t="s">
        <v>300</v>
      </c>
      <c r="C367" s="21">
        <v>44652</v>
      </c>
      <c r="D367" s="22">
        <v>0.94216435185185177</v>
      </c>
      <c r="E367" s="8" t="s">
        <v>27</v>
      </c>
      <c r="F367" s="8" t="s">
        <v>197</v>
      </c>
      <c r="G367" s="8" t="s">
        <v>44</v>
      </c>
      <c r="H367" s="8" t="s">
        <v>111</v>
      </c>
      <c r="I367" s="19">
        <v>150.01</v>
      </c>
      <c r="J367" s="11">
        <v>0</v>
      </c>
      <c r="K367" s="89">
        <f t="shared" si="23"/>
        <v>1232.6500000000001</v>
      </c>
      <c r="L367" s="53">
        <v>1232.6500000000001</v>
      </c>
      <c r="M367" s="10">
        <f t="shared" si="22"/>
        <v>12.16971565326735</v>
      </c>
    </row>
    <row r="368" spans="1:13" ht="15" hidden="1" customHeight="1" x14ac:dyDescent="0.3">
      <c r="A368" s="9">
        <v>3385</v>
      </c>
      <c r="B368" s="8" t="s">
        <v>300</v>
      </c>
      <c r="C368" s="21">
        <v>44653</v>
      </c>
      <c r="D368" s="22">
        <v>0.32675925925925925</v>
      </c>
      <c r="E368" s="8" t="s">
        <v>27</v>
      </c>
      <c r="F368" s="8" t="s">
        <v>197</v>
      </c>
      <c r="G368" s="8" t="s">
        <v>44</v>
      </c>
      <c r="H368" s="8" t="s">
        <v>111</v>
      </c>
      <c r="I368" s="19">
        <v>138.12</v>
      </c>
      <c r="J368" s="11">
        <v>0</v>
      </c>
      <c r="K368" s="89">
        <f t="shared" si="23"/>
        <v>668</v>
      </c>
      <c r="L368" s="11">
        <v>668</v>
      </c>
      <c r="M368" s="10">
        <f t="shared" si="22"/>
        <v>20.676646706586826</v>
      </c>
    </row>
    <row r="369" spans="1:13" ht="15" hidden="1" customHeight="1" x14ac:dyDescent="0.3">
      <c r="A369" s="9">
        <v>3386</v>
      </c>
      <c r="B369" s="8" t="s">
        <v>300</v>
      </c>
      <c r="C369" s="21">
        <v>44653</v>
      </c>
      <c r="D369" s="22">
        <v>0.70652777777777775</v>
      </c>
      <c r="E369" s="8" t="s">
        <v>27</v>
      </c>
      <c r="F369" s="8" t="s">
        <v>210</v>
      </c>
      <c r="G369" s="8" t="s">
        <v>211</v>
      </c>
      <c r="H369" s="8" t="s">
        <v>111</v>
      </c>
      <c r="I369" s="19">
        <v>411.97</v>
      </c>
      <c r="J369" s="11">
        <v>0</v>
      </c>
      <c r="K369" s="89">
        <f t="shared" si="23"/>
        <v>587.39</v>
      </c>
      <c r="L369" s="53">
        <v>587.39</v>
      </c>
      <c r="M369" s="10">
        <f t="shared" si="22"/>
        <v>70.135684979315286</v>
      </c>
    </row>
    <row r="370" spans="1:13" ht="15" hidden="1" customHeight="1" x14ac:dyDescent="0.3">
      <c r="A370" s="9">
        <v>3387</v>
      </c>
      <c r="B370" s="8" t="s">
        <v>300</v>
      </c>
      <c r="C370" s="21">
        <v>44654</v>
      </c>
      <c r="D370" s="22">
        <v>0.79728009259259258</v>
      </c>
      <c r="E370" s="8" t="s">
        <v>27</v>
      </c>
      <c r="F370" s="8" t="s">
        <v>210</v>
      </c>
      <c r="G370" s="8" t="s">
        <v>211</v>
      </c>
      <c r="H370" s="8" t="s">
        <v>111</v>
      </c>
      <c r="I370" s="19">
        <v>411.1</v>
      </c>
      <c r="J370" s="11">
        <v>0</v>
      </c>
      <c r="K370" s="89">
        <f t="shared" si="23"/>
        <v>1066.93</v>
      </c>
      <c r="L370" s="11">
        <v>1066.93</v>
      </c>
      <c r="M370" s="10">
        <f t="shared" si="22"/>
        <v>38.53111263156908</v>
      </c>
    </row>
    <row r="371" spans="1:13" ht="15" hidden="1" customHeight="1" x14ac:dyDescent="0.3">
      <c r="A371" s="9">
        <v>3388</v>
      </c>
      <c r="B371" s="8" t="s">
        <v>300</v>
      </c>
      <c r="C371" s="21">
        <v>44663</v>
      </c>
      <c r="D371" s="22">
        <v>0.31334490740740739</v>
      </c>
      <c r="E371" s="8" t="s">
        <v>27</v>
      </c>
      <c r="F371" s="8" t="s">
        <v>197</v>
      </c>
      <c r="G371" s="8" t="s">
        <v>44</v>
      </c>
      <c r="H371" s="8" t="s">
        <v>111</v>
      </c>
      <c r="I371" s="19">
        <f>100.1+150.58</f>
        <v>250.68</v>
      </c>
      <c r="J371" s="11">
        <v>0</v>
      </c>
      <c r="K371" s="89">
        <f t="shared" si="23"/>
        <v>1284.22</v>
      </c>
      <c r="L371" s="53">
        <v>1284.22</v>
      </c>
      <c r="M371" s="10">
        <f t="shared" si="22"/>
        <v>19.520019934279173</v>
      </c>
    </row>
    <row r="372" spans="1:13" ht="15" hidden="1" customHeight="1" x14ac:dyDescent="0.3">
      <c r="A372" s="9">
        <v>3389</v>
      </c>
      <c r="B372" s="8" t="s">
        <v>300</v>
      </c>
      <c r="C372" s="21">
        <v>44663</v>
      </c>
      <c r="D372" s="22">
        <v>0.4967361111111111</v>
      </c>
      <c r="E372" s="8" t="s">
        <v>27</v>
      </c>
      <c r="F372" s="8" t="s">
        <v>459</v>
      </c>
      <c r="G372" s="8" t="s">
        <v>303</v>
      </c>
      <c r="H372" s="8" t="s">
        <v>111</v>
      </c>
      <c r="I372" s="19">
        <v>313.63</v>
      </c>
      <c r="J372" s="11">
        <v>0</v>
      </c>
      <c r="K372" s="89">
        <f t="shared" si="23"/>
        <v>1448.6</v>
      </c>
      <c r="L372" s="11">
        <v>1448.6</v>
      </c>
      <c r="M372" s="10">
        <f t="shared" si="22"/>
        <v>21.650559160568829</v>
      </c>
    </row>
    <row r="373" spans="1:13" ht="15" hidden="1" customHeight="1" x14ac:dyDescent="0.3">
      <c r="A373" s="9">
        <v>3390</v>
      </c>
      <c r="B373" s="8" t="s">
        <v>300</v>
      </c>
      <c r="C373" s="21">
        <v>44663</v>
      </c>
      <c r="D373" s="22">
        <v>0.75262731481481471</v>
      </c>
      <c r="E373" s="8" t="s">
        <v>27</v>
      </c>
      <c r="F373" s="8" t="s">
        <v>166</v>
      </c>
      <c r="G373" s="8" t="s">
        <v>161</v>
      </c>
      <c r="H373" s="8" t="s">
        <v>111</v>
      </c>
      <c r="I373" s="19">
        <v>165.45</v>
      </c>
      <c r="J373" s="11">
        <v>0</v>
      </c>
      <c r="K373" s="89">
        <f t="shared" si="23"/>
        <v>355.66</v>
      </c>
      <c r="L373" s="53">
        <v>355.66</v>
      </c>
      <c r="M373" s="10">
        <f t="shared" si="22"/>
        <v>46.519147500421745</v>
      </c>
    </row>
    <row r="374" spans="1:13" ht="15" hidden="1" customHeight="1" x14ac:dyDescent="0.3">
      <c r="A374" s="9">
        <v>3391</v>
      </c>
      <c r="B374" s="8" t="s">
        <v>300</v>
      </c>
      <c r="C374" s="21">
        <v>44664</v>
      </c>
      <c r="D374" s="22">
        <v>0.51480324074074069</v>
      </c>
      <c r="E374" s="8" t="s">
        <v>27</v>
      </c>
      <c r="F374" s="8" t="s">
        <v>278</v>
      </c>
      <c r="G374" s="8" t="s">
        <v>279</v>
      </c>
      <c r="H374" s="8" t="s">
        <v>111</v>
      </c>
      <c r="I374" s="19">
        <v>330.04</v>
      </c>
      <c r="J374" s="11">
        <v>0</v>
      </c>
      <c r="K374" s="89">
        <f t="shared" si="23"/>
        <v>796.59</v>
      </c>
      <c r="L374" s="53">
        <v>796.59</v>
      </c>
      <c r="M374" s="10">
        <f t="shared" si="22"/>
        <v>41.431602204396242</v>
      </c>
    </row>
    <row r="375" spans="1:13" ht="15" hidden="1" customHeight="1" x14ac:dyDescent="0.3">
      <c r="A375" s="9">
        <v>3392</v>
      </c>
      <c r="B375" s="8" t="s">
        <v>300</v>
      </c>
      <c r="C375" s="21">
        <v>44665</v>
      </c>
      <c r="D375" s="22">
        <v>0.87726851851851861</v>
      </c>
      <c r="E375" s="8" t="s">
        <v>27</v>
      </c>
      <c r="F375" s="8" t="s">
        <v>278</v>
      </c>
      <c r="G375" s="8" t="s">
        <v>279</v>
      </c>
      <c r="H375" s="8" t="s">
        <v>111</v>
      </c>
      <c r="I375" s="19">
        <v>462.91</v>
      </c>
      <c r="J375" s="11">
        <v>0</v>
      </c>
      <c r="K375" s="89">
        <f t="shared" si="23"/>
        <v>1265.68</v>
      </c>
      <c r="L375" s="53">
        <v>1265.68</v>
      </c>
      <c r="M375" s="10">
        <f t="shared" ref="M375:M406" si="24">I375/K375*100</f>
        <v>36.574015548953923</v>
      </c>
    </row>
    <row r="376" spans="1:13" ht="15" hidden="1" customHeight="1" x14ac:dyDescent="0.3">
      <c r="A376" s="9">
        <v>3393</v>
      </c>
      <c r="B376" s="8" t="s">
        <v>300</v>
      </c>
      <c r="C376" s="21">
        <v>44666</v>
      </c>
      <c r="D376" s="22">
        <v>0.77238425925925924</v>
      </c>
      <c r="E376" s="8" t="s">
        <v>27</v>
      </c>
      <c r="F376" s="8" t="s">
        <v>166</v>
      </c>
      <c r="G376" s="8" t="s">
        <v>161</v>
      </c>
      <c r="H376" s="8" t="s">
        <v>111</v>
      </c>
      <c r="I376" s="19">
        <v>287.32</v>
      </c>
      <c r="J376" s="11">
        <v>0</v>
      </c>
      <c r="K376" s="89">
        <f t="shared" si="23"/>
        <v>790.34</v>
      </c>
      <c r="L376" s="53">
        <v>790.34</v>
      </c>
      <c r="M376" s="10">
        <f t="shared" si="24"/>
        <v>36.353974238935137</v>
      </c>
    </row>
    <row r="377" spans="1:13" ht="15" hidden="1" customHeight="1" x14ac:dyDescent="0.3">
      <c r="A377" s="9">
        <v>3394</v>
      </c>
      <c r="B377" s="8" t="s">
        <v>300</v>
      </c>
      <c r="C377" s="21">
        <v>44669</v>
      </c>
      <c r="D377" s="22">
        <v>8.4722222222222213E-3</v>
      </c>
      <c r="E377" s="8" t="s">
        <v>27</v>
      </c>
      <c r="F377" s="8" t="s">
        <v>175</v>
      </c>
      <c r="G377" s="8" t="s">
        <v>172</v>
      </c>
      <c r="H377" s="8" t="s">
        <v>111</v>
      </c>
      <c r="I377" s="19">
        <v>390.12</v>
      </c>
      <c r="J377" s="7">
        <v>0</v>
      </c>
      <c r="K377" s="89">
        <f t="shared" ref="K377:K386" si="25">+L377-J377</f>
        <v>1027</v>
      </c>
      <c r="L377" s="32">
        <v>1027</v>
      </c>
      <c r="M377" s="10">
        <f t="shared" si="24"/>
        <v>37.986368062317425</v>
      </c>
    </row>
    <row r="378" spans="1:13" ht="15" hidden="1" customHeight="1" x14ac:dyDescent="0.3">
      <c r="A378" s="9">
        <v>3395</v>
      </c>
      <c r="B378" s="8" t="s">
        <v>300</v>
      </c>
      <c r="C378" s="21">
        <v>44670</v>
      </c>
      <c r="D378" s="22">
        <v>0.30906250000000002</v>
      </c>
      <c r="E378" s="8" t="s">
        <v>27</v>
      </c>
      <c r="F378" s="8" t="s">
        <v>210</v>
      </c>
      <c r="G378" s="8" t="s">
        <v>211</v>
      </c>
      <c r="H378" s="8" t="s">
        <v>111</v>
      </c>
      <c r="I378" s="19">
        <v>364.72</v>
      </c>
      <c r="J378" s="11">
        <v>0</v>
      </c>
      <c r="K378" s="89">
        <f t="shared" si="25"/>
        <v>866</v>
      </c>
      <c r="L378" s="53">
        <v>866</v>
      </c>
      <c r="M378" s="10">
        <f t="shared" si="24"/>
        <v>42.115473441108549</v>
      </c>
    </row>
    <row r="379" spans="1:13" ht="15" hidden="1" customHeight="1" x14ac:dyDescent="0.3">
      <c r="A379" s="9">
        <v>3396</v>
      </c>
      <c r="B379" s="8" t="s">
        <v>300</v>
      </c>
      <c r="C379" s="21">
        <v>44670</v>
      </c>
      <c r="D379" s="22">
        <v>0.83862268518518512</v>
      </c>
      <c r="E379" s="8" t="s">
        <v>27</v>
      </c>
      <c r="F379" s="8" t="s">
        <v>278</v>
      </c>
      <c r="G379" s="8" t="s">
        <v>279</v>
      </c>
      <c r="H379" s="8" t="s">
        <v>111</v>
      </c>
      <c r="I379" s="19">
        <v>250.15</v>
      </c>
      <c r="J379" s="28">
        <v>0</v>
      </c>
      <c r="K379" s="89">
        <f t="shared" si="25"/>
        <v>596.65</v>
      </c>
      <c r="L379" s="55">
        <v>596.65</v>
      </c>
      <c r="M379" s="10">
        <f t="shared" si="24"/>
        <v>41.925752115980899</v>
      </c>
    </row>
    <row r="380" spans="1:13" ht="15" hidden="1" customHeight="1" x14ac:dyDescent="0.3">
      <c r="A380" s="9">
        <v>3397</v>
      </c>
      <c r="B380" s="8" t="s">
        <v>300</v>
      </c>
      <c r="C380" s="21">
        <v>44672</v>
      </c>
      <c r="D380" s="22">
        <v>0.36662037037037037</v>
      </c>
      <c r="E380" s="8" t="s">
        <v>27</v>
      </c>
      <c r="F380" s="8" t="s">
        <v>278</v>
      </c>
      <c r="G380" s="8" t="s">
        <v>279</v>
      </c>
      <c r="H380" s="8" t="s">
        <v>111</v>
      </c>
      <c r="I380" s="190">
        <v>474.06</v>
      </c>
      <c r="J380" s="7">
        <v>0</v>
      </c>
      <c r="K380" s="89">
        <f t="shared" si="25"/>
        <v>1263.26</v>
      </c>
      <c r="L380" s="32">
        <v>1263.26</v>
      </c>
      <c r="M380" s="10">
        <f t="shared" si="24"/>
        <v>37.526716590408945</v>
      </c>
    </row>
    <row r="381" spans="1:13" ht="15" hidden="1" customHeight="1" x14ac:dyDescent="0.3">
      <c r="A381" s="9">
        <v>3398</v>
      </c>
      <c r="B381" s="8" t="s">
        <v>300</v>
      </c>
      <c r="C381" s="21">
        <v>44673</v>
      </c>
      <c r="D381" s="22">
        <v>1.3530092592592594E-2</v>
      </c>
      <c r="E381" s="8" t="s">
        <v>27</v>
      </c>
      <c r="F381" s="8" t="s">
        <v>210</v>
      </c>
      <c r="G381" s="8" t="s">
        <v>211</v>
      </c>
      <c r="H381" s="8" t="s">
        <v>111</v>
      </c>
      <c r="I381" s="19">
        <v>251.4</v>
      </c>
      <c r="J381" s="29">
        <v>0</v>
      </c>
      <c r="K381" s="89">
        <f t="shared" si="25"/>
        <v>713.9</v>
      </c>
      <c r="L381" s="68">
        <v>713.9</v>
      </c>
      <c r="M381" s="10">
        <f t="shared" si="24"/>
        <v>35.215016108698698</v>
      </c>
    </row>
    <row r="382" spans="1:13" ht="15" hidden="1" customHeight="1" x14ac:dyDescent="0.3">
      <c r="A382" s="9">
        <v>3399</v>
      </c>
      <c r="B382" s="8" t="s">
        <v>300</v>
      </c>
      <c r="C382" s="21">
        <v>44674</v>
      </c>
      <c r="D382" s="22">
        <v>0.78916666666666668</v>
      </c>
      <c r="E382" s="8" t="s">
        <v>27</v>
      </c>
      <c r="F382" s="8" t="s">
        <v>171</v>
      </c>
      <c r="G382" s="8" t="s">
        <v>172</v>
      </c>
      <c r="H382" s="8" t="s">
        <v>111</v>
      </c>
      <c r="I382" s="190">
        <v>471.79</v>
      </c>
      <c r="J382" s="7">
        <v>0</v>
      </c>
      <c r="K382" s="89">
        <f t="shared" si="25"/>
        <v>1257.71</v>
      </c>
      <c r="L382" s="32">
        <v>1257.71</v>
      </c>
      <c r="M382" s="10">
        <f t="shared" si="24"/>
        <v>37.511827050750966</v>
      </c>
    </row>
    <row r="383" spans="1:13" ht="15" hidden="1" customHeight="1" x14ac:dyDescent="0.3">
      <c r="A383" s="9">
        <v>3400</v>
      </c>
      <c r="B383" s="8" t="s">
        <v>300</v>
      </c>
      <c r="C383" s="21">
        <v>44675</v>
      </c>
      <c r="D383" s="22">
        <v>0.40186342592592594</v>
      </c>
      <c r="E383" s="8" t="s">
        <v>27</v>
      </c>
      <c r="F383" s="8" t="s">
        <v>210</v>
      </c>
      <c r="G383" s="8" t="s">
        <v>211</v>
      </c>
      <c r="H383" s="8" t="s">
        <v>111</v>
      </c>
      <c r="I383" s="19">
        <v>307.27</v>
      </c>
      <c r="J383" s="30">
        <v>0</v>
      </c>
      <c r="K383" s="89">
        <f t="shared" si="25"/>
        <v>692.33</v>
      </c>
      <c r="L383" s="67">
        <v>692.33</v>
      </c>
      <c r="M383" s="10">
        <f t="shared" si="24"/>
        <v>44.38201435731515</v>
      </c>
    </row>
    <row r="384" spans="1:13" ht="15" hidden="1" customHeight="1" x14ac:dyDescent="0.3">
      <c r="A384" s="9">
        <v>3401</v>
      </c>
      <c r="B384" s="8" t="s">
        <v>300</v>
      </c>
      <c r="C384" s="21">
        <v>44676</v>
      </c>
      <c r="D384" s="22">
        <v>0.97027777777777768</v>
      </c>
      <c r="E384" s="8" t="s">
        <v>27</v>
      </c>
      <c r="F384" s="8" t="s">
        <v>165</v>
      </c>
      <c r="G384" s="8" t="s">
        <v>185</v>
      </c>
      <c r="H384" s="8" t="s">
        <v>111</v>
      </c>
      <c r="I384" s="24">
        <v>459.86</v>
      </c>
      <c r="J384" s="31">
        <v>0</v>
      </c>
      <c r="K384" s="89">
        <f t="shared" si="25"/>
        <v>989</v>
      </c>
      <c r="L384" s="31">
        <v>989</v>
      </c>
      <c r="M384" s="10">
        <f t="shared" si="24"/>
        <v>46.49747219413549</v>
      </c>
    </row>
    <row r="385" spans="1:13" ht="15" hidden="1" customHeight="1" x14ac:dyDescent="0.3">
      <c r="A385" s="9">
        <v>3402</v>
      </c>
      <c r="B385" s="8" t="s">
        <v>300</v>
      </c>
      <c r="C385" s="21">
        <v>44678</v>
      </c>
      <c r="D385" s="22">
        <v>0.91812499999999997</v>
      </c>
      <c r="E385" s="8" t="s">
        <v>27</v>
      </c>
      <c r="F385" s="8" t="s">
        <v>165</v>
      </c>
      <c r="G385" s="8" t="s">
        <v>185</v>
      </c>
      <c r="H385" s="8" t="s">
        <v>111</v>
      </c>
      <c r="I385" s="24">
        <v>415.8</v>
      </c>
      <c r="J385" s="7">
        <v>0</v>
      </c>
      <c r="K385" s="89">
        <f t="shared" si="25"/>
        <v>920.51</v>
      </c>
      <c r="L385" s="7">
        <v>920.51</v>
      </c>
      <c r="M385" s="10">
        <f t="shared" si="24"/>
        <v>45.170611943379214</v>
      </c>
    </row>
    <row r="386" spans="1:13" ht="15" hidden="1" customHeight="1" x14ac:dyDescent="0.3">
      <c r="A386" s="9">
        <v>3403</v>
      </c>
      <c r="B386" s="8" t="s">
        <v>300</v>
      </c>
      <c r="C386" s="21">
        <v>44679</v>
      </c>
      <c r="D386" s="22">
        <v>0.95943287037037039</v>
      </c>
      <c r="E386" s="8" t="s">
        <v>27</v>
      </c>
      <c r="F386" s="8" t="s">
        <v>210</v>
      </c>
      <c r="G386" s="8" t="s">
        <v>211</v>
      </c>
      <c r="H386" s="8" t="s">
        <v>111</v>
      </c>
      <c r="I386" s="24">
        <v>232.33</v>
      </c>
      <c r="J386" s="7">
        <v>0</v>
      </c>
      <c r="K386" s="89">
        <f t="shared" si="25"/>
        <v>584.80999999999995</v>
      </c>
      <c r="L386" s="7">
        <v>584.80999999999995</v>
      </c>
      <c r="M386" s="10">
        <f t="shared" si="24"/>
        <v>39.727432841435686</v>
      </c>
    </row>
    <row r="387" spans="1:13" ht="15" hidden="1" customHeight="1" x14ac:dyDescent="0.3">
      <c r="A387" s="9">
        <v>3740</v>
      </c>
      <c r="B387" s="8" t="s">
        <v>300</v>
      </c>
      <c r="C387" s="21">
        <v>44683</v>
      </c>
      <c r="D387" s="22">
        <v>0.43723379629629627</v>
      </c>
      <c r="E387" s="8" t="s">
        <v>28</v>
      </c>
      <c r="F387" s="8" t="s">
        <v>210</v>
      </c>
      <c r="G387" s="8" t="s">
        <v>211</v>
      </c>
      <c r="H387" s="8" t="s">
        <v>111</v>
      </c>
      <c r="I387" s="24">
        <v>327.76</v>
      </c>
      <c r="J387" s="7">
        <v>0</v>
      </c>
      <c r="K387" s="89">
        <f>+L387-J520</f>
        <v>884.5</v>
      </c>
      <c r="L387" s="7">
        <v>884.5</v>
      </c>
      <c r="M387" s="10">
        <f t="shared" si="24"/>
        <v>37.055963821368003</v>
      </c>
    </row>
    <row r="388" spans="1:13" ht="15" hidden="1" customHeight="1" x14ac:dyDescent="0.3">
      <c r="A388" s="9">
        <v>3780</v>
      </c>
      <c r="B388" s="8" t="s">
        <v>300</v>
      </c>
      <c r="C388" s="21">
        <v>44684</v>
      </c>
      <c r="D388" s="22">
        <v>0.47790509259259256</v>
      </c>
      <c r="E388" s="8" t="s">
        <v>28</v>
      </c>
      <c r="F388" s="8" t="s">
        <v>428</v>
      </c>
      <c r="G388" s="8" t="s">
        <v>429</v>
      </c>
      <c r="H388" s="8" t="s">
        <v>111</v>
      </c>
      <c r="I388" s="8">
        <v>150.38</v>
      </c>
      <c r="J388" s="30">
        <v>0</v>
      </c>
      <c r="K388" s="89">
        <f>+L388-J522</f>
        <v>939</v>
      </c>
      <c r="L388" s="30">
        <v>939</v>
      </c>
      <c r="M388" s="10">
        <f t="shared" si="24"/>
        <v>16.014909478168263</v>
      </c>
    </row>
    <row r="389" spans="1:13" ht="15" hidden="1" customHeight="1" x14ac:dyDescent="0.3">
      <c r="A389" s="9">
        <v>3781</v>
      </c>
      <c r="B389" s="8" t="s">
        <v>300</v>
      </c>
      <c r="C389" s="21">
        <v>44684</v>
      </c>
      <c r="D389" s="22">
        <v>0.85881944444444447</v>
      </c>
      <c r="E389" s="8" t="s">
        <v>28</v>
      </c>
      <c r="F389" s="8" t="s">
        <v>459</v>
      </c>
      <c r="G389" s="8" t="s">
        <v>303</v>
      </c>
      <c r="H389" s="8" t="s">
        <v>111</v>
      </c>
      <c r="I389" s="8">
        <v>355.97</v>
      </c>
      <c r="J389" s="11">
        <v>0</v>
      </c>
      <c r="K389" s="89">
        <f>+L389-J523</f>
        <v>395.66</v>
      </c>
      <c r="L389" s="11">
        <v>395.66</v>
      </c>
      <c r="M389" s="10">
        <f t="shared" si="24"/>
        <v>89.968659960572211</v>
      </c>
    </row>
    <row r="390" spans="1:13" ht="15" hidden="1" customHeight="1" x14ac:dyDescent="0.3">
      <c r="A390" s="9">
        <v>3845</v>
      </c>
      <c r="B390" s="8" t="s">
        <v>300</v>
      </c>
      <c r="C390" s="21">
        <v>44685</v>
      </c>
      <c r="D390" s="22">
        <v>0.35174768518518523</v>
      </c>
      <c r="E390" s="8" t="s">
        <v>28</v>
      </c>
      <c r="F390" s="8" t="s">
        <v>210</v>
      </c>
      <c r="G390" s="8" t="s">
        <v>211</v>
      </c>
      <c r="H390" s="8" t="s">
        <v>111</v>
      </c>
      <c r="I390" s="8">
        <v>193.35</v>
      </c>
      <c r="J390" s="7">
        <v>0</v>
      </c>
      <c r="K390" s="89">
        <f>+L390-J520</f>
        <v>431</v>
      </c>
      <c r="L390" s="53">
        <v>431</v>
      </c>
      <c r="M390" s="10">
        <f t="shared" si="24"/>
        <v>44.86078886310905</v>
      </c>
    </row>
    <row r="391" spans="1:13" ht="15" hidden="1" customHeight="1" x14ac:dyDescent="0.3">
      <c r="A391" s="9">
        <v>3899</v>
      </c>
      <c r="B391" s="8" t="s">
        <v>300</v>
      </c>
      <c r="C391" s="21">
        <v>44686</v>
      </c>
      <c r="D391" s="22">
        <v>0.17518518518518519</v>
      </c>
      <c r="E391" s="8" t="s">
        <v>28</v>
      </c>
      <c r="F391" s="8" t="s">
        <v>210</v>
      </c>
      <c r="G391" s="8" t="s">
        <v>211</v>
      </c>
      <c r="H391" s="8" t="s">
        <v>111</v>
      </c>
      <c r="I391" s="8">
        <v>407.33</v>
      </c>
      <c r="J391" s="30">
        <v>0</v>
      </c>
      <c r="K391" s="89">
        <f>+L391-J521</f>
        <v>1064.6600000000001</v>
      </c>
      <c r="L391" s="53">
        <v>1064.6600000000001</v>
      </c>
      <c r="M391" s="10">
        <f t="shared" si="24"/>
        <v>38.259162549546325</v>
      </c>
    </row>
    <row r="392" spans="1:13" ht="15" hidden="1" customHeight="1" x14ac:dyDescent="0.3">
      <c r="A392" s="9">
        <v>4349</v>
      </c>
      <c r="B392" s="8" t="s">
        <v>300</v>
      </c>
      <c r="C392" s="21">
        <v>44695</v>
      </c>
      <c r="D392" s="22">
        <v>0.98813657407407407</v>
      </c>
      <c r="E392" s="8" t="s">
        <v>28</v>
      </c>
      <c r="F392" s="8" t="s">
        <v>197</v>
      </c>
      <c r="G392" s="8" t="s">
        <v>44</v>
      </c>
      <c r="H392" s="8" t="s">
        <v>111</v>
      </c>
      <c r="I392" s="24">
        <v>88.92</v>
      </c>
      <c r="J392" s="11">
        <v>0</v>
      </c>
      <c r="K392" s="89">
        <f t="shared" ref="K392:K405" si="26">+L392-J663</f>
        <v>1358</v>
      </c>
      <c r="L392" s="53">
        <v>1358</v>
      </c>
      <c r="M392" s="10">
        <f t="shared" si="24"/>
        <v>6.5478645066273931</v>
      </c>
    </row>
    <row r="393" spans="1:13" ht="15" hidden="1" customHeight="1" x14ac:dyDescent="0.3">
      <c r="A393" s="9">
        <v>4420</v>
      </c>
      <c r="B393" s="8" t="s">
        <v>300</v>
      </c>
      <c r="C393" s="21">
        <v>44696</v>
      </c>
      <c r="D393" s="22">
        <v>0.23354166666666668</v>
      </c>
      <c r="E393" s="8" t="s">
        <v>28</v>
      </c>
      <c r="F393" s="8" t="s">
        <v>197</v>
      </c>
      <c r="G393" s="8" t="s">
        <v>44</v>
      </c>
      <c r="H393" s="8" t="s">
        <v>111</v>
      </c>
      <c r="I393" s="24">
        <v>88.92</v>
      </c>
      <c r="J393" s="7">
        <v>0</v>
      </c>
      <c r="K393" s="89">
        <f t="shared" si="26"/>
        <v>-719326</v>
      </c>
      <c r="L393" s="32">
        <v>180</v>
      </c>
      <c r="M393" s="10">
        <f t="shared" si="24"/>
        <v>-1.2361571804717194E-2</v>
      </c>
    </row>
    <row r="394" spans="1:13" ht="15" hidden="1" customHeight="1" x14ac:dyDescent="0.3">
      <c r="A394" s="9">
        <v>4421</v>
      </c>
      <c r="B394" s="8" t="s">
        <v>300</v>
      </c>
      <c r="C394" s="21">
        <v>44696</v>
      </c>
      <c r="D394" s="22">
        <v>0.2774537037037037</v>
      </c>
      <c r="E394" s="8" t="s">
        <v>28</v>
      </c>
      <c r="F394" s="8" t="s">
        <v>541</v>
      </c>
      <c r="G394" s="8" t="s">
        <v>542</v>
      </c>
      <c r="H394" s="8" t="s">
        <v>111</v>
      </c>
      <c r="I394" s="8">
        <v>50</v>
      </c>
      <c r="J394" s="35">
        <v>0</v>
      </c>
      <c r="K394" s="89">
        <f t="shared" si="26"/>
        <v>-707591</v>
      </c>
      <c r="L394" s="38">
        <v>51</v>
      </c>
      <c r="M394" s="10">
        <f t="shared" si="24"/>
        <v>-7.0662289373380951E-3</v>
      </c>
    </row>
    <row r="395" spans="1:13" ht="15" hidden="1" customHeight="1" x14ac:dyDescent="0.3">
      <c r="A395" s="9">
        <v>4423</v>
      </c>
      <c r="B395" s="8" t="s">
        <v>300</v>
      </c>
      <c r="C395" s="21">
        <v>44696</v>
      </c>
      <c r="D395" s="22">
        <v>0.61440972222222223</v>
      </c>
      <c r="E395" s="8" t="s">
        <v>28</v>
      </c>
      <c r="F395" s="8" t="s">
        <v>210</v>
      </c>
      <c r="G395" s="8" t="s">
        <v>211</v>
      </c>
      <c r="H395" s="8" t="s">
        <v>111</v>
      </c>
      <c r="I395" s="24">
        <v>471.14</v>
      </c>
      <c r="J395" s="7">
        <v>0</v>
      </c>
      <c r="K395" s="89">
        <f t="shared" si="26"/>
        <v>-708551</v>
      </c>
      <c r="L395" s="32">
        <v>71</v>
      </c>
      <c r="M395" s="10">
        <f t="shared" si="24"/>
        <v>-6.649344930710703E-2</v>
      </c>
    </row>
    <row r="396" spans="1:13" ht="15" hidden="1" customHeight="1" x14ac:dyDescent="0.3">
      <c r="A396" s="9">
        <v>4424</v>
      </c>
      <c r="B396" s="8" t="s">
        <v>300</v>
      </c>
      <c r="C396" s="21">
        <v>44696</v>
      </c>
      <c r="D396" s="22">
        <v>0.56577546296296299</v>
      </c>
      <c r="E396" s="8" t="s">
        <v>28</v>
      </c>
      <c r="F396" s="8" t="s">
        <v>166</v>
      </c>
      <c r="G396" s="8" t="s">
        <v>161</v>
      </c>
      <c r="H396" s="8" t="s">
        <v>111</v>
      </c>
      <c r="I396" s="24">
        <v>100</v>
      </c>
      <c r="J396" s="7">
        <v>0</v>
      </c>
      <c r="K396" s="89">
        <f t="shared" si="26"/>
        <v>-709248</v>
      </c>
      <c r="L396" s="32">
        <v>466</v>
      </c>
      <c r="M396" s="10">
        <f t="shared" si="24"/>
        <v>-1.4099440534199602E-2</v>
      </c>
    </row>
    <row r="397" spans="1:13" ht="15" hidden="1" customHeight="1" x14ac:dyDescent="0.3">
      <c r="A397" s="9">
        <v>4472</v>
      </c>
      <c r="B397" s="8" t="s">
        <v>300</v>
      </c>
      <c r="C397" s="21">
        <v>44697</v>
      </c>
      <c r="D397" s="22">
        <v>9.3576388888888876E-2</v>
      </c>
      <c r="E397" s="8" t="s">
        <v>28</v>
      </c>
      <c r="F397" s="8" t="s">
        <v>165</v>
      </c>
      <c r="G397" s="8" t="s">
        <v>185</v>
      </c>
      <c r="H397" s="8" t="s">
        <v>111</v>
      </c>
      <c r="I397" s="8">
        <v>268.45</v>
      </c>
      <c r="J397" s="30">
        <v>0</v>
      </c>
      <c r="K397" s="89">
        <f t="shared" si="26"/>
        <v>-710135</v>
      </c>
      <c r="L397" s="67">
        <v>548</v>
      </c>
      <c r="M397" s="10">
        <f t="shared" si="24"/>
        <v>-3.7802671323058291E-2</v>
      </c>
    </row>
    <row r="398" spans="1:13" ht="15" hidden="1" customHeight="1" x14ac:dyDescent="0.3">
      <c r="A398" s="9">
        <v>4473</v>
      </c>
      <c r="B398" s="8" t="s">
        <v>300</v>
      </c>
      <c r="C398" s="21">
        <v>44697</v>
      </c>
      <c r="D398" s="22">
        <v>0.55261574074074071</v>
      </c>
      <c r="E398" s="8" t="s">
        <v>28</v>
      </c>
      <c r="F398" s="8" t="s">
        <v>210</v>
      </c>
      <c r="G398" s="8" t="s">
        <v>211</v>
      </c>
      <c r="H398" s="8" t="s">
        <v>111</v>
      </c>
      <c r="I398" s="8">
        <v>165.18</v>
      </c>
      <c r="J398" s="11">
        <v>0</v>
      </c>
      <c r="K398" s="89">
        <f t="shared" si="26"/>
        <v>514</v>
      </c>
      <c r="L398" s="53">
        <v>514</v>
      </c>
      <c r="M398" s="10">
        <f t="shared" si="24"/>
        <v>32.136186770428019</v>
      </c>
    </row>
    <row r="399" spans="1:13" ht="15" hidden="1" customHeight="1" x14ac:dyDescent="0.3">
      <c r="A399" s="9">
        <v>4474</v>
      </c>
      <c r="B399" s="8" t="s">
        <v>300</v>
      </c>
      <c r="C399" s="21">
        <v>44697</v>
      </c>
      <c r="D399" s="22">
        <v>0.89324074074074078</v>
      </c>
      <c r="E399" s="8" t="s">
        <v>28</v>
      </c>
      <c r="F399" s="8" t="s">
        <v>169</v>
      </c>
      <c r="G399" s="8" t="s">
        <v>196</v>
      </c>
      <c r="H399" s="8" t="s">
        <v>111</v>
      </c>
      <c r="I399" s="8">
        <v>158.37</v>
      </c>
      <c r="J399" s="11">
        <v>0</v>
      </c>
      <c r="K399" s="89">
        <f t="shared" si="26"/>
        <v>2021</v>
      </c>
      <c r="L399" s="53">
        <v>2021</v>
      </c>
      <c r="M399" s="10">
        <f t="shared" si="24"/>
        <v>7.8362196932211772</v>
      </c>
    </row>
    <row r="400" spans="1:13" ht="15" hidden="1" customHeight="1" x14ac:dyDescent="0.3">
      <c r="A400" s="9">
        <v>4577</v>
      </c>
      <c r="B400" s="8" t="s">
        <v>300</v>
      </c>
      <c r="C400" s="21">
        <v>44699</v>
      </c>
      <c r="D400" s="22">
        <v>0.29775462962962962</v>
      </c>
      <c r="E400" s="8" t="s">
        <v>28</v>
      </c>
      <c r="F400" s="8" t="s">
        <v>197</v>
      </c>
      <c r="G400" s="8" t="s">
        <v>44</v>
      </c>
      <c r="H400" s="8" t="s">
        <v>111</v>
      </c>
      <c r="I400" s="8">
        <v>316.27999999999997</v>
      </c>
      <c r="J400" s="11">
        <v>0</v>
      </c>
      <c r="K400" s="89">
        <f t="shared" si="26"/>
        <v>660</v>
      </c>
      <c r="L400" s="53">
        <v>660</v>
      </c>
      <c r="M400" s="10">
        <f t="shared" si="24"/>
        <v>47.921212121212115</v>
      </c>
    </row>
    <row r="401" spans="1:13" ht="15" hidden="1" customHeight="1" x14ac:dyDescent="0.3">
      <c r="A401" s="9">
        <v>4578</v>
      </c>
      <c r="B401" s="8" t="s">
        <v>300</v>
      </c>
      <c r="C401" s="21">
        <v>44699</v>
      </c>
      <c r="D401" s="22">
        <v>0.68925925925925924</v>
      </c>
      <c r="E401" s="8" t="s">
        <v>28</v>
      </c>
      <c r="F401" s="8" t="s">
        <v>210</v>
      </c>
      <c r="G401" s="8" t="s">
        <v>211</v>
      </c>
      <c r="H401" s="8" t="s">
        <v>111</v>
      </c>
      <c r="I401" s="8">
        <v>258.52999999999997</v>
      </c>
      <c r="J401" s="11">
        <v>0</v>
      </c>
      <c r="K401" s="89">
        <f t="shared" si="26"/>
        <v>587</v>
      </c>
      <c r="L401" s="53">
        <v>587</v>
      </c>
      <c r="M401" s="10">
        <f t="shared" si="24"/>
        <v>44.042589437819416</v>
      </c>
    </row>
    <row r="402" spans="1:13" ht="15" hidden="1" customHeight="1" x14ac:dyDescent="0.3">
      <c r="A402" s="9">
        <v>4630</v>
      </c>
      <c r="B402" s="8" t="s">
        <v>300</v>
      </c>
      <c r="C402" s="21">
        <v>44700</v>
      </c>
      <c r="D402" s="22">
        <v>0.15307870370370372</v>
      </c>
      <c r="E402" s="8" t="s">
        <v>28</v>
      </c>
      <c r="F402" s="8" t="s">
        <v>165</v>
      </c>
      <c r="G402" s="8" t="s">
        <v>185</v>
      </c>
      <c r="H402" s="8" t="s">
        <v>111</v>
      </c>
      <c r="I402" s="8">
        <v>256</v>
      </c>
      <c r="J402" s="11">
        <v>0</v>
      </c>
      <c r="K402" s="89">
        <f t="shared" si="26"/>
        <v>547</v>
      </c>
      <c r="L402" s="53">
        <v>547</v>
      </c>
      <c r="M402" s="10">
        <f t="shared" si="24"/>
        <v>46.800731261425959</v>
      </c>
    </row>
    <row r="403" spans="1:13" ht="15" hidden="1" customHeight="1" x14ac:dyDescent="0.3">
      <c r="A403" s="9">
        <v>4683</v>
      </c>
      <c r="B403" s="8" t="s">
        <v>300</v>
      </c>
      <c r="C403" s="21">
        <v>44701</v>
      </c>
      <c r="D403" s="22">
        <v>0.6969212962962964</v>
      </c>
      <c r="E403" s="8" t="s">
        <v>28</v>
      </c>
      <c r="F403" s="8" t="s">
        <v>210</v>
      </c>
      <c r="G403" s="8" t="s">
        <v>211</v>
      </c>
      <c r="H403" s="8" t="s">
        <v>111</v>
      </c>
      <c r="I403" s="8">
        <v>251.79</v>
      </c>
      <c r="J403" s="11">
        <v>0</v>
      </c>
      <c r="K403" s="89">
        <f t="shared" si="26"/>
        <v>-555863</v>
      </c>
      <c r="L403" s="53">
        <v>643</v>
      </c>
      <c r="M403" s="10">
        <f t="shared" si="24"/>
        <v>-4.5297132566837511E-2</v>
      </c>
    </row>
    <row r="404" spans="1:13" ht="15" hidden="1" customHeight="1" x14ac:dyDescent="0.3">
      <c r="A404" s="9">
        <v>4742</v>
      </c>
      <c r="B404" s="8" t="s">
        <v>300</v>
      </c>
      <c r="C404" s="21">
        <v>44702</v>
      </c>
      <c r="D404" s="22">
        <v>0.29142361111111109</v>
      </c>
      <c r="E404" s="8" t="s">
        <v>28</v>
      </c>
      <c r="F404" s="8" t="s">
        <v>169</v>
      </c>
      <c r="G404" s="8" t="s">
        <v>170</v>
      </c>
      <c r="H404" s="8" t="s">
        <v>111</v>
      </c>
      <c r="I404" s="8">
        <v>100</v>
      </c>
      <c r="J404" s="11">
        <v>0</v>
      </c>
      <c r="K404" s="89">
        <f t="shared" si="26"/>
        <v>502</v>
      </c>
      <c r="L404" s="32">
        <v>502</v>
      </c>
      <c r="M404" s="36">
        <f t="shared" si="24"/>
        <v>19.920318725099602</v>
      </c>
    </row>
    <row r="405" spans="1:13" ht="15" hidden="1" customHeight="1" x14ac:dyDescent="0.3">
      <c r="A405" s="9">
        <v>4743</v>
      </c>
      <c r="B405" s="8" t="s">
        <v>300</v>
      </c>
      <c r="C405" s="21">
        <v>44702</v>
      </c>
      <c r="D405" s="22">
        <v>0.91637731481481488</v>
      </c>
      <c r="E405" s="8" t="s">
        <v>28</v>
      </c>
      <c r="F405" s="8" t="s">
        <v>197</v>
      </c>
      <c r="G405" s="8" t="s">
        <v>44</v>
      </c>
      <c r="H405" s="8" t="s">
        <v>111</v>
      </c>
      <c r="I405" s="8">
        <v>118.56</v>
      </c>
      <c r="J405" s="11">
        <v>0</v>
      </c>
      <c r="K405" s="89">
        <f t="shared" si="26"/>
        <v>659</v>
      </c>
      <c r="L405" s="32">
        <v>659</v>
      </c>
      <c r="M405" s="36">
        <f t="shared" si="24"/>
        <v>17.990895295902884</v>
      </c>
    </row>
    <row r="406" spans="1:13" ht="15" hidden="1" customHeight="1" x14ac:dyDescent="0.3">
      <c r="A406" s="9">
        <v>4781</v>
      </c>
      <c r="B406" s="8" t="s">
        <v>300</v>
      </c>
      <c r="C406" s="21">
        <v>44703</v>
      </c>
      <c r="D406" s="22">
        <v>0.54071759259259256</v>
      </c>
      <c r="E406" s="8" t="s">
        <v>28</v>
      </c>
      <c r="F406" s="8" t="s">
        <v>210</v>
      </c>
      <c r="G406" s="8" t="s">
        <v>211</v>
      </c>
      <c r="H406" s="8" t="s">
        <v>137</v>
      </c>
      <c r="I406" s="8">
        <v>468</v>
      </c>
      <c r="J406" s="11">
        <v>0</v>
      </c>
      <c r="K406" s="89">
        <f t="shared" ref="K406:K414" si="27">+L406-J538</f>
        <v>1091</v>
      </c>
      <c r="L406" s="32">
        <v>1091</v>
      </c>
      <c r="M406" s="36">
        <f t="shared" si="24"/>
        <v>42.896425297891845</v>
      </c>
    </row>
    <row r="407" spans="1:13" ht="15" hidden="1" customHeight="1" x14ac:dyDescent="0.3">
      <c r="A407" s="9">
        <v>4833</v>
      </c>
      <c r="B407" s="8" t="s">
        <v>300</v>
      </c>
      <c r="C407" s="21">
        <v>44704</v>
      </c>
      <c r="D407" s="22">
        <v>0.54983796296296295</v>
      </c>
      <c r="E407" s="8" t="s">
        <v>28</v>
      </c>
      <c r="F407" s="8" t="s">
        <v>210</v>
      </c>
      <c r="G407" s="8" t="s">
        <v>211</v>
      </c>
      <c r="H407" s="8" t="s">
        <v>137</v>
      </c>
      <c r="I407" s="8">
        <v>419.59</v>
      </c>
      <c r="J407" s="11">
        <v>0</v>
      </c>
      <c r="K407" s="89">
        <f t="shared" si="27"/>
        <v>815</v>
      </c>
      <c r="L407" s="32">
        <v>815</v>
      </c>
      <c r="M407" s="36">
        <f t="shared" ref="M407:M441" si="28">I407/K407*100</f>
        <v>51.483435582822082</v>
      </c>
    </row>
    <row r="408" spans="1:13" ht="15" hidden="1" customHeight="1" x14ac:dyDescent="0.3">
      <c r="A408" s="9">
        <v>4834</v>
      </c>
      <c r="B408" s="8" t="s">
        <v>300</v>
      </c>
      <c r="C408" s="21">
        <v>44704</v>
      </c>
      <c r="D408" s="22">
        <v>0.87067129629629625</v>
      </c>
      <c r="E408" s="8" t="s">
        <v>28</v>
      </c>
      <c r="F408" s="8" t="s">
        <v>169</v>
      </c>
      <c r="G408" s="8" t="s">
        <v>196</v>
      </c>
      <c r="H408" s="8" t="s">
        <v>137</v>
      </c>
      <c r="I408" s="8">
        <v>147.49</v>
      </c>
      <c r="J408" s="11">
        <v>0</v>
      </c>
      <c r="K408" s="89">
        <f t="shared" si="27"/>
        <v>182</v>
      </c>
      <c r="L408" s="32">
        <v>182</v>
      </c>
      <c r="M408" s="36">
        <f t="shared" si="28"/>
        <v>81.038461538461547</v>
      </c>
    </row>
    <row r="409" spans="1:13" ht="15" hidden="1" customHeight="1" x14ac:dyDescent="0.3">
      <c r="A409" s="9">
        <v>4950</v>
      </c>
      <c r="B409" s="8" t="s">
        <v>300</v>
      </c>
      <c r="C409" s="21">
        <v>44706</v>
      </c>
      <c r="D409" s="22">
        <v>0.39300925925925928</v>
      </c>
      <c r="E409" s="8" t="s">
        <v>28</v>
      </c>
      <c r="F409" s="8" t="s">
        <v>343</v>
      </c>
      <c r="G409" s="8" t="s">
        <v>344</v>
      </c>
      <c r="H409" s="8" t="s">
        <v>137</v>
      </c>
      <c r="I409" s="8">
        <v>376.3</v>
      </c>
      <c r="J409" s="11">
        <v>0</v>
      </c>
      <c r="K409" s="89">
        <f t="shared" si="27"/>
        <v>1499</v>
      </c>
      <c r="L409" s="33">
        <v>1499</v>
      </c>
      <c r="M409" s="36">
        <f t="shared" si="28"/>
        <v>25.103402268178787</v>
      </c>
    </row>
    <row r="410" spans="1:13" ht="15" hidden="1" customHeight="1" x14ac:dyDescent="0.3">
      <c r="A410" s="9">
        <v>4951</v>
      </c>
      <c r="B410" s="8" t="s">
        <v>300</v>
      </c>
      <c r="C410" s="21">
        <v>44706</v>
      </c>
      <c r="D410" s="22">
        <v>0.72913194444444451</v>
      </c>
      <c r="E410" s="8" t="s">
        <v>28</v>
      </c>
      <c r="F410" s="8" t="s">
        <v>210</v>
      </c>
      <c r="G410" s="8" t="s">
        <v>211</v>
      </c>
      <c r="H410" s="8" t="s">
        <v>137</v>
      </c>
      <c r="I410" s="8">
        <v>243.04</v>
      </c>
      <c r="J410" s="11">
        <v>0</v>
      </c>
      <c r="K410" s="89">
        <f t="shared" si="27"/>
        <v>250</v>
      </c>
      <c r="L410" s="32">
        <v>250</v>
      </c>
      <c r="M410" s="36">
        <f t="shared" si="28"/>
        <v>97.215999999999994</v>
      </c>
    </row>
    <row r="411" spans="1:13" ht="15" hidden="1" customHeight="1" x14ac:dyDescent="0.3">
      <c r="A411" s="9">
        <v>5046</v>
      </c>
      <c r="B411" s="8" t="s">
        <v>300</v>
      </c>
      <c r="C411" s="21">
        <v>44708</v>
      </c>
      <c r="D411" s="22">
        <v>0.34263888888888888</v>
      </c>
      <c r="E411" s="8" t="s">
        <v>28</v>
      </c>
      <c r="F411" s="8" t="s">
        <v>634</v>
      </c>
      <c r="G411" s="8" t="s">
        <v>211</v>
      </c>
      <c r="H411" s="8" t="s">
        <v>137</v>
      </c>
      <c r="I411" s="8">
        <v>481.16</v>
      </c>
      <c r="J411" s="11">
        <v>0</v>
      </c>
      <c r="K411" s="89">
        <f t="shared" si="27"/>
        <v>1023</v>
      </c>
      <c r="L411" s="30">
        <v>1023</v>
      </c>
      <c r="M411" s="10">
        <f t="shared" si="28"/>
        <v>47.034213098729232</v>
      </c>
    </row>
    <row r="412" spans="1:13" ht="15" hidden="1" customHeight="1" x14ac:dyDescent="0.3">
      <c r="A412" s="9">
        <v>5047</v>
      </c>
      <c r="B412" s="8" t="s">
        <v>300</v>
      </c>
      <c r="C412" s="21">
        <v>44708</v>
      </c>
      <c r="D412" s="22">
        <v>0.80321759259259251</v>
      </c>
      <c r="E412" s="8" t="s">
        <v>28</v>
      </c>
      <c r="F412" s="8" t="s">
        <v>637</v>
      </c>
      <c r="G412" s="8" t="s">
        <v>196</v>
      </c>
      <c r="H412" s="8" t="s">
        <v>137</v>
      </c>
      <c r="I412" s="8">
        <v>160.84</v>
      </c>
      <c r="J412" s="11">
        <v>0</v>
      </c>
      <c r="K412" s="89">
        <f t="shared" si="27"/>
        <v>172</v>
      </c>
      <c r="L412" s="11">
        <v>172</v>
      </c>
      <c r="M412" s="10">
        <f t="shared" si="28"/>
        <v>93.511627906976742</v>
      </c>
    </row>
    <row r="413" spans="1:13" ht="15" hidden="1" customHeight="1" x14ac:dyDescent="0.3">
      <c r="A413" s="9">
        <v>5099</v>
      </c>
      <c r="B413" s="8" t="s">
        <v>300</v>
      </c>
      <c r="C413" s="21">
        <v>44709</v>
      </c>
      <c r="D413" s="22">
        <v>0.99951388888888892</v>
      </c>
      <c r="E413" s="8" t="s">
        <v>28</v>
      </c>
      <c r="F413" s="8" t="s">
        <v>639</v>
      </c>
      <c r="G413" s="8" t="s">
        <v>44</v>
      </c>
      <c r="H413" s="8" t="s">
        <v>137</v>
      </c>
      <c r="I413" s="24">
        <v>115.68</v>
      </c>
      <c r="J413" s="7">
        <v>0</v>
      </c>
      <c r="K413" s="90">
        <f t="shared" si="27"/>
        <v>80</v>
      </c>
      <c r="L413" s="7">
        <v>80</v>
      </c>
      <c r="M413" s="36">
        <f t="shared" si="28"/>
        <v>144.60000000000002</v>
      </c>
    </row>
    <row r="414" spans="1:13" ht="15" hidden="1" customHeight="1" x14ac:dyDescent="0.3">
      <c r="A414" s="9">
        <v>5160</v>
      </c>
      <c r="B414" s="8" t="s">
        <v>300</v>
      </c>
      <c r="C414" s="21">
        <v>44710</v>
      </c>
      <c r="D414" s="22">
        <v>0.34832175925925929</v>
      </c>
      <c r="E414" s="8" t="s">
        <v>28</v>
      </c>
      <c r="F414" s="8" t="s">
        <v>634</v>
      </c>
      <c r="G414" s="8" t="s">
        <v>211</v>
      </c>
      <c r="H414" s="8" t="s">
        <v>137</v>
      </c>
      <c r="I414" s="8">
        <v>452.73</v>
      </c>
      <c r="J414" s="30">
        <v>0</v>
      </c>
      <c r="K414" s="92">
        <f t="shared" si="27"/>
        <v>1159</v>
      </c>
      <c r="L414" s="30">
        <v>1159</v>
      </c>
      <c r="M414" s="10">
        <f t="shared" si="28"/>
        <v>39.062122519413286</v>
      </c>
    </row>
    <row r="415" spans="1:13" ht="15" hidden="1" customHeight="1" x14ac:dyDescent="0.3">
      <c r="A415" s="9">
        <v>5219</v>
      </c>
      <c r="B415" s="8" t="s">
        <v>300</v>
      </c>
      <c r="C415" s="21">
        <v>44711</v>
      </c>
      <c r="D415" s="22">
        <v>0.45075231481481487</v>
      </c>
      <c r="E415" s="8" t="s">
        <v>28</v>
      </c>
      <c r="F415" s="8" t="s">
        <v>634</v>
      </c>
      <c r="G415" s="8" t="s">
        <v>211</v>
      </c>
      <c r="H415" s="8" t="s">
        <v>111</v>
      </c>
      <c r="I415" s="8">
        <v>427.94</v>
      </c>
      <c r="J415" s="53">
        <v>0</v>
      </c>
      <c r="K415" s="89">
        <f>+L415-J685</f>
        <v>1837</v>
      </c>
      <c r="L415" s="11">
        <v>1837</v>
      </c>
      <c r="M415" s="10">
        <f t="shared" si="28"/>
        <v>23.295590636907999</v>
      </c>
    </row>
    <row r="416" spans="1:13" ht="15" hidden="1" customHeight="1" x14ac:dyDescent="0.3">
      <c r="A416" s="9">
        <v>5301</v>
      </c>
      <c r="B416" s="8" t="s">
        <v>300</v>
      </c>
      <c r="C416" s="21">
        <v>44713</v>
      </c>
      <c r="D416" s="22">
        <v>6.6018518518518518E-2</v>
      </c>
      <c r="E416" s="8" t="s">
        <v>29</v>
      </c>
      <c r="F416" s="8" t="s">
        <v>641</v>
      </c>
      <c r="G416" s="8" t="s">
        <v>172</v>
      </c>
      <c r="H416" s="8" t="s">
        <v>111</v>
      </c>
      <c r="I416" s="8">
        <v>434.12</v>
      </c>
      <c r="J416" s="53">
        <v>0</v>
      </c>
      <c r="K416" s="89">
        <f>+L416-J640</f>
        <v>1091</v>
      </c>
      <c r="L416" s="11">
        <v>1091</v>
      </c>
      <c r="M416" s="10">
        <f t="shared" si="28"/>
        <v>39.7910174152154</v>
      </c>
    </row>
    <row r="417" spans="1:13" ht="15" hidden="1" customHeight="1" x14ac:dyDescent="0.3">
      <c r="A417" s="9">
        <v>5302</v>
      </c>
      <c r="B417" s="8" t="s">
        <v>300</v>
      </c>
      <c r="C417" s="21">
        <v>44713</v>
      </c>
      <c r="D417" s="22">
        <v>0.54684027777777777</v>
      </c>
      <c r="E417" s="8" t="s">
        <v>29</v>
      </c>
      <c r="F417" s="8" t="s">
        <v>632</v>
      </c>
      <c r="G417" s="8" t="s">
        <v>161</v>
      </c>
      <c r="H417" s="8" t="s">
        <v>111</v>
      </c>
      <c r="I417" s="8">
        <v>260.14999999999998</v>
      </c>
      <c r="J417" s="53">
        <v>0</v>
      </c>
      <c r="K417" s="89">
        <f>+L417-J641</f>
        <v>616</v>
      </c>
      <c r="L417" s="11">
        <v>616</v>
      </c>
      <c r="M417" s="10">
        <f t="shared" si="28"/>
        <v>42.232142857142854</v>
      </c>
    </row>
    <row r="418" spans="1:13" ht="15" hidden="1" customHeight="1" x14ac:dyDescent="0.3">
      <c r="A418" s="9">
        <v>5369</v>
      </c>
      <c r="B418" s="8" t="s">
        <v>300</v>
      </c>
      <c r="C418" s="21">
        <v>44714</v>
      </c>
      <c r="D418" s="22">
        <v>0.73612268518518509</v>
      </c>
      <c r="E418" s="8" t="s">
        <v>29</v>
      </c>
      <c r="F418" s="8" t="s">
        <v>634</v>
      </c>
      <c r="G418" s="8" t="s">
        <v>211</v>
      </c>
      <c r="H418" s="8" t="s">
        <v>111</v>
      </c>
      <c r="I418" s="24">
        <v>455.53</v>
      </c>
      <c r="J418" s="32">
        <v>0</v>
      </c>
      <c r="K418" s="90">
        <f>+L418-J642</f>
        <v>1146</v>
      </c>
      <c r="L418" s="7">
        <v>1146</v>
      </c>
      <c r="M418" s="10">
        <f t="shared" si="28"/>
        <v>39.74956369982548</v>
      </c>
    </row>
    <row r="419" spans="1:13" ht="15" hidden="1" customHeight="1" x14ac:dyDescent="0.3">
      <c r="A419" s="9">
        <v>5427</v>
      </c>
      <c r="B419" s="8" t="s">
        <v>300</v>
      </c>
      <c r="C419" s="21">
        <v>44715</v>
      </c>
      <c r="D419" s="22">
        <v>0.36901620370370369</v>
      </c>
      <c r="E419" s="8" t="s">
        <v>29</v>
      </c>
      <c r="F419" s="8" t="s">
        <v>637</v>
      </c>
      <c r="G419" s="8" t="s">
        <v>196</v>
      </c>
      <c r="H419" s="8" t="s">
        <v>111</v>
      </c>
      <c r="I419" s="24">
        <v>154.65</v>
      </c>
      <c r="J419" s="32">
        <v>0</v>
      </c>
      <c r="K419" s="90">
        <f>+L419-J637</f>
        <v>483</v>
      </c>
      <c r="L419" s="7">
        <v>483</v>
      </c>
      <c r="M419" s="10">
        <f t="shared" si="28"/>
        <v>32.018633540372669</v>
      </c>
    </row>
    <row r="420" spans="1:13" ht="15" hidden="1" customHeight="1" x14ac:dyDescent="0.3">
      <c r="A420" s="9">
        <v>5478</v>
      </c>
      <c r="B420" s="8" t="s">
        <v>300</v>
      </c>
      <c r="C420" s="21">
        <v>44716</v>
      </c>
      <c r="D420" s="22">
        <v>0.16431712962962963</v>
      </c>
      <c r="E420" s="8" t="s">
        <v>29</v>
      </c>
      <c r="F420" s="8" t="s">
        <v>639</v>
      </c>
      <c r="G420" s="8" t="s">
        <v>44</v>
      </c>
      <c r="H420" s="8" t="s">
        <v>111</v>
      </c>
      <c r="I420" s="8">
        <v>115.48</v>
      </c>
      <c r="J420" s="67">
        <v>0</v>
      </c>
      <c r="K420" s="92">
        <f>+L420-J638</f>
        <v>611</v>
      </c>
      <c r="L420" s="30">
        <v>611</v>
      </c>
      <c r="M420" s="10">
        <f t="shared" si="28"/>
        <v>18.900163666121113</v>
      </c>
    </row>
    <row r="421" spans="1:13" ht="15" hidden="1" customHeight="1" x14ac:dyDescent="0.3">
      <c r="A421" s="9">
        <v>5479</v>
      </c>
      <c r="B421" s="8" t="s">
        <v>300</v>
      </c>
      <c r="C421" s="21">
        <v>44716</v>
      </c>
      <c r="D421" s="22">
        <v>0.38984953703703701</v>
      </c>
      <c r="E421" s="8" t="s">
        <v>29</v>
      </c>
      <c r="F421" s="8" t="s">
        <v>661</v>
      </c>
      <c r="G421" s="8" t="s">
        <v>457</v>
      </c>
      <c r="H421" s="8" t="s">
        <v>111</v>
      </c>
      <c r="I421" s="8">
        <v>100</v>
      </c>
      <c r="J421" s="55">
        <v>0</v>
      </c>
      <c r="K421" s="96">
        <f>+L421-J638</f>
        <v>284</v>
      </c>
      <c r="L421" s="28">
        <v>284</v>
      </c>
      <c r="M421" s="10">
        <f t="shared" si="28"/>
        <v>35.2112676056338</v>
      </c>
    </row>
    <row r="422" spans="1:13" ht="15" hidden="1" customHeight="1" x14ac:dyDescent="0.3">
      <c r="A422" s="9">
        <v>5480</v>
      </c>
      <c r="B422" s="8" t="s">
        <v>300</v>
      </c>
      <c r="C422" s="21">
        <v>44716</v>
      </c>
      <c r="D422" s="22">
        <v>0.51989583333333333</v>
      </c>
      <c r="E422" s="8" t="s">
        <v>29</v>
      </c>
      <c r="F422" s="8" t="s">
        <v>632</v>
      </c>
      <c r="G422" s="8" t="s">
        <v>161</v>
      </c>
      <c r="H422" s="8" t="s">
        <v>111</v>
      </c>
      <c r="I422" s="24">
        <v>311.42</v>
      </c>
      <c r="J422" s="32">
        <v>0</v>
      </c>
      <c r="K422" s="90">
        <f>+L422-J639</f>
        <v>235</v>
      </c>
      <c r="L422" s="7">
        <v>235</v>
      </c>
      <c r="M422" s="10">
        <f t="shared" si="28"/>
        <v>132.51914893617024</v>
      </c>
    </row>
    <row r="423" spans="1:13" ht="15" hidden="1" customHeight="1" x14ac:dyDescent="0.3">
      <c r="A423" s="9">
        <v>5526</v>
      </c>
      <c r="B423" s="8" t="s">
        <v>300</v>
      </c>
      <c r="C423" s="21">
        <v>44717</v>
      </c>
      <c r="D423" s="22">
        <v>0.73577546296296292</v>
      </c>
      <c r="E423" s="8" t="s">
        <v>29</v>
      </c>
      <c r="F423" s="8" t="s">
        <v>634</v>
      </c>
      <c r="G423" s="8" t="s">
        <v>211</v>
      </c>
      <c r="H423" s="8" t="s">
        <v>111</v>
      </c>
      <c r="I423" s="24">
        <v>450.04</v>
      </c>
      <c r="J423" s="32">
        <v>0</v>
      </c>
      <c r="K423" s="90">
        <f>+L423-J640</f>
        <v>1146</v>
      </c>
      <c r="L423" s="7">
        <v>1146</v>
      </c>
      <c r="M423" s="10">
        <f t="shared" si="28"/>
        <v>39.270506108202447</v>
      </c>
    </row>
    <row r="424" spans="1:13" ht="15" hidden="1" customHeight="1" x14ac:dyDescent="0.3">
      <c r="A424" s="9">
        <v>6002</v>
      </c>
      <c r="B424" s="8" t="s">
        <v>300</v>
      </c>
      <c r="C424" s="21">
        <v>44726</v>
      </c>
      <c r="D424" s="22">
        <v>0.12192129629629629</v>
      </c>
      <c r="E424" s="8" t="s">
        <v>29</v>
      </c>
      <c r="F424" s="8" t="s">
        <v>639</v>
      </c>
      <c r="G424" s="8" t="s">
        <v>44</v>
      </c>
      <c r="H424" s="8" t="s">
        <v>111</v>
      </c>
      <c r="I424" s="24">
        <v>113.21</v>
      </c>
      <c r="J424" s="32">
        <v>0</v>
      </c>
      <c r="K424" s="90">
        <v>923</v>
      </c>
      <c r="L424" s="7">
        <v>923</v>
      </c>
      <c r="M424" s="10">
        <f t="shared" si="28"/>
        <v>12.265438786565547</v>
      </c>
    </row>
    <row r="425" spans="1:13" ht="15" hidden="1" customHeight="1" x14ac:dyDescent="0.3">
      <c r="A425" s="9">
        <v>6003</v>
      </c>
      <c r="B425" s="8" t="s">
        <v>300</v>
      </c>
      <c r="C425" s="21">
        <v>44726</v>
      </c>
      <c r="D425" s="22">
        <v>0.40285879629629634</v>
      </c>
      <c r="E425" s="8" t="s">
        <v>29</v>
      </c>
      <c r="F425" s="8" t="s">
        <v>654</v>
      </c>
      <c r="G425" s="8" t="s">
        <v>303</v>
      </c>
      <c r="H425" s="8" t="s">
        <v>111</v>
      </c>
      <c r="I425" s="24">
        <v>371.44</v>
      </c>
      <c r="J425" s="32">
        <v>0</v>
      </c>
      <c r="K425" s="90">
        <v>156</v>
      </c>
      <c r="L425" s="7">
        <v>156</v>
      </c>
      <c r="M425" s="10">
        <f t="shared" si="28"/>
        <v>238.10256410256412</v>
      </c>
    </row>
    <row r="426" spans="1:13" ht="15" hidden="1" customHeight="1" x14ac:dyDescent="0.3">
      <c r="A426" s="9">
        <v>6004</v>
      </c>
      <c r="B426" s="8" t="s">
        <v>300</v>
      </c>
      <c r="C426" s="21">
        <v>44726</v>
      </c>
      <c r="D426" s="22">
        <v>0.70329861111111114</v>
      </c>
      <c r="E426" s="8" t="s">
        <v>29</v>
      </c>
      <c r="F426" s="8" t="s">
        <v>634</v>
      </c>
      <c r="G426" s="8" t="s">
        <v>211</v>
      </c>
      <c r="H426" s="8" t="s">
        <v>111</v>
      </c>
      <c r="I426" s="24">
        <v>208.11</v>
      </c>
      <c r="J426" s="32">
        <v>0</v>
      </c>
      <c r="K426" s="90">
        <v>430</v>
      </c>
      <c r="L426" s="7">
        <v>430</v>
      </c>
      <c r="M426" s="10">
        <f t="shared" si="28"/>
        <v>48.397674418604652</v>
      </c>
    </row>
    <row r="427" spans="1:13" ht="15" hidden="1" customHeight="1" x14ac:dyDescent="0.3">
      <c r="A427" s="9">
        <v>6067</v>
      </c>
      <c r="B427" s="8" t="s">
        <v>300</v>
      </c>
      <c r="C427" s="21">
        <v>44727</v>
      </c>
      <c r="D427" s="22">
        <v>0.73709490740740735</v>
      </c>
      <c r="E427" s="8" t="s">
        <v>29</v>
      </c>
      <c r="F427" s="8" t="s">
        <v>634</v>
      </c>
      <c r="G427" s="8" t="s">
        <v>211</v>
      </c>
      <c r="H427" s="8" t="s">
        <v>111</v>
      </c>
      <c r="I427" s="24">
        <v>431.77</v>
      </c>
      <c r="J427" s="32">
        <v>0</v>
      </c>
      <c r="K427" s="90">
        <v>1063</v>
      </c>
      <c r="L427" s="7">
        <v>1063</v>
      </c>
      <c r="M427" s="10">
        <f t="shared" si="28"/>
        <v>40.618062088428971</v>
      </c>
    </row>
    <row r="428" spans="1:13" ht="15" hidden="1" customHeight="1" x14ac:dyDescent="0.3">
      <c r="A428" s="9">
        <v>6119</v>
      </c>
      <c r="B428" s="8" t="s">
        <v>300</v>
      </c>
      <c r="C428" s="21">
        <v>44728</v>
      </c>
      <c r="D428" s="22">
        <v>0.4803587962962963</v>
      </c>
      <c r="E428" s="8" t="s">
        <v>29</v>
      </c>
      <c r="F428" s="8" t="s">
        <v>637</v>
      </c>
      <c r="G428" s="8" t="s">
        <v>196</v>
      </c>
      <c r="H428" s="8" t="s">
        <v>111</v>
      </c>
      <c r="I428" s="24">
        <v>172.56</v>
      </c>
      <c r="J428" s="33">
        <v>0</v>
      </c>
      <c r="K428" s="99">
        <v>482</v>
      </c>
      <c r="L428" s="31">
        <v>482</v>
      </c>
      <c r="M428" s="10">
        <f t="shared" si="28"/>
        <v>35.800829875518673</v>
      </c>
    </row>
    <row r="429" spans="1:13" ht="15" hidden="1" customHeight="1" x14ac:dyDescent="0.3">
      <c r="A429" s="9">
        <v>6225</v>
      </c>
      <c r="B429" s="8" t="s">
        <v>300</v>
      </c>
      <c r="C429" s="21">
        <v>44730</v>
      </c>
      <c r="D429" s="22">
        <v>0.39138888888888884</v>
      </c>
      <c r="E429" s="8" t="s">
        <v>29</v>
      </c>
      <c r="F429" s="8" t="s">
        <v>638</v>
      </c>
      <c r="G429" s="8" t="s">
        <v>263</v>
      </c>
      <c r="H429" s="8" t="s">
        <v>111</v>
      </c>
      <c r="I429" s="24">
        <v>174.06</v>
      </c>
      <c r="J429" s="32">
        <v>0</v>
      </c>
      <c r="K429" s="90">
        <v>427</v>
      </c>
      <c r="L429" s="7">
        <v>427</v>
      </c>
      <c r="M429" s="10">
        <f t="shared" si="28"/>
        <v>40.763466042154569</v>
      </c>
    </row>
    <row r="430" spans="1:13" ht="15" hidden="1" customHeight="1" x14ac:dyDescent="0.3">
      <c r="A430" s="9">
        <v>6307</v>
      </c>
      <c r="B430" s="8" t="s">
        <v>300</v>
      </c>
      <c r="C430" s="21">
        <v>44733</v>
      </c>
      <c r="D430" s="22">
        <v>0.986261574074074</v>
      </c>
      <c r="E430" s="8" t="s">
        <v>29</v>
      </c>
      <c r="F430" s="8" t="s">
        <v>634</v>
      </c>
      <c r="G430" s="8" t="s">
        <v>211</v>
      </c>
      <c r="H430" s="8" t="s">
        <v>111</v>
      </c>
      <c r="I430" s="8">
        <v>430.33</v>
      </c>
      <c r="J430" s="67">
        <v>0</v>
      </c>
      <c r="K430" s="92">
        <v>887</v>
      </c>
      <c r="L430" s="30">
        <v>887</v>
      </c>
      <c r="M430" s="10">
        <f t="shared" si="28"/>
        <v>48.515219842164598</v>
      </c>
    </row>
    <row r="431" spans="1:13" ht="15" hidden="1" customHeight="1" x14ac:dyDescent="0.3">
      <c r="A431" s="9">
        <v>6352</v>
      </c>
      <c r="B431" s="8" t="s">
        <v>300</v>
      </c>
      <c r="C431" s="21">
        <v>44734</v>
      </c>
      <c r="D431" s="22">
        <v>0.61520833333333336</v>
      </c>
      <c r="E431" s="8" t="s">
        <v>29</v>
      </c>
      <c r="F431" s="8" t="s">
        <v>634</v>
      </c>
      <c r="G431" s="8" t="s">
        <v>211</v>
      </c>
      <c r="H431" s="8" t="s">
        <v>111</v>
      </c>
      <c r="I431" s="24">
        <v>361.95</v>
      </c>
      <c r="J431" s="33">
        <v>0</v>
      </c>
      <c r="K431" s="99">
        <v>911</v>
      </c>
      <c r="L431" s="31">
        <v>911</v>
      </c>
      <c r="M431" s="10">
        <f t="shared" si="28"/>
        <v>39.731064763995612</v>
      </c>
    </row>
    <row r="432" spans="1:13" ht="15" hidden="1" customHeight="1" x14ac:dyDescent="0.3">
      <c r="A432" s="9">
        <v>6401</v>
      </c>
      <c r="B432" s="8" t="s">
        <v>300</v>
      </c>
      <c r="C432" s="21">
        <v>44735</v>
      </c>
      <c r="D432" s="22">
        <v>0.98265046296296299</v>
      </c>
      <c r="E432" s="8" t="s">
        <v>29</v>
      </c>
      <c r="F432" s="8" t="s">
        <v>638</v>
      </c>
      <c r="G432" s="8" t="s">
        <v>263</v>
      </c>
      <c r="H432" s="8" t="s">
        <v>111</v>
      </c>
      <c r="I432" s="24">
        <v>200.7</v>
      </c>
      <c r="J432" s="32">
        <v>0</v>
      </c>
      <c r="K432" s="90">
        <v>2007</v>
      </c>
      <c r="L432" s="7">
        <v>2007</v>
      </c>
      <c r="M432" s="10">
        <f t="shared" si="28"/>
        <v>10</v>
      </c>
    </row>
    <row r="433" spans="1:20" ht="15" hidden="1" customHeight="1" x14ac:dyDescent="0.3">
      <c r="A433" s="9">
        <v>6455</v>
      </c>
      <c r="B433" s="8" t="s">
        <v>300</v>
      </c>
      <c r="C433" s="21">
        <v>44736</v>
      </c>
      <c r="D433" s="22">
        <v>0.13009259259259259</v>
      </c>
      <c r="E433" s="8" t="s">
        <v>29</v>
      </c>
      <c r="F433" s="8" t="s">
        <v>654</v>
      </c>
      <c r="G433" s="8" t="s">
        <v>303</v>
      </c>
      <c r="H433" s="8" t="s">
        <v>111</v>
      </c>
      <c r="I433" s="8">
        <v>305.93</v>
      </c>
      <c r="J433" s="67">
        <v>0</v>
      </c>
      <c r="K433" s="92">
        <v>204</v>
      </c>
      <c r="L433" s="30">
        <v>204</v>
      </c>
      <c r="M433" s="10">
        <f t="shared" si="28"/>
        <v>149.96568627450981</v>
      </c>
    </row>
    <row r="434" spans="1:20" ht="15" hidden="1" customHeight="1" x14ac:dyDescent="0.3">
      <c r="A434" s="9">
        <v>6456</v>
      </c>
      <c r="B434" s="8" t="s">
        <v>300</v>
      </c>
      <c r="C434" s="21">
        <v>44736</v>
      </c>
      <c r="D434" s="22">
        <v>0.42505787037037041</v>
      </c>
      <c r="E434" s="8" t="s">
        <v>29</v>
      </c>
      <c r="F434" s="8" t="s">
        <v>634</v>
      </c>
      <c r="G434" s="8" t="s">
        <v>211</v>
      </c>
      <c r="H434" s="8" t="s">
        <v>111</v>
      </c>
      <c r="I434" s="24">
        <v>191.6</v>
      </c>
      <c r="J434" s="32">
        <v>0</v>
      </c>
      <c r="K434" s="90">
        <v>430</v>
      </c>
      <c r="L434" s="7">
        <v>430</v>
      </c>
      <c r="M434" s="10">
        <f t="shared" si="28"/>
        <v>44.558139534883715</v>
      </c>
    </row>
    <row r="435" spans="1:20" ht="15" hidden="1" customHeight="1" x14ac:dyDescent="0.3">
      <c r="A435" s="9">
        <v>6511</v>
      </c>
      <c r="B435" s="8" t="s">
        <v>300</v>
      </c>
      <c r="C435" s="21">
        <v>44737</v>
      </c>
      <c r="D435" s="22">
        <v>0.15158564814814815</v>
      </c>
      <c r="E435" s="8" t="s">
        <v>29</v>
      </c>
      <c r="F435" s="8" t="s">
        <v>634</v>
      </c>
      <c r="G435" s="8" t="s">
        <v>211</v>
      </c>
      <c r="H435" s="8" t="s">
        <v>111</v>
      </c>
      <c r="I435" s="8">
        <v>422.6</v>
      </c>
      <c r="J435" s="67">
        <v>0</v>
      </c>
      <c r="K435" s="92">
        <v>1062</v>
      </c>
      <c r="L435" s="30">
        <v>1062</v>
      </c>
      <c r="M435" s="10">
        <f t="shared" si="28"/>
        <v>39.792843691148775</v>
      </c>
    </row>
    <row r="436" spans="1:20" ht="15" hidden="1" customHeight="1" x14ac:dyDescent="0.3">
      <c r="A436" s="9">
        <v>6562</v>
      </c>
      <c r="B436" s="8" t="s">
        <v>300</v>
      </c>
      <c r="C436" s="21">
        <v>44738</v>
      </c>
      <c r="D436" s="22">
        <v>0.59902777777777783</v>
      </c>
      <c r="E436" s="8" t="s">
        <v>29</v>
      </c>
      <c r="F436" s="8" t="s">
        <v>638</v>
      </c>
      <c r="G436" s="8" t="s">
        <v>263</v>
      </c>
      <c r="H436" s="8" t="s">
        <v>111</v>
      </c>
      <c r="I436" s="160">
        <v>200</v>
      </c>
      <c r="J436" s="55">
        <v>0</v>
      </c>
      <c r="K436" s="96">
        <v>1088</v>
      </c>
      <c r="L436" s="28">
        <v>1088</v>
      </c>
      <c r="M436" s="10">
        <f t="shared" si="28"/>
        <v>18.382352941176471</v>
      </c>
    </row>
    <row r="437" spans="1:20" ht="15" hidden="1" customHeight="1" x14ac:dyDescent="0.3">
      <c r="A437" s="9">
        <v>6563</v>
      </c>
      <c r="B437" s="8" t="s">
        <v>300</v>
      </c>
      <c r="C437" s="21">
        <v>44738</v>
      </c>
      <c r="D437" s="22">
        <v>0.63495370370370374</v>
      </c>
      <c r="E437" s="8" t="s">
        <v>29</v>
      </c>
      <c r="F437" s="8" t="s">
        <v>639</v>
      </c>
      <c r="G437" s="8" t="s">
        <v>44</v>
      </c>
      <c r="H437" s="8" t="s">
        <v>111</v>
      </c>
      <c r="I437" s="162">
        <v>134.77000000000001</v>
      </c>
      <c r="J437" s="32">
        <v>0</v>
      </c>
      <c r="K437" s="90">
        <v>47</v>
      </c>
      <c r="L437" s="7">
        <v>47</v>
      </c>
      <c r="M437" s="10">
        <f t="shared" si="28"/>
        <v>286.74468085106383</v>
      </c>
    </row>
    <row r="438" spans="1:20" ht="15" hidden="1" customHeight="1" x14ac:dyDescent="0.3">
      <c r="A438" s="9">
        <v>6614</v>
      </c>
      <c r="B438" s="8" t="s">
        <v>300</v>
      </c>
      <c r="C438" s="21">
        <v>44739</v>
      </c>
      <c r="D438" s="22">
        <v>7.5439814814814821E-2</v>
      </c>
      <c r="E438" s="8" t="s">
        <v>29</v>
      </c>
      <c r="F438" s="8" t="s">
        <v>634</v>
      </c>
      <c r="G438" s="8" t="s">
        <v>211</v>
      </c>
      <c r="H438" s="8" t="s">
        <v>111</v>
      </c>
      <c r="I438" s="160">
        <v>350.52</v>
      </c>
      <c r="J438" s="32">
        <v>0</v>
      </c>
      <c r="K438" s="92">
        <v>587</v>
      </c>
      <c r="L438" s="30">
        <v>587</v>
      </c>
      <c r="M438" s="10">
        <f t="shared" si="28"/>
        <v>59.713798977853493</v>
      </c>
    </row>
    <row r="439" spans="1:20" ht="15" hidden="1" customHeight="1" x14ac:dyDescent="0.3">
      <c r="A439" s="9">
        <v>6615</v>
      </c>
      <c r="B439" s="8" t="s">
        <v>300</v>
      </c>
      <c r="C439" s="21">
        <v>44739</v>
      </c>
      <c r="D439" s="22">
        <v>0.78408564814814818</v>
      </c>
      <c r="E439" s="8" t="s">
        <v>29</v>
      </c>
      <c r="F439" s="8" t="s">
        <v>635</v>
      </c>
      <c r="G439" s="8" t="s">
        <v>185</v>
      </c>
      <c r="H439" s="8" t="s">
        <v>111</v>
      </c>
      <c r="I439" s="160">
        <v>50.06</v>
      </c>
      <c r="J439" s="67">
        <v>0</v>
      </c>
      <c r="K439" s="92">
        <v>548</v>
      </c>
      <c r="L439" s="11">
        <v>548</v>
      </c>
      <c r="M439" s="10">
        <f t="shared" si="28"/>
        <v>9.1350364963503647</v>
      </c>
    </row>
    <row r="440" spans="1:20" ht="15" hidden="1" customHeight="1" x14ac:dyDescent="0.3">
      <c r="A440" s="9">
        <v>6616</v>
      </c>
      <c r="B440" s="8" t="s">
        <v>300</v>
      </c>
      <c r="C440" s="21">
        <v>44739</v>
      </c>
      <c r="D440" s="22">
        <v>0.92769675925925921</v>
      </c>
      <c r="E440" s="8" t="s">
        <v>29</v>
      </c>
      <c r="F440" s="8" t="s">
        <v>645</v>
      </c>
      <c r="G440" s="8" t="s">
        <v>279</v>
      </c>
      <c r="H440" s="8" t="s">
        <v>111</v>
      </c>
      <c r="I440" s="162">
        <v>268.42</v>
      </c>
      <c r="J440" s="53">
        <v>0</v>
      </c>
      <c r="K440" s="89">
        <v>163</v>
      </c>
      <c r="L440" s="11">
        <v>163</v>
      </c>
      <c r="M440" s="10">
        <f t="shared" si="28"/>
        <v>164.67484662576689</v>
      </c>
    </row>
    <row r="441" spans="1:20" ht="15" hidden="1" customHeight="1" x14ac:dyDescent="0.3">
      <c r="A441" s="9">
        <v>6735</v>
      </c>
      <c r="B441" s="8" t="s">
        <v>300</v>
      </c>
      <c r="C441" s="21">
        <v>44741</v>
      </c>
      <c r="D441" s="22">
        <v>0.87414351851851846</v>
      </c>
      <c r="E441" s="8" t="s">
        <v>29</v>
      </c>
      <c r="F441" s="8" t="s">
        <v>634</v>
      </c>
      <c r="G441" s="8" t="s">
        <v>211</v>
      </c>
      <c r="H441" s="8" t="s">
        <v>111</v>
      </c>
      <c r="I441" s="160">
        <v>209.37</v>
      </c>
      <c r="J441" s="53">
        <v>0</v>
      </c>
      <c r="K441" s="89">
        <v>1090</v>
      </c>
      <c r="L441" s="11">
        <v>1090</v>
      </c>
      <c r="M441" s="10">
        <f t="shared" si="28"/>
        <v>19.208256880733945</v>
      </c>
    </row>
    <row r="442" spans="1:20" ht="15" hidden="1" customHeight="1" x14ac:dyDescent="0.3">
      <c r="B442" s="8" t="s">
        <v>190</v>
      </c>
      <c r="C442" s="21">
        <v>44680</v>
      </c>
      <c r="D442" s="22">
        <v>0.67762731481481486</v>
      </c>
      <c r="E442" s="8" t="s">
        <v>580</v>
      </c>
      <c r="F442" s="8" t="s">
        <v>165</v>
      </c>
      <c r="G442" s="8" t="s">
        <v>185</v>
      </c>
      <c r="H442" s="8" t="s">
        <v>191</v>
      </c>
      <c r="I442" s="24">
        <v>185</v>
      </c>
      <c r="J442" s="32">
        <v>0</v>
      </c>
      <c r="K442" s="99">
        <f>+L442-J442</f>
        <v>441.85</v>
      </c>
      <c r="L442" s="31">
        <v>441.85</v>
      </c>
      <c r="M442" s="10">
        <f>I442/L442*100</f>
        <v>41.8694126966165</v>
      </c>
      <c r="O442" s="4" t="s">
        <v>64</v>
      </c>
      <c r="Q442" t="s">
        <v>28</v>
      </c>
      <c r="R442" s="18" t="s">
        <v>145</v>
      </c>
      <c r="S442" s="12" t="s">
        <v>42</v>
      </c>
      <c r="T442"/>
    </row>
    <row r="443" spans="1:20" ht="15" hidden="1" customHeight="1" x14ac:dyDescent="0.3">
      <c r="B443" s="8" t="s">
        <v>264</v>
      </c>
      <c r="C443" s="21">
        <v>44680</v>
      </c>
      <c r="D443" s="22">
        <v>0.49435185185185188</v>
      </c>
      <c r="E443" s="8" t="s">
        <v>580</v>
      </c>
      <c r="F443" s="8" t="s">
        <v>210</v>
      </c>
      <c r="G443" s="8" t="s">
        <v>211</v>
      </c>
      <c r="H443" s="8" t="s">
        <v>134</v>
      </c>
      <c r="I443" s="8">
        <v>460.53</v>
      </c>
      <c r="J443" s="67">
        <v>0</v>
      </c>
      <c r="K443" s="89">
        <f>+L443-J885</f>
        <v>1139</v>
      </c>
      <c r="L443" s="7">
        <v>1139</v>
      </c>
      <c r="M443" s="10">
        <f>I443/K443*100</f>
        <v>40.432835820895519</v>
      </c>
      <c r="O443" s="4" t="s">
        <v>55</v>
      </c>
      <c r="R443" s="18" t="s">
        <v>127</v>
      </c>
      <c r="S443" s="2"/>
      <c r="T443"/>
    </row>
    <row r="444" spans="1:20" ht="15" hidden="1" customHeight="1" x14ac:dyDescent="0.3">
      <c r="B444" s="8" t="s">
        <v>200</v>
      </c>
      <c r="C444" s="21">
        <v>44680</v>
      </c>
      <c r="D444" s="22">
        <v>0.8140856481481481</v>
      </c>
      <c r="E444" s="8" t="s">
        <v>580</v>
      </c>
      <c r="F444" s="8" t="s">
        <v>166</v>
      </c>
      <c r="G444" s="8" t="s">
        <v>161</v>
      </c>
      <c r="H444" s="8" t="s">
        <v>123</v>
      </c>
      <c r="I444" s="24">
        <v>529</v>
      </c>
      <c r="J444" s="32">
        <v>0</v>
      </c>
      <c r="K444" s="89">
        <f>+L444-J444</f>
        <v>800.96</v>
      </c>
      <c r="L444" s="37">
        <v>800.96</v>
      </c>
      <c r="M444" s="10">
        <f>I444/L444*100</f>
        <v>66.045745105872953</v>
      </c>
      <c r="O444" s="4" t="s">
        <v>59</v>
      </c>
      <c r="R444" s="18" t="s">
        <v>148</v>
      </c>
      <c r="S444" s="12"/>
      <c r="T444"/>
    </row>
    <row r="445" spans="1:20" hidden="1" x14ac:dyDescent="0.3">
      <c r="B445" s="8" t="s">
        <v>258</v>
      </c>
      <c r="C445" s="21">
        <v>44680</v>
      </c>
      <c r="D445" s="22">
        <v>0.44164351851851852</v>
      </c>
      <c r="E445" s="8" t="s">
        <v>580</v>
      </c>
      <c r="F445" s="8" t="s">
        <v>262</v>
      </c>
      <c r="G445" s="8" t="s">
        <v>263</v>
      </c>
      <c r="H445" s="8" t="s">
        <v>259</v>
      </c>
      <c r="I445" s="8">
        <v>204.81</v>
      </c>
      <c r="J445" s="53">
        <v>0</v>
      </c>
      <c r="K445" s="89">
        <f>+L445-J582</f>
        <v>1372</v>
      </c>
      <c r="L445" s="28">
        <v>1372</v>
      </c>
      <c r="M445" s="10">
        <f t="shared" ref="M445:M476" si="29">I445/K445*100</f>
        <v>14.927842565597668</v>
      </c>
      <c r="O445" s="4" t="s">
        <v>85</v>
      </c>
      <c r="R445" s="18" t="s">
        <v>107</v>
      </c>
      <c r="S445" s="2"/>
      <c r="T445"/>
    </row>
    <row r="446" spans="1:20" ht="15" hidden="1" customHeight="1" x14ac:dyDescent="0.3">
      <c r="B446" s="8" t="s">
        <v>258</v>
      </c>
      <c r="C446" s="21">
        <v>44680</v>
      </c>
      <c r="D446" s="22">
        <v>0.51203703703703707</v>
      </c>
      <c r="E446" s="8" t="s">
        <v>580</v>
      </c>
      <c r="F446" s="8" t="s">
        <v>175</v>
      </c>
      <c r="G446" s="8" t="s">
        <v>172</v>
      </c>
      <c r="H446" s="8" t="s">
        <v>259</v>
      </c>
      <c r="I446" s="8">
        <v>368.63</v>
      </c>
      <c r="J446" s="53">
        <v>0</v>
      </c>
      <c r="K446" s="89">
        <f>+L446-J583</f>
        <v>52</v>
      </c>
      <c r="L446" s="7">
        <v>52</v>
      </c>
      <c r="M446" s="10">
        <f t="shared" si="29"/>
        <v>708.90384615384608</v>
      </c>
      <c r="O446" s="4" t="s">
        <v>99</v>
      </c>
      <c r="R446" s="18" t="s">
        <v>137</v>
      </c>
      <c r="S446" s="2"/>
      <c r="T446"/>
    </row>
    <row r="447" spans="1:20" ht="15" hidden="1" customHeight="1" x14ac:dyDescent="0.3">
      <c r="B447" s="8" t="s">
        <v>307</v>
      </c>
      <c r="C447" s="21">
        <v>44570</v>
      </c>
      <c r="D447" s="22">
        <v>0.33577546296296296</v>
      </c>
      <c r="E447" s="8" t="s">
        <v>24</v>
      </c>
      <c r="F447" s="8" t="s">
        <v>210</v>
      </c>
      <c r="G447" s="8" t="s">
        <v>211</v>
      </c>
      <c r="H447" s="8" t="s">
        <v>308</v>
      </c>
      <c r="I447" s="8">
        <v>400.73</v>
      </c>
      <c r="J447" s="11">
        <v>0</v>
      </c>
      <c r="K447" s="11">
        <f t="shared" ref="K447:K461" si="30">+L447-J447</f>
        <v>901.5</v>
      </c>
      <c r="L447" s="11">
        <v>901.5</v>
      </c>
      <c r="M447" s="10">
        <f t="shared" si="29"/>
        <v>44.451469772601222</v>
      </c>
    </row>
    <row r="448" spans="1:20" ht="15" hidden="1" customHeight="1" x14ac:dyDescent="0.3">
      <c r="B448" s="8" t="s">
        <v>307</v>
      </c>
      <c r="C448" s="21">
        <v>44571</v>
      </c>
      <c r="D448" s="22">
        <v>0.69187500000000002</v>
      </c>
      <c r="E448" s="8" t="s">
        <v>24</v>
      </c>
      <c r="F448" s="8" t="s">
        <v>210</v>
      </c>
      <c r="G448" s="8" t="s">
        <v>211</v>
      </c>
      <c r="H448" s="8" t="s">
        <v>308</v>
      </c>
      <c r="I448" s="24">
        <v>352.05</v>
      </c>
      <c r="J448" s="11">
        <v>0</v>
      </c>
      <c r="K448" s="11">
        <f t="shared" si="30"/>
        <v>1063.6300000000001</v>
      </c>
      <c r="L448" s="7">
        <v>1063.6300000000001</v>
      </c>
      <c r="M448" s="10">
        <f t="shared" si="29"/>
        <v>33.098915976420365</v>
      </c>
    </row>
    <row r="449" spans="1:20" ht="15" hidden="1" customHeight="1" x14ac:dyDescent="0.3">
      <c r="B449" s="8" t="s">
        <v>307</v>
      </c>
      <c r="C449" s="21">
        <v>44572</v>
      </c>
      <c r="D449" s="22">
        <v>0.84269675925925924</v>
      </c>
      <c r="E449" s="8" t="s">
        <v>24</v>
      </c>
      <c r="F449" s="8" t="s">
        <v>175</v>
      </c>
      <c r="G449" s="8" t="s">
        <v>172</v>
      </c>
      <c r="H449" s="8" t="s">
        <v>308</v>
      </c>
      <c r="I449" s="8">
        <v>302.06</v>
      </c>
      <c r="J449" s="11">
        <v>0</v>
      </c>
      <c r="K449" s="11">
        <f t="shared" si="30"/>
        <v>944.2</v>
      </c>
      <c r="L449" s="30">
        <v>944.2</v>
      </c>
      <c r="M449" s="10">
        <f t="shared" si="29"/>
        <v>31.991103579750053</v>
      </c>
    </row>
    <row r="450" spans="1:20" ht="15" hidden="1" customHeight="1" x14ac:dyDescent="0.3">
      <c r="B450" s="8" t="s">
        <v>307</v>
      </c>
      <c r="C450" s="21">
        <v>44574</v>
      </c>
      <c r="D450" s="22">
        <v>0.30472222222222223</v>
      </c>
      <c r="E450" s="8" t="s">
        <v>24</v>
      </c>
      <c r="F450" s="8" t="s">
        <v>210</v>
      </c>
      <c r="G450" s="8" t="s">
        <v>211</v>
      </c>
      <c r="H450" s="8" t="s">
        <v>308</v>
      </c>
      <c r="I450" s="8">
        <v>277.17</v>
      </c>
      <c r="J450" s="11">
        <v>0</v>
      </c>
      <c r="K450" s="11">
        <f t="shared" si="30"/>
        <v>807.71</v>
      </c>
      <c r="L450" s="7">
        <v>807.71</v>
      </c>
      <c r="M450" s="10">
        <f t="shared" si="29"/>
        <v>34.31553404068292</v>
      </c>
    </row>
    <row r="451" spans="1:20" ht="15" hidden="1" customHeight="1" x14ac:dyDescent="0.3">
      <c r="B451" s="8" t="s">
        <v>307</v>
      </c>
      <c r="C451" s="21">
        <v>44575</v>
      </c>
      <c r="D451" s="22">
        <v>0.57140046296296299</v>
      </c>
      <c r="E451" s="8" t="s">
        <v>24</v>
      </c>
      <c r="F451" s="8" t="s">
        <v>210</v>
      </c>
      <c r="G451" s="8" t="s">
        <v>211</v>
      </c>
      <c r="H451" s="8" t="s">
        <v>308</v>
      </c>
      <c r="I451" s="8">
        <v>377.03</v>
      </c>
      <c r="J451" s="30">
        <v>0</v>
      </c>
      <c r="K451" s="11">
        <f t="shared" si="30"/>
        <v>1071.32</v>
      </c>
      <c r="L451" s="30">
        <v>1071.32</v>
      </c>
      <c r="M451" s="10">
        <f t="shared" si="29"/>
        <v>35.193032893999927</v>
      </c>
    </row>
    <row r="452" spans="1:20" ht="15" hidden="1" customHeight="1" x14ac:dyDescent="0.3">
      <c r="A452" s="9">
        <v>1461</v>
      </c>
      <c r="B452" s="8" t="s">
        <v>307</v>
      </c>
      <c r="C452" s="21">
        <v>44651</v>
      </c>
      <c r="D452" s="22">
        <v>0.84837962962962965</v>
      </c>
      <c r="E452" s="8" t="s">
        <v>26</v>
      </c>
      <c r="F452" s="8" t="s">
        <v>210</v>
      </c>
      <c r="G452" s="8" t="s">
        <v>211</v>
      </c>
      <c r="H452" s="8" t="s">
        <v>305</v>
      </c>
      <c r="I452" s="8">
        <v>313.44</v>
      </c>
      <c r="J452" s="11">
        <v>0</v>
      </c>
      <c r="K452" s="89">
        <f t="shared" si="30"/>
        <v>747.92</v>
      </c>
      <c r="L452" s="11">
        <v>747.92</v>
      </c>
      <c r="M452" s="10">
        <f t="shared" si="29"/>
        <v>41.908225478660825</v>
      </c>
    </row>
    <row r="453" spans="1:20" ht="15" hidden="1" customHeight="1" x14ac:dyDescent="0.3">
      <c r="A453" s="9">
        <v>2652</v>
      </c>
      <c r="B453" s="8" t="s">
        <v>307</v>
      </c>
      <c r="C453" s="21">
        <v>44653</v>
      </c>
      <c r="D453" s="22">
        <v>0.58734953703703707</v>
      </c>
      <c r="E453" s="8" t="s">
        <v>27</v>
      </c>
      <c r="F453" s="8" t="s">
        <v>210</v>
      </c>
      <c r="G453" s="8" t="s">
        <v>211</v>
      </c>
      <c r="H453" s="8" t="s">
        <v>305</v>
      </c>
      <c r="I453" s="19">
        <v>367.48</v>
      </c>
      <c r="J453" s="11">
        <v>0</v>
      </c>
      <c r="K453" s="89">
        <f t="shared" si="30"/>
        <v>1061.94</v>
      </c>
      <c r="L453" s="53">
        <v>1061.94</v>
      </c>
      <c r="M453" s="10">
        <f t="shared" si="29"/>
        <v>34.604591596512044</v>
      </c>
    </row>
    <row r="454" spans="1:20" ht="15" hidden="1" customHeight="1" x14ac:dyDescent="0.3">
      <c r="A454" s="9">
        <v>2653</v>
      </c>
      <c r="B454" s="8" t="s">
        <v>307</v>
      </c>
      <c r="C454" s="21">
        <v>44657</v>
      </c>
      <c r="D454" s="22">
        <v>0.8885185185185186</v>
      </c>
      <c r="E454" s="8" t="s">
        <v>27</v>
      </c>
      <c r="F454" s="8" t="s">
        <v>169</v>
      </c>
      <c r="G454" s="8" t="s">
        <v>196</v>
      </c>
      <c r="H454" s="8" t="s">
        <v>305</v>
      </c>
      <c r="I454" s="190">
        <v>139.21</v>
      </c>
      <c r="J454" s="7">
        <v>0</v>
      </c>
      <c r="K454" s="89">
        <f t="shared" si="30"/>
        <v>485.57</v>
      </c>
      <c r="L454" s="32">
        <v>485.57</v>
      </c>
      <c r="M454" s="10">
        <f t="shared" si="29"/>
        <v>28.669398850835105</v>
      </c>
    </row>
    <row r="455" spans="1:20" ht="15" hidden="1" customHeight="1" x14ac:dyDescent="0.3">
      <c r="A455" s="9">
        <v>2654</v>
      </c>
      <c r="B455" s="8" t="s">
        <v>307</v>
      </c>
      <c r="C455" s="21">
        <v>44660</v>
      </c>
      <c r="D455" s="22">
        <v>0.47837962962962965</v>
      </c>
      <c r="E455" s="8" t="s">
        <v>27</v>
      </c>
      <c r="F455" s="8" t="s">
        <v>541</v>
      </c>
      <c r="G455" s="8" t="s">
        <v>542</v>
      </c>
      <c r="H455" s="8" t="s">
        <v>305</v>
      </c>
      <c r="I455" s="19">
        <v>70</v>
      </c>
      <c r="J455" s="11">
        <v>0</v>
      </c>
      <c r="K455" s="89">
        <f t="shared" si="30"/>
        <v>876.83</v>
      </c>
      <c r="L455" s="30">
        <v>876.83</v>
      </c>
      <c r="M455" s="10">
        <f t="shared" si="29"/>
        <v>7.9833034909845697</v>
      </c>
    </row>
    <row r="456" spans="1:20" ht="15" hidden="1" customHeight="1" x14ac:dyDescent="0.3">
      <c r="A456" s="9">
        <v>2655</v>
      </c>
      <c r="B456" s="8" t="s">
        <v>307</v>
      </c>
      <c r="C456" s="21">
        <v>44661</v>
      </c>
      <c r="D456" s="22">
        <v>0.34158564814814812</v>
      </c>
      <c r="E456" s="8" t="s">
        <v>27</v>
      </c>
      <c r="F456" s="8" t="s">
        <v>210</v>
      </c>
      <c r="G456" s="8" t="s">
        <v>211</v>
      </c>
      <c r="H456" s="8" t="s">
        <v>305</v>
      </c>
      <c r="I456" s="19">
        <v>409.88</v>
      </c>
      <c r="J456" s="11">
        <v>0</v>
      </c>
      <c r="K456" s="89">
        <f t="shared" si="30"/>
        <v>549.11</v>
      </c>
      <c r="L456" s="11">
        <v>549.11</v>
      </c>
      <c r="M456" s="10">
        <f t="shared" si="29"/>
        <v>74.644424614375993</v>
      </c>
    </row>
    <row r="457" spans="1:20" ht="15" hidden="1" customHeight="1" x14ac:dyDescent="0.3">
      <c r="A457" s="9">
        <v>2656</v>
      </c>
      <c r="B457" s="8" t="s">
        <v>307</v>
      </c>
      <c r="C457" s="21">
        <v>44661</v>
      </c>
      <c r="D457" s="22">
        <v>0.81048611111111113</v>
      </c>
      <c r="E457" s="8" t="s">
        <v>27</v>
      </c>
      <c r="F457" s="8" t="s">
        <v>165</v>
      </c>
      <c r="G457" s="8" t="s">
        <v>185</v>
      </c>
      <c r="H457" s="8" t="s">
        <v>305</v>
      </c>
      <c r="I457" s="19">
        <v>217.87</v>
      </c>
      <c r="J457" s="11">
        <v>0</v>
      </c>
      <c r="K457" s="89">
        <f t="shared" si="30"/>
        <v>548.45000000000005</v>
      </c>
      <c r="L457" s="11">
        <v>548.45000000000005</v>
      </c>
      <c r="M457" s="10">
        <f t="shared" si="29"/>
        <v>39.724678639803081</v>
      </c>
    </row>
    <row r="458" spans="1:20" ht="15" hidden="1" customHeight="1" x14ac:dyDescent="0.3">
      <c r="A458" s="9">
        <v>2657</v>
      </c>
      <c r="B458" s="8" t="s">
        <v>307</v>
      </c>
      <c r="C458" s="21">
        <v>44666</v>
      </c>
      <c r="D458" s="22">
        <v>0.32240740740740742</v>
      </c>
      <c r="E458" s="8" t="s">
        <v>27</v>
      </c>
      <c r="F458" s="8" t="s">
        <v>274</v>
      </c>
      <c r="G458" s="8" t="s">
        <v>495</v>
      </c>
      <c r="H458" s="8" t="s">
        <v>305</v>
      </c>
      <c r="I458" s="19">
        <v>100</v>
      </c>
      <c r="J458" s="11">
        <v>0</v>
      </c>
      <c r="K458" s="89">
        <f t="shared" si="30"/>
        <v>1133.72</v>
      </c>
      <c r="L458" s="11">
        <v>1133.72</v>
      </c>
      <c r="M458" s="10">
        <f t="shared" si="29"/>
        <v>8.8205200578626108</v>
      </c>
    </row>
    <row r="459" spans="1:20" ht="15" hidden="1" customHeight="1" x14ac:dyDescent="0.3">
      <c r="A459" s="9">
        <v>2658</v>
      </c>
      <c r="B459" s="8" t="s">
        <v>307</v>
      </c>
      <c r="C459" s="21">
        <v>44666</v>
      </c>
      <c r="D459" s="22">
        <v>0.68216435185185187</v>
      </c>
      <c r="E459" s="8" t="s">
        <v>27</v>
      </c>
      <c r="F459" s="8" t="s">
        <v>175</v>
      </c>
      <c r="G459" s="8" t="s">
        <v>172</v>
      </c>
      <c r="H459" s="8" t="s">
        <v>305</v>
      </c>
      <c r="I459" s="19">
        <v>366.84</v>
      </c>
      <c r="J459" s="11">
        <v>0</v>
      </c>
      <c r="K459" s="89">
        <f t="shared" si="30"/>
        <v>1063.79</v>
      </c>
      <c r="L459" s="11">
        <v>1063.79</v>
      </c>
      <c r="M459" s="10">
        <f t="shared" si="29"/>
        <v>34.484249710939189</v>
      </c>
    </row>
    <row r="460" spans="1:20" ht="15" hidden="1" customHeight="1" x14ac:dyDescent="0.3">
      <c r="A460" s="9">
        <v>2659</v>
      </c>
      <c r="B460" s="8" t="s">
        <v>307</v>
      </c>
      <c r="C460" s="21">
        <v>44667</v>
      </c>
      <c r="D460" s="22">
        <v>0.73150462962962959</v>
      </c>
      <c r="E460" s="8" t="s">
        <v>27</v>
      </c>
      <c r="F460" s="8" t="s">
        <v>166</v>
      </c>
      <c r="G460" s="8" t="s">
        <v>161</v>
      </c>
      <c r="H460" s="8" t="s">
        <v>305</v>
      </c>
      <c r="I460" s="19">
        <v>262.43</v>
      </c>
      <c r="J460" s="11">
        <v>0</v>
      </c>
      <c r="K460" s="89">
        <f t="shared" si="30"/>
        <v>765.78</v>
      </c>
      <c r="L460" s="11">
        <v>765.78</v>
      </c>
      <c r="M460" s="10">
        <f t="shared" si="29"/>
        <v>34.269633576222944</v>
      </c>
    </row>
    <row r="461" spans="1:20" ht="15" hidden="1" customHeight="1" x14ac:dyDescent="0.3">
      <c r="A461" s="9">
        <v>2660</v>
      </c>
      <c r="B461" s="8" t="s">
        <v>307</v>
      </c>
      <c r="C461" s="21">
        <v>44669</v>
      </c>
      <c r="D461" s="22">
        <v>0.46776620370370375</v>
      </c>
      <c r="E461" s="8" t="s">
        <v>27</v>
      </c>
      <c r="F461" s="8" t="s">
        <v>210</v>
      </c>
      <c r="G461" s="8" t="s">
        <v>211</v>
      </c>
      <c r="H461" s="8" t="s">
        <v>305</v>
      </c>
      <c r="I461" s="19">
        <v>394.39</v>
      </c>
      <c r="J461" s="11">
        <v>0</v>
      </c>
      <c r="K461" s="89">
        <f t="shared" si="30"/>
        <v>1144.82</v>
      </c>
      <c r="L461" s="53">
        <v>1144.82</v>
      </c>
      <c r="M461" s="10">
        <f t="shared" si="29"/>
        <v>34.449957198511555</v>
      </c>
    </row>
    <row r="462" spans="1:20" ht="15" hidden="1" customHeight="1" x14ac:dyDescent="0.3">
      <c r="B462" s="8" t="s">
        <v>173</v>
      </c>
      <c r="C462" s="21">
        <v>44572</v>
      </c>
      <c r="D462" s="22">
        <v>0.73187500000000005</v>
      </c>
      <c r="E462" s="8" t="s">
        <v>24</v>
      </c>
      <c r="F462" s="8" t="s">
        <v>210</v>
      </c>
      <c r="G462" s="8" t="s">
        <v>211</v>
      </c>
      <c r="H462" s="8" t="s">
        <v>163</v>
      </c>
      <c r="I462" s="8">
        <v>439.15</v>
      </c>
      <c r="J462" s="11">
        <v>915999</v>
      </c>
      <c r="K462" s="11"/>
      <c r="L462" s="11">
        <v>917220</v>
      </c>
      <c r="M462" s="10" t="e">
        <f t="shared" si="29"/>
        <v>#DIV/0!</v>
      </c>
      <c r="S462"/>
      <c r="T462"/>
    </row>
    <row r="463" spans="1:20" ht="15" hidden="1" customHeight="1" x14ac:dyDescent="0.3">
      <c r="B463" s="8" t="s">
        <v>173</v>
      </c>
      <c r="C463" s="21">
        <v>44573</v>
      </c>
      <c r="D463" s="22">
        <v>0.48358796296296297</v>
      </c>
      <c r="E463" s="8" t="s">
        <v>24</v>
      </c>
      <c r="F463" s="8" t="s">
        <v>210</v>
      </c>
      <c r="G463" s="8" t="s">
        <v>211</v>
      </c>
      <c r="H463" s="8" t="s">
        <v>163</v>
      </c>
      <c r="I463" s="8">
        <v>365.08</v>
      </c>
      <c r="J463" s="11">
        <v>917220</v>
      </c>
      <c r="K463" s="11"/>
      <c r="L463" s="11">
        <v>918305</v>
      </c>
      <c r="M463" s="10" t="e">
        <f t="shared" si="29"/>
        <v>#DIV/0!</v>
      </c>
      <c r="S463"/>
      <c r="T463"/>
    </row>
    <row r="464" spans="1:20" ht="15" hidden="1" customHeight="1" x14ac:dyDescent="0.3">
      <c r="B464" s="8" t="s">
        <v>173</v>
      </c>
      <c r="C464" s="21">
        <v>44575</v>
      </c>
      <c r="D464" s="22">
        <v>0.46490740740740738</v>
      </c>
      <c r="E464" s="8" t="s">
        <v>24</v>
      </c>
      <c r="F464" s="8" t="s">
        <v>210</v>
      </c>
      <c r="G464" s="8" t="s">
        <v>211</v>
      </c>
      <c r="H464" s="8" t="s">
        <v>163</v>
      </c>
      <c r="I464" s="8">
        <v>644.02</v>
      </c>
      <c r="J464" s="11">
        <v>918305</v>
      </c>
      <c r="K464" s="11"/>
      <c r="L464" s="11">
        <v>920112</v>
      </c>
      <c r="M464" s="10" t="e">
        <f t="shared" si="29"/>
        <v>#DIV/0!</v>
      </c>
      <c r="S464"/>
      <c r="T464"/>
    </row>
    <row r="465" spans="1:20" ht="15" hidden="1" customHeight="1" x14ac:dyDescent="0.3">
      <c r="B465" s="8" t="s">
        <v>173</v>
      </c>
      <c r="C465" s="21">
        <v>44576</v>
      </c>
      <c r="D465" s="22">
        <v>0.88891203703703703</v>
      </c>
      <c r="E465" s="8" t="s">
        <v>24</v>
      </c>
      <c r="F465" s="8" t="s">
        <v>210</v>
      </c>
      <c r="G465" s="8" t="s">
        <v>211</v>
      </c>
      <c r="H465" s="8" t="s">
        <v>163</v>
      </c>
      <c r="I465" s="8">
        <v>375.18</v>
      </c>
      <c r="J465" s="11">
        <v>920112</v>
      </c>
      <c r="K465" s="11"/>
      <c r="L465" s="11">
        <v>921196</v>
      </c>
      <c r="M465" s="10" t="e">
        <f t="shared" si="29"/>
        <v>#DIV/0!</v>
      </c>
      <c r="S465"/>
      <c r="T465"/>
    </row>
    <row r="466" spans="1:20" ht="15" hidden="1" customHeight="1" x14ac:dyDescent="0.3">
      <c r="B466" s="8" t="s">
        <v>173</v>
      </c>
      <c r="C466" s="21">
        <v>44579</v>
      </c>
      <c r="D466" s="22">
        <v>0.9669212962962962</v>
      </c>
      <c r="E466" s="8" t="s">
        <v>24</v>
      </c>
      <c r="F466" s="8" t="s">
        <v>210</v>
      </c>
      <c r="G466" s="8" t="s">
        <v>211</v>
      </c>
      <c r="H466" s="8" t="s">
        <v>163</v>
      </c>
      <c r="I466" s="24">
        <v>667.86</v>
      </c>
      <c r="J466" s="7">
        <v>921196</v>
      </c>
      <c r="K466" s="11"/>
      <c r="L466" s="7">
        <v>923031</v>
      </c>
      <c r="M466" s="10" t="e">
        <f t="shared" si="29"/>
        <v>#DIV/0!</v>
      </c>
      <c r="S466"/>
      <c r="T466"/>
    </row>
    <row r="467" spans="1:20" ht="15" hidden="1" customHeight="1" x14ac:dyDescent="0.3">
      <c r="B467" s="8" t="s">
        <v>173</v>
      </c>
      <c r="C467" s="21">
        <v>44580</v>
      </c>
      <c r="D467" s="22">
        <v>0.85626157407407411</v>
      </c>
      <c r="E467" s="8" t="s">
        <v>24</v>
      </c>
      <c r="F467" s="8" t="s">
        <v>165</v>
      </c>
      <c r="G467" s="8" t="s">
        <v>185</v>
      </c>
      <c r="H467" s="8" t="s">
        <v>163</v>
      </c>
      <c r="I467" s="24">
        <v>232.48</v>
      </c>
      <c r="J467" s="7">
        <v>923031</v>
      </c>
      <c r="K467" s="11"/>
      <c r="L467" s="7">
        <v>923593</v>
      </c>
      <c r="M467" s="10" t="e">
        <f t="shared" si="29"/>
        <v>#DIV/0!</v>
      </c>
      <c r="S467"/>
      <c r="T467"/>
    </row>
    <row r="468" spans="1:20" ht="15" hidden="1" customHeight="1" x14ac:dyDescent="0.3">
      <c r="B468" s="8" t="s">
        <v>173</v>
      </c>
      <c r="C468" s="21">
        <v>44582</v>
      </c>
      <c r="D468" s="22">
        <v>0.57255787037037031</v>
      </c>
      <c r="E468" s="8" t="s">
        <v>24</v>
      </c>
      <c r="F468" s="8" t="s">
        <v>210</v>
      </c>
      <c r="G468" s="8" t="s">
        <v>211</v>
      </c>
      <c r="H468" s="8" t="s">
        <v>163</v>
      </c>
      <c r="I468" s="8">
        <v>678.14</v>
      </c>
      <c r="J468" s="30">
        <v>923593</v>
      </c>
      <c r="K468" s="30"/>
      <c r="L468" s="30">
        <v>925774</v>
      </c>
      <c r="M468" s="10" t="e">
        <f t="shared" si="29"/>
        <v>#DIV/0!</v>
      </c>
      <c r="S468"/>
      <c r="T468"/>
    </row>
    <row r="469" spans="1:20" ht="15" hidden="1" customHeight="1" x14ac:dyDescent="0.3">
      <c r="B469" s="8" t="s">
        <v>173</v>
      </c>
      <c r="C469" s="21">
        <v>44584</v>
      </c>
      <c r="D469" s="22">
        <v>0.87545138888888896</v>
      </c>
      <c r="E469" s="8" t="s">
        <v>24</v>
      </c>
      <c r="F469" s="8" t="s">
        <v>210</v>
      </c>
      <c r="G469" s="8" t="s">
        <v>211</v>
      </c>
      <c r="H469" s="8" t="s">
        <v>163</v>
      </c>
      <c r="I469" s="8">
        <v>741.85</v>
      </c>
      <c r="J469" s="28">
        <v>925774</v>
      </c>
      <c r="K469" s="28"/>
      <c r="L469" s="28">
        <v>927680</v>
      </c>
      <c r="M469" s="10" t="e">
        <f t="shared" si="29"/>
        <v>#DIV/0!</v>
      </c>
      <c r="S469"/>
      <c r="T469"/>
    </row>
    <row r="470" spans="1:20" ht="15" hidden="1" customHeight="1" x14ac:dyDescent="0.3">
      <c r="B470" s="8" t="s">
        <v>173</v>
      </c>
      <c r="C470" s="21">
        <v>44585</v>
      </c>
      <c r="D470" s="22">
        <v>0.85046296296296298</v>
      </c>
      <c r="E470" s="8" t="s">
        <v>24</v>
      </c>
      <c r="F470" s="8" t="s">
        <v>210</v>
      </c>
      <c r="G470" s="8" t="s">
        <v>211</v>
      </c>
      <c r="H470" s="8" t="s">
        <v>163</v>
      </c>
      <c r="I470" s="24">
        <v>366.21</v>
      </c>
      <c r="J470" s="7">
        <v>927680</v>
      </c>
      <c r="K470" s="7"/>
      <c r="L470" s="7">
        <v>928772</v>
      </c>
      <c r="M470" s="10" t="e">
        <f t="shared" si="29"/>
        <v>#DIV/0!</v>
      </c>
      <c r="T470"/>
    </row>
    <row r="471" spans="1:20" ht="15" hidden="1" customHeight="1" x14ac:dyDescent="0.3">
      <c r="B471" s="8" t="s">
        <v>173</v>
      </c>
      <c r="C471" s="21">
        <v>44588</v>
      </c>
      <c r="D471" s="22">
        <v>8.9004629629629625E-3</v>
      </c>
      <c r="E471" s="8" t="s">
        <v>24</v>
      </c>
      <c r="F471" s="8" t="s">
        <v>210</v>
      </c>
      <c r="G471" s="8" t="s">
        <v>211</v>
      </c>
      <c r="H471" s="8" t="s">
        <v>163</v>
      </c>
      <c r="I471" s="8">
        <v>673.76</v>
      </c>
      <c r="J471" s="30">
        <v>928772</v>
      </c>
      <c r="K471" s="30"/>
      <c r="L471" s="30">
        <v>930626</v>
      </c>
      <c r="M471" s="10" t="e">
        <f t="shared" si="29"/>
        <v>#DIV/0!</v>
      </c>
      <c r="T471"/>
    </row>
    <row r="472" spans="1:20" ht="15" hidden="1" customHeight="1" x14ac:dyDescent="0.3">
      <c r="B472" s="8" t="s">
        <v>173</v>
      </c>
      <c r="C472" s="21">
        <v>44589</v>
      </c>
      <c r="D472" s="22">
        <v>0.30214120370370373</v>
      </c>
      <c r="E472" s="8" t="s">
        <v>24</v>
      </c>
      <c r="F472" s="8" t="s">
        <v>210</v>
      </c>
      <c r="G472" s="8" t="s">
        <v>211</v>
      </c>
      <c r="H472" s="8" t="s">
        <v>163</v>
      </c>
      <c r="I472" s="24">
        <v>372.78</v>
      </c>
      <c r="J472" s="7">
        <v>930626</v>
      </c>
      <c r="K472" s="7"/>
      <c r="L472" s="7">
        <v>931713</v>
      </c>
      <c r="M472" s="10" t="e">
        <f t="shared" si="29"/>
        <v>#DIV/0!</v>
      </c>
      <c r="T472"/>
    </row>
    <row r="473" spans="1:20" ht="15" hidden="1" customHeight="1" x14ac:dyDescent="0.3">
      <c r="B473" s="8" t="s">
        <v>173</v>
      </c>
      <c r="C473" s="21">
        <v>44591</v>
      </c>
      <c r="D473" s="22">
        <v>0.17189814814814816</v>
      </c>
      <c r="E473" s="8" t="s">
        <v>24</v>
      </c>
      <c r="F473" s="8" t="s">
        <v>210</v>
      </c>
      <c r="G473" s="8" t="s">
        <v>211</v>
      </c>
      <c r="H473" s="8" t="s">
        <v>163</v>
      </c>
      <c r="I473" s="24">
        <v>671.54</v>
      </c>
      <c r="J473" s="7">
        <v>931713</v>
      </c>
      <c r="K473" s="7"/>
      <c r="L473" s="7">
        <v>933600</v>
      </c>
      <c r="M473" s="10" t="e">
        <f t="shared" si="29"/>
        <v>#DIV/0!</v>
      </c>
    </row>
    <row r="474" spans="1:20" ht="15" hidden="1" customHeight="1" x14ac:dyDescent="0.3">
      <c r="B474" s="8" t="s">
        <v>173</v>
      </c>
      <c r="C474" s="21">
        <v>44592</v>
      </c>
      <c r="D474" s="22">
        <v>8.5682870370370368E-2</v>
      </c>
      <c r="E474" s="8" t="s">
        <v>24</v>
      </c>
      <c r="F474" s="8" t="s">
        <v>210</v>
      </c>
      <c r="G474" s="8" t="s">
        <v>211</v>
      </c>
      <c r="H474" s="8" t="s">
        <v>163</v>
      </c>
      <c r="I474" s="24">
        <v>388.87</v>
      </c>
      <c r="J474" s="7">
        <v>933600</v>
      </c>
      <c r="K474" s="7"/>
      <c r="L474" s="7">
        <v>934687</v>
      </c>
      <c r="M474" s="10" t="e">
        <f t="shared" si="29"/>
        <v>#DIV/0!</v>
      </c>
    </row>
    <row r="475" spans="1:20" ht="15" hidden="1" customHeight="1" x14ac:dyDescent="0.3">
      <c r="A475" s="9">
        <v>127</v>
      </c>
      <c r="B475" s="8" t="s">
        <v>173</v>
      </c>
      <c r="C475" s="21">
        <v>44593</v>
      </c>
      <c r="D475" s="22">
        <v>0.99652777777777779</v>
      </c>
      <c r="E475" s="8" t="s">
        <v>25</v>
      </c>
      <c r="F475" s="8" t="s">
        <v>210</v>
      </c>
      <c r="G475" s="8" t="s">
        <v>211</v>
      </c>
      <c r="H475" s="8" t="s">
        <v>163</v>
      </c>
      <c r="I475" s="24">
        <f>338.51+298.63</f>
        <v>637.14</v>
      </c>
      <c r="J475" s="7">
        <v>0</v>
      </c>
      <c r="K475" s="7">
        <f t="shared" ref="K475:K506" si="31">+L475-J475</f>
        <v>1704.49</v>
      </c>
      <c r="L475" s="7">
        <v>1704.49</v>
      </c>
      <c r="M475" s="10">
        <f t="shared" si="29"/>
        <v>37.380096099126426</v>
      </c>
    </row>
    <row r="476" spans="1:20" ht="15" hidden="1" customHeight="1" x14ac:dyDescent="0.3">
      <c r="A476" s="9">
        <v>128</v>
      </c>
      <c r="B476" s="8" t="s">
        <v>173</v>
      </c>
      <c r="C476" s="21">
        <v>44595</v>
      </c>
      <c r="D476" s="22">
        <v>0.98320601851851863</v>
      </c>
      <c r="E476" s="8" t="s">
        <v>25</v>
      </c>
      <c r="F476" s="8" t="s">
        <v>210</v>
      </c>
      <c r="G476" s="8" t="s">
        <v>211</v>
      </c>
      <c r="H476" s="8" t="s">
        <v>163</v>
      </c>
      <c r="I476" s="8">
        <v>396.11</v>
      </c>
      <c r="J476" s="30">
        <v>0</v>
      </c>
      <c r="K476" s="30">
        <f t="shared" si="31"/>
        <v>1062.3800000000001</v>
      </c>
      <c r="L476" s="30">
        <v>1062.3800000000001</v>
      </c>
      <c r="M476" s="10">
        <f t="shared" si="29"/>
        <v>37.285152205425554</v>
      </c>
    </row>
    <row r="477" spans="1:20" ht="15" hidden="1" customHeight="1" x14ac:dyDescent="0.3">
      <c r="A477" s="9">
        <v>129</v>
      </c>
      <c r="B477" s="8" t="s">
        <v>173</v>
      </c>
      <c r="C477" s="21">
        <v>44596</v>
      </c>
      <c r="D477" s="22">
        <v>0.77043981481481483</v>
      </c>
      <c r="E477" s="8" t="s">
        <v>25</v>
      </c>
      <c r="F477" s="8" t="s">
        <v>175</v>
      </c>
      <c r="G477" s="8" t="s">
        <v>172</v>
      </c>
      <c r="H477" s="8" t="s">
        <v>163</v>
      </c>
      <c r="I477" s="24">
        <v>332.4</v>
      </c>
      <c r="J477" s="31">
        <v>0</v>
      </c>
      <c r="K477" s="31">
        <f t="shared" si="31"/>
        <v>888</v>
      </c>
      <c r="L477" s="31">
        <v>888</v>
      </c>
      <c r="M477" s="10">
        <f t="shared" ref="M477:M501" si="32">I477/K477*100</f>
        <v>37.432432432432428</v>
      </c>
    </row>
    <row r="478" spans="1:20" ht="15" hidden="1" customHeight="1" x14ac:dyDescent="0.3">
      <c r="A478" s="9">
        <v>130</v>
      </c>
      <c r="B478" s="8" t="s">
        <v>173</v>
      </c>
      <c r="C478" s="21">
        <v>44604</v>
      </c>
      <c r="D478" s="22">
        <v>0.85864583333333344</v>
      </c>
      <c r="E478" s="8" t="s">
        <v>25</v>
      </c>
      <c r="F478" s="8" t="s">
        <v>210</v>
      </c>
      <c r="G478" s="8" t="s">
        <v>211</v>
      </c>
      <c r="H478" s="8" t="s">
        <v>163</v>
      </c>
      <c r="I478" s="24">
        <v>389.16</v>
      </c>
      <c r="J478" s="31">
        <v>0</v>
      </c>
      <c r="K478" s="31">
        <f t="shared" si="31"/>
        <v>854.51</v>
      </c>
      <c r="L478" s="31">
        <v>854.51</v>
      </c>
      <c r="M478" s="10">
        <f t="shared" si="32"/>
        <v>45.541889503926228</v>
      </c>
    </row>
    <row r="479" spans="1:20" ht="15" hidden="1" customHeight="1" x14ac:dyDescent="0.3">
      <c r="A479" s="9">
        <v>131</v>
      </c>
      <c r="B479" s="8" t="s">
        <v>173</v>
      </c>
      <c r="C479" s="21">
        <v>44605</v>
      </c>
      <c r="D479" s="22">
        <v>0.71159722222222221</v>
      </c>
      <c r="E479" s="8" t="s">
        <v>25</v>
      </c>
      <c r="F479" s="8" t="s">
        <v>210</v>
      </c>
      <c r="G479" s="8" t="s">
        <v>211</v>
      </c>
      <c r="H479" s="8" t="s">
        <v>163</v>
      </c>
      <c r="I479" s="24">
        <v>400.03</v>
      </c>
      <c r="J479" s="31">
        <v>0</v>
      </c>
      <c r="K479" s="31">
        <f t="shared" si="31"/>
        <v>1056.24</v>
      </c>
      <c r="L479" s="31">
        <v>1056.24</v>
      </c>
      <c r="M479" s="10">
        <f t="shared" si="32"/>
        <v>37.87302128304173</v>
      </c>
    </row>
    <row r="480" spans="1:20" ht="15" hidden="1" customHeight="1" x14ac:dyDescent="0.3">
      <c r="A480" s="9">
        <v>132</v>
      </c>
      <c r="B480" s="8" t="s">
        <v>173</v>
      </c>
      <c r="C480" s="21">
        <v>44607</v>
      </c>
      <c r="D480" s="22">
        <v>0.78111111111111109</v>
      </c>
      <c r="E480" s="8" t="s">
        <v>25</v>
      </c>
      <c r="F480" s="8" t="s">
        <v>210</v>
      </c>
      <c r="G480" s="8" t="s">
        <v>211</v>
      </c>
      <c r="H480" s="8" t="s">
        <v>163</v>
      </c>
      <c r="I480" s="24">
        <v>645.94000000000005</v>
      </c>
      <c r="J480" s="7">
        <v>0</v>
      </c>
      <c r="K480" s="7">
        <f t="shared" si="31"/>
        <v>1702</v>
      </c>
      <c r="L480" s="7">
        <v>1702</v>
      </c>
      <c r="M480" s="10">
        <f t="shared" si="32"/>
        <v>37.951821386604003</v>
      </c>
    </row>
    <row r="481" spans="1:13" ht="15" hidden="1" customHeight="1" x14ac:dyDescent="0.3">
      <c r="A481" s="9">
        <v>133</v>
      </c>
      <c r="B481" s="8" t="s">
        <v>173</v>
      </c>
      <c r="C481" s="21">
        <v>44608</v>
      </c>
      <c r="D481" s="22">
        <v>0.9418171296296296</v>
      </c>
      <c r="E481" s="8" t="s">
        <v>25</v>
      </c>
      <c r="F481" s="8" t="s">
        <v>210</v>
      </c>
      <c r="G481" s="8" t="s">
        <v>211</v>
      </c>
      <c r="H481" s="8" t="s">
        <v>163</v>
      </c>
      <c r="I481" s="8">
        <v>470.56</v>
      </c>
      <c r="J481" s="29">
        <v>0</v>
      </c>
      <c r="K481" s="29">
        <f t="shared" si="31"/>
        <v>1107.22</v>
      </c>
      <c r="L481" s="68">
        <v>1107.22</v>
      </c>
      <c r="M481" s="10">
        <f t="shared" si="32"/>
        <v>42.499232311555062</v>
      </c>
    </row>
    <row r="482" spans="1:13" ht="15" hidden="1" customHeight="1" x14ac:dyDescent="0.3">
      <c r="A482" s="9">
        <v>134</v>
      </c>
      <c r="B482" s="8" t="s">
        <v>173</v>
      </c>
      <c r="C482" s="21">
        <v>44611</v>
      </c>
      <c r="D482" s="22">
        <v>0.62584490740740739</v>
      </c>
      <c r="E482" s="8" t="s">
        <v>25</v>
      </c>
      <c r="F482" s="8" t="s">
        <v>210</v>
      </c>
      <c r="G482" s="8" t="s">
        <v>211</v>
      </c>
      <c r="H482" s="8" t="s">
        <v>163</v>
      </c>
      <c r="I482" s="24">
        <v>701.64</v>
      </c>
      <c r="J482" s="7">
        <v>0</v>
      </c>
      <c r="K482" s="7">
        <f t="shared" si="31"/>
        <v>1761.89</v>
      </c>
      <c r="L482" s="32">
        <v>1761.89</v>
      </c>
      <c r="M482" s="10">
        <f t="shared" si="32"/>
        <v>39.823144464183343</v>
      </c>
    </row>
    <row r="483" spans="1:13" ht="15" hidden="1" customHeight="1" x14ac:dyDescent="0.3">
      <c r="A483" s="9">
        <v>135</v>
      </c>
      <c r="B483" s="8" t="s">
        <v>173</v>
      </c>
      <c r="C483" s="21">
        <v>44612</v>
      </c>
      <c r="D483" s="22">
        <v>0.16530092592592593</v>
      </c>
      <c r="E483" s="8" t="s">
        <v>25</v>
      </c>
      <c r="F483" s="8" t="s">
        <v>165</v>
      </c>
      <c r="G483" s="8" t="s">
        <v>185</v>
      </c>
      <c r="H483" s="8" t="s">
        <v>163</v>
      </c>
      <c r="I483" s="24">
        <v>248.89</v>
      </c>
      <c r="J483" s="29">
        <v>0</v>
      </c>
      <c r="K483" s="29">
        <f t="shared" si="31"/>
        <v>545.1</v>
      </c>
      <c r="L483" s="68">
        <v>545.1</v>
      </c>
      <c r="M483" s="10">
        <f t="shared" si="32"/>
        <v>45.659512016143822</v>
      </c>
    </row>
    <row r="484" spans="1:13" ht="15" hidden="1" customHeight="1" x14ac:dyDescent="0.3">
      <c r="A484" s="9">
        <v>136</v>
      </c>
      <c r="B484" s="8" t="s">
        <v>173</v>
      </c>
      <c r="C484" s="21">
        <v>44614</v>
      </c>
      <c r="D484" s="22">
        <v>0.84920138888888896</v>
      </c>
      <c r="E484" s="8" t="s">
        <v>25</v>
      </c>
      <c r="F484" s="8" t="s">
        <v>165</v>
      </c>
      <c r="G484" s="8" t="s">
        <v>185</v>
      </c>
      <c r="H484" s="8" t="s">
        <v>163</v>
      </c>
      <c r="I484" s="24">
        <v>320.14999999999998</v>
      </c>
      <c r="J484" s="7">
        <v>0</v>
      </c>
      <c r="K484" s="7">
        <f t="shared" si="31"/>
        <v>1611.78</v>
      </c>
      <c r="L484" s="32">
        <v>1611.78</v>
      </c>
      <c r="M484" s="10">
        <f t="shared" si="32"/>
        <v>19.863132685602253</v>
      </c>
    </row>
    <row r="485" spans="1:13" ht="15" hidden="1" customHeight="1" x14ac:dyDescent="0.3">
      <c r="A485" s="9">
        <v>137</v>
      </c>
      <c r="B485" s="8" t="s">
        <v>173</v>
      </c>
      <c r="C485" s="21">
        <v>44615</v>
      </c>
      <c r="D485" s="22">
        <v>0.1047337962962963</v>
      </c>
      <c r="E485" s="8" t="s">
        <v>25</v>
      </c>
      <c r="F485" s="8" t="s">
        <v>210</v>
      </c>
      <c r="G485" s="8" t="s">
        <v>211</v>
      </c>
      <c r="H485" s="8" t="s">
        <v>163</v>
      </c>
      <c r="I485" s="8">
        <v>464.88</v>
      </c>
      <c r="J485" s="30">
        <v>0</v>
      </c>
      <c r="K485" s="29">
        <f t="shared" si="31"/>
        <v>511.66</v>
      </c>
      <c r="L485" s="68">
        <v>511.66</v>
      </c>
      <c r="M485" s="10">
        <f t="shared" si="32"/>
        <v>90.857209865926592</v>
      </c>
    </row>
    <row r="486" spans="1:13" ht="15" hidden="1" customHeight="1" x14ac:dyDescent="0.3">
      <c r="A486" s="9">
        <v>138</v>
      </c>
      <c r="B486" s="8" t="s">
        <v>173</v>
      </c>
      <c r="C486" s="21">
        <v>44616</v>
      </c>
      <c r="D486" s="22">
        <v>0.84660879629629626</v>
      </c>
      <c r="E486" s="8" t="s">
        <v>25</v>
      </c>
      <c r="F486" s="8" t="s">
        <v>210</v>
      </c>
      <c r="G486" s="8" t="s">
        <v>211</v>
      </c>
      <c r="H486" s="8" t="s">
        <v>163</v>
      </c>
      <c r="I486" s="8">
        <v>709.49</v>
      </c>
      <c r="J486" s="11">
        <v>0</v>
      </c>
      <c r="K486" s="11">
        <f t="shared" si="31"/>
        <v>1749.58</v>
      </c>
      <c r="L486" s="32">
        <v>1749.58</v>
      </c>
      <c r="M486" s="10">
        <f t="shared" si="32"/>
        <v>40.552018198653393</v>
      </c>
    </row>
    <row r="487" spans="1:13" ht="15" hidden="1" customHeight="1" x14ac:dyDescent="0.3">
      <c r="A487" s="9">
        <v>139</v>
      </c>
      <c r="B487" s="8" t="s">
        <v>173</v>
      </c>
      <c r="C487" s="21">
        <v>44617</v>
      </c>
      <c r="D487" s="22">
        <v>0.96077546296296301</v>
      </c>
      <c r="E487" s="8" t="s">
        <v>25</v>
      </c>
      <c r="F487" s="8" t="s">
        <v>210</v>
      </c>
      <c r="G487" s="8" t="s">
        <v>211</v>
      </c>
      <c r="H487" s="8" t="s">
        <v>163</v>
      </c>
      <c r="I487" s="8">
        <v>411.81</v>
      </c>
      <c r="J487" s="11">
        <v>0</v>
      </c>
      <c r="K487" s="11">
        <f t="shared" si="31"/>
        <v>1058.5</v>
      </c>
      <c r="L487" s="53">
        <v>1058.5</v>
      </c>
      <c r="M487" s="10">
        <f t="shared" si="32"/>
        <v>38.905054322153994</v>
      </c>
    </row>
    <row r="488" spans="1:13" ht="15" hidden="1" customHeight="1" x14ac:dyDescent="0.3">
      <c r="A488" s="9">
        <v>140</v>
      </c>
      <c r="B488" s="8" t="s">
        <v>173</v>
      </c>
      <c r="C488" s="21">
        <v>44620</v>
      </c>
      <c r="D488" s="22">
        <v>0.96868055555555566</v>
      </c>
      <c r="E488" s="8" t="s">
        <v>25</v>
      </c>
      <c r="F488" s="8" t="s">
        <v>210</v>
      </c>
      <c r="G488" s="8" t="s">
        <v>211</v>
      </c>
      <c r="H488" s="8" t="s">
        <v>163</v>
      </c>
      <c r="I488" s="8">
        <v>722.5</v>
      </c>
      <c r="J488" s="11">
        <v>0</v>
      </c>
      <c r="K488" s="11">
        <f t="shared" si="31"/>
        <v>1790.11</v>
      </c>
      <c r="L488" s="53">
        <v>1790.11</v>
      </c>
      <c r="M488" s="10">
        <f t="shared" si="32"/>
        <v>40.360648228321168</v>
      </c>
    </row>
    <row r="489" spans="1:13" ht="15" hidden="1" customHeight="1" x14ac:dyDescent="0.3">
      <c r="A489" s="9">
        <v>1226</v>
      </c>
      <c r="B489" s="8" t="s">
        <v>173</v>
      </c>
      <c r="C489" s="21">
        <v>44622</v>
      </c>
      <c r="D489" s="22">
        <v>0.89035879629629633</v>
      </c>
      <c r="E489" s="8" t="s">
        <v>26</v>
      </c>
      <c r="F489" s="8" t="s">
        <v>210</v>
      </c>
      <c r="G489" s="8" t="s">
        <v>211</v>
      </c>
      <c r="H489" s="8" t="s">
        <v>163</v>
      </c>
      <c r="I489" s="24">
        <v>465.76</v>
      </c>
      <c r="J489" s="11">
        <v>0</v>
      </c>
      <c r="K489" s="89">
        <f t="shared" si="31"/>
        <v>1107.73</v>
      </c>
      <c r="L489" s="53">
        <v>1107.73</v>
      </c>
      <c r="M489" s="10">
        <f t="shared" si="32"/>
        <v>42.046347034024535</v>
      </c>
    </row>
    <row r="490" spans="1:13" ht="15" hidden="1" customHeight="1" x14ac:dyDescent="0.3">
      <c r="A490" s="9">
        <v>1227</v>
      </c>
      <c r="B490" s="8" t="s">
        <v>173</v>
      </c>
      <c r="C490" s="21">
        <v>44624</v>
      </c>
      <c r="D490" s="22">
        <v>0.46468749999999998</v>
      </c>
      <c r="E490" s="8" t="s">
        <v>26</v>
      </c>
      <c r="F490" s="8" t="s">
        <v>175</v>
      </c>
      <c r="G490" s="8" t="s">
        <v>172</v>
      </c>
      <c r="H490" s="8" t="s">
        <v>163</v>
      </c>
      <c r="I490" s="24">
        <v>330.73</v>
      </c>
      <c r="J490" s="11">
        <v>0</v>
      </c>
      <c r="K490" s="89">
        <f t="shared" si="31"/>
        <v>936.1</v>
      </c>
      <c r="L490" s="53">
        <v>936.1</v>
      </c>
      <c r="M490" s="10">
        <f t="shared" si="32"/>
        <v>35.330627069757504</v>
      </c>
    </row>
    <row r="491" spans="1:13" ht="15" hidden="1" customHeight="1" x14ac:dyDescent="0.3">
      <c r="A491" s="9">
        <v>1228</v>
      </c>
      <c r="B491" s="8" t="s">
        <v>173</v>
      </c>
      <c r="C491" s="21">
        <v>44633</v>
      </c>
      <c r="D491" s="22">
        <v>0.16739583333333333</v>
      </c>
      <c r="E491" s="8" t="s">
        <v>26</v>
      </c>
      <c r="F491" s="8" t="s">
        <v>210</v>
      </c>
      <c r="G491" s="8" t="s">
        <v>211</v>
      </c>
      <c r="H491" s="8" t="s">
        <v>163</v>
      </c>
      <c r="I491" s="8">
        <v>378.77</v>
      </c>
      <c r="J491" s="11">
        <v>0</v>
      </c>
      <c r="K491" s="89">
        <f t="shared" si="31"/>
        <v>889.49</v>
      </c>
      <c r="L491" s="53">
        <v>889.49</v>
      </c>
      <c r="M491" s="10">
        <f t="shared" si="32"/>
        <v>42.582828362319979</v>
      </c>
    </row>
    <row r="492" spans="1:13" ht="15" hidden="1" customHeight="1" x14ac:dyDescent="0.3">
      <c r="A492" s="9">
        <v>1229</v>
      </c>
      <c r="B492" s="8" t="s">
        <v>173</v>
      </c>
      <c r="C492" s="21">
        <v>44634</v>
      </c>
      <c r="D492" s="22">
        <v>3.9664351851851853E-2</v>
      </c>
      <c r="E492" s="8" t="s">
        <v>26</v>
      </c>
      <c r="F492" s="8" t="s">
        <v>210</v>
      </c>
      <c r="G492" s="8" t="s">
        <v>211</v>
      </c>
      <c r="H492" s="8" t="s">
        <v>163</v>
      </c>
      <c r="I492" s="24">
        <v>326.82</v>
      </c>
      <c r="J492" s="7">
        <v>0</v>
      </c>
      <c r="K492" s="90">
        <f t="shared" si="31"/>
        <v>879.98</v>
      </c>
      <c r="L492" s="32">
        <v>879.98</v>
      </c>
      <c r="M492" s="10">
        <f t="shared" si="32"/>
        <v>37.13948044273733</v>
      </c>
    </row>
    <row r="493" spans="1:13" ht="15" hidden="1" customHeight="1" x14ac:dyDescent="0.3">
      <c r="A493" s="9">
        <v>1230</v>
      </c>
      <c r="B493" s="8" t="s">
        <v>173</v>
      </c>
      <c r="C493" s="21">
        <v>44637</v>
      </c>
      <c r="D493" s="22">
        <v>0.78015046296296298</v>
      </c>
      <c r="E493" s="8" t="s">
        <v>26</v>
      </c>
      <c r="F493" s="8" t="s">
        <v>210</v>
      </c>
      <c r="G493" s="8" t="s">
        <v>487</v>
      </c>
      <c r="H493" s="8" t="s">
        <v>163</v>
      </c>
      <c r="I493" s="24">
        <v>668.99</v>
      </c>
      <c r="J493" s="7">
        <v>0</v>
      </c>
      <c r="K493" s="90">
        <f t="shared" si="31"/>
        <v>1837.13</v>
      </c>
      <c r="L493" s="32">
        <v>1837.13</v>
      </c>
      <c r="M493" s="10">
        <f t="shared" si="32"/>
        <v>36.414951582087276</v>
      </c>
    </row>
    <row r="494" spans="1:13" ht="15" hidden="1" customHeight="1" x14ac:dyDescent="0.3">
      <c r="A494" s="9">
        <v>1231</v>
      </c>
      <c r="B494" s="8" t="s">
        <v>173</v>
      </c>
      <c r="C494" s="21">
        <v>44638</v>
      </c>
      <c r="D494" s="22">
        <v>0.69364583333333341</v>
      </c>
      <c r="E494" s="8" t="s">
        <v>26</v>
      </c>
      <c r="F494" s="8" t="s">
        <v>166</v>
      </c>
      <c r="G494" s="8" t="s">
        <v>161</v>
      </c>
      <c r="H494" s="8" t="s">
        <v>163</v>
      </c>
      <c r="I494" s="8">
        <v>425.51</v>
      </c>
      <c r="J494" s="11">
        <v>0</v>
      </c>
      <c r="K494" s="92">
        <f t="shared" si="31"/>
        <v>1201.3399999999999</v>
      </c>
      <c r="L494" s="67">
        <v>1201.3399999999999</v>
      </c>
      <c r="M494" s="10">
        <f t="shared" si="32"/>
        <v>35.419614763514076</v>
      </c>
    </row>
    <row r="495" spans="1:13" ht="15" hidden="1" customHeight="1" x14ac:dyDescent="0.3">
      <c r="A495" s="9">
        <v>1232</v>
      </c>
      <c r="B495" s="8" t="s">
        <v>173</v>
      </c>
      <c r="C495" s="21">
        <v>44641</v>
      </c>
      <c r="D495" s="22">
        <v>0.80432870370370368</v>
      </c>
      <c r="E495" s="8" t="s">
        <v>26</v>
      </c>
      <c r="F495" s="8" t="s">
        <v>197</v>
      </c>
      <c r="G495" s="8" t="s">
        <v>44</v>
      </c>
      <c r="H495" s="8" t="s">
        <v>163</v>
      </c>
      <c r="I495" s="8">
        <v>150.59</v>
      </c>
      <c r="J495" s="11">
        <v>0</v>
      </c>
      <c r="K495" s="89">
        <f t="shared" si="31"/>
        <v>1192.42</v>
      </c>
      <c r="L495" s="53">
        <v>1192.42</v>
      </c>
      <c r="M495" s="10">
        <f t="shared" si="32"/>
        <v>12.62893946763724</v>
      </c>
    </row>
    <row r="496" spans="1:13" ht="15" hidden="1" customHeight="1" x14ac:dyDescent="0.3">
      <c r="A496" s="9">
        <v>1233</v>
      </c>
      <c r="B496" s="8" t="s">
        <v>173</v>
      </c>
      <c r="C496" s="21">
        <v>44642</v>
      </c>
      <c r="D496" s="22">
        <v>0.14710648148148148</v>
      </c>
      <c r="E496" s="8" t="s">
        <v>26</v>
      </c>
      <c r="F496" s="8" t="s">
        <v>210</v>
      </c>
      <c r="G496" s="8" t="s">
        <v>487</v>
      </c>
      <c r="H496" s="8" t="s">
        <v>163</v>
      </c>
      <c r="I496" s="8">
        <v>512.33000000000004</v>
      </c>
      <c r="J496" s="11">
        <v>0</v>
      </c>
      <c r="K496" s="89">
        <f t="shared" si="31"/>
        <v>501.32</v>
      </c>
      <c r="L496" s="53">
        <v>501.32</v>
      </c>
      <c r="M496" s="10">
        <f t="shared" si="32"/>
        <v>102.19620202664966</v>
      </c>
    </row>
    <row r="497" spans="1:20" ht="15" hidden="1" customHeight="1" x14ac:dyDescent="0.3">
      <c r="A497" s="9">
        <v>1234</v>
      </c>
      <c r="B497" s="8" t="s">
        <v>173</v>
      </c>
      <c r="C497" s="21">
        <v>44643</v>
      </c>
      <c r="D497" s="22">
        <v>0.9544907407407407</v>
      </c>
      <c r="E497" s="8" t="s">
        <v>26</v>
      </c>
      <c r="F497" s="8" t="s">
        <v>210</v>
      </c>
      <c r="G497" s="8" t="s">
        <v>211</v>
      </c>
      <c r="H497" s="8" t="s">
        <v>163</v>
      </c>
      <c r="I497" s="8">
        <v>407.16</v>
      </c>
      <c r="J497" s="11">
        <v>0</v>
      </c>
      <c r="K497" s="89">
        <f t="shared" si="31"/>
        <v>948.5</v>
      </c>
      <c r="L497" s="53">
        <v>948.5</v>
      </c>
      <c r="M497" s="10">
        <f t="shared" si="32"/>
        <v>42.926726410121248</v>
      </c>
    </row>
    <row r="498" spans="1:20" ht="15" hidden="1" customHeight="1" x14ac:dyDescent="0.3">
      <c r="A498" s="9">
        <v>1235</v>
      </c>
      <c r="B498" s="8" t="s">
        <v>173</v>
      </c>
      <c r="C498" s="21">
        <v>44645</v>
      </c>
      <c r="D498" s="22">
        <v>0.72120370370370368</v>
      </c>
      <c r="E498" s="8" t="s">
        <v>26</v>
      </c>
      <c r="F498" s="8" t="s">
        <v>210</v>
      </c>
      <c r="G498" s="8" t="s">
        <v>487</v>
      </c>
      <c r="H498" s="8" t="s">
        <v>163</v>
      </c>
      <c r="I498" s="8">
        <v>637.01</v>
      </c>
      <c r="J498" s="11">
        <v>0</v>
      </c>
      <c r="K498" s="89">
        <f t="shared" si="31"/>
        <v>1545.87</v>
      </c>
      <c r="L498" s="53">
        <v>1545.87</v>
      </c>
      <c r="M498" s="10">
        <f t="shared" si="32"/>
        <v>41.20721664823045</v>
      </c>
    </row>
    <row r="499" spans="1:20" ht="15" hidden="1" customHeight="1" x14ac:dyDescent="0.3">
      <c r="A499" s="9">
        <v>1236</v>
      </c>
      <c r="B499" s="8" t="s">
        <v>173</v>
      </c>
      <c r="C499" s="21">
        <v>44646</v>
      </c>
      <c r="D499" s="22">
        <v>0.81690972222222225</v>
      </c>
      <c r="E499" s="8" t="s">
        <v>26</v>
      </c>
      <c r="F499" s="8" t="s">
        <v>210</v>
      </c>
      <c r="G499" s="8" t="s">
        <v>211</v>
      </c>
      <c r="H499" s="8" t="s">
        <v>163</v>
      </c>
      <c r="I499" s="24">
        <v>408.25</v>
      </c>
      <c r="J499" s="7">
        <v>0</v>
      </c>
      <c r="K499" s="89">
        <f t="shared" si="31"/>
        <v>1121.9100000000001</v>
      </c>
      <c r="L499" s="32">
        <v>1121.9100000000001</v>
      </c>
      <c r="M499" s="10">
        <f t="shared" si="32"/>
        <v>36.388836894225022</v>
      </c>
    </row>
    <row r="500" spans="1:20" ht="15" hidden="1" customHeight="1" x14ac:dyDescent="0.3">
      <c r="A500" s="9">
        <v>1237</v>
      </c>
      <c r="B500" s="8" t="s">
        <v>173</v>
      </c>
      <c r="C500" s="21">
        <v>44649</v>
      </c>
      <c r="D500" s="22">
        <v>0.82689814814814822</v>
      </c>
      <c r="E500" s="8" t="s">
        <v>26</v>
      </c>
      <c r="F500" s="8" t="s">
        <v>210</v>
      </c>
      <c r="G500" s="8" t="s">
        <v>487</v>
      </c>
      <c r="H500" s="8" t="s">
        <v>163</v>
      </c>
      <c r="I500" s="24">
        <f>104.02+622.24</f>
        <v>726.26</v>
      </c>
      <c r="J500" s="30">
        <v>0</v>
      </c>
      <c r="K500" s="89">
        <f t="shared" si="31"/>
        <v>1800.53</v>
      </c>
      <c r="L500" s="67">
        <v>1800.53</v>
      </c>
      <c r="M500" s="10">
        <f t="shared" si="32"/>
        <v>40.335901095788465</v>
      </c>
    </row>
    <row r="501" spans="1:20" ht="15" hidden="1" customHeight="1" x14ac:dyDescent="0.3">
      <c r="A501" s="9">
        <v>1238</v>
      </c>
      <c r="B501" s="8" t="s">
        <v>173</v>
      </c>
      <c r="C501" s="21">
        <v>44651</v>
      </c>
      <c r="D501" s="22">
        <v>0.66857638888888893</v>
      </c>
      <c r="E501" s="8" t="s">
        <v>26</v>
      </c>
      <c r="F501" s="8" t="s">
        <v>210</v>
      </c>
      <c r="G501" s="8" t="s">
        <v>211</v>
      </c>
      <c r="H501" s="8" t="s">
        <v>163</v>
      </c>
      <c r="I501" s="8">
        <v>438.41</v>
      </c>
      <c r="J501" s="11">
        <v>0</v>
      </c>
      <c r="K501" s="89">
        <f t="shared" si="31"/>
        <v>769.31</v>
      </c>
      <c r="L501" s="53">
        <v>769.31</v>
      </c>
      <c r="M501" s="10">
        <f t="shared" si="32"/>
        <v>56.987430294679655</v>
      </c>
    </row>
    <row r="502" spans="1:20" ht="15" hidden="1" customHeight="1" x14ac:dyDescent="0.3">
      <c r="B502" s="8" t="s">
        <v>249</v>
      </c>
      <c r="C502" s="21">
        <v>44680</v>
      </c>
      <c r="D502" s="22">
        <v>0.82491898148148157</v>
      </c>
      <c r="E502" s="8" t="s">
        <v>580</v>
      </c>
      <c r="F502" s="8" t="s">
        <v>459</v>
      </c>
      <c r="G502" s="8" t="s">
        <v>303</v>
      </c>
      <c r="H502" s="8" t="s">
        <v>440</v>
      </c>
      <c r="I502" s="8">
        <v>500</v>
      </c>
      <c r="J502" s="11">
        <v>0</v>
      </c>
      <c r="K502" s="89">
        <f t="shared" si="31"/>
        <v>1511</v>
      </c>
      <c r="L502" s="53">
        <v>1511</v>
      </c>
      <c r="M502" s="10">
        <f>I502/L502*100</f>
        <v>33.090668431502316</v>
      </c>
      <c r="O502" s="4" t="s">
        <v>51</v>
      </c>
      <c r="R502" s="18" t="s">
        <v>149</v>
      </c>
      <c r="S502" s="12"/>
      <c r="T502"/>
    </row>
    <row r="503" spans="1:20" ht="15" hidden="1" customHeight="1" x14ac:dyDescent="0.3">
      <c r="B503" s="8" t="s">
        <v>421</v>
      </c>
      <c r="C503" s="21">
        <v>44680</v>
      </c>
      <c r="D503" s="22">
        <v>0.54769675925925931</v>
      </c>
      <c r="E503" s="8" t="s">
        <v>580</v>
      </c>
      <c r="F503" s="8" t="s">
        <v>165</v>
      </c>
      <c r="G503" s="8" t="s">
        <v>185</v>
      </c>
      <c r="H503" s="8" t="s">
        <v>422</v>
      </c>
      <c r="I503" s="8">
        <v>217.2</v>
      </c>
      <c r="J503" s="53">
        <v>0</v>
      </c>
      <c r="K503" s="89">
        <f t="shared" si="31"/>
        <v>514.96</v>
      </c>
      <c r="L503" s="11">
        <v>514.96</v>
      </c>
      <c r="M503" s="10">
        <f>I503/L503*100</f>
        <v>42.178033245300597</v>
      </c>
      <c r="O503" s="4" t="s">
        <v>70</v>
      </c>
      <c r="R503" s="4" t="s">
        <v>152</v>
      </c>
      <c r="S503" s="12"/>
      <c r="T503"/>
    </row>
    <row r="504" spans="1:20" ht="15" hidden="1" customHeight="1" x14ac:dyDescent="0.3">
      <c r="B504" s="8" t="s">
        <v>400</v>
      </c>
      <c r="C504" s="21">
        <v>44589</v>
      </c>
      <c r="D504" s="22">
        <v>0.59616898148148145</v>
      </c>
      <c r="E504" s="8" t="s">
        <v>24</v>
      </c>
      <c r="F504" s="8" t="s">
        <v>175</v>
      </c>
      <c r="G504" s="8" t="s">
        <v>172</v>
      </c>
      <c r="H504" s="8" t="s">
        <v>108</v>
      </c>
      <c r="I504" s="8">
        <v>458.48</v>
      </c>
      <c r="J504" s="11">
        <v>420661</v>
      </c>
      <c r="K504" s="11">
        <f t="shared" si="31"/>
        <v>1281</v>
      </c>
      <c r="L504" s="11">
        <v>421942</v>
      </c>
      <c r="M504" s="10">
        <f t="shared" ref="M504:M550" si="33">I504/K504*100</f>
        <v>35.79078844652615</v>
      </c>
    </row>
    <row r="505" spans="1:20" ht="15" hidden="1" customHeight="1" x14ac:dyDescent="0.3">
      <c r="B505" s="8" t="s">
        <v>400</v>
      </c>
      <c r="C505" s="21">
        <v>44590</v>
      </c>
      <c r="D505" s="22">
        <v>0.93484953703703699</v>
      </c>
      <c r="E505" s="8" t="s">
        <v>24</v>
      </c>
      <c r="F505" s="8" t="s">
        <v>210</v>
      </c>
      <c r="G505" s="8" t="s">
        <v>211</v>
      </c>
      <c r="H505" s="8" t="s">
        <v>108</v>
      </c>
      <c r="I505" s="8">
        <v>367.49</v>
      </c>
      <c r="J505" s="11">
        <v>421942</v>
      </c>
      <c r="K505" s="11">
        <f t="shared" si="31"/>
        <v>859</v>
      </c>
      <c r="L505" s="11">
        <v>422801</v>
      </c>
      <c r="M505" s="10">
        <f t="shared" si="33"/>
        <v>42.781140861466824</v>
      </c>
    </row>
    <row r="506" spans="1:20" ht="15" hidden="1" customHeight="1" x14ac:dyDescent="0.3">
      <c r="B506" s="8" t="s">
        <v>400</v>
      </c>
      <c r="C506" s="21">
        <v>44591</v>
      </c>
      <c r="D506" s="22">
        <v>0.86026620370370377</v>
      </c>
      <c r="E506" s="8" t="s">
        <v>24</v>
      </c>
      <c r="F506" s="8" t="s">
        <v>340</v>
      </c>
      <c r="G506" s="8" t="s">
        <v>337</v>
      </c>
      <c r="H506" s="8" t="s">
        <v>108</v>
      </c>
      <c r="I506" s="24">
        <v>467.23</v>
      </c>
      <c r="J506" s="7">
        <v>422801</v>
      </c>
      <c r="K506" s="11">
        <f t="shared" si="31"/>
        <v>1357</v>
      </c>
      <c r="L506" s="7">
        <v>424158</v>
      </c>
      <c r="M506" s="10">
        <f t="shared" si="33"/>
        <v>34.43109801031688</v>
      </c>
    </row>
    <row r="507" spans="1:20" ht="15" hidden="1" customHeight="1" x14ac:dyDescent="0.3">
      <c r="A507" s="9">
        <v>871</v>
      </c>
      <c r="B507" s="8" t="s">
        <v>400</v>
      </c>
      <c r="C507" s="21">
        <v>44594</v>
      </c>
      <c r="D507" s="22">
        <v>0.43605324074074076</v>
      </c>
      <c r="E507" s="8" t="s">
        <v>25</v>
      </c>
      <c r="F507" s="8" t="s">
        <v>210</v>
      </c>
      <c r="G507" s="8" t="s">
        <v>211</v>
      </c>
      <c r="H507" s="8" t="s">
        <v>108</v>
      </c>
      <c r="I507" s="8">
        <v>526.77</v>
      </c>
      <c r="J507" s="67">
        <v>424158</v>
      </c>
      <c r="K507" s="53">
        <f t="shared" ref="K507:K538" si="34">+L507-J507</f>
        <v>1409</v>
      </c>
      <c r="L507" s="30">
        <v>425567</v>
      </c>
      <c r="M507" s="10">
        <f t="shared" si="33"/>
        <v>37.386089425124204</v>
      </c>
    </row>
    <row r="508" spans="1:20" ht="15" hidden="1" customHeight="1" x14ac:dyDescent="0.3">
      <c r="A508" s="9">
        <v>872</v>
      </c>
      <c r="B508" s="8" t="s">
        <v>400</v>
      </c>
      <c r="C508" s="21">
        <v>44595</v>
      </c>
      <c r="D508" s="22">
        <v>0.70458333333333334</v>
      </c>
      <c r="E508" s="8" t="s">
        <v>25</v>
      </c>
      <c r="F508" s="8" t="s">
        <v>175</v>
      </c>
      <c r="G508" s="8" t="s">
        <v>172</v>
      </c>
      <c r="H508" s="8" t="s">
        <v>108</v>
      </c>
      <c r="I508" s="8">
        <v>334.38</v>
      </c>
      <c r="J508" s="11">
        <v>425567</v>
      </c>
      <c r="K508" s="11">
        <f t="shared" si="34"/>
        <v>987</v>
      </c>
      <c r="L508" s="11">
        <v>426554</v>
      </c>
      <c r="M508" s="10">
        <f t="shared" si="33"/>
        <v>33.878419452887535</v>
      </c>
    </row>
    <row r="509" spans="1:20" ht="15" hidden="1" customHeight="1" x14ac:dyDescent="0.3">
      <c r="A509" s="9">
        <v>873</v>
      </c>
      <c r="B509" s="8" t="s">
        <v>400</v>
      </c>
      <c r="C509" s="21">
        <v>44596</v>
      </c>
      <c r="D509" s="22">
        <v>0.89825231481481482</v>
      </c>
      <c r="E509" s="8" t="s">
        <v>25</v>
      </c>
      <c r="F509" s="8" t="s">
        <v>210</v>
      </c>
      <c r="G509" s="8" t="s">
        <v>211</v>
      </c>
      <c r="H509" s="8" t="s">
        <v>108</v>
      </c>
      <c r="I509" s="24">
        <v>381.28</v>
      </c>
      <c r="J509" s="32">
        <v>426554</v>
      </c>
      <c r="K509" s="53">
        <f t="shared" si="34"/>
        <v>848</v>
      </c>
      <c r="L509" s="7">
        <v>427402</v>
      </c>
      <c r="M509" s="10">
        <f t="shared" si="33"/>
        <v>44.96226415094339</v>
      </c>
    </row>
    <row r="510" spans="1:20" ht="15" hidden="1" customHeight="1" x14ac:dyDescent="0.3">
      <c r="A510" s="9">
        <v>874</v>
      </c>
      <c r="B510" s="8" t="s">
        <v>400</v>
      </c>
      <c r="C510" s="21">
        <v>44598</v>
      </c>
      <c r="D510" s="22">
        <v>0.19171296296296295</v>
      </c>
      <c r="E510" s="8" t="s">
        <v>25</v>
      </c>
      <c r="F510" s="8" t="s">
        <v>210</v>
      </c>
      <c r="G510" s="8" t="s">
        <v>211</v>
      </c>
      <c r="H510" s="8" t="s">
        <v>108</v>
      </c>
      <c r="I510" s="24">
        <v>421.06</v>
      </c>
      <c r="J510" s="32">
        <v>427402</v>
      </c>
      <c r="K510" s="53">
        <f t="shared" si="34"/>
        <v>1544</v>
      </c>
      <c r="L510" s="7">
        <v>428946</v>
      </c>
      <c r="M510" s="10">
        <f t="shared" si="33"/>
        <v>27.270725388601036</v>
      </c>
    </row>
    <row r="511" spans="1:20" ht="15" hidden="1" customHeight="1" x14ac:dyDescent="0.3">
      <c r="A511" s="9">
        <v>875</v>
      </c>
      <c r="B511" s="8" t="s">
        <v>400</v>
      </c>
      <c r="C511" s="21">
        <v>44600</v>
      </c>
      <c r="D511" s="22">
        <v>0.26726851851851852</v>
      </c>
      <c r="E511" s="8" t="s">
        <v>25</v>
      </c>
      <c r="F511" s="8" t="s">
        <v>210</v>
      </c>
      <c r="G511" s="8" t="s">
        <v>211</v>
      </c>
      <c r="H511" s="8" t="s">
        <v>108</v>
      </c>
      <c r="I511" s="24">
        <v>661.54</v>
      </c>
      <c r="J511" s="32">
        <v>428946</v>
      </c>
      <c r="K511" s="53">
        <f t="shared" si="34"/>
        <v>1242</v>
      </c>
      <c r="L511" s="7">
        <v>430188</v>
      </c>
      <c r="M511" s="10">
        <f t="shared" si="33"/>
        <v>53.264090177133653</v>
      </c>
    </row>
    <row r="512" spans="1:20" ht="15" hidden="1" customHeight="1" x14ac:dyDescent="0.3">
      <c r="A512" s="9">
        <v>876</v>
      </c>
      <c r="B512" s="8" t="s">
        <v>400</v>
      </c>
      <c r="C512" s="21">
        <v>44602</v>
      </c>
      <c r="D512" s="22">
        <v>0.40759259259259256</v>
      </c>
      <c r="E512" s="8" t="s">
        <v>25</v>
      </c>
      <c r="F512" s="8" t="s">
        <v>210</v>
      </c>
      <c r="G512" s="8" t="s">
        <v>211</v>
      </c>
      <c r="H512" s="8" t="s">
        <v>108</v>
      </c>
      <c r="I512" s="24">
        <v>405.8</v>
      </c>
      <c r="J512" s="7">
        <v>0</v>
      </c>
      <c r="K512" s="11">
        <f t="shared" si="34"/>
        <v>948.41</v>
      </c>
      <c r="L512" s="32">
        <v>948.41</v>
      </c>
      <c r="M512" s="10">
        <f t="shared" si="33"/>
        <v>42.787402072943138</v>
      </c>
    </row>
    <row r="513" spans="1:13" ht="15" hidden="1" customHeight="1" x14ac:dyDescent="0.3">
      <c r="A513" s="9">
        <v>877</v>
      </c>
      <c r="B513" s="8" t="s">
        <v>400</v>
      </c>
      <c r="C513" s="21">
        <v>44603</v>
      </c>
      <c r="D513" s="22">
        <v>0.60627314814814814</v>
      </c>
      <c r="E513" s="8" t="s">
        <v>25</v>
      </c>
      <c r="F513" s="8" t="s">
        <v>175</v>
      </c>
      <c r="G513" s="8" t="s">
        <v>172</v>
      </c>
      <c r="H513" s="8" t="s">
        <v>108</v>
      </c>
      <c r="I513" s="24">
        <v>387.24</v>
      </c>
      <c r="J513" s="31">
        <v>0</v>
      </c>
      <c r="K513" s="11">
        <f t="shared" si="34"/>
        <v>1012.35</v>
      </c>
      <c r="L513" s="31">
        <v>1012.35</v>
      </c>
      <c r="M513" s="10">
        <f t="shared" si="33"/>
        <v>38.25159282856719</v>
      </c>
    </row>
    <row r="514" spans="1:13" ht="15" hidden="1" customHeight="1" x14ac:dyDescent="0.3">
      <c r="A514" s="9">
        <v>878</v>
      </c>
      <c r="B514" s="8" t="s">
        <v>400</v>
      </c>
      <c r="C514" s="21">
        <v>44604</v>
      </c>
      <c r="D514" s="22">
        <v>0.35792824074074076</v>
      </c>
      <c r="E514" s="8" t="s">
        <v>25</v>
      </c>
      <c r="F514" s="8" t="s">
        <v>210</v>
      </c>
      <c r="G514" s="8" t="s">
        <v>211</v>
      </c>
      <c r="H514" s="8" t="s">
        <v>108</v>
      </c>
      <c r="I514" s="24">
        <v>395.89</v>
      </c>
      <c r="J514" s="7">
        <v>0</v>
      </c>
      <c r="K514" s="11">
        <f t="shared" si="34"/>
        <v>713.88</v>
      </c>
      <c r="L514" s="7">
        <v>713.88</v>
      </c>
      <c r="M514" s="10">
        <f t="shared" si="33"/>
        <v>55.456099064268507</v>
      </c>
    </row>
    <row r="515" spans="1:13" ht="15" hidden="1" customHeight="1" x14ac:dyDescent="0.3">
      <c r="A515" s="9">
        <v>879</v>
      </c>
      <c r="B515" s="8" t="s">
        <v>400</v>
      </c>
      <c r="C515" s="21">
        <v>44606</v>
      </c>
      <c r="D515" s="22">
        <v>0.6164236111111111</v>
      </c>
      <c r="E515" s="8" t="s">
        <v>25</v>
      </c>
      <c r="F515" s="8" t="s">
        <v>340</v>
      </c>
      <c r="G515" s="8" t="s">
        <v>337</v>
      </c>
      <c r="H515" s="8" t="s">
        <v>108</v>
      </c>
      <c r="I515" s="8">
        <v>514.66999999999996</v>
      </c>
      <c r="J515" s="7">
        <v>0</v>
      </c>
      <c r="K515" s="11">
        <f t="shared" si="34"/>
        <v>1298.71</v>
      </c>
      <c r="L515" s="30">
        <v>1298.71</v>
      </c>
      <c r="M515" s="10">
        <f t="shared" si="33"/>
        <v>39.629324483525956</v>
      </c>
    </row>
    <row r="516" spans="1:13" ht="15" hidden="1" customHeight="1" x14ac:dyDescent="0.3">
      <c r="A516" s="9">
        <v>880</v>
      </c>
      <c r="B516" s="8" t="s">
        <v>400</v>
      </c>
      <c r="C516" s="21">
        <v>44608</v>
      </c>
      <c r="D516" s="22">
        <v>4.9212962962962958E-2</v>
      </c>
      <c r="E516" s="8" t="s">
        <v>25</v>
      </c>
      <c r="F516" s="8" t="s">
        <v>210</v>
      </c>
      <c r="G516" s="8" t="s">
        <v>211</v>
      </c>
      <c r="H516" s="8" t="s">
        <v>108</v>
      </c>
      <c r="I516" s="8">
        <v>511.55</v>
      </c>
      <c r="J516" s="29">
        <v>0</v>
      </c>
      <c r="K516" s="11">
        <f t="shared" si="34"/>
        <v>1292.6199999999999</v>
      </c>
      <c r="L516" s="55">
        <v>1292.6199999999999</v>
      </c>
      <c r="M516" s="10">
        <f t="shared" si="33"/>
        <v>39.574662313750366</v>
      </c>
    </row>
    <row r="517" spans="1:13" ht="15" hidden="1" customHeight="1" x14ac:dyDescent="0.3">
      <c r="A517" s="9">
        <v>881</v>
      </c>
      <c r="B517" s="8" t="s">
        <v>400</v>
      </c>
      <c r="C517" s="21">
        <v>44609</v>
      </c>
      <c r="D517" s="22">
        <v>0.87275462962962969</v>
      </c>
      <c r="E517" s="8" t="s">
        <v>25</v>
      </c>
      <c r="F517" s="8" t="s">
        <v>210</v>
      </c>
      <c r="G517" s="8" t="s">
        <v>211</v>
      </c>
      <c r="H517" s="8" t="s">
        <v>108</v>
      </c>
      <c r="I517" s="8">
        <v>704.1</v>
      </c>
      <c r="J517" s="7">
        <v>0</v>
      </c>
      <c r="K517" s="11">
        <f t="shared" si="34"/>
        <v>1690.11</v>
      </c>
      <c r="L517" s="32">
        <v>1690.11</v>
      </c>
      <c r="M517" s="10">
        <f t="shared" si="33"/>
        <v>41.660010295187895</v>
      </c>
    </row>
    <row r="518" spans="1:13" ht="15" hidden="1" customHeight="1" x14ac:dyDescent="0.3">
      <c r="A518" s="9">
        <v>882</v>
      </c>
      <c r="B518" s="8" t="s">
        <v>400</v>
      </c>
      <c r="C518" s="21">
        <v>44613</v>
      </c>
      <c r="D518" s="22">
        <v>0.82359953703703714</v>
      </c>
      <c r="E518" s="8" t="s">
        <v>25</v>
      </c>
      <c r="F518" s="8" t="s">
        <v>210</v>
      </c>
      <c r="G518" s="8" t="s">
        <v>211</v>
      </c>
      <c r="H518" s="8" t="s">
        <v>108</v>
      </c>
      <c r="I518" s="24">
        <v>444.11</v>
      </c>
      <c r="J518" s="7">
        <v>0</v>
      </c>
      <c r="K518" s="11">
        <f t="shared" si="34"/>
        <v>881.22</v>
      </c>
      <c r="L518" s="31">
        <v>881.22</v>
      </c>
      <c r="M518" s="10">
        <f t="shared" si="33"/>
        <v>50.397176641474317</v>
      </c>
    </row>
    <row r="519" spans="1:13" ht="15" hidden="1" customHeight="1" x14ac:dyDescent="0.3">
      <c r="A519" s="9">
        <v>2021</v>
      </c>
      <c r="B519" s="8" t="s">
        <v>400</v>
      </c>
      <c r="C519" s="21">
        <v>44623</v>
      </c>
      <c r="D519" s="22">
        <v>0.89228009259259267</v>
      </c>
      <c r="E519" s="8" t="s">
        <v>26</v>
      </c>
      <c r="F519" s="8" t="s">
        <v>197</v>
      </c>
      <c r="G519" s="8" t="s">
        <v>44</v>
      </c>
      <c r="H519" s="8" t="s">
        <v>108</v>
      </c>
      <c r="I519" s="8">
        <v>100.01</v>
      </c>
      <c r="J519" s="30">
        <v>0</v>
      </c>
      <c r="K519" s="89">
        <f t="shared" si="34"/>
        <v>979.99</v>
      </c>
      <c r="L519" s="32">
        <v>979.99</v>
      </c>
      <c r="M519" s="10">
        <f t="shared" si="33"/>
        <v>10.20520617557322</v>
      </c>
    </row>
    <row r="520" spans="1:13" ht="15" hidden="1" customHeight="1" x14ac:dyDescent="0.3">
      <c r="A520" s="9">
        <v>2022</v>
      </c>
      <c r="B520" s="8" t="s">
        <v>400</v>
      </c>
      <c r="C520" s="21">
        <v>44624</v>
      </c>
      <c r="D520" s="22">
        <v>0.25870370370370371</v>
      </c>
      <c r="E520" s="8" t="s">
        <v>26</v>
      </c>
      <c r="F520" s="8" t="s">
        <v>210</v>
      </c>
      <c r="G520" s="8" t="s">
        <v>211</v>
      </c>
      <c r="H520" s="8" t="s">
        <v>108</v>
      </c>
      <c r="I520" s="8">
        <v>628.89</v>
      </c>
      <c r="J520" s="11">
        <v>0</v>
      </c>
      <c r="K520" s="89">
        <f t="shared" si="34"/>
        <v>473.18</v>
      </c>
      <c r="L520" s="53">
        <v>473.18</v>
      </c>
      <c r="M520" s="10">
        <f t="shared" si="33"/>
        <v>132.90713893233018</v>
      </c>
    </row>
    <row r="521" spans="1:13" ht="15" hidden="1" customHeight="1" x14ac:dyDescent="0.3">
      <c r="A521" s="9">
        <v>2023</v>
      </c>
      <c r="B521" s="8" t="s">
        <v>400</v>
      </c>
      <c r="C521" s="21">
        <v>44625</v>
      </c>
      <c r="D521" s="22">
        <v>4.3252314814814813E-2</v>
      </c>
      <c r="E521" s="8" t="s">
        <v>26</v>
      </c>
      <c r="F521" s="8" t="s">
        <v>210</v>
      </c>
      <c r="G521" s="8" t="s">
        <v>211</v>
      </c>
      <c r="H521" s="8" t="s">
        <v>108</v>
      </c>
      <c r="I521" s="8">
        <v>415.16</v>
      </c>
      <c r="J521" s="11">
        <v>0</v>
      </c>
      <c r="K521" s="89">
        <f t="shared" si="34"/>
        <v>1162.3699999999999</v>
      </c>
      <c r="L521" s="53">
        <v>1162.3699999999999</v>
      </c>
      <c r="M521" s="10">
        <f t="shared" si="33"/>
        <v>35.716682295654572</v>
      </c>
    </row>
    <row r="522" spans="1:13" ht="15" hidden="1" customHeight="1" x14ac:dyDescent="0.3">
      <c r="A522" s="9">
        <v>2024</v>
      </c>
      <c r="B522" s="8" t="s">
        <v>400</v>
      </c>
      <c r="C522" s="21">
        <v>44629</v>
      </c>
      <c r="D522" s="22">
        <v>0.30331018518518521</v>
      </c>
      <c r="E522" s="8" t="s">
        <v>26</v>
      </c>
      <c r="F522" s="8" t="s">
        <v>210</v>
      </c>
      <c r="G522" s="8" t="s">
        <v>211</v>
      </c>
      <c r="H522" s="8" t="s">
        <v>108</v>
      </c>
      <c r="I522" s="8">
        <v>730.21</v>
      </c>
      <c r="J522" s="11">
        <v>0</v>
      </c>
      <c r="K522" s="89">
        <f t="shared" si="34"/>
        <v>1900</v>
      </c>
      <c r="L522" s="53">
        <v>1900</v>
      </c>
      <c r="M522" s="10">
        <f t="shared" si="33"/>
        <v>38.432105263157894</v>
      </c>
    </row>
    <row r="523" spans="1:13" ht="15" hidden="1" customHeight="1" x14ac:dyDescent="0.3">
      <c r="A523" s="9">
        <v>2025</v>
      </c>
      <c r="B523" s="8" t="s">
        <v>400</v>
      </c>
      <c r="C523" s="21">
        <v>44631</v>
      </c>
      <c r="D523" s="22">
        <v>3.8101851851851852E-2</v>
      </c>
      <c r="E523" s="8" t="s">
        <v>26</v>
      </c>
      <c r="F523" s="8" t="s">
        <v>210</v>
      </c>
      <c r="G523" s="8" t="s">
        <v>211</v>
      </c>
      <c r="H523" s="8" t="s">
        <v>108</v>
      </c>
      <c r="I523" s="8">
        <v>507.82</v>
      </c>
      <c r="J523" s="11">
        <v>0</v>
      </c>
      <c r="K523" s="89">
        <f t="shared" si="34"/>
        <v>1300</v>
      </c>
      <c r="L523" s="53">
        <v>1300</v>
      </c>
      <c r="M523" s="10">
        <f t="shared" si="33"/>
        <v>39.06307692307692</v>
      </c>
    </row>
    <row r="524" spans="1:13" ht="15" hidden="1" customHeight="1" x14ac:dyDescent="0.3">
      <c r="A524" s="9">
        <v>2026</v>
      </c>
      <c r="B524" s="8" t="s">
        <v>400</v>
      </c>
      <c r="C524" s="21">
        <v>44633</v>
      </c>
      <c r="D524" s="22">
        <v>0.16501157407407407</v>
      </c>
      <c r="E524" s="8" t="s">
        <v>26</v>
      </c>
      <c r="F524" s="8" t="s">
        <v>210</v>
      </c>
      <c r="G524" s="8" t="s">
        <v>211</v>
      </c>
      <c r="H524" s="8" t="s">
        <v>108</v>
      </c>
      <c r="I524" s="8">
        <v>709.71</v>
      </c>
      <c r="J524" s="11">
        <v>0</v>
      </c>
      <c r="K524" s="89">
        <f t="shared" si="34"/>
        <v>1800</v>
      </c>
      <c r="L524" s="53">
        <v>1800</v>
      </c>
      <c r="M524" s="10">
        <f t="shared" si="33"/>
        <v>39.428333333333335</v>
      </c>
    </row>
    <row r="525" spans="1:13" ht="15" hidden="1" customHeight="1" x14ac:dyDescent="0.3">
      <c r="A525" s="9">
        <v>2027</v>
      </c>
      <c r="B525" s="8" t="s">
        <v>400</v>
      </c>
      <c r="C525" s="21">
        <v>44634</v>
      </c>
      <c r="D525" s="22">
        <v>3.8101851851851852E-2</v>
      </c>
      <c r="E525" s="8" t="s">
        <v>26</v>
      </c>
      <c r="F525" s="8" t="s">
        <v>210</v>
      </c>
      <c r="G525" s="8" t="s">
        <v>211</v>
      </c>
      <c r="H525" s="8" t="s">
        <v>108</v>
      </c>
      <c r="I525" s="24">
        <v>340.16</v>
      </c>
      <c r="J525" s="11">
        <v>0</v>
      </c>
      <c r="K525" s="89">
        <f t="shared" si="34"/>
        <v>823.92</v>
      </c>
      <c r="L525" s="53">
        <v>823.92</v>
      </c>
      <c r="M525" s="10">
        <f t="shared" si="33"/>
        <v>41.285561705019909</v>
      </c>
    </row>
    <row r="526" spans="1:13" ht="15" hidden="1" customHeight="1" x14ac:dyDescent="0.3">
      <c r="A526" s="9">
        <v>2028</v>
      </c>
      <c r="B526" s="8" t="s">
        <v>400</v>
      </c>
      <c r="C526" s="21">
        <v>44637</v>
      </c>
      <c r="D526" s="22">
        <v>0.77633101851851849</v>
      </c>
      <c r="E526" s="8" t="s">
        <v>26</v>
      </c>
      <c r="F526" s="8" t="s">
        <v>210</v>
      </c>
      <c r="G526" s="8" t="s">
        <v>487</v>
      </c>
      <c r="H526" s="8" t="s">
        <v>108</v>
      </c>
      <c r="I526" s="8">
        <v>686.74</v>
      </c>
      <c r="J526" s="11">
        <v>0</v>
      </c>
      <c r="K526" s="89">
        <f t="shared" si="34"/>
        <v>1700.7</v>
      </c>
      <c r="L526" s="53">
        <v>1700.7</v>
      </c>
      <c r="M526" s="10">
        <f t="shared" si="33"/>
        <v>40.379843593814314</v>
      </c>
    </row>
    <row r="527" spans="1:13" ht="15" hidden="1" customHeight="1" x14ac:dyDescent="0.3">
      <c r="A527" s="9">
        <v>2029</v>
      </c>
      <c r="B527" s="8" t="s">
        <v>400</v>
      </c>
      <c r="C527" s="21">
        <v>44638</v>
      </c>
      <c r="D527" s="22">
        <v>0.69853009259259258</v>
      </c>
      <c r="E527" s="8" t="s">
        <v>26</v>
      </c>
      <c r="F527" s="8" t="s">
        <v>166</v>
      </c>
      <c r="G527" s="8" t="s">
        <v>161</v>
      </c>
      <c r="H527" s="8" t="s">
        <v>108</v>
      </c>
      <c r="I527" s="8">
        <v>465.02</v>
      </c>
      <c r="J527" s="11">
        <v>0</v>
      </c>
      <c r="K527" s="89">
        <f t="shared" si="34"/>
        <v>1200.5899999999999</v>
      </c>
      <c r="L527" s="53">
        <v>1200.5899999999999</v>
      </c>
      <c r="M527" s="10">
        <f t="shared" si="33"/>
        <v>38.732623126962579</v>
      </c>
    </row>
    <row r="528" spans="1:13" ht="15" hidden="1" customHeight="1" x14ac:dyDescent="0.3">
      <c r="A528" s="9">
        <v>2030</v>
      </c>
      <c r="B528" s="8" t="s">
        <v>400</v>
      </c>
      <c r="C528" s="21">
        <v>44641</v>
      </c>
      <c r="D528" s="22">
        <v>0.80541666666666656</v>
      </c>
      <c r="E528" s="8" t="s">
        <v>26</v>
      </c>
      <c r="F528" s="8" t="s">
        <v>197</v>
      </c>
      <c r="G528" s="8" t="s">
        <v>44</v>
      </c>
      <c r="H528" s="8" t="s">
        <v>108</v>
      </c>
      <c r="I528" s="24">
        <v>150.58000000000001</v>
      </c>
      <c r="J528" s="11">
        <v>0</v>
      </c>
      <c r="K528" s="89">
        <f t="shared" si="34"/>
        <v>1124.29</v>
      </c>
      <c r="L528" s="53">
        <v>1124.29</v>
      </c>
      <c r="M528" s="10">
        <f t="shared" si="33"/>
        <v>13.393341575572141</v>
      </c>
    </row>
    <row r="529" spans="1:13" ht="15" hidden="1" customHeight="1" x14ac:dyDescent="0.3">
      <c r="A529" s="9">
        <v>2031</v>
      </c>
      <c r="B529" s="8" t="s">
        <v>400</v>
      </c>
      <c r="C529" s="21">
        <v>44642</v>
      </c>
      <c r="D529" s="22">
        <v>0.15373842592592593</v>
      </c>
      <c r="E529" s="8" t="s">
        <v>26</v>
      </c>
      <c r="F529" s="8" t="s">
        <v>210</v>
      </c>
      <c r="G529" s="8" t="s">
        <v>487</v>
      </c>
      <c r="H529" s="8" t="s">
        <v>108</v>
      </c>
      <c r="I529" s="8">
        <v>531.24</v>
      </c>
      <c r="J529" s="11">
        <v>0</v>
      </c>
      <c r="K529" s="89">
        <f t="shared" si="34"/>
        <v>59.36</v>
      </c>
      <c r="L529" s="53">
        <v>59.36</v>
      </c>
      <c r="M529" s="10">
        <f t="shared" si="33"/>
        <v>894.9460916442049</v>
      </c>
    </row>
    <row r="530" spans="1:13" ht="15" hidden="1" customHeight="1" x14ac:dyDescent="0.3">
      <c r="A530" s="9">
        <v>2032</v>
      </c>
      <c r="B530" s="8" t="s">
        <v>400</v>
      </c>
      <c r="C530" s="21">
        <v>44643</v>
      </c>
      <c r="D530" s="22">
        <v>0.95034722222222223</v>
      </c>
      <c r="E530" s="8" t="s">
        <v>26</v>
      </c>
      <c r="F530" s="8" t="s">
        <v>210</v>
      </c>
      <c r="G530" s="8" t="s">
        <v>211</v>
      </c>
      <c r="H530" s="8" t="s">
        <v>108</v>
      </c>
      <c r="I530" s="8">
        <v>454.9</v>
      </c>
      <c r="J530" s="11">
        <v>0</v>
      </c>
      <c r="K530" s="89">
        <f t="shared" si="34"/>
        <v>918.34</v>
      </c>
      <c r="L530" s="53">
        <v>918.34</v>
      </c>
      <c r="M530" s="10">
        <f t="shared" si="33"/>
        <v>49.535030598688934</v>
      </c>
    </row>
    <row r="531" spans="1:13" ht="15" hidden="1" customHeight="1" x14ac:dyDescent="0.3">
      <c r="A531" s="9">
        <v>2033</v>
      </c>
      <c r="B531" s="8" t="s">
        <v>400</v>
      </c>
      <c r="C531" s="21">
        <v>44645</v>
      </c>
      <c r="D531" s="22">
        <v>0.43606481481481479</v>
      </c>
      <c r="E531" s="8" t="s">
        <v>26</v>
      </c>
      <c r="F531" s="8" t="s">
        <v>197</v>
      </c>
      <c r="G531" s="8" t="s">
        <v>44</v>
      </c>
      <c r="H531" s="8" t="s">
        <v>108</v>
      </c>
      <c r="I531" s="8">
        <v>200.18</v>
      </c>
      <c r="J531" s="11">
        <v>0</v>
      </c>
      <c r="K531" s="89">
        <f t="shared" si="34"/>
        <v>976.51</v>
      </c>
      <c r="L531" s="53">
        <v>976.51</v>
      </c>
      <c r="M531" s="10">
        <f t="shared" si="33"/>
        <v>20.499534054950793</v>
      </c>
    </row>
    <row r="532" spans="1:13" ht="15" hidden="1" customHeight="1" x14ac:dyDescent="0.3">
      <c r="A532" s="9">
        <v>2034</v>
      </c>
      <c r="B532" s="8" t="s">
        <v>400</v>
      </c>
      <c r="C532" s="21">
        <v>44645</v>
      </c>
      <c r="D532" s="22">
        <v>0.72002314814814816</v>
      </c>
      <c r="E532" s="8" t="s">
        <v>26</v>
      </c>
      <c r="F532" s="8" t="s">
        <v>210</v>
      </c>
      <c r="G532" s="8" t="s">
        <v>487</v>
      </c>
      <c r="H532" s="8" t="s">
        <v>108</v>
      </c>
      <c r="I532" s="8">
        <v>500.42</v>
      </c>
      <c r="J532" s="11">
        <v>0</v>
      </c>
      <c r="K532" s="89">
        <f t="shared" si="34"/>
        <v>477.58</v>
      </c>
      <c r="L532" s="53">
        <v>477.58</v>
      </c>
      <c r="M532" s="10">
        <f t="shared" si="33"/>
        <v>104.78244482599774</v>
      </c>
    </row>
    <row r="533" spans="1:13" ht="15" hidden="1" customHeight="1" x14ac:dyDescent="0.3">
      <c r="A533" s="9">
        <v>2035</v>
      </c>
      <c r="B533" s="8" t="s">
        <v>400</v>
      </c>
      <c r="C533" s="21">
        <v>44646</v>
      </c>
      <c r="D533" s="22">
        <v>0.82876157407407414</v>
      </c>
      <c r="E533" s="8" t="s">
        <v>26</v>
      </c>
      <c r="F533" s="8" t="s">
        <v>210</v>
      </c>
      <c r="G533" s="8" t="s">
        <v>211</v>
      </c>
      <c r="H533" s="8" t="s">
        <v>108</v>
      </c>
      <c r="I533" s="8">
        <v>445.43</v>
      </c>
      <c r="J533" s="11">
        <v>0</v>
      </c>
      <c r="K533" s="89">
        <f t="shared" si="34"/>
        <v>1129.3</v>
      </c>
      <c r="L533" s="55">
        <v>1129.3</v>
      </c>
      <c r="M533" s="10">
        <f t="shared" si="33"/>
        <v>39.443017798636326</v>
      </c>
    </row>
    <row r="534" spans="1:13" ht="15" hidden="1" customHeight="1" x14ac:dyDescent="0.3">
      <c r="A534" s="9">
        <v>2036</v>
      </c>
      <c r="B534" s="8" t="s">
        <v>400</v>
      </c>
      <c r="C534" s="21">
        <v>44649</v>
      </c>
      <c r="D534" s="22">
        <v>0.82811342592592585</v>
      </c>
      <c r="E534" s="8" t="s">
        <v>26</v>
      </c>
      <c r="F534" s="8" t="s">
        <v>210</v>
      </c>
      <c r="G534" s="8" t="s">
        <v>487</v>
      </c>
      <c r="H534" s="8" t="s">
        <v>108</v>
      </c>
      <c r="I534" s="8">
        <v>781</v>
      </c>
      <c r="J534" s="11">
        <v>0</v>
      </c>
      <c r="K534" s="89">
        <f t="shared" si="34"/>
        <v>1690.16</v>
      </c>
      <c r="L534" s="32">
        <v>1690.16</v>
      </c>
      <c r="M534" s="36">
        <f t="shared" si="33"/>
        <v>46.208642968713022</v>
      </c>
    </row>
    <row r="535" spans="1:13" ht="15" hidden="1" customHeight="1" x14ac:dyDescent="0.3">
      <c r="A535" s="9">
        <v>2037</v>
      </c>
      <c r="B535" s="8" t="s">
        <v>400</v>
      </c>
      <c r="C535" s="21">
        <v>44651</v>
      </c>
      <c r="D535" s="22">
        <v>0.6597453703703704</v>
      </c>
      <c r="E535" s="8" t="s">
        <v>26</v>
      </c>
      <c r="F535" s="8" t="s">
        <v>210</v>
      </c>
      <c r="G535" s="8" t="s">
        <v>211</v>
      </c>
      <c r="H535" s="8" t="s">
        <v>108</v>
      </c>
      <c r="I535" s="24">
        <v>471.15</v>
      </c>
      <c r="J535" s="7">
        <v>0</v>
      </c>
      <c r="K535" s="89">
        <f t="shared" si="34"/>
        <v>1039.42</v>
      </c>
      <c r="L535" s="32">
        <v>1039.42</v>
      </c>
      <c r="M535" s="36">
        <f t="shared" si="33"/>
        <v>45.32816378364857</v>
      </c>
    </row>
    <row r="536" spans="1:13" ht="15" hidden="1" customHeight="1" x14ac:dyDescent="0.3">
      <c r="A536" s="9">
        <v>3430</v>
      </c>
      <c r="B536" s="8" t="s">
        <v>400</v>
      </c>
      <c r="C536" s="21">
        <v>44663</v>
      </c>
      <c r="D536" s="22">
        <v>0.82050925925925933</v>
      </c>
      <c r="E536" s="8" t="s">
        <v>27</v>
      </c>
      <c r="F536" s="8" t="s">
        <v>175</v>
      </c>
      <c r="G536" s="8" t="s">
        <v>172</v>
      </c>
      <c r="H536" s="8" t="s">
        <v>131</v>
      </c>
      <c r="I536" s="190">
        <v>376.21</v>
      </c>
      <c r="J536" s="32">
        <v>0</v>
      </c>
      <c r="K536" s="89">
        <f t="shared" si="34"/>
        <v>987.71</v>
      </c>
      <c r="L536" s="32">
        <v>987.71</v>
      </c>
      <c r="M536" s="36">
        <f t="shared" si="33"/>
        <v>38.089115226129124</v>
      </c>
    </row>
    <row r="537" spans="1:13" ht="15" hidden="1" customHeight="1" x14ac:dyDescent="0.3">
      <c r="A537" s="9">
        <v>3431</v>
      </c>
      <c r="B537" s="8" t="s">
        <v>400</v>
      </c>
      <c r="C537" s="21">
        <v>44664</v>
      </c>
      <c r="D537" s="22">
        <v>0.84608796296296296</v>
      </c>
      <c r="E537" s="8" t="s">
        <v>27</v>
      </c>
      <c r="F537" s="8" t="s">
        <v>210</v>
      </c>
      <c r="G537" s="8" t="s">
        <v>211</v>
      </c>
      <c r="H537" s="8" t="s">
        <v>131</v>
      </c>
      <c r="I537" s="19">
        <v>350.23</v>
      </c>
      <c r="J537" s="67">
        <v>0</v>
      </c>
      <c r="K537" s="92">
        <f t="shared" si="34"/>
        <v>831.48</v>
      </c>
      <c r="L537" s="67">
        <v>831.48</v>
      </c>
      <c r="M537" s="10">
        <f t="shared" si="33"/>
        <v>42.121277721652959</v>
      </c>
    </row>
    <row r="538" spans="1:13" ht="15" hidden="1" customHeight="1" x14ac:dyDescent="0.3">
      <c r="A538" s="9">
        <v>3432</v>
      </c>
      <c r="B538" s="8" t="s">
        <v>400</v>
      </c>
      <c r="C538" s="21">
        <v>44666</v>
      </c>
      <c r="D538" s="22">
        <v>8.4803240740740748E-2</v>
      </c>
      <c r="E538" s="8" t="s">
        <v>27</v>
      </c>
      <c r="F538" s="8" t="s">
        <v>210</v>
      </c>
      <c r="G538" s="8" t="s">
        <v>211</v>
      </c>
      <c r="H538" s="8" t="s">
        <v>131</v>
      </c>
      <c r="I538" s="190">
        <v>422.06</v>
      </c>
      <c r="J538" s="32">
        <v>0</v>
      </c>
      <c r="K538" s="90">
        <f t="shared" si="34"/>
        <v>1062.49</v>
      </c>
      <c r="L538" s="32">
        <v>1062.49</v>
      </c>
      <c r="M538" s="10">
        <f t="shared" si="33"/>
        <v>39.723667987463415</v>
      </c>
    </row>
    <row r="539" spans="1:13" ht="15" hidden="1" customHeight="1" x14ac:dyDescent="0.3">
      <c r="A539" s="9">
        <v>3433</v>
      </c>
      <c r="B539" s="8" t="s">
        <v>400</v>
      </c>
      <c r="C539" s="21">
        <v>44666</v>
      </c>
      <c r="D539" s="22">
        <v>0.52101851851851855</v>
      </c>
      <c r="E539" s="8" t="s">
        <v>27</v>
      </c>
      <c r="F539" s="8" t="s">
        <v>169</v>
      </c>
      <c r="G539" s="8" t="s">
        <v>196</v>
      </c>
      <c r="H539" s="8" t="s">
        <v>131</v>
      </c>
      <c r="I539" s="190">
        <v>155.46</v>
      </c>
      <c r="J539" s="32">
        <v>0</v>
      </c>
      <c r="K539" s="90">
        <f t="shared" ref="K539:K550" si="35">+L539-J539</f>
        <v>496.95</v>
      </c>
      <c r="L539" s="32">
        <v>496.95</v>
      </c>
      <c r="M539" s="10">
        <f t="shared" si="33"/>
        <v>31.282825233926957</v>
      </c>
    </row>
    <row r="540" spans="1:13" ht="15" hidden="1" customHeight="1" x14ac:dyDescent="0.3">
      <c r="A540" s="9">
        <v>3434</v>
      </c>
      <c r="B540" s="8" t="s">
        <v>400</v>
      </c>
      <c r="C540" s="21">
        <v>44667</v>
      </c>
      <c r="D540" s="22">
        <v>0.48686342592592591</v>
      </c>
      <c r="E540" s="8" t="s">
        <v>27</v>
      </c>
      <c r="F540" s="8" t="s">
        <v>391</v>
      </c>
      <c r="G540" s="8" t="s">
        <v>392</v>
      </c>
      <c r="H540" s="8" t="s">
        <v>131</v>
      </c>
      <c r="I540" s="190">
        <v>168</v>
      </c>
      <c r="J540" s="32">
        <v>0</v>
      </c>
      <c r="K540" s="90">
        <f t="shared" si="35"/>
        <v>421.66</v>
      </c>
      <c r="L540" s="32">
        <v>421.66</v>
      </c>
      <c r="M540" s="10">
        <f t="shared" si="33"/>
        <v>39.842527154579514</v>
      </c>
    </row>
    <row r="541" spans="1:13" ht="15" hidden="1" customHeight="1" x14ac:dyDescent="0.3">
      <c r="A541" s="9">
        <v>3435</v>
      </c>
      <c r="B541" s="8" t="s">
        <v>400</v>
      </c>
      <c r="C541" s="21">
        <v>44669</v>
      </c>
      <c r="D541" s="22">
        <v>0.8866087962962963</v>
      </c>
      <c r="E541" s="8" t="s">
        <v>27</v>
      </c>
      <c r="F541" s="8" t="s">
        <v>210</v>
      </c>
      <c r="G541" s="8" t="s">
        <v>211</v>
      </c>
      <c r="H541" s="8" t="s">
        <v>131</v>
      </c>
      <c r="I541" s="190">
        <v>366.92</v>
      </c>
      <c r="J541" s="32">
        <v>0</v>
      </c>
      <c r="K541" s="90">
        <f t="shared" si="35"/>
        <v>893.13</v>
      </c>
      <c r="L541" s="32">
        <v>893.13</v>
      </c>
      <c r="M541" s="10">
        <f t="shared" si="33"/>
        <v>41.082485192525162</v>
      </c>
    </row>
    <row r="542" spans="1:13" ht="15" hidden="1" customHeight="1" x14ac:dyDescent="0.3">
      <c r="A542" s="9">
        <v>3436</v>
      </c>
      <c r="B542" s="8" t="s">
        <v>400</v>
      </c>
      <c r="C542" s="21">
        <v>44671</v>
      </c>
      <c r="D542" s="22">
        <v>5.724537037037037E-2</v>
      </c>
      <c r="E542" s="8" t="s">
        <v>27</v>
      </c>
      <c r="F542" s="8" t="s">
        <v>210</v>
      </c>
      <c r="G542" s="8" t="s">
        <v>211</v>
      </c>
      <c r="H542" s="8" t="s">
        <v>131</v>
      </c>
      <c r="I542" s="190">
        <v>380.04</v>
      </c>
      <c r="J542" s="32">
        <v>0</v>
      </c>
      <c r="K542" s="90">
        <f t="shared" si="35"/>
        <v>885.36</v>
      </c>
      <c r="L542" s="32">
        <v>885.36</v>
      </c>
      <c r="M542" s="10">
        <f t="shared" si="33"/>
        <v>42.92491190024397</v>
      </c>
    </row>
    <row r="543" spans="1:13" ht="15" hidden="1" customHeight="1" x14ac:dyDescent="0.3">
      <c r="A543" s="9">
        <v>3437</v>
      </c>
      <c r="B543" s="8" t="s">
        <v>400</v>
      </c>
      <c r="C543" s="21">
        <v>44672</v>
      </c>
      <c r="D543" s="22">
        <v>0.818425925925926</v>
      </c>
      <c r="E543" s="8" t="s">
        <v>27</v>
      </c>
      <c r="F543" s="8" t="s">
        <v>512</v>
      </c>
      <c r="G543" s="8" t="s">
        <v>513</v>
      </c>
      <c r="H543" s="8" t="s">
        <v>131</v>
      </c>
      <c r="I543" s="190">
        <v>455</v>
      </c>
      <c r="J543" s="32">
        <v>0</v>
      </c>
      <c r="K543" s="90">
        <f t="shared" si="35"/>
        <v>1181</v>
      </c>
      <c r="L543" s="32">
        <v>1181</v>
      </c>
      <c r="M543" s="10">
        <f t="shared" si="33"/>
        <v>38.526672311600343</v>
      </c>
    </row>
    <row r="544" spans="1:13" ht="15" hidden="1" customHeight="1" x14ac:dyDescent="0.3">
      <c r="A544" s="9">
        <v>3438</v>
      </c>
      <c r="B544" s="8" t="s">
        <v>400</v>
      </c>
      <c r="C544" s="21">
        <v>44673</v>
      </c>
      <c r="D544" s="22">
        <v>0.4722453703703704</v>
      </c>
      <c r="E544" s="8" t="s">
        <v>27</v>
      </c>
      <c r="F544" s="8" t="s">
        <v>166</v>
      </c>
      <c r="G544" s="8" t="s">
        <v>161</v>
      </c>
      <c r="H544" s="8" t="s">
        <v>131</v>
      </c>
      <c r="I544" s="19">
        <v>226.12</v>
      </c>
      <c r="J544" s="68">
        <v>0</v>
      </c>
      <c r="K544" s="93">
        <f t="shared" si="35"/>
        <v>507.98</v>
      </c>
      <c r="L544" s="68">
        <v>507.98</v>
      </c>
      <c r="M544" s="10">
        <f t="shared" si="33"/>
        <v>44.513563526123072</v>
      </c>
    </row>
    <row r="545" spans="1:20" ht="15" hidden="1" customHeight="1" x14ac:dyDescent="0.3">
      <c r="A545" s="9">
        <v>3439</v>
      </c>
      <c r="B545" s="8" t="s">
        <v>400</v>
      </c>
      <c r="C545" s="21">
        <v>44674</v>
      </c>
      <c r="D545" s="22">
        <v>0.67856481481481479</v>
      </c>
      <c r="E545" s="8" t="s">
        <v>27</v>
      </c>
      <c r="F545" s="8" t="s">
        <v>165</v>
      </c>
      <c r="G545" s="8" t="s">
        <v>185</v>
      </c>
      <c r="H545" s="8" t="s">
        <v>131</v>
      </c>
      <c r="I545" s="190">
        <v>318.83999999999997</v>
      </c>
      <c r="J545" s="32">
        <v>0</v>
      </c>
      <c r="K545" s="90">
        <f t="shared" si="35"/>
        <v>633.12</v>
      </c>
      <c r="L545" s="32">
        <v>633.12</v>
      </c>
      <c r="M545" s="10">
        <f t="shared" si="33"/>
        <v>50.360121304018193</v>
      </c>
    </row>
    <row r="546" spans="1:20" ht="15" hidden="1" customHeight="1" x14ac:dyDescent="0.3">
      <c r="A546" s="9">
        <v>3440</v>
      </c>
      <c r="B546" s="8" t="s">
        <v>400</v>
      </c>
      <c r="C546" s="21">
        <v>44675</v>
      </c>
      <c r="D546" s="22">
        <v>0.88560185185185192</v>
      </c>
      <c r="E546" s="8" t="s">
        <v>27</v>
      </c>
      <c r="F546" s="8" t="s">
        <v>340</v>
      </c>
      <c r="G546" s="8" t="s">
        <v>337</v>
      </c>
      <c r="H546" s="8" t="s">
        <v>131</v>
      </c>
      <c r="I546" s="19">
        <v>229.9</v>
      </c>
      <c r="J546" s="32">
        <v>0</v>
      </c>
      <c r="K546" s="92">
        <f t="shared" si="35"/>
        <v>771.71</v>
      </c>
      <c r="L546" s="67">
        <v>771.71</v>
      </c>
      <c r="M546" s="10">
        <f t="shared" si="33"/>
        <v>29.790983659664899</v>
      </c>
    </row>
    <row r="547" spans="1:20" ht="15" hidden="1" customHeight="1" x14ac:dyDescent="0.3">
      <c r="A547" s="9">
        <v>3441</v>
      </c>
      <c r="B547" s="8" t="s">
        <v>400</v>
      </c>
      <c r="C547" s="21">
        <v>44677</v>
      </c>
      <c r="D547" s="22">
        <v>0.51068287037037041</v>
      </c>
      <c r="E547" s="8" t="s">
        <v>27</v>
      </c>
      <c r="F547" s="8" t="s">
        <v>165</v>
      </c>
      <c r="G547" s="8" t="s">
        <v>185</v>
      </c>
      <c r="H547" s="8" t="s">
        <v>131</v>
      </c>
      <c r="I547" s="8">
        <v>359.31</v>
      </c>
      <c r="J547" s="67">
        <v>0</v>
      </c>
      <c r="K547" s="92">
        <f t="shared" si="35"/>
        <v>858.79</v>
      </c>
      <c r="L547" s="11">
        <v>858.79</v>
      </c>
      <c r="M547" s="10">
        <f t="shared" si="33"/>
        <v>41.839099197708407</v>
      </c>
    </row>
    <row r="548" spans="1:20" ht="15" hidden="1" customHeight="1" x14ac:dyDescent="0.3">
      <c r="A548" s="9">
        <v>3442</v>
      </c>
      <c r="B548" s="8" t="s">
        <v>400</v>
      </c>
      <c r="C548" s="21">
        <v>44677</v>
      </c>
      <c r="D548" s="22">
        <v>0.9250694444444445</v>
      </c>
      <c r="E548" s="8" t="s">
        <v>27</v>
      </c>
      <c r="F548" s="8" t="s">
        <v>166</v>
      </c>
      <c r="G548" s="8" t="s">
        <v>161</v>
      </c>
      <c r="H548" s="8" t="s">
        <v>131</v>
      </c>
      <c r="I548" s="24">
        <v>169.48</v>
      </c>
      <c r="J548" s="53">
        <v>0</v>
      </c>
      <c r="K548" s="89">
        <f t="shared" si="35"/>
        <v>597.80999999999995</v>
      </c>
      <c r="L548" s="11">
        <v>597.80999999999995</v>
      </c>
      <c r="M548" s="10">
        <f t="shared" si="33"/>
        <v>28.350144694802697</v>
      </c>
    </row>
    <row r="549" spans="1:20" ht="15" hidden="1" customHeight="1" x14ac:dyDescent="0.3">
      <c r="A549" s="9">
        <v>3443</v>
      </c>
      <c r="B549" s="8" t="s">
        <v>400</v>
      </c>
      <c r="C549" s="21">
        <v>44679</v>
      </c>
      <c r="D549" s="22">
        <v>0.38726851851851851</v>
      </c>
      <c r="E549" s="8" t="s">
        <v>27</v>
      </c>
      <c r="F549" s="8" t="s">
        <v>428</v>
      </c>
      <c r="G549" s="8" t="s">
        <v>429</v>
      </c>
      <c r="H549" s="8" t="s">
        <v>131</v>
      </c>
      <c r="I549" s="24">
        <v>209.84</v>
      </c>
      <c r="J549" s="32">
        <v>0</v>
      </c>
      <c r="K549" s="90">
        <f t="shared" si="35"/>
        <v>870.59</v>
      </c>
      <c r="L549" s="7">
        <v>870.59</v>
      </c>
      <c r="M549" s="10">
        <f t="shared" si="33"/>
        <v>24.103194385416785</v>
      </c>
    </row>
    <row r="550" spans="1:20" ht="15" hidden="1" customHeight="1" x14ac:dyDescent="0.3">
      <c r="A550" s="9">
        <v>3444</v>
      </c>
      <c r="B550" s="8" t="s">
        <v>400</v>
      </c>
      <c r="C550" s="21">
        <v>44679</v>
      </c>
      <c r="D550" s="22">
        <v>0.6363657407407407</v>
      </c>
      <c r="E550" s="8" t="s">
        <v>27</v>
      </c>
      <c r="F550" s="8" t="s">
        <v>512</v>
      </c>
      <c r="G550" s="8" t="s">
        <v>513</v>
      </c>
      <c r="H550" s="8" t="s">
        <v>131</v>
      </c>
      <c r="I550" s="24">
        <v>201.63</v>
      </c>
      <c r="J550" s="32">
        <v>0</v>
      </c>
      <c r="K550" s="90">
        <f t="shared" si="35"/>
        <v>243</v>
      </c>
      <c r="L550" s="7">
        <v>243</v>
      </c>
      <c r="M550" s="10">
        <f t="shared" si="33"/>
        <v>82.975308641975303</v>
      </c>
    </row>
    <row r="551" spans="1:20" ht="15" hidden="1" customHeight="1" x14ac:dyDescent="0.3">
      <c r="A551" s="9">
        <v>6751</v>
      </c>
      <c r="B551" s="8" t="s">
        <v>248</v>
      </c>
      <c r="C551" s="21">
        <v>44742</v>
      </c>
      <c r="D551" s="22">
        <v>0.76869212962962974</v>
      </c>
      <c r="E551" s="8" t="s">
        <v>29</v>
      </c>
      <c r="F551" s="8" t="s">
        <v>165</v>
      </c>
      <c r="G551" s="8" t="s">
        <v>185</v>
      </c>
      <c r="H551" s="8" t="s">
        <v>109</v>
      </c>
      <c r="I551" s="162">
        <v>560.94000000000005</v>
      </c>
      <c r="J551" s="160">
        <f>570+238+233+150+250+211+560</f>
        <v>2212</v>
      </c>
      <c r="K551" s="160">
        <v>23258</v>
      </c>
      <c r="L551" s="160">
        <v>6155</v>
      </c>
      <c r="M551" s="155">
        <f>+J551/L551*100</f>
        <v>35.938261575954513</v>
      </c>
    </row>
    <row r="552" spans="1:20" ht="15" hidden="1" customHeight="1" x14ac:dyDescent="0.3">
      <c r="B552" s="8" t="s">
        <v>416</v>
      </c>
      <c r="C552" s="21">
        <v>44680</v>
      </c>
      <c r="D552" s="22">
        <v>0.3859143518518518</v>
      </c>
      <c r="E552" s="8" t="s">
        <v>580</v>
      </c>
      <c r="F552" s="8" t="s">
        <v>210</v>
      </c>
      <c r="G552" s="8" t="s">
        <v>211</v>
      </c>
      <c r="H552" s="8" t="s">
        <v>282</v>
      </c>
      <c r="I552" s="78">
        <v>387.07</v>
      </c>
      <c r="J552" s="33">
        <v>0</v>
      </c>
      <c r="K552" s="99">
        <f>+L552-J687</f>
        <v>604.79999999999995</v>
      </c>
      <c r="L552" s="33">
        <v>604.79999999999995</v>
      </c>
      <c r="M552" s="131">
        <f>I552/L552*100</f>
        <v>63.999669312169317</v>
      </c>
      <c r="O552" s="4" t="s">
        <v>101</v>
      </c>
      <c r="R552" s="18" t="s">
        <v>136</v>
      </c>
      <c r="S552" s="2"/>
      <c r="T552"/>
    </row>
    <row r="553" spans="1:20" ht="15" hidden="1" customHeight="1" x14ac:dyDescent="0.3">
      <c r="B553" s="8" t="s">
        <v>188</v>
      </c>
      <c r="C553" s="21">
        <v>44680</v>
      </c>
      <c r="D553" s="22">
        <v>0.4211226851851852</v>
      </c>
      <c r="E553" s="8" t="s">
        <v>580</v>
      </c>
      <c r="F553" s="8" t="s">
        <v>210</v>
      </c>
      <c r="G553" s="8" t="s">
        <v>211</v>
      </c>
      <c r="H553" s="24" t="s">
        <v>189</v>
      </c>
      <c r="I553" s="8">
        <v>226.26</v>
      </c>
      <c r="J553" s="32">
        <v>0</v>
      </c>
      <c r="K553" s="90">
        <f t="shared" ref="K553:K584" si="36">+L553-J553</f>
        <v>577</v>
      </c>
      <c r="L553" s="7">
        <v>577</v>
      </c>
      <c r="M553" s="91">
        <f>I553/L553*100</f>
        <v>39.213171577123049</v>
      </c>
      <c r="O553" s="4" t="s">
        <v>81</v>
      </c>
      <c r="Q553" t="s">
        <v>27</v>
      </c>
      <c r="R553" s="18" t="s">
        <v>144</v>
      </c>
      <c r="S553" s="12" t="s">
        <v>41</v>
      </c>
      <c r="T553"/>
    </row>
    <row r="554" spans="1:20" ht="15" hidden="1" customHeight="1" x14ac:dyDescent="0.3">
      <c r="B554" s="8" t="s">
        <v>248</v>
      </c>
      <c r="C554" s="21">
        <v>44564</v>
      </c>
      <c r="D554" s="22">
        <v>0.52798611111111116</v>
      </c>
      <c r="E554" s="8" t="s">
        <v>24</v>
      </c>
      <c r="F554" s="8" t="s">
        <v>175</v>
      </c>
      <c r="G554" s="8" t="s">
        <v>172</v>
      </c>
      <c r="H554" s="8" t="s">
        <v>109</v>
      </c>
      <c r="I554" s="44">
        <v>204.94</v>
      </c>
      <c r="J554" s="30">
        <v>0</v>
      </c>
      <c r="K554" s="29">
        <f t="shared" si="36"/>
        <v>792.6</v>
      </c>
      <c r="L554" s="29">
        <v>792.6</v>
      </c>
      <c r="M554" s="61">
        <f t="shared" ref="M554:M585" si="37">I554/K554*100</f>
        <v>25.856674236689376</v>
      </c>
    </row>
    <row r="555" spans="1:20" ht="15" hidden="1" customHeight="1" x14ac:dyDescent="0.3">
      <c r="B555" s="8" t="s">
        <v>248</v>
      </c>
      <c r="C555" s="21">
        <v>44566</v>
      </c>
      <c r="D555" s="22">
        <v>1.9606481481481482E-2</v>
      </c>
      <c r="E555" s="8" t="s">
        <v>24</v>
      </c>
      <c r="F555" s="8" t="s">
        <v>210</v>
      </c>
      <c r="G555" s="8" t="s">
        <v>211</v>
      </c>
      <c r="H555" s="8" t="s">
        <v>109</v>
      </c>
      <c r="I555" s="8">
        <v>370.36</v>
      </c>
      <c r="J555" s="11">
        <v>0</v>
      </c>
      <c r="K555" s="11">
        <f t="shared" si="36"/>
        <v>827.33</v>
      </c>
      <c r="L555" s="7">
        <v>827.33</v>
      </c>
      <c r="M555" s="10">
        <f t="shared" si="37"/>
        <v>44.765692045495754</v>
      </c>
    </row>
    <row r="556" spans="1:20" ht="15" hidden="1" customHeight="1" x14ac:dyDescent="0.3">
      <c r="B556" s="8" t="s">
        <v>248</v>
      </c>
      <c r="C556" s="21">
        <v>44567</v>
      </c>
      <c r="D556" s="22">
        <v>0.89115740740740745</v>
      </c>
      <c r="E556" s="8" t="s">
        <v>24</v>
      </c>
      <c r="F556" s="8" t="s">
        <v>166</v>
      </c>
      <c r="G556" s="8" t="s">
        <v>161</v>
      </c>
      <c r="H556" s="8" t="s">
        <v>109</v>
      </c>
      <c r="I556" s="8">
        <v>500.01</v>
      </c>
      <c r="J556" s="11">
        <v>0</v>
      </c>
      <c r="K556" s="11">
        <f t="shared" si="36"/>
        <v>1196.44</v>
      </c>
      <c r="L556" s="11">
        <v>1196.44</v>
      </c>
      <c r="M556" s="10">
        <f t="shared" si="37"/>
        <v>41.791481394804585</v>
      </c>
    </row>
    <row r="557" spans="1:20" ht="15" hidden="1" customHeight="1" x14ac:dyDescent="0.3">
      <c r="B557" s="8" t="s">
        <v>248</v>
      </c>
      <c r="C557" s="21">
        <v>44575</v>
      </c>
      <c r="D557" s="22">
        <v>0.51219907407407406</v>
      </c>
      <c r="E557" s="8" t="s">
        <v>24</v>
      </c>
      <c r="F557" s="8" t="s">
        <v>175</v>
      </c>
      <c r="G557" s="8" t="s">
        <v>172</v>
      </c>
      <c r="H557" s="8" t="s">
        <v>109</v>
      </c>
      <c r="I557" s="8">
        <v>350.64</v>
      </c>
      <c r="J557" s="11">
        <v>0</v>
      </c>
      <c r="K557" s="11">
        <f t="shared" si="36"/>
        <v>900</v>
      </c>
      <c r="L557" s="11">
        <v>900</v>
      </c>
      <c r="M557" s="10">
        <f t="shared" si="37"/>
        <v>38.96</v>
      </c>
    </row>
    <row r="558" spans="1:20" ht="15" hidden="1" customHeight="1" x14ac:dyDescent="0.3">
      <c r="B558" s="8" t="s">
        <v>248</v>
      </c>
      <c r="C558" s="21">
        <v>44576</v>
      </c>
      <c r="D558" s="22">
        <v>0.48201388888888891</v>
      </c>
      <c r="E558" s="8" t="s">
        <v>24</v>
      </c>
      <c r="F558" s="8" t="s">
        <v>210</v>
      </c>
      <c r="G558" s="8" t="s">
        <v>211</v>
      </c>
      <c r="H558" s="8" t="s">
        <v>109</v>
      </c>
      <c r="I558" s="24">
        <v>336.94</v>
      </c>
      <c r="J558" s="7">
        <v>0</v>
      </c>
      <c r="K558" s="7">
        <f t="shared" si="36"/>
        <v>831.61</v>
      </c>
      <c r="L558" s="7">
        <v>831.61</v>
      </c>
      <c r="M558" s="10">
        <f t="shared" si="37"/>
        <v>40.51658830461394</v>
      </c>
    </row>
    <row r="559" spans="1:20" ht="15" hidden="1" customHeight="1" x14ac:dyDescent="0.3">
      <c r="B559" s="8" t="s">
        <v>248</v>
      </c>
      <c r="C559" s="21">
        <v>44577</v>
      </c>
      <c r="D559" s="22">
        <v>0.6305439814814815</v>
      </c>
      <c r="E559" s="8" t="s">
        <v>24</v>
      </c>
      <c r="F559" s="8" t="s">
        <v>210</v>
      </c>
      <c r="G559" s="8" t="s">
        <v>211</v>
      </c>
      <c r="H559" s="8" t="s">
        <v>109</v>
      </c>
      <c r="I559" s="8">
        <v>424.42</v>
      </c>
      <c r="J559" s="11">
        <v>0</v>
      </c>
      <c r="K559" s="30">
        <f t="shared" si="36"/>
        <v>1062.71</v>
      </c>
      <c r="L559" s="30">
        <v>1062.71</v>
      </c>
      <c r="M559" s="10">
        <f t="shared" si="37"/>
        <v>39.937518231690674</v>
      </c>
    </row>
    <row r="560" spans="1:20" ht="15" hidden="1" customHeight="1" x14ac:dyDescent="0.3">
      <c r="B560" s="8" t="s">
        <v>248</v>
      </c>
      <c r="C560" s="21">
        <v>44578</v>
      </c>
      <c r="D560" s="22">
        <v>0.74564814814814817</v>
      </c>
      <c r="E560" s="8" t="s">
        <v>24</v>
      </c>
      <c r="F560" s="8" t="s">
        <v>175</v>
      </c>
      <c r="G560" s="8" t="s">
        <v>172</v>
      </c>
      <c r="H560" s="8" t="s">
        <v>109</v>
      </c>
      <c r="I560" s="24">
        <v>383.61</v>
      </c>
      <c r="J560" s="11">
        <v>0</v>
      </c>
      <c r="K560" s="11">
        <f t="shared" si="36"/>
        <v>933.83</v>
      </c>
      <c r="L560" s="11">
        <v>933.83</v>
      </c>
      <c r="M560" s="10">
        <f t="shared" si="37"/>
        <v>41.07921141963741</v>
      </c>
    </row>
    <row r="561" spans="1:13" ht="15" hidden="1" customHeight="1" x14ac:dyDescent="0.3">
      <c r="B561" s="8" t="s">
        <v>248</v>
      </c>
      <c r="C561" s="21">
        <v>44579</v>
      </c>
      <c r="D561" s="22">
        <v>0.84038194444444436</v>
      </c>
      <c r="E561" s="8" t="s">
        <v>24</v>
      </c>
      <c r="F561" s="8" t="s">
        <v>210</v>
      </c>
      <c r="G561" s="8" t="s">
        <v>211</v>
      </c>
      <c r="H561" s="8" t="s">
        <v>109</v>
      </c>
      <c r="I561" s="8">
        <v>360.02</v>
      </c>
      <c r="J561" s="11">
        <v>0</v>
      </c>
      <c r="K561" s="11">
        <f t="shared" si="36"/>
        <v>816.46</v>
      </c>
      <c r="L561" s="11">
        <v>816.46</v>
      </c>
      <c r="M561" s="10">
        <f t="shared" si="37"/>
        <v>44.095240428189989</v>
      </c>
    </row>
    <row r="562" spans="1:13" ht="15" hidden="1" customHeight="1" x14ac:dyDescent="0.3">
      <c r="B562" s="8" t="s">
        <v>248</v>
      </c>
      <c r="C562" s="21">
        <v>44580</v>
      </c>
      <c r="D562" s="22">
        <v>0.92118055555555556</v>
      </c>
      <c r="E562" s="8" t="s">
        <v>24</v>
      </c>
      <c r="F562" s="8" t="s">
        <v>210</v>
      </c>
      <c r="G562" s="8" t="s">
        <v>211</v>
      </c>
      <c r="H562" s="8" t="s">
        <v>109</v>
      </c>
      <c r="I562" s="8">
        <v>406.57</v>
      </c>
      <c r="J562" s="11">
        <v>0</v>
      </c>
      <c r="K562" s="11">
        <f t="shared" si="36"/>
        <v>1062.48</v>
      </c>
      <c r="L562" s="11">
        <v>1062.48</v>
      </c>
      <c r="M562" s="10">
        <f t="shared" si="37"/>
        <v>38.26613206836835</v>
      </c>
    </row>
    <row r="563" spans="1:13" ht="15" hidden="1" customHeight="1" x14ac:dyDescent="0.3">
      <c r="B563" s="8" t="s">
        <v>248</v>
      </c>
      <c r="C563" s="21">
        <v>44582</v>
      </c>
      <c r="D563" s="22">
        <v>0.48021990740740739</v>
      </c>
      <c r="E563" s="8" t="s">
        <v>24</v>
      </c>
      <c r="F563" s="8" t="s">
        <v>175</v>
      </c>
      <c r="G563" s="8" t="s">
        <v>172</v>
      </c>
      <c r="H563" s="8" t="s">
        <v>109</v>
      </c>
      <c r="I563" s="8">
        <v>355.92</v>
      </c>
      <c r="J563" s="11">
        <v>0</v>
      </c>
      <c r="K563" s="11">
        <f t="shared" si="36"/>
        <v>928.18</v>
      </c>
      <c r="L563" s="11">
        <v>928.18</v>
      </c>
      <c r="M563" s="10">
        <f t="shared" si="37"/>
        <v>38.346010472106705</v>
      </c>
    </row>
    <row r="564" spans="1:13" ht="15" hidden="1" customHeight="1" x14ac:dyDescent="0.3">
      <c r="B564" s="8" t="s">
        <v>248</v>
      </c>
      <c r="C564" s="21">
        <v>44583</v>
      </c>
      <c r="D564" s="22">
        <v>0.42515046296296299</v>
      </c>
      <c r="E564" s="8" t="s">
        <v>24</v>
      </c>
      <c r="F564" s="8" t="s">
        <v>210</v>
      </c>
      <c r="G564" s="8" t="s">
        <v>211</v>
      </c>
      <c r="H564" s="8" t="s">
        <v>109</v>
      </c>
      <c r="I564" s="8">
        <v>363.48</v>
      </c>
      <c r="J564" s="11">
        <v>0</v>
      </c>
      <c r="K564" s="11">
        <f t="shared" si="36"/>
        <v>830.68</v>
      </c>
      <c r="L564" s="11">
        <v>830.68</v>
      </c>
      <c r="M564" s="10">
        <f t="shared" si="37"/>
        <v>43.756922039774651</v>
      </c>
    </row>
    <row r="565" spans="1:13" ht="15" hidden="1" customHeight="1" x14ac:dyDescent="0.3">
      <c r="B565" s="8" t="s">
        <v>248</v>
      </c>
      <c r="C565" s="21">
        <v>44583</v>
      </c>
      <c r="D565" s="22">
        <v>0.97334490740740742</v>
      </c>
      <c r="E565" s="8" t="s">
        <v>24</v>
      </c>
      <c r="F565" s="8" t="s">
        <v>165</v>
      </c>
      <c r="G565" s="8" t="s">
        <v>185</v>
      </c>
      <c r="H565" s="8" t="s">
        <v>109</v>
      </c>
      <c r="I565" s="8">
        <v>254.01</v>
      </c>
      <c r="J565" s="11">
        <v>0</v>
      </c>
      <c r="K565" s="11">
        <f t="shared" si="36"/>
        <v>547.67999999999995</v>
      </c>
      <c r="L565" s="11">
        <v>547.67999999999995</v>
      </c>
      <c r="M565" s="10">
        <f t="shared" si="37"/>
        <v>46.379272567922875</v>
      </c>
    </row>
    <row r="566" spans="1:13" ht="15" hidden="1" customHeight="1" x14ac:dyDescent="0.3">
      <c r="B566" s="8" t="s">
        <v>248</v>
      </c>
      <c r="C566" s="21">
        <v>44585</v>
      </c>
      <c r="D566" s="22">
        <v>0.62626157407407412</v>
      </c>
      <c r="E566" s="8" t="s">
        <v>24</v>
      </c>
      <c r="F566" s="8" t="s">
        <v>202</v>
      </c>
      <c r="G566" s="8" t="s">
        <v>203</v>
      </c>
      <c r="H566" s="8" t="s">
        <v>109</v>
      </c>
      <c r="I566" s="8">
        <v>351.43</v>
      </c>
      <c r="J566" s="11">
        <v>0</v>
      </c>
      <c r="K566" s="11">
        <f t="shared" si="36"/>
        <v>1054.1099999999999</v>
      </c>
      <c r="L566" s="11">
        <v>1054.1099999999999</v>
      </c>
      <c r="M566" s="10">
        <f t="shared" si="37"/>
        <v>33.339025338911505</v>
      </c>
    </row>
    <row r="567" spans="1:13" ht="15" hidden="1" customHeight="1" x14ac:dyDescent="0.3">
      <c r="B567" s="8" t="s">
        <v>248</v>
      </c>
      <c r="C567" s="21">
        <v>44586</v>
      </c>
      <c r="D567" s="22">
        <v>0.75298611111111102</v>
      </c>
      <c r="E567" s="8" t="s">
        <v>24</v>
      </c>
      <c r="F567" s="8" t="s">
        <v>210</v>
      </c>
      <c r="G567" s="8" t="s">
        <v>211</v>
      </c>
      <c r="H567" s="8" t="s">
        <v>109</v>
      </c>
      <c r="I567" s="8">
        <v>388.88</v>
      </c>
      <c r="J567" s="11">
        <v>0</v>
      </c>
      <c r="K567" s="11">
        <f t="shared" si="36"/>
        <v>1089.3</v>
      </c>
      <c r="L567" s="11">
        <v>1089.3</v>
      </c>
      <c r="M567" s="10">
        <f t="shared" si="37"/>
        <v>35.699990819792525</v>
      </c>
    </row>
    <row r="568" spans="1:13" ht="15" hidden="1" customHeight="1" x14ac:dyDescent="0.3">
      <c r="B568" s="8" t="s">
        <v>248</v>
      </c>
      <c r="C568" s="21">
        <v>44587</v>
      </c>
      <c r="D568" s="22">
        <v>0.92083333333333339</v>
      </c>
      <c r="E568" s="8" t="s">
        <v>24</v>
      </c>
      <c r="F568" s="8" t="s">
        <v>175</v>
      </c>
      <c r="G568" s="8" t="s">
        <v>172</v>
      </c>
      <c r="H568" s="8" t="s">
        <v>109</v>
      </c>
      <c r="I568" s="8">
        <v>392.17</v>
      </c>
      <c r="J568" s="11">
        <v>0</v>
      </c>
      <c r="K568" s="11">
        <f t="shared" si="36"/>
        <v>1094.3</v>
      </c>
      <c r="L568" s="53">
        <v>1094.3</v>
      </c>
      <c r="M568" s="10">
        <f t="shared" si="37"/>
        <v>35.837521703372019</v>
      </c>
    </row>
    <row r="569" spans="1:13" ht="15" hidden="1" customHeight="1" x14ac:dyDescent="0.3">
      <c r="B569" s="8" t="s">
        <v>248</v>
      </c>
      <c r="C569" s="21">
        <v>44589</v>
      </c>
      <c r="D569" s="22">
        <v>0.53957175925925926</v>
      </c>
      <c r="E569" s="8" t="s">
        <v>24</v>
      </c>
      <c r="F569" s="8" t="s">
        <v>165</v>
      </c>
      <c r="G569" s="8" t="s">
        <v>185</v>
      </c>
      <c r="H569" s="8" t="s">
        <v>109</v>
      </c>
      <c r="I569" s="8">
        <v>572.99</v>
      </c>
      <c r="J569" s="11">
        <v>0</v>
      </c>
      <c r="K569" s="11">
        <f t="shared" si="36"/>
        <v>1237.1500000000001</v>
      </c>
      <c r="L569" s="11">
        <v>1237.1500000000001</v>
      </c>
      <c r="M569" s="10">
        <f t="shared" si="37"/>
        <v>46.315321505072134</v>
      </c>
    </row>
    <row r="570" spans="1:13" ht="15" hidden="1" customHeight="1" x14ac:dyDescent="0.3">
      <c r="B570" s="8" t="s">
        <v>248</v>
      </c>
      <c r="C570" s="21">
        <v>44590</v>
      </c>
      <c r="D570" s="22">
        <v>0.61883101851851852</v>
      </c>
      <c r="E570" s="8" t="s">
        <v>24</v>
      </c>
      <c r="F570" s="8" t="s">
        <v>202</v>
      </c>
      <c r="G570" s="8" t="s">
        <v>203</v>
      </c>
      <c r="H570" s="8" t="s">
        <v>109</v>
      </c>
      <c r="I570" s="24">
        <v>328.12</v>
      </c>
      <c r="J570" s="7">
        <v>0</v>
      </c>
      <c r="K570" s="11">
        <f t="shared" si="36"/>
        <v>1050.49</v>
      </c>
      <c r="L570" s="7">
        <v>1050.49</v>
      </c>
      <c r="M570" s="10">
        <f t="shared" si="37"/>
        <v>31.234947500690151</v>
      </c>
    </row>
    <row r="571" spans="1:13" ht="15" hidden="1" customHeight="1" x14ac:dyDescent="0.3">
      <c r="B571" s="8" t="s">
        <v>248</v>
      </c>
      <c r="C571" s="21">
        <v>44591</v>
      </c>
      <c r="D571" s="22">
        <v>0.83178240740740739</v>
      </c>
      <c r="E571" s="8" t="s">
        <v>24</v>
      </c>
      <c r="F571" s="8" t="s">
        <v>210</v>
      </c>
      <c r="G571" s="8" t="s">
        <v>211</v>
      </c>
      <c r="H571" s="8" t="s">
        <v>109</v>
      </c>
      <c r="I571" s="8">
        <v>397.53</v>
      </c>
      <c r="J571" s="30">
        <v>0</v>
      </c>
      <c r="K571" s="11">
        <f t="shared" si="36"/>
        <v>1090.18</v>
      </c>
      <c r="L571" s="30">
        <v>1090.18</v>
      </c>
      <c r="M571" s="10">
        <f t="shared" si="37"/>
        <v>36.464620521381782</v>
      </c>
    </row>
    <row r="572" spans="1:13" ht="15" hidden="1" customHeight="1" x14ac:dyDescent="0.3">
      <c r="B572" s="8" t="s">
        <v>248</v>
      </c>
      <c r="C572" s="21">
        <v>44592</v>
      </c>
      <c r="D572" s="22">
        <v>0.87472222222222218</v>
      </c>
      <c r="E572" s="8" t="s">
        <v>24</v>
      </c>
      <c r="F572" s="8" t="s">
        <v>175</v>
      </c>
      <c r="G572" s="8" t="s">
        <v>172</v>
      </c>
      <c r="H572" s="8" t="s">
        <v>109</v>
      </c>
      <c r="I572" s="24">
        <v>351.31</v>
      </c>
      <c r="J572" s="7">
        <v>0</v>
      </c>
      <c r="K572" s="11">
        <f t="shared" si="36"/>
        <v>930.26</v>
      </c>
      <c r="L572" s="7">
        <v>930.26</v>
      </c>
      <c r="M572" s="10">
        <f t="shared" si="37"/>
        <v>37.764710941027239</v>
      </c>
    </row>
    <row r="573" spans="1:13" ht="15" hidden="1" customHeight="1" x14ac:dyDescent="0.3">
      <c r="A573" s="9">
        <v>748</v>
      </c>
      <c r="B573" s="8" t="s">
        <v>248</v>
      </c>
      <c r="C573" s="21">
        <v>44594</v>
      </c>
      <c r="D573" s="22">
        <v>0.82581018518518512</v>
      </c>
      <c r="E573" s="8" t="s">
        <v>25</v>
      </c>
      <c r="F573" s="8" t="s">
        <v>278</v>
      </c>
      <c r="G573" s="8" t="s">
        <v>279</v>
      </c>
      <c r="H573" s="8" t="s">
        <v>109</v>
      </c>
      <c r="I573" s="24">
        <f>196.02+440.86</f>
        <v>636.88</v>
      </c>
      <c r="J573" s="7">
        <v>0</v>
      </c>
      <c r="K573" s="11">
        <f t="shared" si="36"/>
        <v>1540.88</v>
      </c>
      <c r="L573" s="7">
        <v>1540.88</v>
      </c>
      <c r="M573" s="10">
        <f t="shared" si="37"/>
        <v>41.332225741134934</v>
      </c>
    </row>
    <row r="574" spans="1:13" ht="15" hidden="1" customHeight="1" x14ac:dyDescent="0.3">
      <c r="A574" s="9">
        <v>749</v>
      </c>
      <c r="B574" s="8" t="s">
        <v>248</v>
      </c>
      <c r="C574" s="21">
        <v>44596</v>
      </c>
      <c r="D574" s="22">
        <v>0.51563657407407404</v>
      </c>
      <c r="E574" s="8" t="s">
        <v>25</v>
      </c>
      <c r="F574" s="8" t="s">
        <v>175</v>
      </c>
      <c r="G574" s="8" t="s">
        <v>172</v>
      </c>
      <c r="H574" s="8" t="s">
        <v>109</v>
      </c>
      <c r="I574" s="24">
        <v>496.49</v>
      </c>
      <c r="J574" s="31">
        <v>0</v>
      </c>
      <c r="K574" s="11">
        <f t="shared" si="36"/>
        <v>1387.78</v>
      </c>
      <c r="L574" s="31">
        <v>1387.78</v>
      </c>
      <c r="M574" s="10">
        <f t="shared" si="37"/>
        <v>35.775843433397227</v>
      </c>
    </row>
    <row r="575" spans="1:13" ht="15" hidden="1" customHeight="1" x14ac:dyDescent="0.3">
      <c r="A575" s="9">
        <v>750</v>
      </c>
      <c r="B575" s="8" t="s">
        <v>248</v>
      </c>
      <c r="C575" s="21">
        <v>44597</v>
      </c>
      <c r="D575" s="22">
        <v>0.78909722222222223</v>
      </c>
      <c r="E575" s="8" t="s">
        <v>25</v>
      </c>
      <c r="F575" s="8" t="s">
        <v>210</v>
      </c>
      <c r="G575" s="8" t="s">
        <v>211</v>
      </c>
      <c r="H575" s="8" t="s">
        <v>109</v>
      </c>
      <c r="I575" s="24">
        <v>365.17</v>
      </c>
      <c r="J575" s="7">
        <v>0</v>
      </c>
      <c r="K575" s="11">
        <f t="shared" si="36"/>
        <v>822.77</v>
      </c>
      <c r="L575" s="7">
        <v>822.77</v>
      </c>
      <c r="M575" s="10">
        <f t="shared" si="37"/>
        <v>44.382998893980094</v>
      </c>
    </row>
    <row r="576" spans="1:13" ht="15" hidden="1" customHeight="1" x14ac:dyDescent="0.3">
      <c r="A576" s="9">
        <v>751</v>
      </c>
      <c r="B576" s="8" t="s">
        <v>248</v>
      </c>
      <c r="C576" s="21">
        <v>44598</v>
      </c>
      <c r="D576" s="22">
        <v>0.85194444444444439</v>
      </c>
      <c r="E576" s="8" t="s">
        <v>25</v>
      </c>
      <c r="F576" s="8" t="s">
        <v>210</v>
      </c>
      <c r="G576" s="8" t="s">
        <v>211</v>
      </c>
      <c r="H576" s="8" t="s">
        <v>109</v>
      </c>
      <c r="I576" s="24">
        <v>411.76</v>
      </c>
      <c r="J576" s="7">
        <v>0</v>
      </c>
      <c r="K576" s="11">
        <f t="shared" si="36"/>
        <v>1062.52</v>
      </c>
      <c r="L576" s="7">
        <v>1062.52</v>
      </c>
      <c r="M576" s="10">
        <f t="shared" si="37"/>
        <v>38.753152881828107</v>
      </c>
    </row>
    <row r="577" spans="1:13" ht="15" hidden="1" customHeight="1" x14ac:dyDescent="0.3">
      <c r="A577" s="9">
        <v>752</v>
      </c>
      <c r="B577" s="8" t="s">
        <v>248</v>
      </c>
      <c r="C577" s="21">
        <v>44607</v>
      </c>
      <c r="D577" s="22">
        <v>0.46372685185185186</v>
      </c>
      <c r="E577" s="8" t="s">
        <v>25</v>
      </c>
      <c r="F577" s="8" t="s">
        <v>175</v>
      </c>
      <c r="G577" s="8" t="s">
        <v>172</v>
      </c>
      <c r="H577" s="8" t="s">
        <v>109</v>
      </c>
      <c r="I577" s="8">
        <v>377.07</v>
      </c>
      <c r="J577" s="30">
        <v>0</v>
      </c>
      <c r="K577" s="11">
        <f t="shared" si="36"/>
        <v>983.45</v>
      </c>
      <c r="L577" s="30">
        <v>983.45</v>
      </c>
      <c r="M577" s="10">
        <f t="shared" si="37"/>
        <v>38.341552697137629</v>
      </c>
    </row>
    <row r="578" spans="1:13" ht="15" hidden="1" customHeight="1" x14ac:dyDescent="0.3">
      <c r="A578" s="9">
        <v>753</v>
      </c>
      <c r="B578" s="8" t="s">
        <v>248</v>
      </c>
      <c r="C578" s="21">
        <v>44609</v>
      </c>
      <c r="D578" s="22">
        <v>2.3032407407407407E-3</v>
      </c>
      <c r="E578" s="8" t="s">
        <v>25</v>
      </c>
      <c r="F578" s="8" t="s">
        <v>165</v>
      </c>
      <c r="G578" s="8" t="s">
        <v>185</v>
      </c>
      <c r="H578" s="8" t="s">
        <v>109</v>
      </c>
      <c r="I578" s="8">
        <v>589.88</v>
      </c>
      <c r="J578" s="30">
        <v>0</v>
      </c>
      <c r="K578" s="11">
        <f t="shared" si="36"/>
        <v>1376.88</v>
      </c>
      <c r="L578" s="67">
        <v>1376.88</v>
      </c>
      <c r="M578" s="10">
        <f t="shared" si="37"/>
        <v>42.841787229097669</v>
      </c>
    </row>
    <row r="579" spans="1:13" ht="15" hidden="1" customHeight="1" x14ac:dyDescent="0.3">
      <c r="A579" s="9">
        <v>754</v>
      </c>
      <c r="B579" s="8" t="s">
        <v>248</v>
      </c>
      <c r="C579" s="21">
        <v>44610</v>
      </c>
      <c r="D579" s="22">
        <v>0.44032407407407409</v>
      </c>
      <c r="E579" s="8" t="s">
        <v>25</v>
      </c>
      <c r="F579" s="8" t="s">
        <v>175</v>
      </c>
      <c r="G579" s="8" t="s">
        <v>172</v>
      </c>
      <c r="H579" s="8" t="s">
        <v>109</v>
      </c>
      <c r="I579" s="8">
        <v>533.41</v>
      </c>
      <c r="J579" s="7">
        <v>0</v>
      </c>
      <c r="K579" s="11">
        <f t="shared" si="36"/>
        <v>1465.26</v>
      </c>
      <c r="L579" s="28">
        <v>1465.26</v>
      </c>
      <c r="M579" s="10">
        <f t="shared" si="37"/>
        <v>36.403778169062143</v>
      </c>
    </row>
    <row r="580" spans="1:13" ht="15" hidden="1" customHeight="1" x14ac:dyDescent="0.3">
      <c r="A580" s="9">
        <v>755</v>
      </c>
      <c r="B580" s="8" t="s">
        <v>248</v>
      </c>
      <c r="C580" s="21">
        <v>44611</v>
      </c>
      <c r="D580" s="22">
        <v>0.34244212962962961</v>
      </c>
      <c r="E580" s="8" t="s">
        <v>25</v>
      </c>
      <c r="F580" s="8" t="s">
        <v>210</v>
      </c>
      <c r="G580" s="8" t="s">
        <v>211</v>
      </c>
      <c r="H580" s="8" t="s">
        <v>109</v>
      </c>
      <c r="I580" s="24">
        <v>355.74</v>
      </c>
      <c r="J580" s="34">
        <v>0</v>
      </c>
      <c r="K580" s="11">
        <f t="shared" si="36"/>
        <v>830.77</v>
      </c>
      <c r="L580" s="7">
        <v>830.77</v>
      </c>
      <c r="M580" s="10">
        <f t="shared" si="37"/>
        <v>42.820515906929721</v>
      </c>
    </row>
    <row r="581" spans="1:13" ht="15" hidden="1" customHeight="1" x14ac:dyDescent="0.3">
      <c r="A581" s="9">
        <v>756</v>
      </c>
      <c r="B581" s="8" t="s">
        <v>248</v>
      </c>
      <c r="C581" s="21">
        <v>44613</v>
      </c>
      <c r="D581" s="22">
        <v>0.60913194444444441</v>
      </c>
      <c r="E581" s="8" t="s">
        <v>25</v>
      </c>
      <c r="F581" s="8" t="s">
        <v>202</v>
      </c>
      <c r="G581" s="8" t="s">
        <v>203</v>
      </c>
      <c r="H581" s="8" t="s">
        <v>109</v>
      </c>
      <c r="I581" s="24">
        <v>583.1</v>
      </c>
      <c r="J581" s="7">
        <v>0</v>
      </c>
      <c r="K581" s="11">
        <f t="shared" si="36"/>
        <v>1607.47</v>
      </c>
      <c r="L581" s="37">
        <v>1607.47</v>
      </c>
      <c r="M581" s="10">
        <f t="shared" si="37"/>
        <v>36.274393923370269</v>
      </c>
    </row>
    <row r="582" spans="1:13" ht="15" hidden="1" customHeight="1" x14ac:dyDescent="0.3">
      <c r="A582" s="9">
        <v>757</v>
      </c>
      <c r="B582" s="8" t="s">
        <v>248</v>
      </c>
      <c r="C582" s="21">
        <v>44614</v>
      </c>
      <c r="D582" s="22">
        <v>0.7837615740740741</v>
      </c>
      <c r="E582" s="8" t="s">
        <v>25</v>
      </c>
      <c r="F582" s="8" t="s">
        <v>210</v>
      </c>
      <c r="G582" s="8" t="s">
        <v>211</v>
      </c>
      <c r="H582" s="8" t="s">
        <v>109</v>
      </c>
      <c r="I582" s="8">
        <v>467.3</v>
      </c>
      <c r="J582" s="11">
        <v>0</v>
      </c>
      <c r="K582" s="11">
        <f t="shared" si="36"/>
        <v>1113.78</v>
      </c>
      <c r="L582" s="28">
        <v>1113.78</v>
      </c>
      <c r="M582" s="10">
        <f t="shared" si="37"/>
        <v>41.956221156781417</v>
      </c>
    </row>
    <row r="583" spans="1:13" ht="15" hidden="1" customHeight="1" x14ac:dyDescent="0.3">
      <c r="A583" s="9">
        <v>758</v>
      </c>
      <c r="B583" s="8" t="s">
        <v>248</v>
      </c>
      <c r="C583" s="21">
        <v>44616</v>
      </c>
      <c r="D583" s="22">
        <v>0.15449074074074073</v>
      </c>
      <c r="E583" s="8" t="s">
        <v>25</v>
      </c>
      <c r="F583" s="8" t="s">
        <v>175</v>
      </c>
      <c r="G583" s="8" t="s">
        <v>172</v>
      </c>
      <c r="H583" s="8" t="s">
        <v>109</v>
      </c>
      <c r="I583" s="8">
        <v>250.99</v>
      </c>
      <c r="J583" s="11">
        <v>0</v>
      </c>
      <c r="K583" s="11">
        <f t="shared" si="36"/>
        <v>1057.1199999999999</v>
      </c>
      <c r="L583" s="7">
        <v>1057.1199999999999</v>
      </c>
      <c r="M583" s="10">
        <f t="shared" si="37"/>
        <v>23.742810655365528</v>
      </c>
    </row>
    <row r="584" spans="1:13" ht="15" hidden="1" customHeight="1" x14ac:dyDescent="0.3">
      <c r="A584" s="9">
        <v>759</v>
      </c>
      <c r="B584" s="8" t="s">
        <v>248</v>
      </c>
      <c r="C584" s="21">
        <v>44616</v>
      </c>
      <c r="D584" s="22">
        <v>0.98954861111111114</v>
      </c>
      <c r="E584" s="8" t="s">
        <v>25</v>
      </c>
      <c r="F584" s="8" t="s">
        <v>210</v>
      </c>
      <c r="G584" s="8" t="s">
        <v>211</v>
      </c>
      <c r="H584" s="8" t="s">
        <v>109</v>
      </c>
      <c r="I584" s="8">
        <v>436.05</v>
      </c>
      <c r="J584" s="11">
        <v>0</v>
      </c>
      <c r="K584" s="11">
        <f t="shared" si="36"/>
        <v>689.11</v>
      </c>
      <c r="L584" s="11">
        <v>689.11</v>
      </c>
      <c r="M584" s="10">
        <f t="shared" si="37"/>
        <v>63.277270682474494</v>
      </c>
    </row>
    <row r="585" spans="1:13" ht="15" hidden="1" customHeight="1" x14ac:dyDescent="0.3">
      <c r="A585" s="9">
        <v>760</v>
      </c>
      <c r="B585" s="8" t="s">
        <v>248</v>
      </c>
      <c r="C585" s="21">
        <v>44618</v>
      </c>
      <c r="D585" s="22">
        <v>0.75244212962962964</v>
      </c>
      <c r="E585" s="8" t="s">
        <v>25</v>
      </c>
      <c r="F585" s="8" t="s">
        <v>210</v>
      </c>
      <c r="G585" s="8" t="s">
        <v>211</v>
      </c>
      <c r="H585" s="8" t="s">
        <v>109</v>
      </c>
      <c r="I585" s="8">
        <v>500.22</v>
      </c>
      <c r="J585" s="11">
        <v>0</v>
      </c>
      <c r="K585" s="11">
        <f t="shared" ref="K585:K616" si="38">+L585-J585</f>
        <v>1120.78</v>
      </c>
      <c r="L585" s="11">
        <v>1120.78</v>
      </c>
      <c r="M585" s="10">
        <f t="shared" si="37"/>
        <v>44.631417405735299</v>
      </c>
    </row>
    <row r="586" spans="1:13" ht="15" hidden="1" customHeight="1" x14ac:dyDescent="0.3">
      <c r="A586" s="9">
        <v>761</v>
      </c>
      <c r="B586" s="8" t="s">
        <v>248</v>
      </c>
      <c r="C586" s="21">
        <v>44620</v>
      </c>
      <c r="D586" s="22">
        <v>0.99193287037037037</v>
      </c>
      <c r="E586" s="8" t="s">
        <v>25</v>
      </c>
      <c r="F586" s="8" t="s">
        <v>210</v>
      </c>
      <c r="G586" s="8" t="s">
        <v>211</v>
      </c>
      <c r="H586" s="8" t="s">
        <v>109</v>
      </c>
      <c r="I586" s="8">
        <v>553.05999999999995</v>
      </c>
      <c r="J586" s="11">
        <v>0</v>
      </c>
      <c r="K586" s="11">
        <f t="shared" si="38"/>
        <v>1512.68</v>
      </c>
      <c r="L586" s="11">
        <v>1512.68</v>
      </c>
      <c r="M586" s="10">
        <f t="shared" ref="M586:M617" si="39">I586/K586*100</f>
        <v>36.561599280746748</v>
      </c>
    </row>
    <row r="587" spans="1:13" ht="15" hidden="1" customHeight="1" x14ac:dyDescent="0.3">
      <c r="A587" s="9">
        <v>1871</v>
      </c>
      <c r="B587" s="8" t="s">
        <v>248</v>
      </c>
      <c r="C587" s="21">
        <v>44622</v>
      </c>
      <c r="D587" s="22">
        <v>0.74950231481481477</v>
      </c>
      <c r="E587" s="8" t="s">
        <v>26</v>
      </c>
      <c r="F587" s="8" t="s">
        <v>165</v>
      </c>
      <c r="G587" s="8" t="s">
        <v>185</v>
      </c>
      <c r="H587" s="8" t="s">
        <v>109</v>
      </c>
      <c r="I587" s="8">
        <v>439.12</v>
      </c>
      <c r="J587" s="11">
        <v>0</v>
      </c>
      <c r="K587" s="89">
        <f t="shared" si="38"/>
        <v>982.45</v>
      </c>
      <c r="L587" s="11">
        <v>982.45</v>
      </c>
      <c r="M587" s="10">
        <f t="shared" si="39"/>
        <v>44.696422209781666</v>
      </c>
    </row>
    <row r="588" spans="1:13" ht="15" hidden="1" customHeight="1" x14ac:dyDescent="0.3">
      <c r="A588" s="9">
        <v>1872</v>
      </c>
      <c r="B588" s="8" t="s">
        <v>248</v>
      </c>
      <c r="C588" s="21">
        <v>44626</v>
      </c>
      <c r="D588" s="22">
        <v>0.31997685185185182</v>
      </c>
      <c r="E588" s="8" t="s">
        <v>26</v>
      </c>
      <c r="F588" s="8" t="s">
        <v>165</v>
      </c>
      <c r="G588" s="8" t="s">
        <v>185</v>
      </c>
      <c r="H588" s="8" t="s">
        <v>109</v>
      </c>
      <c r="I588" s="24">
        <v>731.25</v>
      </c>
      <c r="J588" s="7">
        <v>0</v>
      </c>
      <c r="K588" s="89">
        <f t="shared" si="38"/>
        <v>1292.42</v>
      </c>
      <c r="L588" s="7">
        <f>107+1185.42</f>
        <v>1292.42</v>
      </c>
      <c r="M588" s="10">
        <f t="shared" si="39"/>
        <v>56.579904365453949</v>
      </c>
    </row>
    <row r="589" spans="1:13" ht="15" hidden="1" customHeight="1" x14ac:dyDescent="0.3">
      <c r="A589" s="9">
        <v>1873</v>
      </c>
      <c r="B589" s="8" t="s">
        <v>248</v>
      </c>
      <c r="C589" s="21">
        <v>44629</v>
      </c>
      <c r="D589" s="22">
        <v>0.43425925925925929</v>
      </c>
      <c r="E589" s="8" t="s">
        <v>26</v>
      </c>
      <c r="F589" s="8" t="s">
        <v>175</v>
      </c>
      <c r="G589" s="8" t="s">
        <v>172</v>
      </c>
      <c r="H589" s="8" t="s">
        <v>109</v>
      </c>
      <c r="I589" s="24">
        <v>534.83000000000004</v>
      </c>
      <c r="J589" s="7">
        <v>0</v>
      </c>
      <c r="K589" s="89">
        <f t="shared" si="38"/>
        <v>1280</v>
      </c>
      <c r="L589" s="7">
        <v>1280</v>
      </c>
      <c r="M589" s="36">
        <f t="shared" si="39"/>
        <v>41.783593750000001</v>
      </c>
    </row>
    <row r="590" spans="1:13" ht="15" hidden="1" customHeight="1" x14ac:dyDescent="0.3">
      <c r="A590" s="9">
        <v>1874</v>
      </c>
      <c r="B590" s="8" t="s">
        <v>248</v>
      </c>
      <c r="C590" s="21">
        <v>44638</v>
      </c>
      <c r="D590" s="22">
        <v>4.6979166666666662E-2</v>
      </c>
      <c r="E590" s="8" t="s">
        <v>26</v>
      </c>
      <c r="F590" s="8" t="s">
        <v>210</v>
      </c>
      <c r="G590" s="8" t="s">
        <v>211</v>
      </c>
      <c r="H590" s="8" t="s">
        <v>109</v>
      </c>
      <c r="I590" s="24">
        <v>523.88</v>
      </c>
      <c r="J590" s="7">
        <v>0</v>
      </c>
      <c r="K590" s="89">
        <f t="shared" si="38"/>
        <v>1245.57</v>
      </c>
      <c r="L590" s="7">
        <v>1245.57</v>
      </c>
      <c r="M590" s="36">
        <f t="shared" si="39"/>
        <v>42.059458721709738</v>
      </c>
    </row>
    <row r="591" spans="1:13" ht="15" hidden="1" customHeight="1" x14ac:dyDescent="0.3">
      <c r="A591" s="9">
        <v>1875</v>
      </c>
      <c r="B591" s="8" t="s">
        <v>248</v>
      </c>
      <c r="C591" s="21">
        <v>44639</v>
      </c>
      <c r="D591" s="22">
        <v>0.23322916666666668</v>
      </c>
      <c r="E591" s="8" t="s">
        <v>26</v>
      </c>
      <c r="F591" s="8" t="s">
        <v>210</v>
      </c>
      <c r="G591" s="8" t="s">
        <v>211</v>
      </c>
      <c r="H591" s="8" t="s">
        <v>109</v>
      </c>
      <c r="I591" s="24">
        <v>401.45</v>
      </c>
      <c r="J591" s="7">
        <v>0</v>
      </c>
      <c r="K591" s="89">
        <f t="shared" si="38"/>
        <v>1063.8</v>
      </c>
      <c r="L591" s="7">
        <v>1063.8</v>
      </c>
      <c r="M591" s="36">
        <f t="shared" si="39"/>
        <v>37.73735664598609</v>
      </c>
    </row>
    <row r="592" spans="1:13" ht="15" hidden="1" customHeight="1" x14ac:dyDescent="0.3">
      <c r="A592" s="9">
        <v>1876</v>
      </c>
      <c r="B592" s="8" t="s">
        <v>248</v>
      </c>
      <c r="C592" s="21">
        <v>44641</v>
      </c>
      <c r="D592" s="22">
        <v>0.87920138888888888</v>
      </c>
      <c r="E592" s="8" t="s">
        <v>26</v>
      </c>
      <c r="F592" s="8" t="s">
        <v>311</v>
      </c>
      <c r="G592" s="8" t="s">
        <v>303</v>
      </c>
      <c r="H592" s="8" t="s">
        <v>109</v>
      </c>
      <c r="I592" s="24">
        <v>250</v>
      </c>
      <c r="J592" s="7">
        <v>0</v>
      </c>
      <c r="K592" s="89">
        <f t="shared" si="38"/>
        <v>1511.59</v>
      </c>
      <c r="L592" s="7">
        <v>1511.59</v>
      </c>
      <c r="M592" s="36">
        <f t="shared" si="39"/>
        <v>16.538876282589857</v>
      </c>
    </row>
    <row r="593" spans="1:13" ht="15" hidden="1" customHeight="1" x14ac:dyDescent="0.3">
      <c r="A593" s="9">
        <v>1877</v>
      </c>
      <c r="B593" s="8" t="s">
        <v>248</v>
      </c>
      <c r="C593" s="21">
        <v>44642</v>
      </c>
      <c r="D593" s="22">
        <v>0.58446759259259262</v>
      </c>
      <c r="E593" s="8" t="s">
        <v>26</v>
      </c>
      <c r="F593" s="8" t="s">
        <v>210</v>
      </c>
      <c r="G593" s="8" t="s">
        <v>211</v>
      </c>
      <c r="H593" s="8" t="s">
        <v>109</v>
      </c>
      <c r="I593" s="24">
        <v>540.54999999999995</v>
      </c>
      <c r="J593" s="7">
        <v>0</v>
      </c>
      <c r="K593" s="89">
        <f t="shared" si="38"/>
        <v>434.97</v>
      </c>
      <c r="L593" s="7">
        <v>434.97</v>
      </c>
      <c r="M593" s="36">
        <f t="shared" si="39"/>
        <v>124.27293836356527</v>
      </c>
    </row>
    <row r="594" spans="1:13" ht="15" hidden="1" customHeight="1" x14ac:dyDescent="0.3">
      <c r="A594" s="9">
        <v>1878</v>
      </c>
      <c r="B594" s="8" t="s">
        <v>248</v>
      </c>
      <c r="C594" s="21">
        <v>44643</v>
      </c>
      <c r="D594" s="22">
        <v>0.9377199074074074</v>
      </c>
      <c r="E594" s="8" t="s">
        <v>26</v>
      </c>
      <c r="F594" s="8" t="s">
        <v>210</v>
      </c>
      <c r="G594" s="8" t="s">
        <v>211</v>
      </c>
      <c r="H594" s="8" t="s">
        <v>109</v>
      </c>
      <c r="I594" s="24">
        <v>382</v>
      </c>
      <c r="J594" s="7">
        <v>0</v>
      </c>
      <c r="K594" s="89">
        <f t="shared" si="38"/>
        <v>882.71</v>
      </c>
      <c r="L594" s="7">
        <v>882.71</v>
      </c>
      <c r="M594" s="36">
        <f t="shared" si="39"/>
        <v>43.275821051081323</v>
      </c>
    </row>
    <row r="595" spans="1:13" ht="15" hidden="1" customHeight="1" x14ac:dyDescent="0.3">
      <c r="A595" s="9">
        <v>1879</v>
      </c>
      <c r="B595" s="8" t="s">
        <v>248</v>
      </c>
      <c r="C595" s="21">
        <v>44645</v>
      </c>
      <c r="D595" s="22">
        <v>0.4534259259259259</v>
      </c>
      <c r="E595" s="8" t="s">
        <v>26</v>
      </c>
      <c r="F595" s="8" t="s">
        <v>175</v>
      </c>
      <c r="G595" s="8" t="s">
        <v>172</v>
      </c>
      <c r="H595" s="8" t="s">
        <v>109</v>
      </c>
      <c r="I595" s="24">
        <v>425.36</v>
      </c>
      <c r="J595" s="7">
        <v>0</v>
      </c>
      <c r="K595" s="89">
        <f t="shared" si="38"/>
        <v>954.66</v>
      </c>
      <c r="L595" s="7">
        <v>954.66</v>
      </c>
      <c r="M595" s="36">
        <f t="shared" si="39"/>
        <v>44.556177068275623</v>
      </c>
    </row>
    <row r="596" spans="1:13" ht="15" hidden="1" customHeight="1" x14ac:dyDescent="0.3">
      <c r="A596" s="9">
        <v>1880</v>
      </c>
      <c r="B596" s="8" t="s">
        <v>248</v>
      </c>
      <c r="C596" s="21">
        <v>44646</v>
      </c>
      <c r="D596" s="22">
        <v>0.75086805555555547</v>
      </c>
      <c r="E596" s="8" t="s">
        <v>26</v>
      </c>
      <c r="F596" s="8" t="s">
        <v>210</v>
      </c>
      <c r="G596" s="8" t="s">
        <v>211</v>
      </c>
      <c r="H596" s="8" t="s">
        <v>109</v>
      </c>
      <c r="I596" s="8">
        <v>365.93</v>
      </c>
      <c r="J596" s="11">
        <v>0</v>
      </c>
      <c r="K596" s="89">
        <f t="shared" si="38"/>
        <v>829.23</v>
      </c>
      <c r="L596" s="30">
        <v>829.23</v>
      </c>
      <c r="M596" s="10">
        <f t="shared" si="39"/>
        <v>44.128890657598014</v>
      </c>
    </row>
    <row r="597" spans="1:13" ht="15" hidden="1" customHeight="1" x14ac:dyDescent="0.3">
      <c r="A597" s="9">
        <v>1881</v>
      </c>
      <c r="B597" s="8" t="s">
        <v>248</v>
      </c>
      <c r="C597" s="21">
        <v>44647</v>
      </c>
      <c r="D597" s="22">
        <v>0.69438657407407411</v>
      </c>
      <c r="E597" s="8" t="s">
        <v>26</v>
      </c>
      <c r="F597" s="8" t="s">
        <v>210</v>
      </c>
      <c r="G597" s="8" t="s">
        <v>211</v>
      </c>
      <c r="H597" s="8" t="s">
        <v>109</v>
      </c>
      <c r="I597" s="8">
        <v>410.03</v>
      </c>
      <c r="J597" s="11">
        <v>0</v>
      </c>
      <c r="K597" s="89">
        <f t="shared" si="38"/>
        <v>1062.48</v>
      </c>
      <c r="L597" s="11">
        <v>1062.48</v>
      </c>
      <c r="M597" s="10">
        <f t="shared" si="39"/>
        <v>38.591785257134248</v>
      </c>
    </row>
    <row r="598" spans="1:13" ht="15" hidden="1" customHeight="1" x14ac:dyDescent="0.3">
      <c r="A598" s="9">
        <v>1882</v>
      </c>
      <c r="B598" s="8" t="s">
        <v>248</v>
      </c>
      <c r="C598" s="21">
        <v>44648</v>
      </c>
      <c r="D598" s="22">
        <v>0.83451388888888889</v>
      </c>
      <c r="E598" s="8" t="s">
        <v>26</v>
      </c>
      <c r="F598" s="8" t="s">
        <v>175</v>
      </c>
      <c r="G598" s="8" t="s">
        <v>172</v>
      </c>
      <c r="H598" s="8" t="s">
        <v>109</v>
      </c>
      <c r="I598" s="8">
        <v>344.54</v>
      </c>
      <c r="J598" s="11">
        <v>0</v>
      </c>
      <c r="K598" s="89">
        <f t="shared" si="38"/>
        <v>944.14</v>
      </c>
      <c r="L598" s="11">
        <v>944.14</v>
      </c>
      <c r="M598" s="10">
        <f t="shared" si="39"/>
        <v>36.492469337174576</v>
      </c>
    </row>
    <row r="599" spans="1:13" ht="15" hidden="1" customHeight="1" x14ac:dyDescent="0.3">
      <c r="A599" s="9">
        <v>1883</v>
      </c>
      <c r="B599" s="8" t="s">
        <v>248</v>
      </c>
      <c r="C599" s="21">
        <v>44649</v>
      </c>
      <c r="D599" s="22">
        <v>0.93517361111111119</v>
      </c>
      <c r="E599" s="8" t="s">
        <v>26</v>
      </c>
      <c r="F599" s="8" t="s">
        <v>210</v>
      </c>
      <c r="G599" s="8" t="s">
        <v>211</v>
      </c>
      <c r="H599" s="8" t="s">
        <v>109</v>
      </c>
      <c r="I599" s="8">
        <v>390.68</v>
      </c>
      <c r="J599" s="7">
        <v>0</v>
      </c>
      <c r="K599" s="89">
        <f t="shared" si="38"/>
        <v>830.95</v>
      </c>
      <c r="L599" s="32">
        <v>830.95</v>
      </c>
      <c r="M599" s="10">
        <f t="shared" si="39"/>
        <v>47.016065948613033</v>
      </c>
    </row>
    <row r="600" spans="1:13" ht="15" hidden="1" customHeight="1" x14ac:dyDescent="0.3">
      <c r="A600" s="9">
        <v>1884</v>
      </c>
      <c r="B600" s="8" t="s">
        <v>248</v>
      </c>
      <c r="C600" s="21">
        <v>44651</v>
      </c>
      <c r="D600" s="22">
        <v>0.4445601851851852</v>
      </c>
      <c r="E600" s="8" t="s">
        <v>26</v>
      </c>
      <c r="F600" s="8" t="s">
        <v>166</v>
      </c>
      <c r="G600" s="8" t="s">
        <v>161</v>
      </c>
      <c r="H600" s="8" t="s">
        <v>109</v>
      </c>
      <c r="I600" s="24">
        <v>439</v>
      </c>
      <c r="J600" s="7">
        <v>0</v>
      </c>
      <c r="K600" s="89">
        <f t="shared" si="38"/>
        <v>1199.47</v>
      </c>
      <c r="L600" s="32">
        <v>1199.47</v>
      </c>
      <c r="M600" s="10">
        <f t="shared" si="39"/>
        <v>36.599498111665987</v>
      </c>
    </row>
    <row r="601" spans="1:13" ht="15" hidden="1" customHeight="1" x14ac:dyDescent="0.3">
      <c r="A601" s="9">
        <v>3144</v>
      </c>
      <c r="B601" t="s">
        <v>248</v>
      </c>
      <c r="C601" s="25">
        <v>44653</v>
      </c>
      <c r="D601" s="26">
        <v>0.47965277777777776</v>
      </c>
      <c r="E601" s="8" t="s">
        <v>27</v>
      </c>
      <c r="F601" t="s">
        <v>456</v>
      </c>
      <c r="G601" t="s">
        <v>457</v>
      </c>
      <c r="H601" t="s">
        <v>109</v>
      </c>
      <c r="I601" s="4">
        <v>100.12</v>
      </c>
      <c r="J601" s="30">
        <v>0</v>
      </c>
      <c r="K601" s="92">
        <f t="shared" si="38"/>
        <v>1402.42</v>
      </c>
      <c r="L601" s="30">
        <v>1402.42</v>
      </c>
      <c r="M601" s="10">
        <f t="shared" si="39"/>
        <v>7.1390881476305248</v>
      </c>
    </row>
    <row r="602" spans="1:13" ht="15" hidden="1" customHeight="1" x14ac:dyDescent="0.3">
      <c r="A602" s="9">
        <v>3145</v>
      </c>
      <c r="B602" t="s">
        <v>248</v>
      </c>
      <c r="C602" s="25">
        <v>44653</v>
      </c>
      <c r="D602" s="26">
        <v>0.63657407407407407</v>
      </c>
      <c r="E602" s="8" t="s">
        <v>27</v>
      </c>
      <c r="F602" t="s">
        <v>166</v>
      </c>
      <c r="G602" t="s">
        <v>161</v>
      </c>
      <c r="H602" t="s">
        <v>109</v>
      </c>
      <c r="I602" s="4">
        <v>530.55999999999995</v>
      </c>
      <c r="J602" s="11">
        <v>0</v>
      </c>
      <c r="K602" s="89">
        <f t="shared" si="38"/>
        <v>235.57</v>
      </c>
      <c r="L602" s="11">
        <v>235.57</v>
      </c>
      <c r="M602" s="10">
        <f t="shared" si="39"/>
        <v>225.22392494799846</v>
      </c>
    </row>
    <row r="603" spans="1:13" ht="15" hidden="1" customHeight="1" x14ac:dyDescent="0.3">
      <c r="A603" s="9">
        <v>3146</v>
      </c>
      <c r="B603" t="s">
        <v>248</v>
      </c>
      <c r="C603" s="25">
        <v>44654</v>
      </c>
      <c r="D603" s="26">
        <v>0.32753472222222224</v>
      </c>
      <c r="E603" s="8" t="s">
        <v>27</v>
      </c>
      <c r="F603" t="s">
        <v>165</v>
      </c>
      <c r="G603" t="s">
        <v>185</v>
      </c>
      <c r="H603" t="s">
        <v>109</v>
      </c>
      <c r="I603" s="4">
        <v>323.61</v>
      </c>
      <c r="J603" s="7">
        <v>0</v>
      </c>
      <c r="K603" s="90">
        <f t="shared" si="38"/>
        <v>860.38</v>
      </c>
      <c r="L603" s="7">
        <v>860.38</v>
      </c>
      <c r="M603" s="10">
        <f t="shared" si="39"/>
        <v>37.612450312652548</v>
      </c>
    </row>
    <row r="604" spans="1:13" ht="15" hidden="1" customHeight="1" x14ac:dyDescent="0.3">
      <c r="A604" s="9">
        <v>3147</v>
      </c>
      <c r="B604" t="s">
        <v>248</v>
      </c>
      <c r="C604" s="25">
        <v>44655</v>
      </c>
      <c r="D604" s="26">
        <v>0.26856481481481481</v>
      </c>
      <c r="E604" s="8" t="s">
        <v>27</v>
      </c>
      <c r="F604" t="s">
        <v>169</v>
      </c>
      <c r="G604" t="s">
        <v>196</v>
      </c>
      <c r="H604" t="s">
        <v>109</v>
      </c>
      <c r="I604" s="4">
        <v>150</v>
      </c>
      <c r="J604" s="7">
        <v>0</v>
      </c>
      <c r="K604" s="90">
        <f t="shared" si="38"/>
        <v>981.23</v>
      </c>
      <c r="L604" s="32">
        <v>981.23</v>
      </c>
      <c r="M604" s="10">
        <f t="shared" si="39"/>
        <v>15.286935784678413</v>
      </c>
    </row>
    <row r="605" spans="1:13" ht="15" hidden="1" customHeight="1" x14ac:dyDescent="0.3">
      <c r="A605" s="9">
        <v>3148</v>
      </c>
      <c r="B605" t="s">
        <v>248</v>
      </c>
      <c r="C605" s="25">
        <v>44656</v>
      </c>
      <c r="D605" s="26">
        <v>0.36196759259259265</v>
      </c>
      <c r="E605" s="8" t="s">
        <v>27</v>
      </c>
      <c r="F605" t="s">
        <v>197</v>
      </c>
      <c r="G605" t="s">
        <v>44</v>
      </c>
      <c r="H605" t="s">
        <v>109</v>
      </c>
      <c r="I605" s="4">
        <f>3.71+100</f>
        <v>103.71</v>
      </c>
      <c r="J605" s="30">
        <v>0</v>
      </c>
      <c r="K605" s="92">
        <f t="shared" si="38"/>
        <v>764.85</v>
      </c>
      <c r="L605" s="30">
        <v>764.85</v>
      </c>
      <c r="M605" s="10">
        <f t="shared" si="39"/>
        <v>13.559521474798981</v>
      </c>
    </row>
    <row r="606" spans="1:13" ht="15" hidden="1" customHeight="1" x14ac:dyDescent="0.3">
      <c r="A606" s="9">
        <v>3149</v>
      </c>
      <c r="B606" t="s">
        <v>248</v>
      </c>
      <c r="C606" s="25">
        <v>44656</v>
      </c>
      <c r="D606" s="26">
        <v>0.4198263888888889</v>
      </c>
      <c r="E606" s="8" t="s">
        <v>27</v>
      </c>
      <c r="F606" t="s">
        <v>343</v>
      </c>
      <c r="G606" t="s">
        <v>344</v>
      </c>
      <c r="H606" t="s">
        <v>109</v>
      </c>
      <c r="I606" s="4">
        <v>200</v>
      </c>
      <c r="J606" s="31">
        <v>0</v>
      </c>
      <c r="K606" s="99">
        <f t="shared" si="38"/>
        <v>847.5</v>
      </c>
      <c r="L606" s="31">
        <v>847.5</v>
      </c>
      <c r="M606" s="10">
        <f t="shared" si="39"/>
        <v>23.598820058997049</v>
      </c>
    </row>
    <row r="607" spans="1:13" ht="15" hidden="1" customHeight="1" x14ac:dyDescent="0.3">
      <c r="A607" s="9">
        <v>3150</v>
      </c>
      <c r="B607" t="s">
        <v>248</v>
      </c>
      <c r="C607" s="25">
        <v>44656</v>
      </c>
      <c r="D607" s="26">
        <v>0.73263888888888884</v>
      </c>
      <c r="E607" s="8" t="s">
        <v>27</v>
      </c>
      <c r="F607" t="s">
        <v>166</v>
      </c>
      <c r="G607" t="s">
        <v>161</v>
      </c>
      <c r="H607" t="s">
        <v>109</v>
      </c>
      <c r="I607" s="4">
        <v>353.12</v>
      </c>
      <c r="J607" s="31">
        <v>0</v>
      </c>
      <c r="K607" s="99">
        <f t="shared" si="38"/>
        <v>429.14</v>
      </c>
      <c r="L607" s="31">
        <v>429.14</v>
      </c>
      <c r="M607" s="10">
        <f t="shared" si="39"/>
        <v>82.285501235028207</v>
      </c>
    </row>
    <row r="608" spans="1:13" ht="15" hidden="1" customHeight="1" x14ac:dyDescent="0.3">
      <c r="A608" s="9">
        <v>3151</v>
      </c>
      <c r="B608" t="s">
        <v>248</v>
      </c>
      <c r="C608" s="25">
        <v>44657</v>
      </c>
      <c r="D608" s="26">
        <v>0.20092592592592592</v>
      </c>
      <c r="E608" s="8" t="s">
        <v>27</v>
      </c>
      <c r="F608" t="s">
        <v>165</v>
      </c>
      <c r="G608" t="s">
        <v>185</v>
      </c>
      <c r="H608" t="s">
        <v>109</v>
      </c>
      <c r="I608" s="4">
        <v>293.19</v>
      </c>
      <c r="J608" s="7">
        <v>0</v>
      </c>
      <c r="K608" s="90">
        <f t="shared" si="38"/>
        <v>1135.74</v>
      </c>
      <c r="L608" s="7">
        <v>1135.74</v>
      </c>
      <c r="M608" s="10">
        <f t="shared" si="39"/>
        <v>25.814887210100899</v>
      </c>
    </row>
    <row r="609" spans="1:13" ht="15" hidden="1" customHeight="1" x14ac:dyDescent="0.3">
      <c r="A609" s="9">
        <v>3152</v>
      </c>
      <c r="B609" t="s">
        <v>248</v>
      </c>
      <c r="C609" s="25">
        <v>44657</v>
      </c>
      <c r="D609" s="26">
        <v>0.71950231481481486</v>
      </c>
      <c r="E609" s="8" t="s">
        <v>27</v>
      </c>
      <c r="F609" t="s">
        <v>210</v>
      </c>
      <c r="G609" t="s">
        <v>211</v>
      </c>
      <c r="H609" t="s">
        <v>109</v>
      </c>
      <c r="I609" s="4">
        <v>134.78</v>
      </c>
      <c r="J609" s="7">
        <v>0</v>
      </c>
      <c r="K609" s="90">
        <f t="shared" si="38"/>
        <v>514.59</v>
      </c>
      <c r="L609" s="7">
        <v>514.59</v>
      </c>
      <c r="M609" s="10">
        <f t="shared" si="39"/>
        <v>26.191725451330182</v>
      </c>
    </row>
    <row r="610" spans="1:13" ht="15" hidden="1" customHeight="1" x14ac:dyDescent="0.3">
      <c r="A610" s="9">
        <v>3153</v>
      </c>
      <c r="B610" t="s">
        <v>248</v>
      </c>
      <c r="C610" s="25">
        <v>44665</v>
      </c>
      <c r="D610" s="26">
        <v>0.92532407407407413</v>
      </c>
      <c r="E610" s="8" t="s">
        <v>27</v>
      </c>
      <c r="F610" t="s">
        <v>175</v>
      </c>
      <c r="G610" t="s">
        <v>172</v>
      </c>
      <c r="H610" t="s">
        <v>109</v>
      </c>
      <c r="I610" s="4">
        <v>426.04</v>
      </c>
      <c r="J610" s="7">
        <v>0</v>
      </c>
      <c r="K610" s="90">
        <f t="shared" si="38"/>
        <v>1119.79</v>
      </c>
      <c r="L610" s="7">
        <v>1119.79</v>
      </c>
      <c r="M610" s="10">
        <f t="shared" si="39"/>
        <v>38.046419417926579</v>
      </c>
    </row>
    <row r="611" spans="1:13" ht="15" hidden="1" customHeight="1" x14ac:dyDescent="0.3">
      <c r="A611" s="9">
        <v>3154</v>
      </c>
      <c r="B611" t="s">
        <v>248</v>
      </c>
      <c r="C611" s="25">
        <v>44666</v>
      </c>
      <c r="D611" s="26">
        <v>0.5933680555555555</v>
      </c>
      <c r="E611" s="8" t="s">
        <v>27</v>
      </c>
      <c r="F611" t="s">
        <v>210</v>
      </c>
      <c r="G611" t="s">
        <v>211</v>
      </c>
      <c r="H611" t="s">
        <v>109</v>
      </c>
      <c r="I611" s="4">
        <v>313.51</v>
      </c>
      <c r="J611" s="7">
        <v>0</v>
      </c>
      <c r="K611" s="90">
        <f t="shared" si="38"/>
        <v>695</v>
      </c>
      <c r="L611" s="7">
        <v>695</v>
      </c>
      <c r="M611" s="10">
        <f t="shared" si="39"/>
        <v>45.109352517985613</v>
      </c>
    </row>
    <row r="612" spans="1:13" ht="15" hidden="1" customHeight="1" x14ac:dyDescent="0.3">
      <c r="A612" s="9">
        <v>3155</v>
      </c>
      <c r="B612" t="s">
        <v>248</v>
      </c>
      <c r="C612" s="25">
        <v>44670</v>
      </c>
      <c r="D612" s="26">
        <v>0.7346759259259259</v>
      </c>
      <c r="E612" s="8" t="s">
        <v>27</v>
      </c>
      <c r="F612" t="s">
        <v>165</v>
      </c>
      <c r="G612" t="s">
        <v>185</v>
      </c>
      <c r="H612" t="s">
        <v>109</v>
      </c>
      <c r="I612" s="4">
        <v>623.03</v>
      </c>
      <c r="J612" s="7">
        <v>0</v>
      </c>
      <c r="K612" s="90">
        <f t="shared" si="38"/>
        <v>1428</v>
      </c>
      <c r="L612" s="7">
        <v>1428</v>
      </c>
      <c r="M612" s="10">
        <f t="shared" si="39"/>
        <v>43.629551820728288</v>
      </c>
    </row>
    <row r="613" spans="1:13" ht="15" hidden="1" customHeight="1" x14ac:dyDescent="0.3">
      <c r="A613" s="9">
        <v>3156</v>
      </c>
      <c r="B613" t="s">
        <v>248</v>
      </c>
      <c r="C613" s="25">
        <v>44672</v>
      </c>
      <c r="D613" s="26">
        <v>0.72103009259259254</v>
      </c>
      <c r="E613" s="8" t="s">
        <v>27</v>
      </c>
      <c r="F613" t="s">
        <v>210</v>
      </c>
      <c r="G613" t="s">
        <v>211</v>
      </c>
      <c r="H613" t="s">
        <v>109</v>
      </c>
      <c r="I613" s="4">
        <v>437.28</v>
      </c>
      <c r="J613" s="7">
        <v>0</v>
      </c>
      <c r="K613" s="90">
        <f t="shared" si="38"/>
        <v>1005.4</v>
      </c>
      <c r="L613" s="7">
        <v>1005.4</v>
      </c>
      <c r="M613" s="10">
        <f t="shared" si="39"/>
        <v>43.493137059876666</v>
      </c>
    </row>
    <row r="614" spans="1:13" ht="15" hidden="1" customHeight="1" x14ac:dyDescent="0.3">
      <c r="A614" s="9">
        <v>3157</v>
      </c>
      <c r="B614" t="s">
        <v>248</v>
      </c>
      <c r="C614" s="25">
        <v>44674</v>
      </c>
      <c r="D614" s="26">
        <v>0.66410879629629627</v>
      </c>
      <c r="E614" s="8" t="s">
        <v>27</v>
      </c>
      <c r="F614" t="s">
        <v>166</v>
      </c>
      <c r="G614" t="s">
        <v>161</v>
      </c>
      <c r="H614" t="s">
        <v>109</v>
      </c>
      <c r="I614" s="4">
        <v>715</v>
      </c>
      <c r="J614" s="7">
        <v>0</v>
      </c>
      <c r="K614" s="90">
        <f t="shared" si="38"/>
        <v>1703.73</v>
      </c>
      <c r="L614" s="7">
        <v>1703.73</v>
      </c>
      <c r="M614" s="10">
        <f t="shared" si="39"/>
        <v>41.96674355678423</v>
      </c>
    </row>
    <row r="615" spans="1:13" ht="15" hidden="1" customHeight="1" x14ac:dyDescent="0.3">
      <c r="A615" s="9">
        <v>3158</v>
      </c>
      <c r="B615" t="s">
        <v>248</v>
      </c>
      <c r="C615" s="25">
        <v>44675</v>
      </c>
      <c r="D615" s="26">
        <v>0.70181712962962972</v>
      </c>
      <c r="E615" s="8" t="s">
        <v>27</v>
      </c>
      <c r="F615" t="s">
        <v>210</v>
      </c>
      <c r="G615" t="s">
        <v>211</v>
      </c>
      <c r="H615" t="s">
        <v>109</v>
      </c>
      <c r="I615" s="4">
        <v>448.35</v>
      </c>
      <c r="J615" s="31">
        <v>0</v>
      </c>
      <c r="K615" s="99">
        <f t="shared" si="38"/>
        <v>1138.83</v>
      </c>
      <c r="L615" s="31">
        <v>1138.83</v>
      </c>
      <c r="M615" s="10">
        <f t="shared" si="39"/>
        <v>39.369352756776699</v>
      </c>
    </row>
    <row r="616" spans="1:13" ht="15" hidden="1" customHeight="1" x14ac:dyDescent="0.3">
      <c r="A616" s="9">
        <v>3159</v>
      </c>
      <c r="B616" t="s">
        <v>248</v>
      </c>
      <c r="C616" s="25">
        <v>44678</v>
      </c>
      <c r="D616" s="26">
        <v>0.22489583333333332</v>
      </c>
      <c r="E616" s="8" t="s">
        <v>27</v>
      </c>
      <c r="F616" t="s">
        <v>311</v>
      </c>
      <c r="G616" t="s">
        <v>303</v>
      </c>
      <c r="H616" t="s">
        <v>109</v>
      </c>
      <c r="I616">
        <v>212.16</v>
      </c>
      <c r="J616" s="7">
        <v>0</v>
      </c>
      <c r="K616" s="90">
        <f t="shared" si="38"/>
        <v>1456</v>
      </c>
      <c r="L616" s="7">
        <v>1456</v>
      </c>
      <c r="M616" s="10">
        <f t="shared" si="39"/>
        <v>14.571428571428571</v>
      </c>
    </row>
    <row r="617" spans="1:13" ht="15" hidden="1" customHeight="1" x14ac:dyDescent="0.3">
      <c r="A617" s="9">
        <v>3160</v>
      </c>
      <c r="B617" t="s">
        <v>248</v>
      </c>
      <c r="C617" s="25">
        <v>44678</v>
      </c>
      <c r="D617" s="26">
        <v>0.47340277777777778</v>
      </c>
      <c r="E617" s="8" t="s">
        <v>27</v>
      </c>
      <c r="F617" t="s">
        <v>166</v>
      </c>
      <c r="G617" t="s">
        <v>161</v>
      </c>
      <c r="H617" t="s">
        <v>109</v>
      </c>
      <c r="I617">
        <v>526.6</v>
      </c>
      <c r="J617" s="34">
        <v>0</v>
      </c>
      <c r="K617" s="97">
        <f t="shared" ref="K617:K618" si="40">+L617-J617</f>
        <v>429.69</v>
      </c>
      <c r="L617" s="34">
        <v>429.69</v>
      </c>
      <c r="M617" s="10">
        <f t="shared" si="39"/>
        <v>122.553468779818</v>
      </c>
    </row>
    <row r="618" spans="1:13" ht="15" hidden="1" customHeight="1" x14ac:dyDescent="0.3">
      <c r="A618" s="9">
        <v>3161</v>
      </c>
      <c r="B618" t="s">
        <v>248</v>
      </c>
      <c r="C618" s="25">
        <v>44679</v>
      </c>
      <c r="D618" s="26">
        <v>0.52012731481481478</v>
      </c>
      <c r="E618" s="8" t="s">
        <v>27</v>
      </c>
      <c r="F618" t="s">
        <v>210</v>
      </c>
      <c r="G618" t="s">
        <v>211</v>
      </c>
      <c r="H618" t="s">
        <v>109</v>
      </c>
      <c r="I618">
        <v>484.51</v>
      </c>
      <c r="J618" s="7">
        <v>0</v>
      </c>
      <c r="K618" s="90">
        <f t="shared" si="40"/>
        <v>38.6</v>
      </c>
      <c r="L618" s="7">
        <v>38.6</v>
      </c>
      <c r="M618" s="10">
        <f t="shared" ref="M618:M649" si="41">I618/K618*100</f>
        <v>1255.2072538860102</v>
      </c>
    </row>
    <row r="619" spans="1:13" ht="15" hidden="1" customHeight="1" x14ac:dyDescent="0.3">
      <c r="A619" s="9">
        <v>3733</v>
      </c>
      <c r="B619" t="s">
        <v>248</v>
      </c>
      <c r="C619" s="25">
        <v>44683</v>
      </c>
      <c r="D619" s="26">
        <v>2.585648148148148E-2</v>
      </c>
      <c r="E619" s="8" t="s">
        <v>28</v>
      </c>
      <c r="F619" t="s">
        <v>210</v>
      </c>
      <c r="G619" t="s">
        <v>211</v>
      </c>
      <c r="H619" t="s">
        <v>109</v>
      </c>
      <c r="I619">
        <v>398.49</v>
      </c>
      <c r="J619" s="30">
        <v>0</v>
      </c>
      <c r="K619" s="92">
        <f>+L619-J751</f>
        <v>1062.57</v>
      </c>
      <c r="L619" s="67">
        <v>1062.57</v>
      </c>
      <c r="M619" s="10">
        <f t="shared" si="41"/>
        <v>37.502470425477853</v>
      </c>
    </row>
    <row r="620" spans="1:13" ht="15" hidden="1" customHeight="1" x14ac:dyDescent="0.3">
      <c r="A620" s="9">
        <v>3776</v>
      </c>
      <c r="B620" t="s">
        <v>248</v>
      </c>
      <c r="C620" s="25">
        <v>44684</v>
      </c>
      <c r="D620" s="26">
        <v>0.85300925925925919</v>
      </c>
      <c r="E620" s="8" t="s">
        <v>28</v>
      </c>
      <c r="F620" t="s">
        <v>311</v>
      </c>
      <c r="G620" t="s">
        <v>303</v>
      </c>
      <c r="H620" t="s">
        <v>109</v>
      </c>
      <c r="I620">
        <v>492</v>
      </c>
      <c r="J620" s="30">
        <v>0</v>
      </c>
      <c r="K620" s="92">
        <f>+L620-J753</f>
        <v>1048.58</v>
      </c>
      <c r="L620" s="67">
        <v>1048.58</v>
      </c>
      <c r="M620" s="10">
        <f t="shared" si="41"/>
        <v>46.92059737931298</v>
      </c>
    </row>
    <row r="621" spans="1:13" ht="15" hidden="1" customHeight="1" x14ac:dyDescent="0.3">
      <c r="A621" s="9">
        <v>3835</v>
      </c>
      <c r="B621" t="s">
        <v>248</v>
      </c>
      <c r="C621" s="25">
        <v>44685</v>
      </c>
      <c r="D621" s="26">
        <v>0.89167824074074076</v>
      </c>
      <c r="E621" s="8" t="s">
        <v>28</v>
      </c>
      <c r="F621" t="s">
        <v>165</v>
      </c>
      <c r="G621" t="s">
        <v>185</v>
      </c>
      <c r="H621" t="s">
        <v>109</v>
      </c>
      <c r="I621">
        <v>455.12</v>
      </c>
      <c r="J621" s="7">
        <v>0</v>
      </c>
      <c r="K621" s="90">
        <f>+L621-J751</f>
        <v>979</v>
      </c>
      <c r="L621" s="32">
        <v>979</v>
      </c>
      <c r="M621" s="10">
        <f t="shared" si="41"/>
        <v>46.488253319713998</v>
      </c>
    </row>
    <row r="622" spans="1:13" ht="15" hidden="1" customHeight="1" x14ac:dyDescent="0.3">
      <c r="A622" s="9">
        <v>3889</v>
      </c>
      <c r="B622" t="s">
        <v>248</v>
      </c>
      <c r="C622" s="25">
        <v>44686</v>
      </c>
      <c r="D622" s="26">
        <v>0.4481944444444444</v>
      </c>
      <c r="E622" s="8" t="s">
        <v>28</v>
      </c>
      <c r="F622" t="s">
        <v>210</v>
      </c>
      <c r="G622" t="s">
        <v>211</v>
      </c>
      <c r="H622" t="s">
        <v>109</v>
      </c>
      <c r="I622">
        <v>146.16999999999999</v>
      </c>
      <c r="J622" s="7">
        <v>0</v>
      </c>
      <c r="K622" s="90">
        <f>+L622-J752</f>
        <v>514</v>
      </c>
      <c r="L622" s="32">
        <v>514</v>
      </c>
      <c r="M622" s="10">
        <f t="shared" si="41"/>
        <v>28.437743190661475</v>
      </c>
    </row>
    <row r="623" spans="1:13" ht="15" hidden="1" customHeight="1" x14ac:dyDescent="0.3">
      <c r="A623" s="9">
        <v>4337</v>
      </c>
      <c r="B623" t="s">
        <v>248</v>
      </c>
      <c r="C623" s="25">
        <v>44695</v>
      </c>
      <c r="D623" s="26">
        <v>0.3006712962962963</v>
      </c>
      <c r="E623" s="8" t="s">
        <v>28</v>
      </c>
      <c r="F623" t="s">
        <v>197</v>
      </c>
      <c r="G623" t="s">
        <v>44</v>
      </c>
      <c r="H623" t="s">
        <v>109</v>
      </c>
      <c r="I623">
        <v>100.77</v>
      </c>
      <c r="J623" s="30">
        <v>0</v>
      </c>
      <c r="K623" s="92">
        <f>+L623-J896</f>
        <v>1180</v>
      </c>
      <c r="L623" s="67">
        <v>1180</v>
      </c>
      <c r="M623" s="10">
        <f t="shared" si="41"/>
        <v>8.5398305084745765</v>
      </c>
    </row>
    <row r="624" spans="1:13" ht="15" hidden="1" customHeight="1" x14ac:dyDescent="0.3">
      <c r="A624" s="9">
        <v>4338</v>
      </c>
      <c r="B624" t="s">
        <v>248</v>
      </c>
      <c r="C624" s="25">
        <v>44695</v>
      </c>
      <c r="D624" s="26">
        <v>0.42401620370370369</v>
      </c>
      <c r="E624" s="8" t="s">
        <v>28</v>
      </c>
      <c r="F624" t="s">
        <v>311</v>
      </c>
      <c r="G624" t="s">
        <v>303</v>
      </c>
      <c r="H624" t="s">
        <v>109</v>
      </c>
      <c r="I624">
        <v>397.62</v>
      </c>
      <c r="J624" s="7">
        <v>0</v>
      </c>
      <c r="K624" s="99">
        <f>+L624-J897</f>
        <v>156</v>
      </c>
      <c r="L624" s="33">
        <v>156</v>
      </c>
      <c r="M624" s="10">
        <f t="shared" si="41"/>
        <v>254.88461538461539</v>
      </c>
    </row>
    <row r="625" spans="1:13" ht="15" hidden="1" customHeight="1" x14ac:dyDescent="0.3">
      <c r="A625" s="9">
        <v>4397</v>
      </c>
      <c r="B625" t="s">
        <v>248</v>
      </c>
      <c r="C625" s="25">
        <v>44696</v>
      </c>
      <c r="D625" s="26">
        <v>0.49371527777777779</v>
      </c>
      <c r="E625" s="8" t="s">
        <v>28</v>
      </c>
      <c r="F625" t="s">
        <v>278</v>
      </c>
      <c r="G625" t="s">
        <v>279</v>
      </c>
      <c r="H625" t="s">
        <v>109</v>
      </c>
      <c r="I625">
        <v>540</v>
      </c>
      <c r="J625" s="30">
        <v>0</v>
      </c>
      <c r="K625" s="92">
        <f>+L625-J898</f>
        <v>1143</v>
      </c>
      <c r="L625" s="32">
        <v>1143</v>
      </c>
      <c r="M625" s="10">
        <f t="shared" si="41"/>
        <v>47.244094488188978</v>
      </c>
    </row>
    <row r="626" spans="1:13" ht="15" hidden="1" customHeight="1" x14ac:dyDescent="0.3">
      <c r="A626" s="9">
        <v>4398</v>
      </c>
      <c r="B626" t="s">
        <v>248</v>
      </c>
      <c r="C626" s="25">
        <v>44696</v>
      </c>
      <c r="D626" s="26">
        <v>0.7943634259259259</v>
      </c>
      <c r="E626" s="8" t="s">
        <v>28</v>
      </c>
      <c r="F626" t="s">
        <v>210</v>
      </c>
      <c r="G626" t="s">
        <v>211</v>
      </c>
      <c r="H626" t="s">
        <v>109</v>
      </c>
      <c r="I626">
        <v>108.54</v>
      </c>
      <c r="J626" s="7">
        <v>0</v>
      </c>
      <c r="K626" s="89">
        <f>+L626-J899</f>
        <v>349</v>
      </c>
      <c r="L626" s="38">
        <v>349</v>
      </c>
      <c r="M626" s="10">
        <f t="shared" si="41"/>
        <v>31.100286532951294</v>
      </c>
    </row>
    <row r="627" spans="1:13" ht="15" hidden="1" customHeight="1" x14ac:dyDescent="0.3">
      <c r="A627" s="9">
        <v>4516</v>
      </c>
      <c r="B627" t="s">
        <v>248</v>
      </c>
      <c r="C627" s="25">
        <v>44698</v>
      </c>
      <c r="D627" s="26">
        <v>0.38557870370370373</v>
      </c>
      <c r="E627" s="8" t="s">
        <v>28</v>
      </c>
      <c r="F627" t="s">
        <v>262</v>
      </c>
      <c r="G627" t="s">
        <v>263</v>
      </c>
      <c r="H627" t="s">
        <v>109</v>
      </c>
      <c r="I627">
        <v>200</v>
      </c>
      <c r="J627" s="30">
        <v>0</v>
      </c>
      <c r="K627" s="89">
        <f>+L627-J899</f>
        <v>862</v>
      </c>
      <c r="L627" s="32">
        <v>862</v>
      </c>
      <c r="M627" s="10">
        <f t="shared" si="41"/>
        <v>23.201856148491878</v>
      </c>
    </row>
    <row r="628" spans="1:13" ht="15" hidden="1" customHeight="1" x14ac:dyDescent="0.3">
      <c r="A628" s="9">
        <v>4567</v>
      </c>
      <c r="B628" t="s">
        <v>248</v>
      </c>
      <c r="C628" s="25">
        <v>44699</v>
      </c>
      <c r="D628" s="26">
        <v>0.9619212962962963</v>
      </c>
      <c r="E628" s="8" t="s">
        <v>28</v>
      </c>
      <c r="F628" t="s">
        <v>165</v>
      </c>
      <c r="G628" t="s">
        <v>185</v>
      </c>
      <c r="H628" t="s">
        <v>109</v>
      </c>
      <c r="I628">
        <v>288.67</v>
      </c>
      <c r="J628" s="11">
        <v>0</v>
      </c>
      <c r="K628" s="89">
        <f>+L628-J900</f>
        <v>625</v>
      </c>
      <c r="L628" s="53">
        <v>625</v>
      </c>
      <c r="M628" s="10">
        <f t="shared" si="41"/>
        <v>46.187199999999997</v>
      </c>
    </row>
    <row r="629" spans="1:13" ht="15" hidden="1" customHeight="1" x14ac:dyDescent="0.3">
      <c r="A629" s="9">
        <v>4580</v>
      </c>
      <c r="B629" t="s">
        <v>248</v>
      </c>
      <c r="C629" s="25">
        <v>44699</v>
      </c>
      <c r="D629" s="26">
        <v>0.40908564814814818</v>
      </c>
      <c r="E629" s="8" t="s">
        <v>28</v>
      </c>
      <c r="F629" t="s">
        <v>166</v>
      </c>
      <c r="G629" t="s">
        <v>161</v>
      </c>
      <c r="H629" t="s">
        <v>109</v>
      </c>
      <c r="I629">
        <v>490.54</v>
      </c>
      <c r="J629" s="11">
        <v>0</v>
      </c>
      <c r="K629" s="89">
        <f>+L629-J901</f>
        <v>809</v>
      </c>
      <c r="L629" s="53">
        <v>809</v>
      </c>
      <c r="M629" s="10">
        <f t="shared" si="41"/>
        <v>60.635352286773802</v>
      </c>
    </row>
    <row r="630" spans="1:13" ht="15" hidden="1" customHeight="1" x14ac:dyDescent="0.3">
      <c r="A630" s="9">
        <v>4622</v>
      </c>
      <c r="B630" t="s">
        <v>248</v>
      </c>
      <c r="C630" s="25">
        <v>44700</v>
      </c>
      <c r="D630" s="26">
        <v>0.86358796296296303</v>
      </c>
      <c r="E630" s="8" t="s">
        <v>28</v>
      </c>
      <c r="F630" t="s">
        <v>210</v>
      </c>
      <c r="G630" t="s">
        <v>211</v>
      </c>
      <c r="H630" t="s">
        <v>109</v>
      </c>
      <c r="I630">
        <v>241.8</v>
      </c>
      <c r="J630" s="7">
        <v>0</v>
      </c>
      <c r="K630" s="89">
        <f>+L630-J901</f>
        <v>568</v>
      </c>
      <c r="L630" s="32">
        <v>568</v>
      </c>
      <c r="M630" s="10">
        <f t="shared" si="41"/>
        <v>42.570422535211272</v>
      </c>
    </row>
    <row r="631" spans="1:13" ht="15" hidden="1" customHeight="1" x14ac:dyDescent="0.3">
      <c r="A631" s="9">
        <v>4733</v>
      </c>
      <c r="B631" t="s">
        <v>248</v>
      </c>
      <c r="C631" s="25">
        <v>44702</v>
      </c>
      <c r="D631" s="26">
        <v>0.60229166666666667</v>
      </c>
      <c r="E631" s="8" t="s">
        <v>28</v>
      </c>
      <c r="F631" t="s">
        <v>175</v>
      </c>
      <c r="G631" t="s">
        <v>172</v>
      </c>
      <c r="H631" t="s">
        <v>109</v>
      </c>
      <c r="I631">
        <v>424.52</v>
      </c>
      <c r="J631" s="31">
        <v>0</v>
      </c>
      <c r="K631" s="89">
        <f t="shared" ref="K631:K640" si="42">+L631-J896</f>
        <v>967</v>
      </c>
      <c r="L631" s="33">
        <v>967</v>
      </c>
      <c r="M631" s="10">
        <f t="shared" si="41"/>
        <v>43.900723888314374</v>
      </c>
    </row>
    <row r="632" spans="1:13" ht="15" hidden="1" customHeight="1" x14ac:dyDescent="0.3">
      <c r="A632" s="9">
        <v>4780</v>
      </c>
      <c r="B632" t="s">
        <v>248</v>
      </c>
      <c r="C632" s="25">
        <v>44703</v>
      </c>
      <c r="D632" s="26">
        <v>0.96597222222222223</v>
      </c>
      <c r="E632" s="8" t="s">
        <v>28</v>
      </c>
      <c r="F632" t="s">
        <v>165</v>
      </c>
      <c r="G632" t="s">
        <v>185</v>
      </c>
      <c r="H632" t="s">
        <v>109</v>
      </c>
      <c r="I632">
        <v>280</v>
      </c>
      <c r="J632" s="7">
        <v>0</v>
      </c>
      <c r="K632" s="89">
        <f t="shared" si="42"/>
        <v>624</v>
      </c>
      <c r="L632" s="32">
        <v>624</v>
      </c>
      <c r="M632" s="10">
        <f t="shared" si="41"/>
        <v>44.871794871794876</v>
      </c>
    </row>
    <row r="633" spans="1:13" ht="15" hidden="1" customHeight="1" x14ac:dyDescent="0.3">
      <c r="A633" s="9">
        <v>4795</v>
      </c>
      <c r="B633" t="s">
        <v>248</v>
      </c>
      <c r="C633" s="25">
        <v>44703</v>
      </c>
      <c r="D633" s="26">
        <v>0.43383101851851852</v>
      </c>
      <c r="E633" s="8" t="s">
        <v>28</v>
      </c>
      <c r="F633" t="s">
        <v>166</v>
      </c>
      <c r="G633" t="s">
        <v>161</v>
      </c>
      <c r="H633" t="s">
        <v>109</v>
      </c>
      <c r="I633">
        <v>318.35000000000002</v>
      </c>
      <c r="J633" s="7">
        <v>0</v>
      </c>
      <c r="K633" s="89">
        <f t="shared" si="42"/>
        <v>754</v>
      </c>
      <c r="L633" s="32">
        <v>754</v>
      </c>
      <c r="M633" s="10">
        <f t="shared" si="41"/>
        <v>42.221485411140584</v>
      </c>
    </row>
    <row r="634" spans="1:13" ht="15" hidden="1" customHeight="1" x14ac:dyDescent="0.3">
      <c r="A634" s="9">
        <v>4832</v>
      </c>
      <c r="B634" t="s">
        <v>248</v>
      </c>
      <c r="C634" s="25">
        <v>44704</v>
      </c>
      <c r="D634" s="26">
        <v>0.4946875</v>
      </c>
      <c r="E634" s="8" t="s">
        <v>28</v>
      </c>
      <c r="F634" t="s">
        <v>210</v>
      </c>
      <c r="G634" t="s">
        <v>211</v>
      </c>
      <c r="H634" t="s">
        <v>109</v>
      </c>
      <c r="I634">
        <v>152.02000000000001</v>
      </c>
      <c r="J634" s="30">
        <v>0</v>
      </c>
      <c r="K634" s="89">
        <f t="shared" si="42"/>
        <v>514</v>
      </c>
      <c r="L634" s="67">
        <v>514</v>
      </c>
      <c r="M634" s="10">
        <f t="shared" si="41"/>
        <v>29.575875486381324</v>
      </c>
    </row>
    <row r="635" spans="1:13" ht="15" hidden="1" customHeight="1" x14ac:dyDescent="0.3">
      <c r="A635" s="9">
        <v>4948</v>
      </c>
      <c r="B635" t="s">
        <v>248</v>
      </c>
      <c r="C635" s="25">
        <v>44706</v>
      </c>
      <c r="D635" s="26">
        <v>0.47119212962962959</v>
      </c>
      <c r="E635" s="8" t="s">
        <v>28</v>
      </c>
      <c r="F635" t="s">
        <v>343</v>
      </c>
      <c r="G635" t="s">
        <v>344</v>
      </c>
      <c r="H635" t="s">
        <v>109</v>
      </c>
      <c r="I635">
        <v>468.61</v>
      </c>
      <c r="J635" s="11">
        <v>0</v>
      </c>
      <c r="K635" s="89">
        <f t="shared" si="42"/>
        <v>1252</v>
      </c>
      <c r="L635" s="53">
        <v>1252</v>
      </c>
      <c r="M635" s="10">
        <f t="shared" si="41"/>
        <v>37.428913738019169</v>
      </c>
    </row>
    <row r="636" spans="1:13" ht="15" hidden="1" customHeight="1" x14ac:dyDescent="0.3">
      <c r="A636" s="9">
        <v>4949</v>
      </c>
      <c r="B636" t="s">
        <v>248</v>
      </c>
      <c r="C636" s="25">
        <v>44706</v>
      </c>
      <c r="D636" s="26">
        <v>0.81748842592592597</v>
      </c>
      <c r="E636" s="8" t="s">
        <v>28</v>
      </c>
      <c r="F636" t="s">
        <v>210</v>
      </c>
      <c r="G636" t="s">
        <v>211</v>
      </c>
      <c r="H636" t="s">
        <v>109</v>
      </c>
      <c r="I636">
        <v>237.37</v>
      </c>
      <c r="J636" s="11">
        <v>0</v>
      </c>
      <c r="K636" s="89">
        <f t="shared" si="42"/>
        <v>493</v>
      </c>
      <c r="L636" s="53">
        <v>493</v>
      </c>
      <c r="M636" s="10">
        <f t="shared" si="41"/>
        <v>48.148073022312374</v>
      </c>
    </row>
    <row r="637" spans="1:13" ht="15" hidden="1" customHeight="1" x14ac:dyDescent="0.3">
      <c r="A637" s="9">
        <v>4995</v>
      </c>
      <c r="B637" t="s">
        <v>248</v>
      </c>
      <c r="C637" s="25">
        <v>44707</v>
      </c>
      <c r="D637" s="26">
        <v>0.59333333333333338</v>
      </c>
      <c r="E637" s="8" t="s">
        <v>28</v>
      </c>
      <c r="F637" t="s">
        <v>635</v>
      </c>
      <c r="G637" t="s">
        <v>185</v>
      </c>
      <c r="H637" t="s">
        <v>109</v>
      </c>
      <c r="I637">
        <v>259.88</v>
      </c>
      <c r="J637" s="11">
        <v>0</v>
      </c>
      <c r="K637" s="89">
        <f t="shared" si="42"/>
        <v>548</v>
      </c>
      <c r="L637" s="11">
        <v>548</v>
      </c>
      <c r="M637" s="10">
        <f t="shared" si="41"/>
        <v>47.423357664233578</v>
      </c>
    </row>
    <row r="638" spans="1:13" ht="15" hidden="1" customHeight="1" x14ac:dyDescent="0.3">
      <c r="A638" s="9">
        <v>5045</v>
      </c>
      <c r="B638" t="s">
        <v>248</v>
      </c>
      <c r="C638" s="25">
        <v>44708</v>
      </c>
      <c r="D638" s="26">
        <v>0.10087962962962964</v>
      </c>
      <c r="E638" s="8" t="s">
        <v>28</v>
      </c>
      <c r="F638" t="s">
        <v>632</v>
      </c>
      <c r="G638" t="s">
        <v>161</v>
      </c>
      <c r="H638" t="s">
        <v>109</v>
      </c>
      <c r="I638">
        <v>190.24</v>
      </c>
      <c r="J638" s="11">
        <v>0</v>
      </c>
      <c r="K638" s="89">
        <f t="shared" si="42"/>
        <v>590</v>
      </c>
      <c r="L638" s="11">
        <v>590</v>
      </c>
      <c r="M638" s="10">
        <f t="shared" si="41"/>
        <v>32.244067796610167</v>
      </c>
    </row>
    <row r="639" spans="1:13" ht="15" hidden="1" customHeight="1" x14ac:dyDescent="0.3">
      <c r="A639" s="9">
        <v>5158</v>
      </c>
      <c r="B639" t="s">
        <v>248</v>
      </c>
      <c r="C639" s="25">
        <v>44710</v>
      </c>
      <c r="D639" s="26">
        <v>0.34979166666666667</v>
      </c>
      <c r="E639" s="8" t="s">
        <v>28</v>
      </c>
      <c r="F639" t="s">
        <v>654</v>
      </c>
      <c r="G639" t="s">
        <v>303</v>
      </c>
      <c r="H639" t="s">
        <v>109</v>
      </c>
      <c r="I639">
        <v>197.21</v>
      </c>
      <c r="J639" s="11">
        <v>0</v>
      </c>
      <c r="K639" s="89">
        <f t="shared" si="42"/>
        <v>1269</v>
      </c>
      <c r="L639" s="11">
        <v>1269</v>
      </c>
      <c r="M639" s="10">
        <f t="shared" si="41"/>
        <v>15.540583136327818</v>
      </c>
    </row>
    <row r="640" spans="1:13" ht="15" hidden="1" customHeight="1" x14ac:dyDescent="0.3">
      <c r="A640" s="9">
        <v>5159</v>
      </c>
      <c r="B640" t="s">
        <v>248</v>
      </c>
      <c r="C640" s="25">
        <v>44710</v>
      </c>
      <c r="D640" s="26">
        <v>0.56363425925925925</v>
      </c>
      <c r="E640" s="8" t="s">
        <v>28</v>
      </c>
      <c r="F640" t="s">
        <v>632</v>
      </c>
      <c r="G640" t="s">
        <v>161</v>
      </c>
      <c r="H640" t="s">
        <v>109</v>
      </c>
      <c r="I640">
        <v>455.94</v>
      </c>
      <c r="J640" s="11">
        <v>0</v>
      </c>
      <c r="K640" s="89">
        <f t="shared" si="42"/>
        <v>354</v>
      </c>
      <c r="L640" s="11">
        <v>354</v>
      </c>
      <c r="M640" s="10">
        <f t="shared" si="41"/>
        <v>128.79661016949154</v>
      </c>
    </row>
    <row r="641" spans="1:19" ht="15" hidden="1" customHeight="1" x14ac:dyDescent="0.3">
      <c r="A641" s="9">
        <v>5213</v>
      </c>
      <c r="B641" t="s">
        <v>248</v>
      </c>
      <c r="C641" s="25">
        <v>44711</v>
      </c>
      <c r="D641" s="26">
        <v>0.67618055555555545</v>
      </c>
      <c r="E641" s="8" t="s">
        <v>28</v>
      </c>
      <c r="F641" t="s">
        <v>634</v>
      </c>
      <c r="G641" t="s">
        <v>211</v>
      </c>
      <c r="H641" t="s">
        <v>109</v>
      </c>
      <c r="I641">
        <v>448.71</v>
      </c>
      <c r="J641" s="32">
        <v>0</v>
      </c>
      <c r="K641" s="89">
        <f>+L641-J905</f>
        <v>1144</v>
      </c>
      <c r="L641" s="7">
        <v>1144</v>
      </c>
      <c r="M641" s="10">
        <f t="shared" si="41"/>
        <v>39.222902097902093</v>
      </c>
    </row>
    <row r="642" spans="1:19" ht="15" hidden="1" customHeight="1" x14ac:dyDescent="0.3">
      <c r="A642" s="9">
        <v>5292</v>
      </c>
      <c r="B642" t="s">
        <v>248</v>
      </c>
      <c r="C642" s="25">
        <v>44713</v>
      </c>
      <c r="D642" s="26">
        <v>0.52937500000000004</v>
      </c>
      <c r="E642" s="8" t="s">
        <v>29</v>
      </c>
      <c r="F642" t="s">
        <v>661</v>
      </c>
      <c r="G642" t="s">
        <v>457</v>
      </c>
      <c r="H642" t="s">
        <v>109</v>
      </c>
      <c r="I642">
        <v>100</v>
      </c>
      <c r="J642" s="32">
        <v>0</v>
      </c>
      <c r="K642" s="89">
        <f>+L642-J904</f>
        <v>1468</v>
      </c>
      <c r="L642" s="7">
        <v>1468</v>
      </c>
      <c r="M642" s="10">
        <f t="shared" si="41"/>
        <v>6.8119891008174394</v>
      </c>
    </row>
    <row r="643" spans="1:19" ht="15" hidden="1" customHeight="1" x14ac:dyDescent="0.3">
      <c r="A643" s="9">
        <v>5293</v>
      </c>
      <c r="B643" t="s">
        <v>248</v>
      </c>
      <c r="C643" s="25">
        <v>44713</v>
      </c>
      <c r="D643" s="26">
        <v>0.76020833333333337</v>
      </c>
      <c r="E643" s="8" t="s">
        <v>29</v>
      </c>
      <c r="F643" t="s">
        <v>634</v>
      </c>
      <c r="G643" t="s">
        <v>211</v>
      </c>
      <c r="H643" t="s">
        <v>109</v>
      </c>
      <c r="I643">
        <v>576.77</v>
      </c>
      <c r="J643" s="33">
        <v>0</v>
      </c>
      <c r="K643" s="89">
        <f>+L643-J905</f>
        <v>312</v>
      </c>
      <c r="L643" s="31">
        <v>312</v>
      </c>
      <c r="M643" s="10">
        <f t="shared" si="41"/>
        <v>184.8621794871795</v>
      </c>
    </row>
    <row r="644" spans="1:19" ht="15" hidden="1" customHeight="1" x14ac:dyDescent="0.3">
      <c r="A644" s="9">
        <v>5357</v>
      </c>
      <c r="B644" t="s">
        <v>248</v>
      </c>
      <c r="C644" s="25">
        <v>44714</v>
      </c>
      <c r="D644" s="26">
        <v>0.73525462962962962</v>
      </c>
      <c r="E644" s="8" t="s">
        <v>29</v>
      </c>
      <c r="F644" t="s">
        <v>634</v>
      </c>
      <c r="G644" t="s">
        <v>211</v>
      </c>
      <c r="H644" t="s">
        <v>109</v>
      </c>
      <c r="I644">
        <v>407.81</v>
      </c>
      <c r="J644" s="33">
        <v>0</v>
      </c>
      <c r="K644" s="89">
        <f>+L644-J904</f>
        <v>1062</v>
      </c>
      <c r="L644" s="31">
        <v>1062</v>
      </c>
      <c r="M644" s="10">
        <f t="shared" si="41"/>
        <v>38.400188323917142</v>
      </c>
    </row>
    <row r="645" spans="1:19" ht="15" hidden="1" customHeight="1" x14ac:dyDescent="0.3">
      <c r="A645" s="9">
        <v>5823</v>
      </c>
      <c r="B645" t="s">
        <v>248</v>
      </c>
      <c r="C645" s="25">
        <v>44723</v>
      </c>
      <c r="D645" s="26">
        <v>0.36628472222222225</v>
      </c>
      <c r="E645" s="8" t="s">
        <v>29</v>
      </c>
      <c r="F645" t="s">
        <v>644</v>
      </c>
      <c r="G645" t="s">
        <v>303</v>
      </c>
      <c r="H645" t="s">
        <v>109</v>
      </c>
      <c r="I645">
        <v>409.3</v>
      </c>
      <c r="J645" s="32">
        <v>0</v>
      </c>
      <c r="K645" s="89">
        <f>+L645-J897</f>
        <v>1354</v>
      </c>
      <c r="L645" s="7">
        <v>1354</v>
      </c>
      <c r="M645" s="10">
        <f t="shared" si="41"/>
        <v>30.228951255539144</v>
      </c>
    </row>
    <row r="646" spans="1:19" ht="15" hidden="1" customHeight="1" x14ac:dyDescent="0.3">
      <c r="A646" s="9">
        <v>5824</v>
      </c>
      <c r="B646" t="s">
        <v>248</v>
      </c>
      <c r="C646" s="25">
        <v>44723</v>
      </c>
      <c r="D646" s="26">
        <v>0.62738425925925922</v>
      </c>
      <c r="E646" s="8" t="s">
        <v>29</v>
      </c>
      <c r="F646" t="s">
        <v>674</v>
      </c>
      <c r="G646" t="s">
        <v>487</v>
      </c>
      <c r="H646" t="s">
        <v>109</v>
      </c>
      <c r="I646" s="126">
        <v>332.6</v>
      </c>
      <c r="J646" s="32">
        <v>0</v>
      </c>
      <c r="K646" s="89">
        <f>+L646-J898</f>
        <v>346</v>
      </c>
      <c r="L646" s="7">
        <v>346</v>
      </c>
      <c r="M646" s="10">
        <f t="shared" si="41"/>
        <v>96.127167630057812</v>
      </c>
    </row>
    <row r="647" spans="1:19" ht="15" hidden="1" customHeight="1" x14ac:dyDescent="0.3">
      <c r="A647" s="9">
        <v>5944</v>
      </c>
      <c r="B647" t="s">
        <v>248</v>
      </c>
      <c r="C647" s="25">
        <v>44725</v>
      </c>
      <c r="D647" s="26">
        <v>0.68913194444444448</v>
      </c>
      <c r="E647" s="8" t="s">
        <v>29</v>
      </c>
      <c r="F647" t="s">
        <v>635</v>
      </c>
      <c r="G647" t="s">
        <v>185</v>
      </c>
      <c r="H647" t="s">
        <v>109</v>
      </c>
      <c r="I647" s="126">
        <v>417.87</v>
      </c>
      <c r="J647" s="32">
        <v>0</v>
      </c>
      <c r="K647" s="89">
        <f>+L647-J892</f>
        <v>912</v>
      </c>
      <c r="L647" s="7">
        <v>912</v>
      </c>
      <c r="M647" s="10">
        <f t="shared" si="41"/>
        <v>45.819078947368418</v>
      </c>
      <c r="N647" s="2"/>
      <c r="O647" s="2"/>
      <c r="P647" s="2"/>
      <c r="Q647" s="2"/>
      <c r="R647" s="2"/>
      <c r="S647" s="2"/>
    </row>
    <row r="648" spans="1:19" ht="15" hidden="1" customHeight="1" x14ac:dyDescent="0.3">
      <c r="A648" s="9">
        <v>6111</v>
      </c>
      <c r="B648" t="s">
        <v>248</v>
      </c>
      <c r="C648" s="25">
        <v>44728</v>
      </c>
      <c r="D648" s="26">
        <v>0.76137731481481474</v>
      </c>
      <c r="E648" s="8" t="s">
        <v>29</v>
      </c>
      <c r="F648" t="s">
        <v>635</v>
      </c>
      <c r="G648" t="s">
        <v>185</v>
      </c>
      <c r="H648" t="s">
        <v>109</v>
      </c>
      <c r="I648" s="148">
        <v>569.11</v>
      </c>
      <c r="J648" s="33">
        <v>0</v>
      </c>
      <c r="K648" s="89">
        <v>1315</v>
      </c>
      <c r="L648" s="7">
        <v>1315</v>
      </c>
      <c r="M648" s="10">
        <f t="shared" si="41"/>
        <v>43.27832699619772</v>
      </c>
    </row>
    <row r="649" spans="1:19" ht="15" hidden="1" customHeight="1" x14ac:dyDescent="0.3">
      <c r="A649" s="9">
        <v>6168</v>
      </c>
      <c r="B649" t="s">
        <v>248</v>
      </c>
      <c r="C649" s="25">
        <v>44729</v>
      </c>
      <c r="D649" s="26">
        <v>0.83002314814814815</v>
      </c>
      <c r="E649" s="8" t="s">
        <v>29</v>
      </c>
      <c r="F649" t="s">
        <v>645</v>
      </c>
      <c r="G649" t="s">
        <v>279</v>
      </c>
      <c r="H649" t="s">
        <v>109</v>
      </c>
      <c r="I649" s="148">
        <v>237.77</v>
      </c>
      <c r="J649" s="32">
        <v>0</v>
      </c>
      <c r="K649" s="89">
        <v>602</v>
      </c>
      <c r="L649" s="7">
        <v>602</v>
      </c>
      <c r="M649" s="10">
        <f t="shared" si="41"/>
        <v>39.496677740863788</v>
      </c>
    </row>
    <row r="650" spans="1:19" ht="15" hidden="1" customHeight="1" x14ac:dyDescent="0.3">
      <c r="A650" s="9">
        <v>6245</v>
      </c>
      <c r="B650" t="s">
        <v>248</v>
      </c>
      <c r="C650" s="25">
        <v>44731</v>
      </c>
      <c r="D650" s="26">
        <v>0.4503819444444444</v>
      </c>
      <c r="E650" s="8" t="s">
        <v>29</v>
      </c>
      <c r="F650" t="s">
        <v>637</v>
      </c>
      <c r="G650" t="s">
        <v>196</v>
      </c>
      <c r="H650" t="s">
        <v>109</v>
      </c>
      <c r="I650" s="148">
        <v>233</v>
      </c>
      <c r="J650" s="32">
        <v>0</v>
      </c>
      <c r="K650" s="89">
        <v>817</v>
      </c>
      <c r="L650" s="31">
        <v>817</v>
      </c>
      <c r="M650" s="10">
        <f t="shared" ref="M650:M657" si="43">I650/K650*100</f>
        <v>28.518971848225217</v>
      </c>
    </row>
    <row r="651" spans="1:19" ht="15" hidden="1" customHeight="1" x14ac:dyDescent="0.3">
      <c r="A651" s="9">
        <v>6434</v>
      </c>
      <c r="B651" t="s">
        <v>248</v>
      </c>
      <c r="C651" s="25">
        <v>44736</v>
      </c>
      <c r="D651" s="26">
        <v>0.35359953703703706</v>
      </c>
      <c r="E651" s="8" t="s">
        <v>29</v>
      </c>
      <c r="F651" t="s">
        <v>654</v>
      </c>
      <c r="G651" t="s">
        <v>303</v>
      </c>
      <c r="H651" t="s">
        <v>540</v>
      </c>
      <c r="I651" s="148">
        <v>150</v>
      </c>
      <c r="J651" s="32">
        <v>0</v>
      </c>
      <c r="K651" s="89">
        <v>452</v>
      </c>
      <c r="L651" s="31">
        <v>452</v>
      </c>
      <c r="M651" s="10">
        <f t="shared" si="43"/>
        <v>33.185840707964601</v>
      </c>
    </row>
    <row r="652" spans="1:19" ht="15" hidden="1" customHeight="1" x14ac:dyDescent="0.3">
      <c r="A652" s="9">
        <v>6435</v>
      </c>
      <c r="B652" t="s">
        <v>248</v>
      </c>
      <c r="C652" s="25">
        <v>44736</v>
      </c>
      <c r="D652" s="26">
        <v>0.58596064814814819</v>
      </c>
      <c r="E652" s="8" t="s">
        <v>29</v>
      </c>
      <c r="F652" t="s">
        <v>674</v>
      </c>
      <c r="G652" t="s">
        <v>487</v>
      </c>
      <c r="H652" t="s">
        <v>540</v>
      </c>
      <c r="I652" s="148">
        <v>163.28</v>
      </c>
      <c r="J652" s="32">
        <v>0</v>
      </c>
      <c r="K652" s="89">
        <v>348</v>
      </c>
      <c r="L652" s="7">
        <v>348</v>
      </c>
      <c r="M652" s="10">
        <f t="shared" si="43"/>
        <v>46.919540229885058</v>
      </c>
    </row>
    <row r="653" spans="1:19" ht="15" hidden="1" customHeight="1" x14ac:dyDescent="0.3">
      <c r="A653" s="9">
        <v>6496</v>
      </c>
      <c r="B653" t="s">
        <v>248</v>
      </c>
      <c r="C653" s="25">
        <v>44737</v>
      </c>
      <c r="D653" s="26">
        <v>0.49039351851851848</v>
      </c>
      <c r="E653" s="8" t="s">
        <v>29</v>
      </c>
      <c r="F653" t="s">
        <v>634</v>
      </c>
      <c r="G653" t="s">
        <v>211</v>
      </c>
      <c r="H653" t="s">
        <v>540</v>
      </c>
      <c r="I653" s="148">
        <v>354.82</v>
      </c>
      <c r="J653" s="32">
        <v>0</v>
      </c>
      <c r="K653" s="89">
        <v>984</v>
      </c>
      <c r="L653" s="31">
        <v>984</v>
      </c>
      <c r="M653" s="10">
        <f t="shared" si="43"/>
        <v>36.058943089430898</v>
      </c>
    </row>
    <row r="654" spans="1:19" ht="15" hidden="1" customHeight="1" x14ac:dyDescent="0.3">
      <c r="A654" s="9">
        <v>6546</v>
      </c>
      <c r="B654" t="s">
        <v>248</v>
      </c>
      <c r="C654" s="25">
        <v>44738</v>
      </c>
      <c r="D654" s="26">
        <v>0.4403819444444444</v>
      </c>
      <c r="E654" s="8" t="s">
        <v>29</v>
      </c>
      <c r="F654" t="s">
        <v>637</v>
      </c>
      <c r="G654" t="s">
        <v>196</v>
      </c>
      <c r="H654" t="s">
        <v>540</v>
      </c>
      <c r="I654" s="148">
        <v>178.31</v>
      </c>
      <c r="J654" s="32">
        <v>0</v>
      </c>
      <c r="K654" s="89">
        <v>482</v>
      </c>
      <c r="L654" s="7">
        <v>482</v>
      </c>
      <c r="M654" s="10">
        <f t="shared" si="43"/>
        <v>36.99377593360996</v>
      </c>
    </row>
    <row r="655" spans="1:19" ht="15" hidden="1" customHeight="1" x14ac:dyDescent="0.3">
      <c r="A655" s="9">
        <v>6665</v>
      </c>
      <c r="B655" t="s">
        <v>248</v>
      </c>
      <c r="C655" s="25">
        <v>44740</v>
      </c>
      <c r="D655" s="26">
        <v>0.3770486111111111</v>
      </c>
      <c r="E655" s="8" t="s">
        <v>29</v>
      </c>
      <c r="F655" t="s">
        <v>654</v>
      </c>
      <c r="G655" t="s">
        <v>303</v>
      </c>
      <c r="H655" t="s">
        <v>109</v>
      </c>
      <c r="I655" s="148">
        <v>150.01</v>
      </c>
      <c r="J655" s="32">
        <v>0</v>
      </c>
      <c r="K655" s="89">
        <v>978</v>
      </c>
      <c r="L655" s="34">
        <v>978</v>
      </c>
      <c r="M655" s="10">
        <f t="shared" si="43"/>
        <v>15.33844580777096</v>
      </c>
    </row>
    <row r="656" spans="1:19" ht="15" hidden="1" customHeight="1" x14ac:dyDescent="0.3">
      <c r="A656" s="9">
        <v>6666</v>
      </c>
      <c r="B656" t="s">
        <v>248</v>
      </c>
      <c r="C656" s="25">
        <v>44740</v>
      </c>
      <c r="D656" s="26">
        <v>0.64560185185185182</v>
      </c>
      <c r="E656" s="8" t="s">
        <v>29</v>
      </c>
      <c r="F656" t="s">
        <v>674</v>
      </c>
      <c r="G656" t="s">
        <v>487</v>
      </c>
      <c r="H656" t="s">
        <v>109</v>
      </c>
      <c r="I656" s="148">
        <v>250.29</v>
      </c>
      <c r="J656" s="32">
        <v>0</v>
      </c>
      <c r="K656" s="89">
        <v>347</v>
      </c>
      <c r="L656" s="7">
        <v>347</v>
      </c>
      <c r="M656" s="10">
        <f t="shared" si="43"/>
        <v>72.129682997118152</v>
      </c>
    </row>
    <row r="657" spans="1:20" ht="15" hidden="1" customHeight="1" x14ac:dyDescent="0.3">
      <c r="A657" s="9">
        <v>6724</v>
      </c>
      <c r="B657" t="s">
        <v>248</v>
      </c>
      <c r="C657" s="25">
        <v>44741</v>
      </c>
      <c r="D657" s="26">
        <v>7.8391203703703713E-2</v>
      </c>
      <c r="E657" s="8" t="s">
        <v>29</v>
      </c>
      <c r="F657" t="s">
        <v>645</v>
      </c>
      <c r="G657" t="s">
        <v>279</v>
      </c>
      <c r="H657" t="s">
        <v>109</v>
      </c>
      <c r="I657" s="148">
        <v>210.98</v>
      </c>
      <c r="J657" s="32">
        <v>0</v>
      </c>
      <c r="K657" s="89">
        <v>631</v>
      </c>
      <c r="L657" s="30">
        <v>631</v>
      </c>
      <c r="M657" s="10">
        <f t="shared" si="43"/>
        <v>33.435816164817751</v>
      </c>
    </row>
    <row r="658" spans="1:20" ht="15" hidden="1" customHeight="1" x14ac:dyDescent="0.3">
      <c r="B658" t="s">
        <v>198</v>
      </c>
      <c r="C658" s="25">
        <v>44680</v>
      </c>
      <c r="D658" s="26">
        <v>0.7540162037037037</v>
      </c>
      <c r="E658" s="8" t="s">
        <v>580</v>
      </c>
      <c r="F658" t="s">
        <v>210</v>
      </c>
      <c r="G658" t="s">
        <v>211</v>
      </c>
      <c r="H658" t="s">
        <v>126</v>
      </c>
      <c r="I658">
        <v>484.51</v>
      </c>
      <c r="J658" s="32">
        <v>0</v>
      </c>
      <c r="K658" s="89">
        <f>+L658-J793</f>
        <v>1120.98</v>
      </c>
      <c r="L658" s="32">
        <v>1120.98</v>
      </c>
      <c r="M658" s="10">
        <f>I658/L658*100</f>
        <v>43.222002176666848</v>
      </c>
      <c r="O658" s="4" t="s">
        <v>61</v>
      </c>
      <c r="R658" s="18" t="s">
        <v>124</v>
      </c>
      <c r="S658" s="2"/>
      <c r="T658"/>
    </row>
    <row r="659" spans="1:20" ht="15" hidden="1" customHeight="1" x14ac:dyDescent="0.3">
      <c r="A659" s="9">
        <v>5638</v>
      </c>
      <c r="B659" t="s">
        <v>725</v>
      </c>
      <c r="C659" s="25">
        <v>44719</v>
      </c>
      <c r="D659" s="26">
        <v>0.34703703703703703</v>
      </c>
      <c r="E659" s="8" t="s">
        <v>29</v>
      </c>
      <c r="F659" t="s">
        <v>726</v>
      </c>
      <c r="G659" t="s">
        <v>562</v>
      </c>
      <c r="H659" t="s">
        <v>628</v>
      </c>
      <c r="I659">
        <v>184.18</v>
      </c>
      <c r="J659" s="32">
        <v>0</v>
      </c>
      <c r="K659" s="89">
        <f>+L659-J218</f>
        <v>0</v>
      </c>
      <c r="L659" s="35"/>
      <c r="M659" s="10" t="e">
        <f>I659/K659*100</f>
        <v>#DIV/0!</v>
      </c>
    </row>
    <row r="660" spans="1:20" ht="15" hidden="1" customHeight="1" x14ac:dyDescent="0.3">
      <c r="B660" t="s">
        <v>365</v>
      </c>
      <c r="C660" s="25">
        <v>44680</v>
      </c>
      <c r="D660" s="26">
        <v>9.7534722222222217E-2</v>
      </c>
      <c r="E660" s="8" t="s">
        <v>580</v>
      </c>
      <c r="F660" t="s">
        <v>165</v>
      </c>
      <c r="G660" t="s">
        <v>185</v>
      </c>
      <c r="H660" t="s">
        <v>112</v>
      </c>
      <c r="I660">
        <v>246.03</v>
      </c>
      <c r="J660" s="32">
        <v>0</v>
      </c>
      <c r="K660" s="89">
        <f>+L660-J794</f>
        <v>577</v>
      </c>
      <c r="L660" s="7">
        <v>577</v>
      </c>
      <c r="M660" s="10">
        <f>I660/L660*100</f>
        <v>42.639514731369147</v>
      </c>
      <c r="O660" s="4" t="s">
        <v>71</v>
      </c>
      <c r="R660" s="18" t="s">
        <v>140</v>
      </c>
      <c r="S660" s="2"/>
      <c r="T660"/>
    </row>
    <row r="661" spans="1:20" ht="15" hidden="1" customHeight="1" x14ac:dyDescent="0.3">
      <c r="B661" t="s">
        <v>365</v>
      </c>
      <c r="C661" s="25">
        <v>44680</v>
      </c>
      <c r="D661" s="26">
        <v>0.72356481481481483</v>
      </c>
      <c r="E661" s="8" t="s">
        <v>580</v>
      </c>
      <c r="F661" t="s">
        <v>210</v>
      </c>
      <c r="G661" t="s">
        <v>211</v>
      </c>
      <c r="H661" t="s">
        <v>112</v>
      </c>
      <c r="I661">
        <v>178.76</v>
      </c>
      <c r="J661" s="32">
        <v>0</v>
      </c>
      <c r="K661" s="89">
        <f>+L661-J795</f>
        <v>515</v>
      </c>
      <c r="L661" s="50">
        <v>515</v>
      </c>
      <c r="M661" s="91">
        <f>I661/L661*100</f>
        <v>34.710679611650484</v>
      </c>
      <c r="O661" s="4" t="s">
        <v>72</v>
      </c>
      <c r="R661" s="18" t="s">
        <v>128</v>
      </c>
      <c r="S661" s="2"/>
      <c r="T661"/>
    </row>
    <row r="662" spans="1:20" ht="15" hidden="1" customHeight="1" x14ac:dyDescent="0.3">
      <c r="B662" t="s">
        <v>361</v>
      </c>
      <c r="C662" s="25">
        <v>44580</v>
      </c>
      <c r="D662" s="26">
        <v>0.77539351851851857</v>
      </c>
      <c r="E662" s="8" t="s">
        <v>24</v>
      </c>
      <c r="F662" t="s">
        <v>175</v>
      </c>
      <c r="G662" t="s">
        <v>172</v>
      </c>
      <c r="H662" t="s">
        <v>178</v>
      </c>
      <c r="I662">
        <v>419.35</v>
      </c>
      <c r="J662" s="7">
        <v>0</v>
      </c>
      <c r="K662" s="11"/>
      <c r="L662" s="31">
        <v>914.99</v>
      </c>
      <c r="M662" s="10">
        <f>I662/L662*100</f>
        <v>45.831101979256609</v>
      </c>
    </row>
    <row r="663" spans="1:20" ht="15" hidden="1" customHeight="1" x14ac:dyDescent="0.3">
      <c r="B663" t="s">
        <v>361</v>
      </c>
      <c r="C663" s="25">
        <v>44582</v>
      </c>
      <c r="D663" s="26">
        <v>0.16652777777777777</v>
      </c>
      <c r="E663" s="8" t="s">
        <v>24</v>
      </c>
      <c r="F663" t="s">
        <v>210</v>
      </c>
      <c r="G663" t="s">
        <v>211</v>
      </c>
      <c r="H663" t="s">
        <v>178</v>
      </c>
      <c r="I663">
        <v>343.15</v>
      </c>
      <c r="J663" s="7">
        <v>0</v>
      </c>
      <c r="K663" s="73"/>
      <c r="L663" s="7">
        <v>814.15</v>
      </c>
      <c r="M663" s="36">
        <f>I663/L663*100</f>
        <v>42.148252778971937</v>
      </c>
    </row>
    <row r="664" spans="1:20" ht="15" hidden="1" customHeight="1" x14ac:dyDescent="0.3">
      <c r="B664" t="s">
        <v>361</v>
      </c>
      <c r="C664" s="25">
        <v>44583</v>
      </c>
      <c r="D664" s="26">
        <v>0.1459027777777778</v>
      </c>
      <c r="E664" s="8" t="s">
        <v>24</v>
      </c>
      <c r="F664" t="s">
        <v>210</v>
      </c>
      <c r="G664" t="s">
        <v>211</v>
      </c>
      <c r="H664" t="s">
        <v>178</v>
      </c>
      <c r="I664">
        <v>386.02</v>
      </c>
      <c r="J664" s="7">
        <v>719506</v>
      </c>
      <c r="K664" s="73"/>
      <c r="L664" s="7">
        <v>720609</v>
      </c>
      <c r="M664" s="36">
        <f>I664/L664*100</f>
        <v>5.3568578799321129E-2</v>
      </c>
    </row>
    <row r="665" spans="1:20" ht="15" hidden="1" customHeight="1" x14ac:dyDescent="0.3">
      <c r="B665" t="s">
        <v>361</v>
      </c>
      <c r="C665" s="25">
        <v>44569</v>
      </c>
      <c r="D665" s="26">
        <v>0.8536689814814814</v>
      </c>
      <c r="E665" s="8" t="s">
        <v>24</v>
      </c>
      <c r="F665" t="s">
        <v>210</v>
      </c>
      <c r="G665" t="s">
        <v>211</v>
      </c>
      <c r="H665" t="s">
        <v>193</v>
      </c>
      <c r="I665">
        <v>384.79</v>
      </c>
      <c r="J665" s="7">
        <v>707642</v>
      </c>
      <c r="K665" s="73">
        <f t="shared" ref="K665:K696" si="44">+L665-J665</f>
        <v>980</v>
      </c>
      <c r="L665" s="7">
        <v>708622</v>
      </c>
      <c r="M665" s="36">
        <f t="shared" ref="M665:M696" si="45">I665/K665*100</f>
        <v>39.26428571428572</v>
      </c>
    </row>
    <row r="666" spans="1:20" ht="15" hidden="1" customHeight="1" x14ac:dyDescent="0.3">
      <c r="B666" t="s">
        <v>361</v>
      </c>
      <c r="C666" s="25">
        <v>44570</v>
      </c>
      <c r="D666" s="26">
        <v>0.70597222222222233</v>
      </c>
      <c r="E666" s="8" t="s">
        <v>24</v>
      </c>
      <c r="F666" t="s">
        <v>210</v>
      </c>
      <c r="G666" t="s">
        <v>211</v>
      </c>
      <c r="H666" t="s">
        <v>193</v>
      </c>
      <c r="I666">
        <v>360.15</v>
      </c>
      <c r="J666" s="7">
        <v>708622</v>
      </c>
      <c r="K666" s="73">
        <f t="shared" si="44"/>
        <v>1092</v>
      </c>
      <c r="L666" s="7">
        <v>709714</v>
      </c>
      <c r="M666" s="36">
        <f t="shared" si="45"/>
        <v>32.980769230769234</v>
      </c>
    </row>
    <row r="667" spans="1:20" ht="15" hidden="1" customHeight="1" x14ac:dyDescent="0.3">
      <c r="B667" t="s">
        <v>361</v>
      </c>
      <c r="C667" s="25">
        <v>44572</v>
      </c>
      <c r="D667" s="26">
        <v>0.46549768518518514</v>
      </c>
      <c r="E667" s="8" t="s">
        <v>24</v>
      </c>
      <c r="F667" t="s">
        <v>175</v>
      </c>
      <c r="G667" t="s">
        <v>172</v>
      </c>
      <c r="H667" t="s">
        <v>193</v>
      </c>
      <c r="I667">
        <v>334.91</v>
      </c>
      <c r="J667" s="7">
        <v>709714</v>
      </c>
      <c r="K667" s="73">
        <f t="shared" si="44"/>
        <v>969</v>
      </c>
      <c r="L667" s="7">
        <v>710683</v>
      </c>
      <c r="M667" s="36">
        <f t="shared" si="45"/>
        <v>34.562435500515996</v>
      </c>
    </row>
    <row r="668" spans="1:20" ht="15" hidden="1" customHeight="1" x14ac:dyDescent="0.3">
      <c r="B668" t="s">
        <v>361</v>
      </c>
      <c r="C668" s="25">
        <v>44573</v>
      </c>
      <c r="D668" s="26">
        <v>0.49365740740740738</v>
      </c>
      <c r="E668" s="8" t="s">
        <v>24</v>
      </c>
      <c r="F668" t="s">
        <v>210</v>
      </c>
      <c r="G668" t="s">
        <v>211</v>
      </c>
      <c r="H668" t="s">
        <v>193</v>
      </c>
      <c r="I668">
        <v>324.12</v>
      </c>
      <c r="J668" s="34">
        <v>710683</v>
      </c>
      <c r="K668" s="7">
        <f t="shared" si="44"/>
        <v>856</v>
      </c>
      <c r="L668" s="34">
        <v>711539</v>
      </c>
      <c r="M668" s="10">
        <f t="shared" si="45"/>
        <v>37.864485981308412</v>
      </c>
    </row>
    <row r="669" spans="1:20" ht="15" hidden="1" customHeight="1" x14ac:dyDescent="0.3">
      <c r="B669" t="s">
        <v>361</v>
      </c>
      <c r="C669" s="25">
        <v>44575</v>
      </c>
      <c r="D669" s="26">
        <v>0.33124999999999999</v>
      </c>
      <c r="E669" s="8" t="s">
        <v>24</v>
      </c>
      <c r="F669" t="s">
        <v>210</v>
      </c>
      <c r="G669" t="s">
        <v>211</v>
      </c>
      <c r="H669" t="s">
        <v>193</v>
      </c>
      <c r="I669">
        <v>453.77</v>
      </c>
      <c r="J669" s="11">
        <v>0</v>
      </c>
      <c r="K669" s="30">
        <f t="shared" si="44"/>
        <v>1123.7</v>
      </c>
      <c r="L669" s="34">
        <v>1123.7</v>
      </c>
      <c r="M669" s="10">
        <f t="shared" si="45"/>
        <v>40.381774494971964</v>
      </c>
    </row>
    <row r="670" spans="1:20" ht="15" hidden="1" customHeight="1" x14ac:dyDescent="0.3">
      <c r="B670" t="s">
        <v>361</v>
      </c>
      <c r="C670" s="25">
        <v>44576</v>
      </c>
      <c r="D670" s="26">
        <v>0.55077546296296298</v>
      </c>
      <c r="E670" s="8" t="s">
        <v>24</v>
      </c>
      <c r="F670" t="s">
        <v>175</v>
      </c>
      <c r="G670" t="s">
        <v>172</v>
      </c>
      <c r="H670" t="s">
        <v>193</v>
      </c>
      <c r="I670">
        <v>332.45</v>
      </c>
      <c r="J670" s="11">
        <v>0</v>
      </c>
      <c r="K670" s="30">
        <f t="shared" si="44"/>
        <v>925.87</v>
      </c>
      <c r="L670" s="30">
        <v>925.87</v>
      </c>
      <c r="M670" s="10">
        <f t="shared" si="45"/>
        <v>35.906768768833636</v>
      </c>
    </row>
    <row r="671" spans="1:20" ht="15" hidden="1" customHeight="1" x14ac:dyDescent="0.3">
      <c r="B671" t="s">
        <v>361</v>
      </c>
      <c r="C671" s="25">
        <v>44577</v>
      </c>
      <c r="D671" s="26">
        <v>0.62886574074074075</v>
      </c>
      <c r="E671" s="8" t="s">
        <v>24</v>
      </c>
      <c r="F671" t="s">
        <v>210</v>
      </c>
      <c r="G671" t="s">
        <v>211</v>
      </c>
      <c r="H671" t="s">
        <v>193</v>
      </c>
      <c r="I671">
        <v>355.86</v>
      </c>
      <c r="J671" s="11">
        <v>0</v>
      </c>
      <c r="K671" s="11">
        <f t="shared" si="44"/>
        <v>830.44</v>
      </c>
      <c r="L671" s="11">
        <v>830.44</v>
      </c>
      <c r="M671" s="10">
        <f t="shared" si="45"/>
        <v>42.851982081787966</v>
      </c>
    </row>
    <row r="672" spans="1:20" ht="15" hidden="1" customHeight="1" x14ac:dyDescent="0.3">
      <c r="B672" t="s">
        <v>361</v>
      </c>
      <c r="C672" s="25">
        <v>44578</v>
      </c>
      <c r="D672" s="26">
        <v>0.79841435185185183</v>
      </c>
      <c r="E672" s="8" t="s">
        <v>24</v>
      </c>
      <c r="F672" t="s">
        <v>210</v>
      </c>
      <c r="G672" t="s">
        <v>211</v>
      </c>
      <c r="H672" t="s">
        <v>193</v>
      </c>
      <c r="I672">
        <v>403.24</v>
      </c>
      <c r="J672" s="11">
        <v>0</v>
      </c>
      <c r="K672" s="11">
        <f t="shared" si="44"/>
        <v>1064.0999999999999</v>
      </c>
      <c r="L672" s="11">
        <v>1064.0999999999999</v>
      </c>
      <c r="M672" s="10">
        <f t="shared" si="45"/>
        <v>37.894934686589608</v>
      </c>
    </row>
    <row r="673" spans="1:13" ht="15" hidden="1" customHeight="1" x14ac:dyDescent="0.3">
      <c r="B673" t="s">
        <v>361</v>
      </c>
      <c r="C673" s="25">
        <v>44580</v>
      </c>
      <c r="D673" s="26">
        <v>0.4879398148148148</v>
      </c>
      <c r="E673" s="8" t="s">
        <v>24</v>
      </c>
      <c r="F673" t="s">
        <v>175</v>
      </c>
      <c r="G673" t="s">
        <v>172</v>
      </c>
      <c r="H673" t="s">
        <v>193</v>
      </c>
      <c r="I673">
        <v>375.29</v>
      </c>
      <c r="J673" s="7">
        <v>0</v>
      </c>
      <c r="K673" s="7">
        <f t="shared" si="44"/>
        <v>916.24</v>
      </c>
      <c r="L673" s="7">
        <v>916.24</v>
      </c>
      <c r="M673" s="10">
        <f t="shared" si="45"/>
        <v>40.959792194184928</v>
      </c>
    </row>
    <row r="674" spans="1:13" ht="15" hidden="1" customHeight="1" x14ac:dyDescent="0.3">
      <c r="B674" t="s">
        <v>361</v>
      </c>
      <c r="C674" s="25">
        <v>44586</v>
      </c>
      <c r="D674" s="26">
        <v>0.79971064814814818</v>
      </c>
      <c r="E674" s="8" t="s">
        <v>24</v>
      </c>
      <c r="F674" t="s">
        <v>175</v>
      </c>
      <c r="G674" t="s">
        <v>172</v>
      </c>
      <c r="H674" t="s">
        <v>306</v>
      </c>
      <c r="I674">
        <v>349</v>
      </c>
      <c r="J674" s="7">
        <v>556506</v>
      </c>
      <c r="K674" s="7">
        <f t="shared" si="44"/>
        <v>947</v>
      </c>
      <c r="L674" s="7">
        <v>557453</v>
      </c>
      <c r="M674" s="10">
        <f t="shared" si="45"/>
        <v>36.853220696937697</v>
      </c>
    </row>
    <row r="675" spans="1:13" ht="15" hidden="1" customHeight="1" x14ac:dyDescent="0.3">
      <c r="B675" t="s">
        <v>361</v>
      </c>
      <c r="C675" s="25">
        <v>44587</v>
      </c>
      <c r="D675" s="26">
        <v>0.78019675925925924</v>
      </c>
      <c r="E675" s="8" t="s">
        <v>24</v>
      </c>
      <c r="F675" t="s">
        <v>210</v>
      </c>
      <c r="G675" t="s">
        <v>211</v>
      </c>
      <c r="H675" t="s">
        <v>306</v>
      </c>
      <c r="I675">
        <v>371.86</v>
      </c>
      <c r="J675" s="7">
        <v>0</v>
      </c>
      <c r="K675" s="7">
        <f t="shared" si="44"/>
        <v>746.83</v>
      </c>
      <c r="L675" s="32">
        <v>746.83</v>
      </c>
      <c r="M675" s="10">
        <f t="shared" si="45"/>
        <v>49.79178661810586</v>
      </c>
    </row>
    <row r="676" spans="1:13" ht="15" hidden="1" customHeight="1" x14ac:dyDescent="0.3">
      <c r="B676" t="s">
        <v>361</v>
      </c>
      <c r="C676" s="25">
        <v>44588</v>
      </c>
      <c r="D676" s="26">
        <v>0.95148148148148148</v>
      </c>
      <c r="E676" s="8" t="s">
        <v>24</v>
      </c>
      <c r="F676" t="s">
        <v>210</v>
      </c>
      <c r="G676" t="s">
        <v>211</v>
      </c>
      <c r="H676" t="s">
        <v>306</v>
      </c>
      <c r="I676">
        <v>411.48</v>
      </c>
      <c r="J676" s="30">
        <v>0</v>
      </c>
      <c r="K676" s="30">
        <f t="shared" si="44"/>
        <v>1055.92</v>
      </c>
      <c r="L676" s="30">
        <v>1055.92</v>
      </c>
      <c r="M676" s="10">
        <f t="shared" si="45"/>
        <v>38.968861277369498</v>
      </c>
    </row>
    <row r="677" spans="1:13" ht="15" hidden="1" customHeight="1" x14ac:dyDescent="0.3">
      <c r="B677" t="s">
        <v>361</v>
      </c>
      <c r="C677" s="25">
        <v>44589</v>
      </c>
      <c r="D677" s="26">
        <v>0.97452546296296294</v>
      </c>
      <c r="E677" s="8" t="s">
        <v>24</v>
      </c>
      <c r="F677" t="s">
        <v>391</v>
      </c>
      <c r="G677" t="s">
        <v>392</v>
      </c>
      <c r="H677" t="s">
        <v>306</v>
      </c>
      <c r="I677">
        <v>301.02</v>
      </c>
      <c r="J677" s="11">
        <v>0</v>
      </c>
      <c r="K677" s="11">
        <f t="shared" si="44"/>
        <v>877.4</v>
      </c>
      <c r="L677" s="11">
        <v>877.4</v>
      </c>
      <c r="M677" s="10">
        <f t="shared" si="45"/>
        <v>34.308183268748579</v>
      </c>
    </row>
    <row r="678" spans="1:13" ht="15" hidden="1" customHeight="1" x14ac:dyDescent="0.3">
      <c r="B678" t="s">
        <v>361</v>
      </c>
      <c r="C678" s="25">
        <v>44564</v>
      </c>
      <c r="D678" s="26">
        <v>0.7976388888888889</v>
      </c>
      <c r="E678" s="8" t="s">
        <v>24</v>
      </c>
      <c r="F678" t="s">
        <v>175</v>
      </c>
      <c r="G678" t="s">
        <v>172</v>
      </c>
      <c r="H678" t="s">
        <v>113</v>
      </c>
      <c r="I678">
        <v>430.81</v>
      </c>
      <c r="J678" s="11">
        <v>0</v>
      </c>
      <c r="K678" s="11">
        <f t="shared" si="44"/>
        <v>1266.46</v>
      </c>
      <c r="L678" s="11">
        <v>1266.46</v>
      </c>
      <c r="M678" s="10">
        <f t="shared" si="45"/>
        <v>34.016865909701053</v>
      </c>
    </row>
    <row r="679" spans="1:13" ht="15" hidden="1" customHeight="1" x14ac:dyDescent="0.3">
      <c r="B679" t="s">
        <v>361</v>
      </c>
      <c r="C679" s="25">
        <v>44565</v>
      </c>
      <c r="D679" s="26">
        <v>0.9382638888888889</v>
      </c>
      <c r="E679" s="8" t="s">
        <v>24</v>
      </c>
      <c r="F679" t="s">
        <v>210</v>
      </c>
      <c r="G679" t="s">
        <v>211</v>
      </c>
      <c r="H679" t="s">
        <v>113</v>
      </c>
      <c r="I679">
        <v>332.65</v>
      </c>
      <c r="J679" s="7">
        <v>0</v>
      </c>
      <c r="K679" s="7">
        <f t="shared" si="44"/>
        <v>705.63</v>
      </c>
      <c r="L679" s="7">
        <v>705.63</v>
      </c>
      <c r="M679" s="10">
        <f t="shared" si="45"/>
        <v>47.142270028201743</v>
      </c>
    </row>
    <row r="680" spans="1:13" ht="15" hidden="1" customHeight="1" x14ac:dyDescent="0.3">
      <c r="B680" t="s">
        <v>361</v>
      </c>
      <c r="C680" s="25">
        <v>44567</v>
      </c>
      <c r="D680" s="26">
        <v>1.4027777777777778E-2</v>
      </c>
      <c r="E680" s="8" t="s">
        <v>24</v>
      </c>
      <c r="F680" t="s">
        <v>210</v>
      </c>
      <c r="G680" t="s">
        <v>211</v>
      </c>
      <c r="H680" t="s">
        <v>113</v>
      </c>
      <c r="I680">
        <v>402.56</v>
      </c>
      <c r="J680" s="7">
        <v>0</v>
      </c>
      <c r="K680" s="7">
        <f t="shared" si="44"/>
        <v>1063.24</v>
      </c>
      <c r="L680" s="7">
        <v>1063.24</v>
      </c>
      <c r="M680" s="10">
        <f t="shared" si="45"/>
        <v>37.861630487942513</v>
      </c>
    </row>
    <row r="681" spans="1:13" ht="15" hidden="1" customHeight="1" x14ac:dyDescent="0.3">
      <c r="A681" s="9">
        <v>174</v>
      </c>
      <c r="B681" t="s">
        <v>361</v>
      </c>
      <c r="C681" s="25">
        <v>44597</v>
      </c>
      <c r="D681" s="26">
        <v>0.73081018518518526</v>
      </c>
      <c r="E681" s="8" t="s">
        <v>25</v>
      </c>
      <c r="F681" t="s">
        <v>175</v>
      </c>
      <c r="G681" t="s">
        <v>172</v>
      </c>
      <c r="H681" t="s">
        <v>178</v>
      </c>
      <c r="I681">
        <v>459.01</v>
      </c>
      <c r="J681" s="30">
        <v>720609</v>
      </c>
      <c r="K681" s="30">
        <f t="shared" si="44"/>
        <v>1207</v>
      </c>
      <c r="L681" s="30">
        <v>721816</v>
      </c>
      <c r="M681" s="10">
        <f t="shared" si="45"/>
        <v>38.028997514498755</v>
      </c>
    </row>
    <row r="682" spans="1:13" ht="15" hidden="1" customHeight="1" x14ac:dyDescent="0.3">
      <c r="A682" s="9">
        <v>175</v>
      </c>
      <c r="B682" t="s">
        <v>361</v>
      </c>
      <c r="C682" s="25">
        <v>44598</v>
      </c>
      <c r="D682" s="26">
        <v>0.69277777777777771</v>
      </c>
      <c r="E682" s="8" t="s">
        <v>25</v>
      </c>
      <c r="F682" t="s">
        <v>210</v>
      </c>
      <c r="G682" t="s">
        <v>211</v>
      </c>
      <c r="H682" t="s">
        <v>178</v>
      </c>
      <c r="I682">
        <v>388.42</v>
      </c>
      <c r="J682" s="32">
        <v>721816</v>
      </c>
      <c r="K682" s="32">
        <f t="shared" si="44"/>
        <v>866</v>
      </c>
      <c r="L682" s="7">
        <v>722682</v>
      </c>
      <c r="M682" s="10">
        <f t="shared" si="45"/>
        <v>44.852193995381064</v>
      </c>
    </row>
    <row r="683" spans="1:13" ht="15" hidden="1" customHeight="1" x14ac:dyDescent="0.3">
      <c r="A683" s="9">
        <v>176</v>
      </c>
      <c r="B683" t="s">
        <v>361</v>
      </c>
      <c r="C683" s="25">
        <v>44599</v>
      </c>
      <c r="D683" s="26">
        <v>0.95293981481481482</v>
      </c>
      <c r="E683" s="8" t="s">
        <v>25</v>
      </c>
      <c r="F683" t="s">
        <v>210</v>
      </c>
      <c r="G683" t="s">
        <v>211</v>
      </c>
      <c r="H683" t="s">
        <v>178</v>
      </c>
      <c r="I683">
        <v>417.71</v>
      </c>
      <c r="J683" s="7">
        <v>722682</v>
      </c>
      <c r="K683" s="7">
        <f t="shared" si="44"/>
        <v>1102</v>
      </c>
      <c r="L683" s="7">
        <v>723784</v>
      </c>
      <c r="M683" s="10">
        <f t="shared" si="45"/>
        <v>37.904718693284934</v>
      </c>
    </row>
    <row r="684" spans="1:13" ht="15" hidden="1" customHeight="1" x14ac:dyDescent="0.3">
      <c r="A684" s="9">
        <v>177</v>
      </c>
      <c r="B684" t="s">
        <v>361</v>
      </c>
      <c r="C684" s="25">
        <v>44601</v>
      </c>
      <c r="D684" s="26">
        <v>0.54484953703703709</v>
      </c>
      <c r="E684" s="8" t="s">
        <v>25</v>
      </c>
      <c r="F684" t="s">
        <v>175</v>
      </c>
      <c r="G684" t="s">
        <v>172</v>
      </c>
      <c r="H684" t="s">
        <v>178</v>
      </c>
      <c r="I684">
        <v>427.11</v>
      </c>
      <c r="J684" s="7">
        <v>0</v>
      </c>
      <c r="K684" s="7">
        <f t="shared" si="44"/>
        <v>1057.26</v>
      </c>
      <c r="L684" s="7">
        <v>1057.26</v>
      </c>
      <c r="M684" s="10">
        <f t="shared" si="45"/>
        <v>40.397820782021455</v>
      </c>
    </row>
    <row r="685" spans="1:13" ht="15" hidden="1" customHeight="1" x14ac:dyDescent="0.3">
      <c r="A685" s="9">
        <v>178</v>
      </c>
      <c r="B685" t="s">
        <v>361</v>
      </c>
      <c r="C685" s="25">
        <v>44602</v>
      </c>
      <c r="D685" s="26">
        <v>0.5394444444444445</v>
      </c>
      <c r="E685" s="8" t="s">
        <v>25</v>
      </c>
      <c r="F685" t="s">
        <v>210</v>
      </c>
      <c r="G685" t="s">
        <v>211</v>
      </c>
      <c r="H685" t="s">
        <v>178</v>
      </c>
      <c r="I685">
        <v>296.52</v>
      </c>
      <c r="J685" s="7">
        <v>0</v>
      </c>
      <c r="K685" s="7">
        <f t="shared" si="44"/>
        <v>682.78</v>
      </c>
      <c r="L685" s="32">
        <v>682.78</v>
      </c>
      <c r="M685" s="10">
        <f t="shared" si="45"/>
        <v>43.428337092474884</v>
      </c>
    </row>
    <row r="686" spans="1:13" ht="15" hidden="1" customHeight="1" x14ac:dyDescent="0.3">
      <c r="A686" s="9">
        <v>179</v>
      </c>
      <c r="B686" t="s">
        <v>361</v>
      </c>
      <c r="C686" s="25">
        <v>44603</v>
      </c>
      <c r="D686" s="26">
        <v>0.25194444444444447</v>
      </c>
      <c r="E686" s="8" t="s">
        <v>25</v>
      </c>
      <c r="F686" t="s">
        <v>210</v>
      </c>
      <c r="G686" t="s">
        <v>211</v>
      </c>
      <c r="H686" t="s">
        <v>178</v>
      </c>
      <c r="I686">
        <v>434.69</v>
      </c>
      <c r="J686" s="31">
        <v>0</v>
      </c>
      <c r="K686" s="31">
        <f t="shared" si="44"/>
        <v>1055.77</v>
      </c>
      <c r="L686" s="31">
        <v>1055.77</v>
      </c>
      <c r="M686" s="10">
        <f t="shared" si="45"/>
        <v>41.172793316726178</v>
      </c>
    </row>
    <row r="687" spans="1:13" ht="15" hidden="1" customHeight="1" x14ac:dyDescent="0.3">
      <c r="A687" s="9">
        <v>180</v>
      </c>
      <c r="B687" t="s">
        <v>361</v>
      </c>
      <c r="C687" s="25">
        <v>44604</v>
      </c>
      <c r="D687" s="26">
        <v>0.61032407407407407</v>
      </c>
      <c r="E687" s="8" t="s">
        <v>25</v>
      </c>
      <c r="F687" t="s">
        <v>175</v>
      </c>
      <c r="G687" t="s">
        <v>172</v>
      </c>
      <c r="H687" t="s">
        <v>178</v>
      </c>
      <c r="I687">
        <v>353.95</v>
      </c>
      <c r="J687" s="31">
        <v>0</v>
      </c>
      <c r="K687" s="31">
        <f t="shared" si="44"/>
        <v>1044.17</v>
      </c>
      <c r="L687" s="31">
        <v>1044.17</v>
      </c>
      <c r="M687" s="10">
        <f t="shared" si="45"/>
        <v>33.89773695854123</v>
      </c>
    </row>
    <row r="688" spans="1:13" ht="15" hidden="1" customHeight="1" x14ac:dyDescent="0.3">
      <c r="A688" s="9">
        <v>181</v>
      </c>
      <c r="B688" t="s">
        <v>361</v>
      </c>
      <c r="C688" s="25">
        <v>44605</v>
      </c>
      <c r="D688" s="26">
        <v>0.45106481481481481</v>
      </c>
      <c r="E688" s="8" t="s">
        <v>25</v>
      </c>
      <c r="F688" t="s">
        <v>210</v>
      </c>
      <c r="G688" t="s">
        <v>211</v>
      </c>
      <c r="H688" t="s">
        <v>178</v>
      </c>
      <c r="I688">
        <v>474.93</v>
      </c>
      <c r="J688" s="7">
        <v>0</v>
      </c>
      <c r="K688" s="7">
        <f t="shared" si="44"/>
        <v>813.72</v>
      </c>
      <c r="L688" s="7">
        <v>813.72</v>
      </c>
      <c r="M688" s="10">
        <f t="shared" si="45"/>
        <v>58.365285356142159</v>
      </c>
    </row>
    <row r="689" spans="1:13" ht="15" hidden="1" customHeight="1" x14ac:dyDescent="0.3">
      <c r="A689" s="9">
        <v>182</v>
      </c>
      <c r="B689" t="s">
        <v>361</v>
      </c>
      <c r="C689" s="25">
        <v>44606</v>
      </c>
      <c r="D689" s="26">
        <v>0.60018518518518515</v>
      </c>
      <c r="E689" s="8" t="s">
        <v>25</v>
      </c>
      <c r="F689" t="s">
        <v>210</v>
      </c>
      <c r="G689" t="s">
        <v>211</v>
      </c>
      <c r="H689" t="s">
        <v>178</v>
      </c>
      <c r="I689">
        <v>412.67</v>
      </c>
      <c r="J689" s="7">
        <v>0</v>
      </c>
      <c r="K689" s="7">
        <f t="shared" si="44"/>
        <v>1056.33</v>
      </c>
      <c r="L689" s="32">
        <v>1056.33</v>
      </c>
      <c r="M689" s="10">
        <f t="shared" si="45"/>
        <v>39.066390237899142</v>
      </c>
    </row>
    <row r="690" spans="1:13" ht="15" hidden="1" customHeight="1" x14ac:dyDescent="0.3">
      <c r="A690" s="9">
        <v>183</v>
      </c>
      <c r="B690" t="s">
        <v>361</v>
      </c>
      <c r="C690" s="25">
        <v>44607</v>
      </c>
      <c r="D690" s="26">
        <v>0.74195601851851845</v>
      </c>
      <c r="E690" s="8" t="s">
        <v>25</v>
      </c>
      <c r="F690" t="s">
        <v>175</v>
      </c>
      <c r="G690" t="s">
        <v>172</v>
      </c>
      <c r="H690" t="s">
        <v>178</v>
      </c>
      <c r="I690">
        <v>349.83</v>
      </c>
      <c r="J690" s="31">
        <v>0</v>
      </c>
      <c r="K690" s="31">
        <f t="shared" si="44"/>
        <v>899.72</v>
      </c>
      <c r="L690" s="33">
        <v>899.72</v>
      </c>
      <c r="M690" s="10">
        <f t="shared" si="45"/>
        <v>38.882096652291821</v>
      </c>
    </row>
    <row r="691" spans="1:13" ht="15" hidden="1" customHeight="1" x14ac:dyDescent="0.3">
      <c r="A691" s="9">
        <v>184</v>
      </c>
      <c r="B691" t="s">
        <v>361</v>
      </c>
      <c r="C691" s="25">
        <v>44608</v>
      </c>
      <c r="D691" s="26">
        <v>0.85449074074074083</v>
      </c>
      <c r="E691" s="8" t="s">
        <v>25</v>
      </c>
      <c r="F691" t="s">
        <v>210</v>
      </c>
      <c r="G691" t="s">
        <v>211</v>
      </c>
      <c r="H691" t="s">
        <v>178</v>
      </c>
      <c r="I691">
        <v>385.97</v>
      </c>
      <c r="J691" s="7">
        <v>0</v>
      </c>
      <c r="K691" s="7">
        <f t="shared" si="44"/>
        <v>807.33</v>
      </c>
      <c r="L691" s="7">
        <v>807.33</v>
      </c>
      <c r="M691" s="10">
        <f t="shared" si="45"/>
        <v>47.808207300608181</v>
      </c>
    </row>
    <row r="692" spans="1:13" ht="15" hidden="1" customHeight="1" x14ac:dyDescent="0.3">
      <c r="A692" s="9">
        <v>185</v>
      </c>
      <c r="B692" t="s">
        <v>361</v>
      </c>
      <c r="C692" s="25">
        <v>44610</v>
      </c>
      <c r="D692" s="26">
        <v>0.4372800925925926</v>
      </c>
      <c r="E692" s="8" t="s">
        <v>25</v>
      </c>
      <c r="F692" t="s">
        <v>210</v>
      </c>
      <c r="G692" t="s">
        <v>211</v>
      </c>
      <c r="H692" t="s">
        <v>178</v>
      </c>
      <c r="I692">
        <v>477.42</v>
      </c>
      <c r="J692" s="34">
        <v>0</v>
      </c>
      <c r="K692" s="34">
        <f t="shared" si="44"/>
        <v>1108.45</v>
      </c>
      <c r="L692" s="34">
        <v>1108.45</v>
      </c>
      <c r="M692" s="10">
        <f t="shared" si="45"/>
        <v>43.070954937074291</v>
      </c>
    </row>
    <row r="693" spans="1:13" ht="15" hidden="1" customHeight="1" x14ac:dyDescent="0.3">
      <c r="A693" s="9">
        <v>186</v>
      </c>
      <c r="B693" t="s">
        <v>361</v>
      </c>
      <c r="C693" s="25">
        <v>44611</v>
      </c>
      <c r="D693" s="26">
        <v>0.57575231481481481</v>
      </c>
      <c r="E693" s="8" t="s">
        <v>25</v>
      </c>
      <c r="F693" t="s">
        <v>453</v>
      </c>
      <c r="G693" t="s">
        <v>454</v>
      </c>
      <c r="H693" t="s">
        <v>178</v>
      </c>
      <c r="I693">
        <v>420.02</v>
      </c>
      <c r="J693" s="7">
        <v>0</v>
      </c>
      <c r="K693" s="7">
        <f t="shared" si="44"/>
        <v>1066.78</v>
      </c>
      <c r="L693" s="7">
        <v>1066.78</v>
      </c>
      <c r="M693" s="10">
        <f t="shared" si="45"/>
        <v>39.372691651512028</v>
      </c>
    </row>
    <row r="694" spans="1:13" ht="15" hidden="1" customHeight="1" x14ac:dyDescent="0.3">
      <c r="A694" s="9">
        <v>187</v>
      </c>
      <c r="B694" t="s">
        <v>361</v>
      </c>
      <c r="C694" s="25">
        <v>44612</v>
      </c>
      <c r="D694" s="26">
        <v>0.74413194444444442</v>
      </c>
      <c r="E694" s="8" t="s">
        <v>25</v>
      </c>
      <c r="F694" t="s">
        <v>210</v>
      </c>
      <c r="G694" t="s">
        <v>211</v>
      </c>
      <c r="H694" t="s">
        <v>178</v>
      </c>
      <c r="I694">
        <v>342.68</v>
      </c>
      <c r="J694" s="7">
        <v>0</v>
      </c>
      <c r="K694" s="7">
        <f t="shared" si="44"/>
        <v>704.23</v>
      </c>
      <c r="L694" s="7">
        <v>704.23</v>
      </c>
      <c r="M694" s="10">
        <f t="shared" si="45"/>
        <v>48.660238842423645</v>
      </c>
    </row>
    <row r="695" spans="1:13" ht="15" hidden="1" customHeight="1" x14ac:dyDescent="0.3">
      <c r="A695" s="9">
        <v>188</v>
      </c>
      <c r="B695" t="s">
        <v>361</v>
      </c>
      <c r="C695" s="25">
        <v>44614</v>
      </c>
      <c r="D695" s="26">
        <v>0.23104166666666667</v>
      </c>
      <c r="E695" s="8" t="s">
        <v>25</v>
      </c>
      <c r="F695" t="s">
        <v>210</v>
      </c>
      <c r="G695" t="s">
        <v>211</v>
      </c>
      <c r="H695" t="s">
        <v>178</v>
      </c>
      <c r="I695">
        <v>445.8</v>
      </c>
      <c r="J695" s="7">
        <v>0</v>
      </c>
      <c r="K695" s="7">
        <f t="shared" si="44"/>
        <v>1055.72</v>
      </c>
      <c r="L695" s="7">
        <v>1055.72</v>
      </c>
      <c r="M695" s="10">
        <f t="shared" si="45"/>
        <v>42.227105671958476</v>
      </c>
    </row>
    <row r="696" spans="1:13" ht="15" hidden="1" customHeight="1" x14ac:dyDescent="0.3">
      <c r="A696" s="9">
        <v>189</v>
      </c>
      <c r="B696" t="s">
        <v>361</v>
      </c>
      <c r="C696" s="25">
        <v>44616</v>
      </c>
      <c r="D696" s="26">
        <v>0.54555555555555557</v>
      </c>
      <c r="E696" s="8" t="s">
        <v>25</v>
      </c>
      <c r="F696" t="s">
        <v>343</v>
      </c>
      <c r="G696" t="s">
        <v>344</v>
      </c>
      <c r="H696" t="s">
        <v>178</v>
      </c>
      <c r="I696">
        <v>500.96</v>
      </c>
      <c r="J696" s="7">
        <v>0</v>
      </c>
      <c r="K696" s="7">
        <f t="shared" si="44"/>
        <v>1228.1600000000001</v>
      </c>
      <c r="L696" s="7">
        <v>1228.1600000000001</v>
      </c>
      <c r="M696" s="10">
        <f t="shared" si="45"/>
        <v>40.78947368421052</v>
      </c>
    </row>
    <row r="697" spans="1:13" ht="15" hidden="1" customHeight="1" x14ac:dyDescent="0.3">
      <c r="A697" s="9">
        <v>190</v>
      </c>
      <c r="B697" t="s">
        <v>361</v>
      </c>
      <c r="C697" s="25">
        <v>44617</v>
      </c>
      <c r="D697" s="26">
        <v>7.2835648148148149E-2</v>
      </c>
      <c r="E697" s="8" t="s">
        <v>25</v>
      </c>
      <c r="F697" t="s">
        <v>210</v>
      </c>
      <c r="G697" t="s">
        <v>211</v>
      </c>
      <c r="H697" t="s">
        <v>178</v>
      </c>
      <c r="I697">
        <v>229.95</v>
      </c>
      <c r="J697" s="7">
        <v>0</v>
      </c>
      <c r="K697" s="7">
        <f t="shared" ref="K697:K723" si="46">+L697-J697</f>
        <v>504.87</v>
      </c>
      <c r="L697" s="7">
        <v>504.87</v>
      </c>
      <c r="M697" s="10">
        <f t="shared" ref="M697:M728" si="47">I697/K697*100</f>
        <v>45.546378275595693</v>
      </c>
    </row>
    <row r="698" spans="1:13" ht="15" hidden="1" customHeight="1" x14ac:dyDescent="0.3">
      <c r="A698" s="9">
        <v>191</v>
      </c>
      <c r="B698" t="s">
        <v>361</v>
      </c>
      <c r="C698" s="25">
        <v>44618</v>
      </c>
      <c r="D698" s="26">
        <v>0.74957175925925934</v>
      </c>
      <c r="E698" s="8" t="s">
        <v>25</v>
      </c>
      <c r="F698" t="s">
        <v>210</v>
      </c>
      <c r="G698" t="s">
        <v>211</v>
      </c>
      <c r="H698" t="s">
        <v>178</v>
      </c>
      <c r="I698">
        <v>492.99</v>
      </c>
      <c r="J698" s="7">
        <v>0</v>
      </c>
      <c r="K698" s="7">
        <f t="shared" si="46"/>
        <v>1106.8599999999999</v>
      </c>
      <c r="L698" s="7">
        <v>1106.8599999999999</v>
      </c>
      <c r="M698" s="10">
        <f t="shared" si="47"/>
        <v>44.53950815821333</v>
      </c>
    </row>
    <row r="699" spans="1:13" ht="15" hidden="1" customHeight="1" x14ac:dyDescent="0.3">
      <c r="A699" s="9">
        <v>192</v>
      </c>
      <c r="B699" t="s">
        <v>361</v>
      </c>
      <c r="C699" s="25">
        <v>44619</v>
      </c>
      <c r="D699" s="26">
        <v>0.25126157407407407</v>
      </c>
      <c r="E699" s="8" t="s">
        <v>25</v>
      </c>
      <c r="F699" t="s">
        <v>175</v>
      </c>
      <c r="G699" t="s">
        <v>172</v>
      </c>
      <c r="H699" t="s">
        <v>178</v>
      </c>
      <c r="I699">
        <v>183.94</v>
      </c>
      <c r="J699" s="7">
        <v>0</v>
      </c>
      <c r="K699" s="11">
        <f t="shared" si="46"/>
        <v>689.87</v>
      </c>
      <c r="L699" s="7">
        <v>689.87</v>
      </c>
      <c r="M699" s="10">
        <f t="shared" si="47"/>
        <v>26.662994477220348</v>
      </c>
    </row>
    <row r="700" spans="1:13" ht="15" hidden="1" customHeight="1" x14ac:dyDescent="0.3">
      <c r="A700" s="9">
        <v>193</v>
      </c>
      <c r="B700" t="s">
        <v>361</v>
      </c>
      <c r="C700" s="25">
        <v>44620</v>
      </c>
      <c r="D700" s="26">
        <v>0.97961805555555559</v>
      </c>
      <c r="E700" s="8" t="s">
        <v>25</v>
      </c>
      <c r="F700" t="s">
        <v>210</v>
      </c>
      <c r="G700" t="s">
        <v>211</v>
      </c>
      <c r="H700" t="s">
        <v>178</v>
      </c>
      <c r="I700">
        <v>394.79</v>
      </c>
      <c r="J700" s="7">
        <v>0</v>
      </c>
      <c r="K700" s="11">
        <f t="shared" si="46"/>
        <v>818.22</v>
      </c>
      <c r="L700" s="7">
        <v>818.22</v>
      </c>
      <c r="M700" s="10">
        <f t="shared" si="47"/>
        <v>48.249859451003395</v>
      </c>
    </row>
    <row r="701" spans="1:13" ht="15" hidden="1" customHeight="1" x14ac:dyDescent="0.3">
      <c r="A701" s="9">
        <v>1266</v>
      </c>
      <c r="B701" t="s">
        <v>361</v>
      </c>
      <c r="C701" s="25">
        <v>44622</v>
      </c>
      <c r="D701" s="26">
        <v>0.93773148148148155</v>
      </c>
      <c r="E701" s="8" t="s">
        <v>26</v>
      </c>
      <c r="F701" t="s">
        <v>210</v>
      </c>
      <c r="G701" t="s">
        <v>211</v>
      </c>
      <c r="H701" t="s">
        <v>178</v>
      </c>
      <c r="I701">
        <v>476.22</v>
      </c>
      <c r="J701" s="7">
        <v>0</v>
      </c>
      <c r="K701" s="89">
        <f t="shared" si="46"/>
        <v>1107.42</v>
      </c>
      <c r="L701" s="7">
        <v>1107.42</v>
      </c>
      <c r="M701" s="10">
        <f t="shared" si="47"/>
        <v>43.002654819309747</v>
      </c>
    </row>
    <row r="702" spans="1:13" ht="15" hidden="1" customHeight="1" x14ac:dyDescent="0.3">
      <c r="A702" s="9">
        <v>1267</v>
      </c>
      <c r="B702" t="s">
        <v>361</v>
      </c>
      <c r="C702" s="25">
        <v>44624</v>
      </c>
      <c r="D702" s="26">
        <v>0.76960648148148147</v>
      </c>
      <c r="E702" s="8" t="s">
        <v>26</v>
      </c>
      <c r="F702" t="s">
        <v>175</v>
      </c>
      <c r="G702" t="s">
        <v>172</v>
      </c>
      <c r="H702" t="s">
        <v>178</v>
      </c>
      <c r="I702">
        <v>367.18</v>
      </c>
      <c r="J702" s="7">
        <v>0</v>
      </c>
      <c r="K702" s="89">
        <f t="shared" si="46"/>
        <v>969.39</v>
      </c>
      <c r="L702" s="7">
        <v>969.39</v>
      </c>
      <c r="M702" s="10">
        <f t="shared" si="47"/>
        <v>37.877428073324467</v>
      </c>
    </row>
    <row r="703" spans="1:13" ht="15" hidden="1" customHeight="1" x14ac:dyDescent="0.3">
      <c r="A703" s="9">
        <v>1268</v>
      </c>
      <c r="B703" t="s">
        <v>361</v>
      </c>
      <c r="C703" s="25">
        <v>44627</v>
      </c>
      <c r="D703" s="26">
        <v>0.42274305555555558</v>
      </c>
      <c r="E703" s="8" t="s">
        <v>26</v>
      </c>
      <c r="F703" t="s">
        <v>210</v>
      </c>
      <c r="G703" t="s">
        <v>211</v>
      </c>
      <c r="H703" t="s">
        <v>178</v>
      </c>
      <c r="I703">
        <v>515.35</v>
      </c>
      <c r="J703" s="7">
        <v>0</v>
      </c>
      <c r="K703" s="89">
        <f t="shared" si="46"/>
        <v>1186.83</v>
      </c>
      <c r="L703" s="7">
        <v>1186.83</v>
      </c>
      <c r="M703" s="10">
        <f t="shared" si="47"/>
        <v>43.422394108676059</v>
      </c>
    </row>
    <row r="704" spans="1:13" ht="15" hidden="1" customHeight="1" x14ac:dyDescent="0.3">
      <c r="A704" s="9">
        <v>2187</v>
      </c>
      <c r="B704" t="s">
        <v>361</v>
      </c>
      <c r="C704" s="25">
        <v>44639</v>
      </c>
      <c r="D704" s="26">
        <v>0.45894675925925926</v>
      </c>
      <c r="E704" s="8" t="s">
        <v>26</v>
      </c>
      <c r="F704" t="s">
        <v>175</v>
      </c>
      <c r="G704" t="s">
        <v>172</v>
      </c>
      <c r="H704" t="s">
        <v>120</v>
      </c>
      <c r="I704">
        <v>484.5</v>
      </c>
      <c r="J704" s="31">
        <v>0</v>
      </c>
      <c r="K704" s="89">
        <f t="shared" si="46"/>
        <v>1511.2</v>
      </c>
      <c r="L704" s="31">
        <v>1511.2</v>
      </c>
      <c r="M704" s="10">
        <f t="shared" si="47"/>
        <v>32.060614081524612</v>
      </c>
    </row>
    <row r="705" spans="1:13" ht="15" hidden="1" customHeight="1" x14ac:dyDescent="0.3">
      <c r="A705" s="9">
        <v>2465</v>
      </c>
      <c r="B705" t="s">
        <v>361</v>
      </c>
      <c r="C705" s="25">
        <v>44671</v>
      </c>
      <c r="D705" s="26">
        <v>0.40513888888888888</v>
      </c>
      <c r="E705" s="8" t="s">
        <v>27</v>
      </c>
      <c r="F705" t="s">
        <v>175</v>
      </c>
      <c r="G705" t="s">
        <v>172</v>
      </c>
      <c r="H705" t="s">
        <v>176</v>
      </c>
      <c r="I705" s="4">
        <v>426</v>
      </c>
      <c r="J705" s="31">
        <v>0</v>
      </c>
      <c r="K705" s="89">
        <f t="shared" si="46"/>
        <v>1165.6099999999999</v>
      </c>
      <c r="L705" s="31">
        <v>1165.6099999999999</v>
      </c>
      <c r="M705" s="10">
        <f t="shared" si="47"/>
        <v>36.547387204982797</v>
      </c>
    </row>
    <row r="706" spans="1:13" ht="15" hidden="1" customHeight="1" x14ac:dyDescent="0.3">
      <c r="A706" s="9">
        <v>2466</v>
      </c>
      <c r="B706" t="s">
        <v>361</v>
      </c>
      <c r="C706" s="25">
        <v>44672</v>
      </c>
      <c r="D706" s="26">
        <v>0.90590277777777783</v>
      </c>
      <c r="E706" s="8" t="s">
        <v>27</v>
      </c>
      <c r="F706" t="s">
        <v>210</v>
      </c>
      <c r="G706" t="s">
        <v>211</v>
      </c>
      <c r="H706" t="s">
        <v>176</v>
      </c>
      <c r="I706" s="4">
        <v>438.15</v>
      </c>
      <c r="J706" s="7">
        <v>0</v>
      </c>
      <c r="K706" s="89">
        <f t="shared" si="46"/>
        <v>1209.95</v>
      </c>
      <c r="L706" s="7">
        <v>1209.95</v>
      </c>
      <c r="M706" s="10">
        <f t="shared" si="47"/>
        <v>36.21224017521385</v>
      </c>
    </row>
    <row r="707" spans="1:13" ht="15" hidden="1" customHeight="1" x14ac:dyDescent="0.3">
      <c r="A707" s="9">
        <v>2467</v>
      </c>
      <c r="B707" t="s">
        <v>361</v>
      </c>
      <c r="C707" s="25">
        <v>44674</v>
      </c>
      <c r="D707" s="26">
        <v>0.14739583333333334</v>
      </c>
      <c r="E707" s="8" t="s">
        <v>27</v>
      </c>
      <c r="F707" t="s">
        <v>210</v>
      </c>
      <c r="G707" t="s">
        <v>211</v>
      </c>
      <c r="H707" t="s">
        <v>176</v>
      </c>
      <c r="I707" s="4">
        <v>380.15</v>
      </c>
      <c r="J707" s="29">
        <v>0</v>
      </c>
      <c r="K707" s="89">
        <f t="shared" si="46"/>
        <v>1055.77</v>
      </c>
      <c r="L707" s="29">
        <v>1055.77</v>
      </c>
      <c r="M707" s="10">
        <f t="shared" si="47"/>
        <v>36.006895441241937</v>
      </c>
    </row>
    <row r="708" spans="1:13" ht="15" hidden="1" customHeight="1" x14ac:dyDescent="0.3">
      <c r="A708" s="9">
        <v>2468</v>
      </c>
      <c r="B708" t="s">
        <v>361</v>
      </c>
      <c r="C708" s="25">
        <v>44675</v>
      </c>
      <c r="D708" s="26">
        <v>0.53204861111111112</v>
      </c>
      <c r="E708" s="8" t="s">
        <v>27</v>
      </c>
      <c r="F708" t="s">
        <v>175</v>
      </c>
      <c r="G708" t="s">
        <v>172</v>
      </c>
      <c r="H708" t="s">
        <v>176</v>
      </c>
      <c r="I708" s="4">
        <v>370.06</v>
      </c>
      <c r="J708" s="7">
        <v>0</v>
      </c>
      <c r="K708" s="89">
        <f t="shared" si="46"/>
        <v>1051.6099999999999</v>
      </c>
      <c r="L708" s="7">
        <v>1051.6099999999999</v>
      </c>
      <c r="M708" s="10">
        <f t="shared" si="47"/>
        <v>35.189851751124465</v>
      </c>
    </row>
    <row r="709" spans="1:13" ht="15" hidden="1" customHeight="1" x14ac:dyDescent="0.3">
      <c r="A709" s="9">
        <v>2469</v>
      </c>
      <c r="B709" t="s">
        <v>361</v>
      </c>
      <c r="C709" s="25">
        <v>44678</v>
      </c>
      <c r="D709" s="26">
        <v>0.87850694444444455</v>
      </c>
      <c r="E709" s="8" t="s">
        <v>27</v>
      </c>
      <c r="F709" t="s">
        <v>210</v>
      </c>
      <c r="G709" t="s">
        <v>211</v>
      </c>
      <c r="H709" t="s">
        <v>176</v>
      </c>
      <c r="I709">
        <v>371.67</v>
      </c>
      <c r="J709" s="7">
        <v>0</v>
      </c>
      <c r="K709" s="89">
        <f t="shared" si="46"/>
        <v>905.68</v>
      </c>
      <c r="L709" s="7">
        <v>905.68</v>
      </c>
      <c r="M709" s="10">
        <f t="shared" si="47"/>
        <v>41.037673350410749</v>
      </c>
    </row>
    <row r="710" spans="1:13" ht="15" hidden="1" customHeight="1" x14ac:dyDescent="0.3">
      <c r="A710" s="9">
        <v>2470</v>
      </c>
      <c r="B710" t="s">
        <v>361</v>
      </c>
      <c r="C710" s="25">
        <v>44679</v>
      </c>
      <c r="D710" s="26">
        <v>0.9027546296296296</v>
      </c>
      <c r="E710" s="8" t="s">
        <v>27</v>
      </c>
      <c r="F710" t="s">
        <v>210</v>
      </c>
      <c r="G710" t="s">
        <v>211</v>
      </c>
      <c r="H710" t="s">
        <v>176</v>
      </c>
      <c r="I710">
        <v>393.15</v>
      </c>
      <c r="J710" s="34">
        <v>0</v>
      </c>
      <c r="K710" s="89">
        <f t="shared" si="46"/>
        <v>1057</v>
      </c>
      <c r="L710" s="34">
        <v>1057</v>
      </c>
      <c r="M710" s="10">
        <f t="shared" si="47"/>
        <v>37.194891201513713</v>
      </c>
    </row>
    <row r="711" spans="1:13" ht="15" hidden="1" customHeight="1" x14ac:dyDescent="0.3">
      <c r="A711" s="9">
        <v>2578</v>
      </c>
      <c r="B711" t="s">
        <v>361</v>
      </c>
      <c r="C711" s="25">
        <v>44659</v>
      </c>
      <c r="D711" s="26">
        <v>0.64569444444444446</v>
      </c>
      <c r="E711" s="8" t="s">
        <v>27</v>
      </c>
      <c r="F711" t="s">
        <v>210</v>
      </c>
      <c r="G711" t="s">
        <v>211</v>
      </c>
      <c r="H711" t="s">
        <v>193</v>
      </c>
      <c r="I711" s="4">
        <v>328.55</v>
      </c>
      <c r="J711" s="7">
        <v>0</v>
      </c>
      <c r="K711" s="89">
        <f t="shared" si="46"/>
        <v>862.57</v>
      </c>
      <c r="L711" s="32">
        <v>862.57</v>
      </c>
      <c r="M711" s="10">
        <f t="shared" si="47"/>
        <v>38.089662288278056</v>
      </c>
    </row>
    <row r="712" spans="1:13" ht="15" hidden="1" customHeight="1" x14ac:dyDescent="0.3">
      <c r="A712" s="9">
        <v>2579</v>
      </c>
      <c r="B712" t="s">
        <v>361</v>
      </c>
      <c r="C712" s="25">
        <v>44660</v>
      </c>
      <c r="D712" s="26">
        <v>0.83733796296296292</v>
      </c>
      <c r="E712" s="8" t="s">
        <v>27</v>
      </c>
      <c r="F712" t="s">
        <v>210</v>
      </c>
      <c r="G712" t="s">
        <v>211</v>
      </c>
      <c r="H712" t="s">
        <v>193</v>
      </c>
      <c r="I712" s="4">
        <v>383.78</v>
      </c>
      <c r="J712" s="7">
        <v>0</v>
      </c>
      <c r="K712" s="89">
        <f t="shared" si="46"/>
        <v>1063.51</v>
      </c>
      <c r="L712" s="32">
        <v>1063.51</v>
      </c>
      <c r="M712" s="10">
        <f t="shared" si="47"/>
        <v>36.086167501951081</v>
      </c>
    </row>
    <row r="713" spans="1:13" ht="15" hidden="1" customHeight="1" x14ac:dyDescent="0.3">
      <c r="A713" s="9">
        <v>2580</v>
      </c>
      <c r="B713" t="s">
        <v>361</v>
      </c>
      <c r="C713" s="25">
        <v>44661</v>
      </c>
      <c r="D713" s="26">
        <v>0.60736111111111113</v>
      </c>
      <c r="E713" s="8" t="s">
        <v>27</v>
      </c>
      <c r="F713" t="s">
        <v>169</v>
      </c>
      <c r="G713" t="s">
        <v>196</v>
      </c>
      <c r="H713" t="s">
        <v>193</v>
      </c>
      <c r="I713" s="4">
        <v>150</v>
      </c>
      <c r="J713" s="7">
        <v>0</v>
      </c>
      <c r="K713" s="89">
        <f t="shared" si="46"/>
        <v>466.61</v>
      </c>
      <c r="L713" s="38">
        <v>466.61</v>
      </c>
      <c r="M713" s="10">
        <f t="shared" si="47"/>
        <v>32.146760678082337</v>
      </c>
    </row>
    <row r="714" spans="1:13" ht="15" hidden="1" customHeight="1" x14ac:dyDescent="0.3">
      <c r="A714" s="9">
        <v>3509</v>
      </c>
      <c r="B714" t="s">
        <v>361</v>
      </c>
      <c r="C714" s="25">
        <v>44665</v>
      </c>
      <c r="D714" s="26">
        <v>0.47297453703703707</v>
      </c>
      <c r="E714" s="8" t="s">
        <v>27</v>
      </c>
      <c r="F714" t="s">
        <v>175</v>
      </c>
      <c r="G714" t="s">
        <v>172</v>
      </c>
      <c r="H714" t="s">
        <v>117</v>
      </c>
      <c r="I714" s="4">
        <v>376.46</v>
      </c>
      <c r="J714" s="7">
        <v>0</v>
      </c>
      <c r="K714" s="89">
        <f t="shared" si="46"/>
        <v>900</v>
      </c>
      <c r="L714" s="32">
        <v>900</v>
      </c>
      <c r="M714" s="10">
        <f t="shared" si="47"/>
        <v>41.828888888888891</v>
      </c>
    </row>
    <row r="715" spans="1:13" ht="15" hidden="1" customHeight="1" x14ac:dyDescent="0.3">
      <c r="A715" s="9">
        <v>3510</v>
      </c>
      <c r="B715" t="s">
        <v>361</v>
      </c>
      <c r="C715" s="25">
        <v>44665</v>
      </c>
      <c r="D715" s="26">
        <v>0.95081018518518512</v>
      </c>
      <c r="E715" s="8" t="s">
        <v>27</v>
      </c>
      <c r="F715" t="s">
        <v>210</v>
      </c>
      <c r="G715" t="s">
        <v>211</v>
      </c>
      <c r="H715" t="s">
        <v>117</v>
      </c>
      <c r="I715" s="4">
        <v>298.3</v>
      </c>
      <c r="J715" s="7">
        <v>0</v>
      </c>
      <c r="K715" s="89">
        <f t="shared" si="46"/>
        <v>1295</v>
      </c>
      <c r="L715" s="32">
        <v>1295</v>
      </c>
      <c r="M715" s="10">
        <f t="shared" si="47"/>
        <v>23.034749034749037</v>
      </c>
    </row>
    <row r="716" spans="1:13" ht="15" hidden="1" customHeight="1" x14ac:dyDescent="0.3">
      <c r="A716" s="9">
        <v>3511</v>
      </c>
      <c r="B716" t="s">
        <v>361</v>
      </c>
      <c r="C716" s="25">
        <v>44666</v>
      </c>
      <c r="D716" s="26">
        <v>0.92401620370370363</v>
      </c>
      <c r="E716" s="8" t="s">
        <v>27</v>
      </c>
      <c r="F716" t="s">
        <v>210</v>
      </c>
      <c r="G716" t="s">
        <v>211</v>
      </c>
      <c r="H716" t="s">
        <v>117</v>
      </c>
      <c r="I716" s="4">
        <v>451.14</v>
      </c>
      <c r="J716" s="34">
        <v>0</v>
      </c>
      <c r="K716" s="89">
        <f t="shared" si="46"/>
        <v>1762</v>
      </c>
      <c r="L716" s="37">
        <v>1762</v>
      </c>
      <c r="M716" s="10">
        <f t="shared" si="47"/>
        <v>25.603859250851301</v>
      </c>
    </row>
    <row r="717" spans="1:13" ht="15" hidden="1" customHeight="1" x14ac:dyDescent="0.3">
      <c r="A717" s="9">
        <v>3793</v>
      </c>
      <c r="B717" t="s">
        <v>361</v>
      </c>
      <c r="C717" s="25">
        <v>44685</v>
      </c>
      <c r="D717" s="26">
        <v>0.78773148148148142</v>
      </c>
      <c r="E717" s="8" t="s">
        <v>28</v>
      </c>
      <c r="F717" t="s">
        <v>488</v>
      </c>
      <c r="G717" t="s">
        <v>489</v>
      </c>
      <c r="H717" t="s">
        <v>176</v>
      </c>
      <c r="I717">
        <f>60.06+468.53</f>
        <v>528.58999999999992</v>
      </c>
      <c r="J717" s="7">
        <v>0</v>
      </c>
      <c r="K717" s="89">
        <f t="shared" si="46"/>
        <v>1487.8</v>
      </c>
      <c r="L717" s="32">
        <v>1487.8</v>
      </c>
      <c r="M717" s="10">
        <f t="shared" si="47"/>
        <v>35.528296814087909</v>
      </c>
    </row>
    <row r="718" spans="1:13" ht="15" hidden="1" customHeight="1" x14ac:dyDescent="0.3">
      <c r="A718" s="9">
        <v>3794</v>
      </c>
      <c r="B718" t="s">
        <v>361</v>
      </c>
      <c r="C718" s="25">
        <v>44685</v>
      </c>
      <c r="D718" s="26">
        <v>0.95894675925925921</v>
      </c>
      <c r="E718" s="8" t="s">
        <v>28</v>
      </c>
      <c r="F718" t="s">
        <v>210</v>
      </c>
      <c r="G718" t="s">
        <v>211</v>
      </c>
      <c r="H718" t="s">
        <v>176</v>
      </c>
      <c r="I718">
        <v>111.59</v>
      </c>
      <c r="J718" s="7">
        <v>0</v>
      </c>
      <c r="K718" s="89">
        <f t="shared" si="46"/>
        <v>248</v>
      </c>
      <c r="L718" s="32">
        <v>248</v>
      </c>
      <c r="M718" s="10">
        <f t="shared" si="47"/>
        <v>44.99596774193548</v>
      </c>
    </row>
    <row r="719" spans="1:13" ht="15" hidden="1" customHeight="1" x14ac:dyDescent="0.3">
      <c r="A719" s="9">
        <v>3909</v>
      </c>
      <c r="B719" t="s">
        <v>361</v>
      </c>
      <c r="C719" s="25">
        <v>44687</v>
      </c>
      <c r="D719" s="26">
        <v>0.39999999999999997</v>
      </c>
      <c r="E719" s="8" t="s">
        <v>28</v>
      </c>
      <c r="F719" t="s">
        <v>165</v>
      </c>
      <c r="G719" t="s">
        <v>185</v>
      </c>
      <c r="H719" t="s">
        <v>176</v>
      </c>
      <c r="I719">
        <v>217.81</v>
      </c>
      <c r="J719" s="30">
        <v>0</v>
      </c>
      <c r="K719" s="89">
        <f t="shared" si="46"/>
        <v>545</v>
      </c>
      <c r="L719" s="67">
        <v>545</v>
      </c>
      <c r="M719" s="10">
        <f t="shared" si="47"/>
        <v>39.965137614678895</v>
      </c>
    </row>
    <row r="720" spans="1:13" ht="15" hidden="1" customHeight="1" x14ac:dyDescent="0.3">
      <c r="A720" s="9">
        <v>3910</v>
      </c>
      <c r="B720" t="s">
        <v>361</v>
      </c>
      <c r="C720" s="25">
        <v>44687</v>
      </c>
      <c r="D720" s="26">
        <v>0.79303240740740744</v>
      </c>
      <c r="E720" s="8" t="s">
        <v>28</v>
      </c>
      <c r="F720" t="s">
        <v>210</v>
      </c>
      <c r="G720" t="s">
        <v>211</v>
      </c>
      <c r="H720" t="s">
        <v>176</v>
      </c>
      <c r="I720">
        <v>85.91</v>
      </c>
      <c r="J720" s="11">
        <v>0</v>
      </c>
      <c r="K720" s="89">
        <f t="shared" si="46"/>
        <v>511</v>
      </c>
      <c r="L720" s="53">
        <v>511</v>
      </c>
      <c r="M720" s="10">
        <f t="shared" si="47"/>
        <v>16.812133072407047</v>
      </c>
    </row>
    <row r="721" spans="1:13" ht="15" hidden="1" customHeight="1" x14ac:dyDescent="0.3">
      <c r="A721" s="9">
        <v>3966</v>
      </c>
      <c r="B721" t="s">
        <v>361</v>
      </c>
      <c r="C721" s="25">
        <v>44688</v>
      </c>
      <c r="D721" s="26">
        <v>0.92107638888888888</v>
      </c>
      <c r="E721" s="8" t="s">
        <v>28</v>
      </c>
      <c r="F721" t="s">
        <v>594</v>
      </c>
      <c r="G721" t="s">
        <v>595</v>
      </c>
      <c r="H721" t="s">
        <v>176</v>
      </c>
      <c r="I721">
        <v>50</v>
      </c>
      <c r="J721" s="7">
        <v>0</v>
      </c>
      <c r="K721" s="89">
        <f t="shared" si="46"/>
        <v>600</v>
      </c>
      <c r="L721" s="33">
        <v>600</v>
      </c>
      <c r="M721" s="10">
        <f t="shared" si="47"/>
        <v>8.3333333333333321</v>
      </c>
    </row>
    <row r="722" spans="1:13" ht="15" hidden="1" customHeight="1" x14ac:dyDescent="0.3">
      <c r="A722" s="9">
        <v>4013</v>
      </c>
      <c r="B722" t="s">
        <v>361</v>
      </c>
      <c r="C722" s="25">
        <v>44689</v>
      </c>
      <c r="D722" s="26">
        <v>0.47351851851851851</v>
      </c>
      <c r="E722" s="8" t="s">
        <v>28</v>
      </c>
      <c r="F722" t="s">
        <v>175</v>
      </c>
      <c r="G722" t="s">
        <v>172</v>
      </c>
      <c r="H722" t="s">
        <v>176</v>
      </c>
      <c r="I722">
        <v>346.26</v>
      </c>
      <c r="J722" s="29">
        <v>0</v>
      </c>
      <c r="K722" s="89">
        <f t="shared" si="46"/>
        <v>453</v>
      </c>
      <c r="L722" s="32">
        <v>453</v>
      </c>
      <c r="M722" s="10">
        <f t="shared" si="47"/>
        <v>76.437086092715234</v>
      </c>
    </row>
    <row r="723" spans="1:13" ht="15" hidden="1" customHeight="1" x14ac:dyDescent="0.3">
      <c r="A723" s="9">
        <v>4063</v>
      </c>
      <c r="B723" t="s">
        <v>361</v>
      </c>
      <c r="C723" s="25">
        <v>44690</v>
      </c>
      <c r="D723" s="26">
        <v>0.89928240740740739</v>
      </c>
      <c r="E723" s="8" t="s">
        <v>28</v>
      </c>
      <c r="F723" t="s">
        <v>210</v>
      </c>
      <c r="G723" t="s">
        <v>211</v>
      </c>
      <c r="H723" t="s">
        <v>176</v>
      </c>
      <c r="I723">
        <v>297.13</v>
      </c>
      <c r="J723" s="7">
        <v>0</v>
      </c>
      <c r="K723" s="89">
        <f t="shared" si="46"/>
        <v>853</v>
      </c>
      <c r="L723" s="32">
        <v>853</v>
      </c>
      <c r="M723" s="10">
        <f t="shared" si="47"/>
        <v>34.833528722157091</v>
      </c>
    </row>
    <row r="724" spans="1:13" ht="15" hidden="1" customHeight="1" x14ac:dyDescent="0.3">
      <c r="A724" s="9">
        <v>4102</v>
      </c>
      <c r="B724" t="s">
        <v>361</v>
      </c>
      <c r="C724" s="25">
        <v>44691</v>
      </c>
      <c r="D724" s="26">
        <v>0.98784722222222221</v>
      </c>
      <c r="E724" s="8" t="s">
        <v>28</v>
      </c>
      <c r="F724" t="s">
        <v>210</v>
      </c>
      <c r="G724" t="s">
        <v>211</v>
      </c>
      <c r="H724" t="s">
        <v>176</v>
      </c>
      <c r="I724">
        <v>369.53</v>
      </c>
      <c r="J724" s="7">
        <v>0</v>
      </c>
      <c r="K724" s="89">
        <f>+L724-J853</f>
        <v>1058</v>
      </c>
      <c r="L724" s="37">
        <v>1058</v>
      </c>
      <c r="M724" s="10">
        <f t="shared" si="47"/>
        <v>34.927221172022684</v>
      </c>
    </row>
    <row r="725" spans="1:13" ht="15" hidden="1" customHeight="1" x14ac:dyDescent="0.3">
      <c r="A725" s="9">
        <v>4201</v>
      </c>
      <c r="B725" t="s">
        <v>361</v>
      </c>
      <c r="C725" s="25">
        <v>44693</v>
      </c>
      <c r="D725" s="26">
        <v>0.83736111111111111</v>
      </c>
      <c r="E725" s="8" t="s">
        <v>28</v>
      </c>
      <c r="F725" t="s">
        <v>603</v>
      </c>
      <c r="G725" t="s">
        <v>542</v>
      </c>
      <c r="H725" t="s">
        <v>176</v>
      </c>
      <c r="I725">
        <v>238.47</v>
      </c>
      <c r="J725" s="30">
        <v>0</v>
      </c>
      <c r="K725" s="89">
        <f>+L725-J855</f>
        <v>1372</v>
      </c>
      <c r="L725" s="67">
        <v>1372</v>
      </c>
      <c r="M725" s="10">
        <f t="shared" si="47"/>
        <v>17.381195335276967</v>
      </c>
    </row>
    <row r="726" spans="1:13" ht="15" hidden="1" customHeight="1" x14ac:dyDescent="0.3">
      <c r="A726" s="9">
        <v>4202</v>
      </c>
      <c r="B726" t="s">
        <v>361</v>
      </c>
      <c r="C726" s="25">
        <v>44693</v>
      </c>
      <c r="D726" s="26">
        <v>0.90320601851851856</v>
      </c>
      <c r="E726" s="8" t="s">
        <v>28</v>
      </c>
      <c r="F726" t="s">
        <v>343</v>
      </c>
      <c r="G726" t="s">
        <v>344</v>
      </c>
      <c r="H726" t="s">
        <v>176</v>
      </c>
      <c r="I726">
        <v>100</v>
      </c>
      <c r="J726" s="11">
        <v>0</v>
      </c>
      <c r="K726" s="89">
        <f>+L726-J856</f>
        <v>32</v>
      </c>
      <c r="L726" s="55">
        <v>32</v>
      </c>
      <c r="M726" s="10">
        <f t="shared" si="47"/>
        <v>312.5</v>
      </c>
    </row>
    <row r="727" spans="1:13" ht="15" hidden="1" customHeight="1" x14ac:dyDescent="0.3">
      <c r="A727" s="9">
        <v>4249</v>
      </c>
      <c r="B727" t="s">
        <v>361</v>
      </c>
      <c r="C727" s="25">
        <v>44694</v>
      </c>
      <c r="D727" s="26">
        <v>0.64621527777777776</v>
      </c>
      <c r="E727" s="8" t="s">
        <v>28</v>
      </c>
      <c r="F727" t="s">
        <v>166</v>
      </c>
      <c r="G727" t="s">
        <v>161</v>
      </c>
      <c r="H727" t="s">
        <v>176</v>
      </c>
      <c r="I727">
        <v>329.14</v>
      </c>
      <c r="J727" s="11">
        <v>0</v>
      </c>
      <c r="K727" s="89">
        <f>+L727-J856</f>
        <v>428</v>
      </c>
      <c r="L727" s="32">
        <v>428</v>
      </c>
      <c r="M727" s="36">
        <f t="shared" si="47"/>
        <v>76.901869158878498</v>
      </c>
    </row>
    <row r="728" spans="1:13" ht="15" hidden="1" customHeight="1" x14ac:dyDescent="0.3">
      <c r="A728" s="9">
        <v>4296</v>
      </c>
      <c r="B728" t="s">
        <v>361</v>
      </c>
      <c r="C728" s="25">
        <v>44695</v>
      </c>
      <c r="D728" s="26">
        <v>0.58568287037037037</v>
      </c>
      <c r="E728" s="8" t="s">
        <v>28</v>
      </c>
      <c r="F728" t="s">
        <v>210</v>
      </c>
      <c r="G728" t="s">
        <v>211</v>
      </c>
      <c r="H728" t="s">
        <v>176</v>
      </c>
      <c r="I728">
        <v>417.21</v>
      </c>
      <c r="J728" s="11">
        <v>0</v>
      </c>
      <c r="K728" s="89">
        <f>+L728-J857</f>
        <v>1133</v>
      </c>
      <c r="L728" s="32">
        <v>1133</v>
      </c>
      <c r="M728" s="36">
        <f t="shared" si="47"/>
        <v>36.823477493380402</v>
      </c>
    </row>
    <row r="729" spans="1:13" ht="15" hidden="1" customHeight="1" x14ac:dyDescent="0.3">
      <c r="A729" s="9">
        <v>4437</v>
      </c>
      <c r="B729" t="s">
        <v>361</v>
      </c>
      <c r="C729" s="25">
        <v>44697</v>
      </c>
      <c r="D729" s="26">
        <v>0.55553240740740739</v>
      </c>
      <c r="E729" s="8" t="s">
        <v>28</v>
      </c>
      <c r="F729" t="s">
        <v>175</v>
      </c>
      <c r="G729" t="s">
        <v>172</v>
      </c>
      <c r="H729" t="s">
        <v>176</v>
      </c>
      <c r="I729">
        <v>298.75</v>
      </c>
      <c r="J729" s="11">
        <v>0</v>
      </c>
      <c r="K729" s="89">
        <f>+L729-J858</f>
        <v>879</v>
      </c>
      <c r="L729" s="32">
        <v>879</v>
      </c>
      <c r="M729" s="36">
        <f t="shared" ref="M729:M750" si="48">I729/K729*100</f>
        <v>33.987485779294651</v>
      </c>
    </row>
    <row r="730" spans="1:13" ht="15" hidden="1" customHeight="1" x14ac:dyDescent="0.3">
      <c r="A730" s="9">
        <v>4491</v>
      </c>
      <c r="B730" t="s">
        <v>361</v>
      </c>
      <c r="C730" s="25">
        <v>44698</v>
      </c>
      <c r="D730" s="26">
        <v>0.67612268518518526</v>
      </c>
      <c r="E730" s="8" t="s">
        <v>28</v>
      </c>
      <c r="F730" t="s">
        <v>166</v>
      </c>
      <c r="G730" t="s">
        <v>161</v>
      </c>
      <c r="H730" t="s">
        <v>176</v>
      </c>
      <c r="I730">
        <v>320.88</v>
      </c>
      <c r="J730" s="11">
        <v>0</v>
      </c>
      <c r="K730" s="89">
        <f>+L730-J858</f>
        <v>734</v>
      </c>
      <c r="L730" s="32">
        <v>734</v>
      </c>
      <c r="M730" s="36">
        <f t="shared" si="48"/>
        <v>43.716621253405997</v>
      </c>
    </row>
    <row r="731" spans="1:13" ht="15" hidden="1" customHeight="1" x14ac:dyDescent="0.3">
      <c r="A731" s="9">
        <v>4531</v>
      </c>
      <c r="B731" t="s">
        <v>361</v>
      </c>
      <c r="C731" s="25">
        <v>44699</v>
      </c>
      <c r="D731" s="26">
        <v>0.7368055555555556</v>
      </c>
      <c r="E731" s="8" t="s">
        <v>28</v>
      </c>
      <c r="F731" t="s">
        <v>210</v>
      </c>
      <c r="G731" t="s">
        <v>211</v>
      </c>
      <c r="H731" t="s">
        <v>176</v>
      </c>
      <c r="I731">
        <v>435.95</v>
      </c>
      <c r="J731" s="7">
        <v>0</v>
      </c>
      <c r="K731" s="89">
        <f>+L731-J859</f>
        <v>1136</v>
      </c>
      <c r="L731" s="32">
        <v>1136</v>
      </c>
      <c r="M731" s="36">
        <f t="shared" si="48"/>
        <v>38.375880281690137</v>
      </c>
    </row>
    <row r="732" spans="1:13" ht="15" hidden="1" customHeight="1" x14ac:dyDescent="0.3">
      <c r="A732" s="9">
        <v>4642</v>
      </c>
      <c r="B732" t="s">
        <v>361</v>
      </c>
      <c r="C732" s="25">
        <v>44701</v>
      </c>
      <c r="D732" s="26">
        <v>0.42792824074074076</v>
      </c>
      <c r="E732" s="8" t="s">
        <v>28</v>
      </c>
      <c r="F732" t="s">
        <v>262</v>
      </c>
      <c r="G732" t="s">
        <v>263</v>
      </c>
      <c r="H732" t="s">
        <v>176</v>
      </c>
      <c r="I732">
        <v>200</v>
      </c>
      <c r="J732" s="7">
        <v>0</v>
      </c>
      <c r="K732" s="89">
        <f>+L732-J1003</f>
        <v>1234</v>
      </c>
      <c r="L732" s="32">
        <v>1234</v>
      </c>
      <c r="M732" s="36">
        <f t="shared" si="48"/>
        <v>16.207455429497568</v>
      </c>
    </row>
    <row r="733" spans="1:13" ht="15" hidden="1" customHeight="1" x14ac:dyDescent="0.3">
      <c r="A733" s="9">
        <v>4697</v>
      </c>
      <c r="B733" t="s">
        <v>361</v>
      </c>
      <c r="C733" s="25">
        <v>44702</v>
      </c>
      <c r="D733" s="26">
        <v>0.80993055555555549</v>
      </c>
      <c r="E733" s="8" t="s">
        <v>28</v>
      </c>
      <c r="F733" t="s">
        <v>492</v>
      </c>
      <c r="G733" t="s">
        <v>44</v>
      </c>
      <c r="H733" t="s">
        <v>176</v>
      </c>
      <c r="I733">
        <v>300.02999999999997</v>
      </c>
      <c r="J733" s="30">
        <v>0</v>
      </c>
      <c r="K733" s="89">
        <f>+L733-J1004</f>
        <v>453</v>
      </c>
      <c r="L733" s="67">
        <v>453</v>
      </c>
      <c r="M733" s="10">
        <f t="shared" si="48"/>
        <v>66.231788079470192</v>
      </c>
    </row>
    <row r="734" spans="1:13" ht="15" hidden="1" customHeight="1" x14ac:dyDescent="0.3">
      <c r="A734" s="9">
        <v>4779</v>
      </c>
      <c r="B734" t="s">
        <v>361</v>
      </c>
      <c r="C734" s="25">
        <v>44703</v>
      </c>
      <c r="D734" s="26">
        <v>0.59888888888888892</v>
      </c>
      <c r="E734" s="8" t="s">
        <v>28</v>
      </c>
      <c r="F734" t="s">
        <v>166</v>
      </c>
      <c r="G734" t="s">
        <v>161</v>
      </c>
      <c r="H734" t="s">
        <v>176</v>
      </c>
      <c r="I734">
        <v>230.06</v>
      </c>
      <c r="J734" s="11">
        <v>0</v>
      </c>
      <c r="K734" s="89">
        <f>+L734-J1005</f>
        <v>299</v>
      </c>
      <c r="L734" s="53">
        <v>299</v>
      </c>
      <c r="M734" s="10">
        <f t="shared" si="48"/>
        <v>76.943143812709039</v>
      </c>
    </row>
    <row r="735" spans="1:13" ht="15" hidden="1" customHeight="1" x14ac:dyDescent="0.3">
      <c r="A735" s="9">
        <v>4809</v>
      </c>
      <c r="B735" t="s">
        <v>361</v>
      </c>
      <c r="C735" s="25">
        <v>44704</v>
      </c>
      <c r="D735" s="26">
        <v>0.46925925925925926</v>
      </c>
      <c r="E735" s="8" t="s">
        <v>28</v>
      </c>
      <c r="F735" t="s">
        <v>210</v>
      </c>
      <c r="G735" t="s">
        <v>211</v>
      </c>
      <c r="H735" t="s">
        <v>176</v>
      </c>
      <c r="I735">
        <v>416.01</v>
      </c>
      <c r="J735" s="7">
        <v>0</v>
      </c>
      <c r="K735" s="89">
        <f>+L735-J1006</f>
        <v>1136</v>
      </c>
      <c r="L735" s="32">
        <v>1136</v>
      </c>
      <c r="M735" s="10">
        <f t="shared" si="48"/>
        <v>36.620598591549296</v>
      </c>
    </row>
    <row r="736" spans="1:13" ht="15" hidden="1" customHeight="1" x14ac:dyDescent="0.3">
      <c r="A736" s="9">
        <v>4863</v>
      </c>
      <c r="B736" t="s">
        <v>361</v>
      </c>
      <c r="C736" s="25">
        <v>44705</v>
      </c>
      <c r="D736" s="26">
        <v>0.26569444444444446</v>
      </c>
      <c r="E736" s="8" t="s">
        <v>28</v>
      </c>
      <c r="F736" t="s">
        <v>612</v>
      </c>
      <c r="G736" t="s">
        <v>613</v>
      </c>
      <c r="H736" t="s">
        <v>176</v>
      </c>
      <c r="I736">
        <v>277.16000000000003</v>
      </c>
      <c r="J736" s="34">
        <v>0</v>
      </c>
      <c r="K736" s="89">
        <f>+L736-J1007</f>
        <v>823</v>
      </c>
      <c r="L736" s="37">
        <v>823</v>
      </c>
      <c r="M736" s="10">
        <f t="shared" si="48"/>
        <v>33.676792223572299</v>
      </c>
    </row>
    <row r="737" spans="1:20" ht="15" hidden="1" customHeight="1" x14ac:dyDescent="0.3">
      <c r="A737" s="9">
        <v>5264</v>
      </c>
      <c r="B737" t="s">
        <v>361</v>
      </c>
      <c r="C737" s="25">
        <v>44713</v>
      </c>
      <c r="D737" s="26">
        <v>0.42418981481481483</v>
      </c>
      <c r="E737" s="8" t="s">
        <v>29</v>
      </c>
      <c r="F737" t="s">
        <v>632</v>
      </c>
      <c r="G737" t="s">
        <v>161</v>
      </c>
      <c r="H737" t="s">
        <v>176</v>
      </c>
      <c r="I737">
        <v>358.24</v>
      </c>
      <c r="J737" s="32">
        <v>0</v>
      </c>
      <c r="K737" s="89">
        <f>+L737-J1004</f>
        <v>873</v>
      </c>
      <c r="L737" s="7">
        <v>873</v>
      </c>
      <c r="M737" s="10">
        <f t="shared" si="48"/>
        <v>41.035509736540668</v>
      </c>
    </row>
    <row r="738" spans="1:20" ht="15" hidden="1" customHeight="1" x14ac:dyDescent="0.3">
      <c r="A738" s="9">
        <v>5318</v>
      </c>
      <c r="B738" t="s">
        <v>361</v>
      </c>
      <c r="C738" s="25">
        <v>44714</v>
      </c>
      <c r="D738" s="26">
        <v>0.80180555555555555</v>
      </c>
      <c r="E738" s="8" t="s">
        <v>29</v>
      </c>
      <c r="F738" t="s">
        <v>634</v>
      </c>
      <c r="G738" t="s">
        <v>211</v>
      </c>
      <c r="H738" t="s">
        <v>176</v>
      </c>
      <c r="I738">
        <v>423.5</v>
      </c>
      <c r="J738" s="32">
        <v>0</v>
      </c>
      <c r="K738" s="90">
        <v>1137</v>
      </c>
      <c r="L738" s="7">
        <v>1137</v>
      </c>
      <c r="M738" s="10">
        <f t="shared" si="48"/>
        <v>37.247141600703607</v>
      </c>
    </row>
    <row r="739" spans="1:20" ht="15" hidden="1" customHeight="1" x14ac:dyDescent="0.3">
      <c r="A739" s="9">
        <v>5386</v>
      </c>
      <c r="B739" t="s">
        <v>361</v>
      </c>
      <c r="C739" s="25">
        <v>44715</v>
      </c>
      <c r="D739" s="26">
        <v>0.63574074074074072</v>
      </c>
      <c r="E739" s="8" t="s">
        <v>29</v>
      </c>
      <c r="F739" t="s">
        <v>637</v>
      </c>
      <c r="G739" t="s">
        <v>196</v>
      </c>
      <c r="H739" t="s">
        <v>176</v>
      </c>
      <c r="I739">
        <v>155.36000000000001</v>
      </c>
      <c r="J739" s="32">
        <v>0</v>
      </c>
      <c r="K739" s="90">
        <f>+L739-J1002</f>
        <v>483</v>
      </c>
      <c r="L739" s="7">
        <v>483</v>
      </c>
      <c r="M739" s="10">
        <f t="shared" si="48"/>
        <v>32.165631469979303</v>
      </c>
    </row>
    <row r="740" spans="1:20" ht="15" hidden="1" customHeight="1" x14ac:dyDescent="0.3">
      <c r="A740" s="9">
        <v>5439</v>
      </c>
      <c r="B740" t="s">
        <v>361</v>
      </c>
      <c r="C740" s="25">
        <v>44716</v>
      </c>
      <c r="D740" s="26">
        <v>0.43351851851851847</v>
      </c>
      <c r="E740" s="8" t="s">
        <v>29</v>
      </c>
      <c r="F740" t="s">
        <v>638</v>
      </c>
      <c r="G740" t="s">
        <v>263</v>
      </c>
      <c r="H740" t="s">
        <v>176</v>
      </c>
      <c r="I740">
        <v>134.75</v>
      </c>
      <c r="J740" s="67">
        <v>0</v>
      </c>
      <c r="K740" s="92">
        <v>359</v>
      </c>
      <c r="L740" s="30">
        <v>359</v>
      </c>
      <c r="M740" s="10">
        <f t="shared" si="48"/>
        <v>37.534818941504177</v>
      </c>
    </row>
    <row r="741" spans="1:20" ht="15" hidden="1" customHeight="1" x14ac:dyDescent="0.3">
      <c r="A741" s="9">
        <v>5540</v>
      </c>
      <c r="B741" t="s">
        <v>361</v>
      </c>
      <c r="C741" s="25">
        <v>44718</v>
      </c>
      <c r="D741" s="26">
        <v>0.53298611111111105</v>
      </c>
      <c r="E741" s="8" t="s">
        <v>29</v>
      </c>
      <c r="F741" t="s">
        <v>639</v>
      </c>
      <c r="G741" t="s">
        <v>44</v>
      </c>
      <c r="H741" t="s">
        <v>178</v>
      </c>
      <c r="I741" s="236">
        <v>115.47499999999999</v>
      </c>
      <c r="J741" s="136">
        <v>0</v>
      </c>
      <c r="K741" s="136" t="e">
        <f>+L741-#REF!</f>
        <v>#REF!</v>
      </c>
      <c r="L741" s="136"/>
      <c r="M741" s="10" t="e">
        <f t="shared" si="48"/>
        <v>#REF!</v>
      </c>
    </row>
    <row r="742" spans="1:20" ht="15" hidden="1" customHeight="1" x14ac:dyDescent="0.3">
      <c r="A742" s="9">
        <v>5572</v>
      </c>
      <c r="B742" t="s">
        <v>361</v>
      </c>
      <c r="C742" s="25">
        <v>44719</v>
      </c>
      <c r="D742" s="26">
        <v>0.9393055555555555</v>
      </c>
      <c r="E742" s="8" t="s">
        <v>29</v>
      </c>
      <c r="F742" t="s">
        <v>632</v>
      </c>
      <c r="G742" t="s">
        <v>161</v>
      </c>
      <c r="H742" t="s">
        <v>176</v>
      </c>
      <c r="I742">
        <v>334.14</v>
      </c>
      <c r="J742" s="32">
        <v>0</v>
      </c>
      <c r="K742" s="90">
        <v>817</v>
      </c>
      <c r="L742" s="7">
        <v>817</v>
      </c>
      <c r="M742" s="10">
        <f t="shared" si="48"/>
        <v>40.8984088127295</v>
      </c>
    </row>
    <row r="743" spans="1:20" ht="15" hidden="1" customHeight="1" x14ac:dyDescent="0.3">
      <c r="A743" s="9">
        <v>5702</v>
      </c>
      <c r="B743" t="s">
        <v>361</v>
      </c>
      <c r="C743" s="25">
        <v>44721</v>
      </c>
      <c r="D743" s="26">
        <v>0.98729166666666668</v>
      </c>
      <c r="E743" s="8" t="s">
        <v>29</v>
      </c>
      <c r="F743" t="s">
        <v>634</v>
      </c>
      <c r="G743" t="s">
        <v>211</v>
      </c>
      <c r="H743" t="s">
        <v>176</v>
      </c>
      <c r="I743">
        <v>503.88</v>
      </c>
      <c r="J743" s="32">
        <v>0</v>
      </c>
      <c r="K743" s="90">
        <f>+L743-J305</f>
        <v>1189</v>
      </c>
      <c r="L743" s="7">
        <v>1189</v>
      </c>
      <c r="M743" s="10">
        <f t="shared" si="48"/>
        <v>42.378469301934395</v>
      </c>
    </row>
    <row r="744" spans="1:20" ht="15" hidden="1" customHeight="1" x14ac:dyDescent="0.3">
      <c r="A744" s="9">
        <v>5787</v>
      </c>
      <c r="B744" t="s">
        <v>361</v>
      </c>
      <c r="C744" s="25">
        <v>44723</v>
      </c>
      <c r="D744" s="26">
        <v>0.84403935185185175</v>
      </c>
      <c r="E744" s="8" t="s">
        <v>29</v>
      </c>
      <c r="F744" t="s">
        <v>709</v>
      </c>
      <c r="G744" t="s">
        <v>44</v>
      </c>
      <c r="H744" t="s">
        <v>176</v>
      </c>
      <c r="I744">
        <v>458.07</v>
      </c>
      <c r="J744" s="32">
        <v>0</v>
      </c>
      <c r="K744" s="90">
        <f>+L744-J306</f>
        <v>1148</v>
      </c>
      <c r="L744" s="7">
        <v>1148</v>
      </c>
      <c r="M744" s="10">
        <f t="shared" si="48"/>
        <v>39.901567944250871</v>
      </c>
    </row>
    <row r="745" spans="1:20" ht="15" hidden="1" customHeight="1" x14ac:dyDescent="0.3">
      <c r="A745" s="9">
        <v>5856</v>
      </c>
      <c r="B745" t="s">
        <v>361</v>
      </c>
      <c r="C745" s="25">
        <v>44724</v>
      </c>
      <c r="D745" s="26">
        <v>0.7273842592592592</v>
      </c>
      <c r="E745" s="8" t="s">
        <v>29</v>
      </c>
      <c r="F745" t="s">
        <v>632</v>
      </c>
      <c r="G745" t="s">
        <v>161</v>
      </c>
      <c r="H745" t="s">
        <v>176</v>
      </c>
      <c r="I745">
        <v>205.05</v>
      </c>
      <c r="J745" s="32">
        <v>0</v>
      </c>
      <c r="K745" s="90">
        <f>+L745-J307</f>
        <v>519</v>
      </c>
      <c r="L745" s="7">
        <v>519</v>
      </c>
      <c r="M745" s="10">
        <f t="shared" si="48"/>
        <v>39.508670520231213</v>
      </c>
    </row>
    <row r="746" spans="1:20" ht="15" hidden="1" customHeight="1" x14ac:dyDescent="0.3">
      <c r="A746" s="9">
        <v>5907</v>
      </c>
      <c r="B746" t="s">
        <v>361</v>
      </c>
      <c r="C746" s="25">
        <v>44725</v>
      </c>
      <c r="D746" s="26">
        <v>0.97086805555555555</v>
      </c>
      <c r="E746" s="8" t="s">
        <v>29</v>
      </c>
      <c r="F746" t="s">
        <v>634</v>
      </c>
      <c r="G746" t="s">
        <v>211</v>
      </c>
      <c r="H746" t="s">
        <v>176</v>
      </c>
      <c r="I746">
        <v>422.93</v>
      </c>
      <c r="J746" s="32">
        <v>0</v>
      </c>
      <c r="K746" s="90">
        <f>+L746-J308</f>
        <v>1037</v>
      </c>
      <c r="L746" s="7">
        <v>1037</v>
      </c>
      <c r="M746" s="10">
        <f t="shared" si="48"/>
        <v>40.783992285438764</v>
      </c>
    </row>
    <row r="747" spans="1:20" ht="15" hidden="1" customHeight="1" x14ac:dyDescent="0.3">
      <c r="A747" s="9">
        <v>6082</v>
      </c>
      <c r="B747" t="s">
        <v>361</v>
      </c>
      <c r="C747" s="25">
        <v>44728</v>
      </c>
      <c r="D747" s="26">
        <v>0.37543981481481481</v>
      </c>
      <c r="E747" s="8" t="s">
        <v>29</v>
      </c>
      <c r="F747" t="s">
        <v>709</v>
      </c>
      <c r="G747" t="s">
        <v>44</v>
      </c>
      <c r="H747" t="s">
        <v>176</v>
      </c>
      <c r="I747">
        <v>409.3</v>
      </c>
      <c r="J747" s="32">
        <v>0</v>
      </c>
      <c r="K747" s="90">
        <v>1116</v>
      </c>
      <c r="L747" s="7">
        <v>1116</v>
      </c>
      <c r="M747" s="10">
        <f t="shared" si="48"/>
        <v>36.67562724014337</v>
      </c>
    </row>
    <row r="748" spans="1:20" ht="15" hidden="1" customHeight="1" x14ac:dyDescent="0.3">
      <c r="A748" s="9">
        <v>6083</v>
      </c>
      <c r="B748" t="s">
        <v>361</v>
      </c>
      <c r="C748" s="25">
        <v>44728</v>
      </c>
      <c r="D748" s="26">
        <v>0.89749999999999996</v>
      </c>
      <c r="E748" s="8" t="s">
        <v>29</v>
      </c>
      <c r="F748" t="s">
        <v>634</v>
      </c>
      <c r="G748" t="s">
        <v>211</v>
      </c>
      <c r="H748" t="s">
        <v>176</v>
      </c>
      <c r="I748">
        <v>233.12</v>
      </c>
      <c r="J748" s="32">
        <v>0</v>
      </c>
      <c r="K748" s="97">
        <v>591</v>
      </c>
      <c r="L748" s="34">
        <v>591</v>
      </c>
      <c r="M748" s="10">
        <f t="shared" si="48"/>
        <v>39.445008460236885</v>
      </c>
    </row>
    <row r="749" spans="1:20" ht="15" hidden="1" customHeight="1" x14ac:dyDescent="0.3">
      <c r="A749" s="9">
        <v>6256</v>
      </c>
      <c r="B749" t="s">
        <v>361</v>
      </c>
      <c r="C749" s="25">
        <v>44732</v>
      </c>
      <c r="D749" s="26">
        <v>0.87321759259259257</v>
      </c>
      <c r="E749" s="8" t="s">
        <v>29</v>
      </c>
      <c r="F749" t="s">
        <v>634</v>
      </c>
      <c r="G749" t="s">
        <v>211</v>
      </c>
      <c r="H749" t="s">
        <v>176</v>
      </c>
      <c r="I749">
        <v>465.26</v>
      </c>
      <c r="J749" s="68">
        <v>0</v>
      </c>
      <c r="K749" s="93">
        <v>1113</v>
      </c>
      <c r="L749" s="29">
        <v>1113</v>
      </c>
      <c r="M749" s="10">
        <f t="shared" si="48"/>
        <v>41.802336028751128</v>
      </c>
    </row>
    <row r="750" spans="1:20" ht="15" hidden="1" customHeight="1" x14ac:dyDescent="0.3">
      <c r="A750" s="9">
        <v>6316</v>
      </c>
      <c r="B750" t="s">
        <v>361</v>
      </c>
      <c r="C750" s="25">
        <v>44734</v>
      </c>
      <c r="D750" s="26">
        <v>0.45680555555555552</v>
      </c>
      <c r="E750" s="8" t="s">
        <v>29</v>
      </c>
      <c r="F750" t="s">
        <v>679</v>
      </c>
      <c r="G750" t="s">
        <v>392</v>
      </c>
      <c r="H750" t="s">
        <v>176</v>
      </c>
      <c r="I750">
        <v>330.59</v>
      </c>
      <c r="J750" s="32">
        <v>0</v>
      </c>
      <c r="K750" s="90">
        <v>881</v>
      </c>
      <c r="L750" s="7">
        <v>881</v>
      </c>
      <c r="M750" s="10">
        <f t="shared" si="48"/>
        <v>37.524404086265605</v>
      </c>
    </row>
    <row r="751" spans="1:20" ht="15" hidden="1" customHeight="1" x14ac:dyDescent="0.3">
      <c r="A751" s="9">
        <v>6749</v>
      </c>
      <c r="B751" t="s">
        <v>361</v>
      </c>
      <c r="C751" s="25">
        <v>44742</v>
      </c>
      <c r="D751" s="26">
        <v>0.69767361111111104</v>
      </c>
      <c r="E751" s="8" t="s">
        <v>29</v>
      </c>
      <c r="F751" t="s">
        <v>166</v>
      </c>
      <c r="G751" t="s">
        <v>161</v>
      </c>
      <c r="H751" t="s">
        <v>176</v>
      </c>
      <c r="I751">
        <v>325.51</v>
      </c>
      <c r="J751" s="8"/>
      <c r="K751" s="8">
        <v>1234</v>
      </c>
      <c r="L751" s="8">
        <f>+K751-J751</f>
        <v>1234</v>
      </c>
      <c r="M751" s="10">
        <f>I751/L751*100</f>
        <v>26.378444084278769</v>
      </c>
    </row>
    <row r="752" spans="1:20" ht="15" hidden="1" customHeight="1" x14ac:dyDescent="0.3">
      <c r="B752" t="s">
        <v>219</v>
      </c>
      <c r="C752" s="25">
        <v>44681</v>
      </c>
      <c r="D752" s="26">
        <v>0.36107638888888888</v>
      </c>
      <c r="E752" s="8" t="s">
        <v>580</v>
      </c>
      <c r="F752" t="s">
        <v>428</v>
      </c>
      <c r="G752" t="s">
        <v>429</v>
      </c>
      <c r="H752" t="s">
        <v>17</v>
      </c>
      <c r="I752">
        <v>150.25</v>
      </c>
      <c r="J752" s="11">
        <v>0</v>
      </c>
      <c r="K752" s="89">
        <f>+L752-J752</f>
        <v>247.7</v>
      </c>
      <c r="L752" s="7">
        <v>247.7</v>
      </c>
      <c r="M752" s="10">
        <f>I752/K752*100</f>
        <v>60.65805409769883</v>
      </c>
      <c r="O752" s="4" t="s">
        <v>76</v>
      </c>
      <c r="R752" s="18" t="s">
        <v>132</v>
      </c>
      <c r="S752" s="2"/>
      <c r="T752"/>
    </row>
    <row r="753" spans="2:20" ht="15" hidden="1" customHeight="1" x14ac:dyDescent="0.3">
      <c r="B753" t="s">
        <v>356</v>
      </c>
      <c r="C753" s="25">
        <v>44681</v>
      </c>
      <c r="D753" s="26">
        <v>0.52046296296296302</v>
      </c>
      <c r="E753" s="8" t="s">
        <v>580</v>
      </c>
      <c r="F753" t="s">
        <v>166</v>
      </c>
      <c r="G753" t="s">
        <v>161</v>
      </c>
      <c r="H753" t="s">
        <v>302</v>
      </c>
      <c r="I753">
        <v>308.41000000000003</v>
      </c>
      <c r="J753" s="53">
        <v>0</v>
      </c>
      <c r="K753" s="92">
        <f>+L753-J753</f>
        <v>759</v>
      </c>
      <c r="L753" s="30">
        <v>759</v>
      </c>
      <c r="M753" s="10">
        <f>I753/L753*100</f>
        <v>40.633728590250335</v>
      </c>
      <c r="O753" s="4" t="s">
        <v>106</v>
      </c>
      <c r="R753" s="18" t="s">
        <v>7</v>
      </c>
      <c r="S753"/>
      <c r="T753"/>
    </row>
    <row r="754" spans="2:20" ht="15" hidden="1" customHeight="1" x14ac:dyDescent="0.3">
      <c r="B754" t="s">
        <v>434</v>
      </c>
      <c r="C754" s="25">
        <v>44681</v>
      </c>
      <c r="D754" s="26">
        <v>0.57081018518518511</v>
      </c>
      <c r="E754" s="8" t="s">
        <v>580</v>
      </c>
      <c r="F754" t="s">
        <v>210</v>
      </c>
      <c r="G754" t="s">
        <v>211</v>
      </c>
      <c r="H754" t="s">
        <v>137</v>
      </c>
      <c r="I754">
        <v>360.97</v>
      </c>
      <c r="J754" s="11">
        <v>0</v>
      </c>
      <c r="K754" s="89">
        <f>+L754-J891</f>
        <v>586</v>
      </c>
      <c r="L754" s="53">
        <v>586</v>
      </c>
      <c r="M754" s="10">
        <f t="shared" ref="M754:M785" si="49">I754/K754*100</f>
        <v>61.598976109215023</v>
      </c>
      <c r="S754"/>
      <c r="T754"/>
    </row>
    <row r="755" spans="2:20" ht="15" hidden="1" customHeight="1" x14ac:dyDescent="0.3">
      <c r="B755" t="s">
        <v>300</v>
      </c>
      <c r="C755" s="25">
        <v>44681</v>
      </c>
      <c r="D755" s="26">
        <v>0.80839120370370365</v>
      </c>
      <c r="E755" s="8" t="s">
        <v>580</v>
      </c>
      <c r="F755" t="s">
        <v>197</v>
      </c>
      <c r="G755" t="s">
        <v>44</v>
      </c>
      <c r="H755" t="s">
        <v>111</v>
      </c>
      <c r="I755">
        <v>340</v>
      </c>
      <c r="J755" s="11">
        <v>0</v>
      </c>
      <c r="K755" s="89">
        <f>+L755-J891</f>
        <v>1373.81</v>
      </c>
      <c r="L755" s="11">
        <v>1373.81</v>
      </c>
      <c r="M755" s="10">
        <f t="shared" si="49"/>
        <v>24.748691594907594</v>
      </c>
      <c r="S755"/>
      <c r="T755"/>
    </row>
    <row r="756" spans="2:20" ht="15" hidden="1" customHeight="1" x14ac:dyDescent="0.3">
      <c r="B756" t="s">
        <v>400</v>
      </c>
      <c r="C756" s="25">
        <v>44681</v>
      </c>
      <c r="D756" s="26">
        <v>0.72649305555555566</v>
      </c>
      <c r="E756" s="8" t="s">
        <v>580</v>
      </c>
      <c r="F756" t="s">
        <v>210</v>
      </c>
      <c r="G756" t="s">
        <v>211</v>
      </c>
      <c r="H756" t="s">
        <v>131</v>
      </c>
      <c r="I756">
        <v>419.29</v>
      </c>
      <c r="J756" s="53">
        <v>0</v>
      </c>
      <c r="K756" s="89">
        <f>+L756-J892</f>
        <v>1148.8399999999999</v>
      </c>
      <c r="L756" s="11">
        <v>1148.8399999999999</v>
      </c>
      <c r="M756" s="10">
        <f t="shared" si="49"/>
        <v>36.496814177779328</v>
      </c>
      <c r="S756"/>
      <c r="T756"/>
    </row>
    <row r="757" spans="2:20" ht="15" hidden="1" customHeight="1" x14ac:dyDescent="0.3">
      <c r="B757" t="s">
        <v>248</v>
      </c>
      <c r="C757" s="25">
        <v>44681</v>
      </c>
      <c r="D757" s="26">
        <v>0.43928240740740737</v>
      </c>
      <c r="E757" s="8" t="s">
        <v>580</v>
      </c>
      <c r="F757" t="s">
        <v>175</v>
      </c>
      <c r="G757" t="s">
        <v>172</v>
      </c>
      <c r="H757" t="s">
        <v>109</v>
      </c>
      <c r="I757">
        <v>537.21</v>
      </c>
      <c r="J757" s="28">
        <v>0</v>
      </c>
      <c r="K757" s="96">
        <f>+L757-J894</f>
        <v>1211</v>
      </c>
      <c r="L757" s="55">
        <v>1211</v>
      </c>
      <c r="M757" s="131">
        <f t="shared" si="49"/>
        <v>44.360858794384811</v>
      </c>
      <c r="S757"/>
      <c r="T757"/>
    </row>
    <row r="758" spans="2:20" ht="15" hidden="1" customHeight="1" x14ac:dyDescent="0.3">
      <c r="B758" t="s">
        <v>275</v>
      </c>
      <c r="C758" s="25">
        <v>44681</v>
      </c>
      <c r="D758" s="26">
        <v>0.14988425925925927</v>
      </c>
      <c r="E758" s="8" t="s">
        <v>580</v>
      </c>
      <c r="F758" t="s">
        <v>428</v>
      </c>
      <c r="G758" t="s">
        <v>429</v>
      </c>
      <c r="H758" t="s">
        <v>193</v>
      </c>
      <c r="I758" s="8">
        <v>300</v>
      </c>
      <c r="J758" s="7">
        <v>0</v>
      </c>
      <c r="K758" s="90">
        <f t="shared" ref="K758:K789" si="50">+L758-J758</f>
        <v>898.63</v>
      </c>
      <c r="L758" s="7">
        <v>898.63</v>
      </c>
      <c r="M758" s="91">
        <f t="shared" si="49"/>
        <v>33.38415143051089</v>
      </c>
      <c r="O758" s="4" t="s">
        <v>88</v>
      </c>
      <c r="R758" s="18" t="s">
        <v>129</v>
      </c>
      <c r="S758" s="2"/>
      <c r="T758"/>
    </row>
    <row r="759" spans="2:20" ht="15" hidden="1" customHeight="1" x14ac:dyDescent="0.3">
      <c r="B759" t="s">
        <v>265</v>
      </c>
      <c r="C759" s="25">
        <v>44567</v>
      </c>
      <c r="D759" s="26">
        <v>0.94892361111111112</v>
      </c>
      <c r="E759" s="8" t="s">
        <v>24</v>
      </c>
      <c r="F759" t="s">
        <v>205</v>
      </c>
      <c r="G759" t="s">
        <v>206</v>
      </c>
      <c r="H759" t="s">
        <v>110</v>
      </c>
      <c r="I759">
        <v>294.02</v>
      </c>
      <c r="J759" s="34">
        <v>0</v>
      </c>
      <c r="K759" s="34">
        <f t="shared" si="50"/>
        <v>796.1</v>
      </c>
      <c r="L759" s="34">
        <v>796.1</v>
      </c>
      <c r="M759" s="61">
        <f t="shared" si="49"/>
        <v>36.932546162542387</v>
      </c>
    </row>
    <row r="760" spans="2:20" ht="15" hidden="1" customHeight="1" x14ac:dyDescent="0.3">
      <c r="B760" t="s">
        <v>265</v>
      </c>
      <c r="C760" s="25">
        <v>44568</v>
      </c>
      <c r="D760" s="26">
        <v>0.7597222222222223</v>
      </c>
      <c r="E760" s="8" t="s">
        <v>24</v>
      </c>
      <c r="F760" t="s">
        <v>210</v>
      </c>
      <c r="G760" t="s">
        <v>211</v>
      </c>
      <c r="H760" t="s">
        <v>110</v>
      </c>
      <c r="I760">
        <v>286.13</v>
      </c>
      <c r="J760" s="29">
        <v>0</v>
      </c>
      <c r="K760" s="29">
        <f t="shared" si="50"/>
        <v>704.73</v>
      </c>
      <c r="L760" s="29">
        <v>704.73</v>
      </c>
      <c r="M760" s="10">
        <f t="shared" si="49"/>
        <v>40.601365061796713</v>
      </c>
    </row>
    <row r="761" spans="2:20" ht="15" hidden="1" customHeight="1" x14ac:dyDescent="0.3">
      <c r="B761" t="s">
        <v>265</v>
      </c>
      <c r="C761" s="25">
        <v>44569</v>
      </c>
      <c r="D761" s="26">
        <v>0.44608796296296299</v>
      </c>
      <c r="E761" s="8" t="s">
        <v>24</v>
      </c>
      <c r="F761" t="s">
        <v>165</v>
      </c>
      <c r="G761" t="s">
        <v>185</v>
      </c>
      <c r="H761" t="s">
        <v>110</v>
      </c>
      <c r="I761">
        <v>246.94</v>
      </c>
      <c r="J761" s="7">
        <v>0</v>
      </c>
      <c r="K761" s="7">
        <f t="shared" si="50"/>
        <v>548.74</v>
      </c>
      <c r="L761" s="7">
        <v>548.74</v>
      </c>
      <c r="M761" s="10">
        <f t="shared" si="49"/>
        <v>45.001275649670156</v>
      </c>
    </row>
    <row r="762" spans="2:20" ht="15" hidden="1" customHeight="1" x14ac:dyDescent="0.3">
      <c r="B762" t="s">
        <v>265</v>
      </c>
      <c r="C762" s="25">
        <v>44571</v>
      </c>
      <c r="D762" s="26">
        <v>0.62671296296296297</v>
      </c>
      <c r="E762" s="8" t="s">
        <v>24</v>
      </c>
      <c r="F762" t="s">
        <v>202</v>
      </c>
      <c r="G762" t="s">
        <v>203</v>
      </c>
      <c r="H762" t="s">
        <v>110</v>
      </c>
      <c r="I762">
        <v>329.65</v>
      </c>
      <c r="J762" s="30">
        <v>0</v>
      </c>
      <c r="K762" s="30">
        <f t="shared" si="50"/>
        <v>1056.24</v>
      </c>
      <c r="L762" s="7">
        <v>1056.24</v>
      </c>
      <c r="M762" s="10">
        <f t="shared" si="49"/>
        <v>31.20976293266682</v>
      </c>
    </row>
    <row r="763" spans="2:20" ht="15" hidden="1" customHeight="1" x14ac:dyDescent="0.3">
      <c r="B763" t="s">
        <v>265</v>
      </c>
      <c r="C763" s="25">
        <v>44572</v>
      </c>
      <c r="D763" s="26">
        <v>0.55917824074074074</v>
      </c>
      <c r="E763" s="8" t="s">
        <v>24</v>
      </c>
      <c r="F763" t="s">
        <v>165</v>
      </c>
      <c r="G763" t="s">
        <v>185</v>
      </c>
      <c r="H763" t="s">
        <v>110</v>
      </c>
      <c r="I763">
        <v>239.25</v>
      </c>
      <c r="J763" s="11">
        <v>0</v>
      </c>
      <c r="K763" s="11">
        <f t="shared" si="50"/>
        <v>575.91999999999996</v>
      </c>
      <c r="L763" s="7">
        <v>575.91999999999996</v>
      </c>
      <c r="M763" s="10">
        <f t="shared" si="49"/>
        <v>41.542228087234342</v>
      </c>
    </row>
    <row r="764" spans="2:20" ht="15" hidden="1" customHeight="1" x14ac:dyDescent="0.3">
      <c r="B764" t="s">
        <v>265</v>
      </c>
      <c r="C764" s="25">
        <v>44574</v>
      </c>
      <c r="D764" s="26">
        <v>3.2418981481481479E-2</v>
      </c>
      <c r="E764" s="8" t="s">
        <v>24</v>
      </c>
      <c r="F764" t="s">
        <v>210</v>
      </c>
      <c r="G764" t="s">
        <v>211</v>
      </c>
      <c r="H764" t="s">
        <v>110</v>
      </c>
      <c r="I764">
        <v>224.34</v>
      </c>
      <c r="J764" s="11">
        <v>0</v>
      </c>
      <c r="K764" s="30">
        <f t="shared" si="50"/>
        <v>575.91</v>
      </c>
      <c r="L764" s="30">
        <v>575.91</v>
      </c>
      <c r="M764" s="10">
        <f t="shared" si="49"/>
        <v>38.954003229671308</v>
      </c>
    </row>
    <row r="765" spans="2:20" ht="15" hidden="1" customHeight="1" x14ac:dyDescent="0.3">
      <c r="B765" t="s">
        <v>265</v>
      </c>
      <c r="C765" s="25">
        <v>44575</v>
      </c>
      <c r="D765" s="26">
        <v>0.60380787037037031</v>
      </c>
      <c r="E765" s="8" t="s">
        <v>24</v>
      </c>
      <c r="F765" t="s">
        <v>175</v>
      </c>
      <c r="G765" t="s">
        <v>172</v>
      </c>
      <c r="H765" t="s">
        <v>110</v>
      </c>
      <c r="I765">
        <v>350.3</v>
      </c>
      <c r="J765" s="11">
        <v>0</v>
      </c>
      <c r="K765" s="11">
        <f t="shared" si="50"/>
        <v>951.99</v>
      </c>
      <c r="L765" s="11">
        <v>951.99</v>
      </c>
      <c r="M765" s="10">
        <f t="shared" si="49"/>
        <v>36.796605006355108</v>
      </c>
    </row>
    <row r="766" spans="2:20" ht="15" hidden="1" customHeight="1" x14ac:dyDescent="0.3">
      <c r="B766" t="s">
        <v>265</v>
      </c>
      <c r="C766" s="25">
        <v>44582</v>
      </c>
      <c r="D766" s="26">
        <v>0.6393402777777778</v>
      </c>
      <c r="E766" s="8" t="s">
        <v>24</v>
      </c>
      <c r="F766" t="s">
        <v>210</v>
      </c>
      <c r="G766" t="s">
        <v>211</v>
      </c>
      <c r="H766" t="s">
        <v>110</v>
      </c>
      <c r="I766">
        <v>364.75</v>
      </c>
      <c r="J766" s="11">
        <v>0</v>
      </c>
      <c r="K766" s="11">
        <f t="shared" si="50"/>
        <v>866.19</v>
      </c>
      <c r="L766" s="11">
        <v>866.19</v>
      </c>
      <c r="M766" s="10">
        <f t="shared" si="49"/>
        <v>42.109698795876191</v>
      </c>
    </row>
    <row r="767" spans="2:20" ht="15" hidden="1" customHeight="1" x14ac:dyDescent="0.3">
      <c r="B767" t="s">
        <v>265</v>
      </c>
      <c r="C767" s="25">
        <v>44583</v>
      </c>
      <c r="D767" s="26">
        <v>9.5231481481481486E-2</v>
      </c>
      <c r="E767" s="8" t="s">
        <v>24</v>
      </c>
      <c r="F767" t="s">
        <v>165</v>
      </c>
      <c r="G767" t="s">
        <v>185</v>
      </c>
      <c r="H767" t="s">
        <v>110</v>
      </c>
      <c r="I767">
        <v>234.01</v>
      </c>
      <c r="J767" s="7">
        <v>0</v>
      </c>
      <c r="K767" s="7">
        <f t="shared" si="50"/>
        <v>548.39</v>
      </c>
      <c r="L767" s="7">
        <v>548.39</v>
      </c>
      <c r="M767" s="10">
        <f t="shared" si="49"/>
        <v>42.672185853133719</v>
      </c>
    </row>
    <row r="768" spans="2:20" ht="15" hidden="1" customHeight="1" x14ac:dyDescent="0.3">
      <c r="B768" t="s">
        <v>265</v>
      </c>
      <c r="C768" s="25">
        <v>44585</v>
      </c>
      <c r="D768" s="26">
        <v>0.62252314814814813</v>
      </c>
      <c r="E768" s="8" t="s">
        <v>24</v>
      </c>
      <c r="F768" t="s">
        <v>202</v>
      </c>
      <c r="G768" t="s">
        <v>203</v>
      </c>
      <c r="H768" t="s">
        <v>110</v>
      </c>
      <c r="I768">
        <v>321.27999999999997</v>
      </c>
      <c r="J768" s="7">
        <v>0</v>
      </c>
      <c r="K768" s="11">
        <f t="shared" si="50"/>
        <v>1055.19</v>
      </c>
      <c r="L768" s="7">
        <v>1055.19</v>
      </c>
      <c r="M768" s="10">
        <f t="shared" si="49"/>
        <v>30.447597115211472</v>
      </c>
    </row>
    <row r="769" spans="1:13" ht="15" hidden="1" customHeight="1" x14ac:dyDescent="0.3">
      <c r="B769" t="s">
        <v>265</v>
      </c>
      <c r="C769" s="25">
        <v>44586</v>
      </c>
      <c r="D769" s="26">
        <v>0.74489583333333342</v>
      </c>
      <c r="E769" s="8" t="s">
        <v>24</v>
      </c>
      <c r="F769" t="s">
        <v>210</v>
      </c>
      <c r="G769" t="s">
        <v>211</v>
      </c>
      <c r="H769" t="s">
        <v>110</v>
      </c>
      <c r="I769">
        <v>387</v>
      </c>
      <c r="J769" s="7">
        <v>0</v>
      </c>
      <c r="K769" s="11">
        <f t="shared" si="50"/>
        <v>1088.56</v>
      </c>
      <c r="L769" s="7">
        <v>1088.56</v>
      </c>
      <c r="M769" s="10">
        <f t="shared" si="49"/>
        <v>35.55155434702727</v>
      </c>
    </row>
    <row r="770" spans="1:13" ht="15" hidden="1" customHeight="1" x14ac:dyDescent="0.3">
      <c r="B770" t="s">
        <v>265</v>
      </c>
      <c r="C770" s="25">
        <v>44588</v>
      </c>
      <c r="D770" s="26">
        <v>0.39901620370370372</v>
      </c>
      <c r="E770" s="8" t="s">
        <v>24</v>
      </c>
      <c r="F770" t="s">
        <v>175</v>
      </c>
      <c r="G770" t="s">
        <v>172</v>
      </c>
      <c r="H770" t="s">
        <v>110</v>
      </c>
      <c r="I770">
        <v>336.26</v>
      </c>
      <c r="J770" s="7">
        <v>0</v>
      </c>
      <c r="K770" s="11">
        <f t="shared" si="50"/>
        <v>940.89</v>
      </c>
      <c r="L770" s="7">
        <v>940.89</v>
      </c>
      <c r="M770" s="10">
        <f t="shared" si="49"/>
        <v>35.738502906822262</v>
      </c>
    </row>
    <row r="771" spans="1:13" ht="15" hidden="1" customHeight="1" x14ac:dyDescent="0.3">
      <c r="B771" t="s">
        <v>265</v>
      </c>
      <c r="C771" s="25">
        <v>44589</v>
      </c>
      <c r="D771" s="26">
        <v>0.46736111111111112</v>
      </c>
      <c r="E771" s="8" t="s">
        <v>24</v>
      </c>
      <c r="F771" t="s">
        <v>210</v>
      </c>
      <c r="G771" t="s">
        <v>211</v>
      </c>
      <c r="H771" t="s">
        <v>110</v>
      </c>
      <c r="I771">
        <v>335.75</v>
      </c>
      <c r="J771" s="7">
        <v>0</v>
      </c>
      <c r="K771" s="11">
        <f t="shared" si="50"/>
        <v>830.88</v>
      </c>
      <c r="L771" s="34">
        <v>830.88</v>
      </c>
      <c r="M771" s="10">
        <f t="shared" si="49"/>
        <v>40.408963989986518</v>
      </c>
    </row>
    <row r="772" spans="1:13" ht="15" hidden="1" customHeight="1" x14ac:dyDescent="0.3">
      <c r="B772" t="s">
        <v>265</v>
      </c>
      <c r="C772" s="25">
        <v>44589</v>
      </c>
      <c r="D772" s="26">
        <v>0.95877314814814818</v>
      </c>
      <c r="E772" s="8" t="s">
        <v>24</v>
      </c>
      <c r="F772" t="s">
        <v>165</v>
      </c>
      <c r="G772" t="s">
        <v>185</v>
      </c>
      <c r="H772" t="s">
        <v>110</v>
      </c>
      <c r="I772">
        <v>246.02</v>
      </c>
      <c r="J772" s="34">
        <v>0</v>
      </c>
      <c r="K772" s="11">
        <f t="shared" si="50"/>
        <v>548.4</v>
      </c>
      <c r="L772" s="34">
        <v>548.4</v>
      </c>
      <c r="M772" s="10">
        <f t="shared" si="49"/>
        <v>44.861415025528814</v>
      </c>
    </row>
    <row r="773" spans="1:13" ht="15" hidden="1" customHeight="1" x14ac:dyDescent="0.3">
      <c r="B773" t="s">
        <v>265</v>
      </c>
      <c r="C773" s="25">
        <v>44592</v>
      </c>
      <c r="D773" s="26">
        <v>0.66321759259259261</v>
      </c>
      <c r="E773" s="8" t="s">
        <v>24</v>
      </c>
      <c r="F773" t="s">
        <v>202</v>
      </c>
      <c r="G773" t="s">
        <v>203</v>
      </c>
      <c r="H773" t="s">
        <v>110</v>
      </c>
      <c r="I773">
        <v>310.02</v>
      </c>
      <c r="J773" s="7">
        <v>0</v>
      </c>
      <c r="K773" s="11">
        <f t="shared" si="50"/>
        <v>1054.3900000000001</v>
      </c>
      <c r="L773" s="7">
        <v>1054.3900000000001</v>
      </c>
      <c r="M773" s="10">
        <f t="shared" si="49"/>
        <v>29.402782651580527</v>
      </c>
    </row>
    <row r="774" spans="1:13" ht="15" hidden="1" customHeight="1" x14ac:dyDescent="0.3">
      <c r="A774" s="9">
        <v>894</v>
      </c>
      <c r="B774" t="s">
        <v>265</v>
      </c>
      <c r="C774" s="25">
        <v>44593</v>
      </c>
      <c r="D774" s="26">
        <v>0.78369212962962964</v>
      </c>
      <c r="E774" s="8" t="s">
        <v>25</v>
      </c>
      <c r="F774" t="s">
        <v>210</v>
      </c>
      <c r="G774" t="s">
        <v>211</v>
      </c>
      <c r="H774" t="s">
        <v>110</v>
      </c>
      <c r="I774">
        <v>365</v>
      </c>
      <c r="J774" s="31">
        <v>0</v>
      </c>
      <c r="K774" s="11">
        <f t="shared" si="50"/>
        <v>1089.57</v>
      </c>
      <c r="L774" s="31">
        <v>1089.57</v>
      </c>
      <c r="M774" s="10">
        <f t="shared" si="49"/>
        <v>33.499453913011557</v>
      </c>
    </row>
    <row r="775" spans="1:13" ht="15" hidden="1" customHeight="1" x14ac:dyDescent="0.3">
      <c r="A775" s="9">
        <v>895</v>
      </c>
      <c r="B775" t="s">
        <v>265</v>
      </c>
      <c r="C775" s="25">
        <v>44594</v>
      </c>
      <c r="D775" s="26">
        <v>0.8393518518518519</v>
      </c>
      <c r="E775" s="8" t="s">
        <v>25</v>
      </c>
      <c r="F775" t="s">
        <v>175</v>
      </c>
      <c r="G775" t="s">
        <v>172</v>
      </c>
      <c r="H775" t="s">
        <v>110</v>
      </c>
      <c r="I775">
        <v>347.17</v>
      </c>
      <c r="J775" s="7">
        <v>0</v>
      </c>
      <c r="K775" s="11">
        <f t="shared" si="50"/>
        <v>1006.96</v>
      </c>
      <c r="L775" s="7">
        <v>1006.96</v>
      </c>
      <c r="M775" s="10">
        <f t="shared" si="49"/>
        <v>34.477039802971319</v>
      </c>
    </row>
    <row r="776" spans="1:13" ht="15" hidden="1" customHeight="1" x14ac:dyDescent="0.3">
      <c r="A776" s="9">
        <v>896</v>
      </c>
      <c r="B776" t="s">
        <v>265</v>
      </c>
      <c r="C776" s="25">
        <v>44595</v>
      </c>
      <c r="D776" s="26">
        <v>0.72862268518518514</v>
      </c>
      <c r="E776" s="8" t="s">
        <v>25</v>
      </c>
      <c r="F776" t="s">
        <v>210</v>
      </c>
      <c r="G776" t="s">
        <v>211</v>
      </c>
      <c r="H776" t="s">
        <v>110</v>
      </c>
      <c r="I776">
        <v>336.69</v>
      </c>
      <c r="J776" s="7">
        <v>0</v>
      </c>
      <c r="K776" s="11">
        <f t="shared" si="50"/>
        <v>831.29</v>
      </c>
      <c r="L776" s="7">
        <v>831.29</v>
      </c>
      <c r="M776" s="10">
        <f t="shared" si="49"/>
        <v>40.502111176605041</v>
      </c>
    </row>
    <row r="777" spans="1:13" ht="15.75" hidden="1" customHeight="1" x14ac:dyDescent="0.3">
      <c r="A777" s="9">
        <v>897</v>
      </c>
      <c r="B777" t="s">
        <v>265</v>
      </c>
      <c r="C777" s="25">
        <v>44596</v>
      </c>
      <c r="D777" s="26">
        <v>0.75685185185185189</v>
      </c>
      <c r="E777" s="8" t="s">
        <v>25</v>
      </c>
      <c r="F777" t="s">
        <v>210</v>
      </c>
      <c r="G777" t="s">
        <v>211</v>
      </c>
      <c r="H777" t="s">
        <v>110</v>
      </c>
      <c r="I777">
        <v>403.24</v>
      </c>
      <c r="J777" s="7">
        <v>0</v>
      </c>
      <c r="K777" s="11">
        <f t="shared" si="50"/>
        <v>1063.33</v>
      </c>
      <c r="L777" s="7">
        <v>1063.33</v>
      </c>
      <c r="M777" s="10">
        <f t="shared" si="49"/>
        <v>37.922375932212958</v>
      </c>
    </row>
    <row r="778" spans="1:13" ht="15" hidden="1" customHeight="1" x14ac:dyDescent="0.3">
      <c r="A778" s="9">
        <v>898</v>
      </c>
      <c r="B778" t="s">
        <v>265</v>
      </c>
      <c r="C778" s="25">
        <v>44598</v>
      </c>
      <c r="D778" s="26">
        <v>0.46917824074074077</v>
      </c>
      <c r="E778" s="8" t="s">
        <v>25</v>
      </c>
      <c r="F778" t="s">
        <v>175</v>
      </c>
      <c r="G778" t="s">
        <v>172</v>
      </c>
      <c r="H778" t="s">
        <v>110</v>
      </c>
      <c r="I778">
        <v>373.12</v>
      </c>
      <c r="J778" s="7">
        <v>0</v>
      </c>
      <c r="K778" s="11">
        <f t="shared" si="50"/>
        <v>1030.96</v>
      </c>
      <c r="L778" s="7">
        <v>1030.96</v>
      </c>
      <c r="M778" s="10">
        <f t="shared" si="49"/>
        <v>36.191510824862263</v>
      </c>
    </row>
    <row r="779" spans="1:13" ht="15" hidden="1" customHeight="1" x14ac:dyDescent="0.3">
      <c r="A779" s="9">
        <v>899</v>
      </c>
      <c r="B779" t="s">
        <v>265</v>
      </c>
      <c r="C779" s="25">
        <v>44598</v>
      </c>
      <c r="D779" s="26">
        <v>0.94077546296296299</v>
      </c>
      <c r="E779" s="8" t="s">
        <v>25</v>
      </c>
      <c r="F779" t="s">
        <v>210</v>
      </c>
      <c r="G779" t="s">
        <v>211</v>
      </c>
      <c r="H779" t="s">
        <v>110</v>
      </c>
      <c r="I779">
        <v>300.77</v>
      </c>
      <c r="J779" s="7">
        <v>0</v>
      </c>
      <c r="K779" s="11">
        <f t="shared" si="50"/>
        <v>696.86</v>
      </c>
      <c r="L779" s="7">
        <v>696.86</v>
      </c>
      <c r="M779" s="10">
        <f t="shared" si="49"/>
        <v>43.160749648422922</v>
      </c>
    </row>
    <row r="780" spans="1:13" ht="15" hidden="1" customHeight="1" x14ac:dyDescent="0.3">
      <c r="A780" s="9">
        <v>900</v>
      </c>
      <c r="B780" t="s">
        <v>265</v>
      </c>
      <c r="C780" s="25">
        <v>44600</v>
      </c>
      <c r="D780" s="26">
        <v>0.35045138888888888</v>
      </c>
      <c r="E780" s="8" t="s">
        <v>25</v>
      </c>
      <c r="F780" t="s">
        <v>210</v>
      </c>
      <c r="G780" t="s">
        <v>211</v>
      </c>
      <c r="H780" t="s">
        <v>110</v>
      </c>
      <c r="I780">
        <v>404.69</v>
      </c>
      <c r="J780" s="31">
        <v>0</v>
      </c>
      <c r="K780" s="11">
        <f t="shared" si="50"/>
        <v>1063.75</v>
      </c>
      <c r="L780" s="31">
        <v>1063.75</v>
      </c>
      <c r="M780" s="10">
        <f t="shared" si="49"/>
        <v>38.043713278495886</v>
      </c>
    </row>
    <row r="781" spans="1:13" ht="15" hidden="1" customHeight="1" x14ac:dyDescent="0.3">
      <c r="A781" s="9">
        <v>901</v>
      </c>
      <c r="B781" t="s">
        <v>265</v>
      </c>
      <c r="C781" s="25">
        <v>44601</v>
      </c>
      <c r="D781" s="26">
        <v>0.49378472222222225</v>
      </c>
      <c r="E781" s="8" t="s">
        <v>25</v>
      </c>
      <c r="F781" t="s">
        <v>175</v>
      </c>
      <c r="G781" t="s">
        <v>172</v>
      </c>
      <c r="H781" t="s">
        <v>110</v>
      </c>
      <c r="I781">
        <v>334.69</v>
      </c>
      <c r="J781" s="7">
        <v>0</v>
      </c>
      <c r="K781" s="11">
        <f t="shared" si="50"/>
        <v>965.68</v>
      </c>
      <c r="L781" s="32">
        <v>965.68</v>
      </c>
      <c r="M781" s="10">
        <f t="shared" si="49"/>
        <v>34.658478999254413</v>
      </c>
    </row>
    <row r="782" spans="1:13" ht="15" hidden="1" customHeight="1" x14ac:dyDescent="0.3">
      <c r="A782" s="9">
        <v>902</v>
      </c>
      <c r="B782" t="s">
        <v>265</v>
      </c>
      <c r="C782" s="25">
        <v>44602</v>
      </c>
      <c r="D782" s="26">
        <v>0.44505787037037042</v>
      </c>
      <c r="E782" s="8" t="s">
        <v>25</v>
      </c>
      <c r="F782" t="s">
        <v>210</v>
      </c>
      <c r="G782" t="s">
        <v>211</v>
      </c>
      <c r="H782" t="s">
        <v>110</v>
      </c>
      <c r="I782">
        <v>322.51</v>
      </c>
      <c r="J782" s="34">
        <v>0</v>
      </c>
      <c r="K782" s="11">
        <f t="shared" si="50"/>
        <v>840.5</v>
      </c>
      <c r="L782" s="37">
        <v>840.5</v>
      </c>
      <c r="M782" s="10">
        <f t="shared" si="49"/>
        <v>38.371207614515171</v>
      </c>
    </row>
    <row r="783" spans="1:13" ht="15" hidden="1" customHeight="1" x14ac:dyDescent="0.3">
      <c r="A783" s="9">
        <v>903</v>
      </c>
      <c r="B783" t="s">
        <v>265</v>
      </c>
      <c r="C783" s="25">
        <v>44603</v>
      </c>
      <c r="D783" s="26">
        <v>0.5096180555555555</v>
      </c>
      <c r="E783" s="8" t="s">
        <v>25</v>
      </c>
      <c r="F783" t="s">
        <v>210</v>
      </c>
      <c r="G783" t="s">
        <v>211</v>
      </c>
      <c r="H783" t="s">
        <v>110</v>
      </c>
      <c r="I783">
        <v>400.71</v>
      </c>
      <c r="J783" s="7">
        <v>0</v>
      </c>
      <c r="K783" s="11">
        <f t="shared" si="50"/>
        <v>1063.33</v>
      </c>
      <c r="L783" s="7">
        <v>1063.33</v>
      </c>
      <c r="M783" s="10">
        <f t="shared" si="49"/>
        <v>37.684444151862543</v>
      </c>
    </row>
    <row r="784" spans="1:13" ht="15" hidden="1" customHeight="1" x14ac:dyDescent="0.3">
      <c r="A784" s="9">
        <v>904</v>
      </c>
      <c r="B784" t="s">
        <v>265</v>
      </c>
      <c r="C784" s="25">
        <v>44604</v>
      </c>
      <c r="D784" s="26">
        <v>0.80106481481481484</v>
      </c>
      <c r="E784" s="8" t="s">
        <v>25</v>
      </c>
      <c r="F784" t="s">
        <v>175</v>
      </c>
      <c r="G784" t="s">
        <v>172</v>
      </c>
      <c r="H784" t="s">
        <v>110</v>
      </c>
      <c r="I784">
        <v>350.05</v>
      </c>
      <c r="J784" s="7">
        <v>0</v>
      </c>
      <c r="K784" s="11">
        <f t="shared" si="50"/>
        <v>944.48</v>
      </c>
      <c r="L784" s="35">
        <v>944.48</v>
      </c>
      <c r="M784" s="10">
        <f t="shared" si="49"/>
        <v>37.06272234457056</v>
      </c>
    </row>
    <row r="785" spans="1:13" ht="15" hidden="1" customHeight="1" x14ac:dyDescent="0.3">
      <c r="A785" s="9">
        <v>905</v>
      </c>
      <c r="B785" t="s">
        <v>265</v>
      </c>
      <c r="C785" s="25">
        <v>44605</v>
      </c>
      <c r="D785" s="26">
        <v>0.79604166666666665</v>
      </c>
      <c r="E785" s="8" t="s">
        <v>25</v>
      </c>
      <c r="F785" t="s">
        <v>210</v>
      </c>
      <c r="G785" t="s">
        <v>211</v>
      </c>
      <c r="H785" t="s">
        <v>110</v>
      </c>
      <c r="I785">
        <v>342.12</v>
      </c>
      <c r="J785" s="7">
        <v>0</v>
      </c>
      <c r="K785" s="11">
        <f t="shared" si="50"/>
        <v>831.54</v>
      </c>
      <c r="L785" s="31">
        <v>831.54</v>
      </c>
      <c r="M785" s="10">
        <f t="shared" si="49"/>
        <v>41.142939606032186</v>
      </c>
    </row>
    <row r="786" spans="1:13" ht="15" hidden="1" customHeight="1" x14ac:dyDescent="0.3">
      <c r="A786" s="9">
        <v>906</v>
      </c>
      <c r="B786" t="s">
        <v>265</v>
      </c>
      <c r="C786" s="25">
        <v>44606</v>
      </c>
      <c r="D786" s="26">
        <v>0.76849537037037041</v>
      </c>
      <c r="E786" s="8" t="s">
        <v>25</v>
      </c>
      <c r="F786" t="s">
        <v>210</v>
      </c>
      <c r="G786" t="s">
        <v>211</v>
      </c>
      <c r="H786" t="s">
        <v>110</v>
      </c>
      <c r="I786">
        <v>382.82</v>
      </c>
      <c r="J786" s="34">
        <v>0</v>
      </c>
      <c r="K786" s="11">
        <f t="shared" si="50"/>
        <v>1061.98</v>
      </c>
      <c r="L786" s="31">
        <v>1061.98</v>
      </c>
      <c r="M786" s="10">
        <f t="shared" ref="M786:M817" si="51">I786/K786*100</f>
        <v>36.047759844818167</v>
      </c>
    </row>
    <row r="787" spans="1:13" ht="15" hidden="1" customHeight="1" x14ac:dyDescent="0.3">
      <c r="A787" s="9">
        <v>907</v>
      </c>
      <c r="B787" t="s">
        <v>265</v>
      </c>
      <c r="C787" s="25">
        <v>44608</v>
      </c>
      <c r="D787" s="26">
        <v>0.43130787037037038</v>
      </c>
      <c r="E787" s="8" t="s">
        <v>25</v>
      </c>
      <c r="F787" t="s">
        <v>175</v>
      </c>
      <c r="G787" t="s">
        <v>172</v>
      </c>
      <c r="H787" t="s">
        <v>110</v>
      </c>
      <c r="I787">
        <v>305.35000000000002</v>
      </c>
      <c r="J787" s="30">
        <v>0</v>
      </c>
      <c r="K787" s="11">
        <f t="shared" si="50"/>
        <v>941.56</v>
      </c>
      <c r="L787" s="7">
        <v>941.56</v>
      </c>
      <c r="M787" s="10">
        <f t="shared" si="51"/>
        <v>32.430222184459836</v>
      </c>
    </row>
    <row r="788" spans="1:13" ht="15" hidden="1" customHeight="1" x14ac:dyDescent="0.3">
      <c r="A788" s="9">
        <v>908</v>
      </c>
      <c r="B788" t="s">
        <v>265</v>
      </c>
      <c r="C788" s="25">
        <v>44609</v>
      </c>
      <c r="D788" s="26">
        <v>0.43141203703703707</v>
      </c>
      <c r="E788" s="8" t="s">
        <v>25</v>
      </c>
      <c r="F788" t="s">
        <v>210</v>
      </c>
      <c r="G788" t="s">
        <v>211</v>
      </c>
      <c r="H788" t="s">
        <v>110</v>
      </c>
      <c r="I788">
        <v>341.01</v>
      </c>
      <c r="J788" s="7">
        <v>0</v>
      </c>
      <c r="K788" s="11">
        <f t="shared" si="50"/>
        <v>825.1</v>
      </c>
      <c r="L788" s="7">
        <v>825.1</v>
      </c>
      <c r="M788" s="10">
        <f t="shared" si="51"/>
        <v>41.329535813840742</v>
      </c>
    </row>
    <row r="789" spans="1:13" ht="15" hidden="1" customHeight="1" x14ac:dyDescent="0.3">
      <c r="A789" s="9">
        <v>909</v>
      </c>
      <c r="B789" t="s">
        <v>265</v>
      </c>
      <c r="C789" s="25">
        <v>44609</v>
      </c>
      <c r="D789" s="26">
        <v>0.91719907407407408</v>
      </c>
      <c r="E789" s="8" t="s">
        <v>25</v>
      </c>
      <c r="F789" t="s">
        <v>165</v>
      </c>
      <c r="G789" t="s">
        <v>185</v>
      </c>
      <c r="H789" t="s">
        <v>110</v>
      </c>
      <c r="I789">
        <v>240.05</v>
      </c>
      <c r="J789" s="28">
        <v>0</v>
      </c>
      <c r="K789" s="11">
        <f t="shared" si="50"/>
        <v>553.48</v>
      </c>
      <c r="L789" s="29">
        <v>553.48</v>
      </c>
      <c r="M789" s="10">
        <f t="shared" si="51"/>
        <v>43.371034183710343</v>
      </c>
    </row>
    <row r="790" spans="1:13" ht="15" hidden="1" customHeight="1" x14ac:dyDescent="0.3">
      <c r="A790" s="9">
        <v>910</v>
      </c>
      <c r="B790" t="s">
        <v>265</v>
      </c>
      <c r="C790" s="25">
        <v>44610</v>
      </c>
      <c r="D790" s="26">
        <v>0.9255902777777778</v>
      </c>
      <c r="E790" s="8" t="s">
        <v>25</v>
      </c>
      <c r="F790" t="s">
        <v>166</v>
      </c>
      <c r="G790" t="s">
        <v>161</v>
      </c>
      <c r="H790" t="s">
        <v>110</v>
      </c>
      <c r="I790">
        <v>255.82</v>
      </c>
      <c r="J790" s="7">
        <v>0</v>
      </c>
      <c r="K790" s="11">
        <f t="shared" ref="K790:K821" si="52">+L790-J790</f>
        <v>649.65</v>
      </c>
      <c r="L790" s="32">
        <v>649.65</v>
      </c>
      <c r="M790" s="10">
        <f t="shared" si="51"/>
        <v>39.378126683598865</v>
      </c>
    </row>
    <row r="791" spans="1:13" ht="15" hidden="1" customHeight="1" x14ac:dyDescent="0.3">
      <c r="A791" s="9">
        <v>1740</v>
      </c>
      <c r="B791" t="s">
        <v>265</v>
      </c>
      <c r="C791" s="25">
        <v>44650</v>
      </c>
      <c r="D791" s="26">
        <v>0.6484375</v>
      </c>
      <c r="E791" s="8" t="s">
        <v>26</v>
      </c>
      <c r="F791" t="s">
        <v>175</v>
      </c>
      <c r="G791" t="s">
        <v>172</v>
      </c>
      <c r="H791" t="s">
        <v>519</v>
      </c>
      <c r="I791">
        <v>530.38</v>
      </c>
      <c r="J791" s="7"/>
      <c r="K791" s="89">
        <f t="shared" si="52"/>
        <v>0</v>
      </c>
      <c r="L791" s="42"/>
      <c r="M791" s="10" t="e">
        <f t="shared" si="51"/>
        <v>#DIV/0!</v>
      </c>
    </row>
    <row r="792" spans="1:13" ht="15" hidden="1" customHeight="1" x14ac:dyDescent="0.3">
      <c r="A792" s="9">
        <v>2053</v>
      </c>
      <c r="B792" t="s">
        <v>265</v>
      </c>
      <c r="C792" s="25">
        <v>44622</v>
      </c>
      <c r="D792" s="26">
        <v>0.76431712962962972</v>
      </c>
      <c r="E792" s="8" t="s">
        <v>26</v>
      </c>
      <c r="F792" t="s">
        <v>175</v>
      </c>
      <c r="G792" t="s">
        <v>172</v>
      </c>
      <c r="H792" t="s">
        <v>110</v>
      </c>
      <c r="I792">
        <v>312.08999999999997</v>
      </c>
      <c r="J792" s="7">
        <v>0</v>
      </c>
      <c r="K792" s="89">
        <f t="shared" si="52"/>
        <v>861.48</v>
      </c>
      <c r="L792" s="7">
        <v>861.48</v>
      </c>
      <c r="M792" s="10">
        <f t="shared" si="51"/>
        <v>36.227190416492547</v>
      </c>
    </row>
    <row r="793" spans="1:13" ht="15" hidden="1" customHeight="1" x14ac:dyDescent="0.3">
      <c r="A793" s="9">
        <v>2054</v>
      </c>
      <c r="B793" t="s">
        <v>265</v>
      </c>
      <c r="C793" s="25">
        <v>44623</v>
      </c>
      <c r="D793" s="26">
        <v>0.68091435185185178</v>
      </c>
      <c r="E793" s="8" t="s">
        <v>26</v>
      </c>
      <c r="F793" t="s">
        <v>210</v>
      </c>
      <c r="G793" t="s">
        <v>211</v>
      </c>
      <c r="H793" t="s">
        <v>110</v>
      </c>
      <c r="I793">
        <v>331.08</v>
      </c>
      <c r="J793" s="7">
        <v>0</v>
      </c>
      <c r="K793" s="89">
        <f t="shared" si="52"/>
        <v>835.99</v>
      </c>
      <c r="L793" s="7">
        <v>835.99</v>
      </c>
      <c r="M793" s="10">
        <f t="shared" si="51"/>
        <v>39.603344537614085</v>
      </c>
    </row>
    <row r="794" spans="1:13" ht="15" hidden="1" customHeight="1" x14ac:dyDescent="0.3">
      <c r="A794" s="9">
        <v>2055</v>
      </c>
      <c r="B794" t="s">
        <v>265</v>
      </c>
      <c r="C794" s="25">
        <v>44624</v>
      </c>
      <c r="D794" s="26">
        <v>0.73714120370370362</v>
      </c>
      <c r="E794" s="8" t="s">
        <v>26</v>
      </c>
      <c r="F794" t="s">
        <v>210</v>
      </c>
      <c r="G794" t="s">
        <v>211</v>
      </c>
      <c r="H794" t="s">
        <v>110</v>
      </c>
      <c r="I794">
        <v>392.73</v>
      </c>
      <c r="J794" s="7">
        <v>0</v>
      </c>
      <c r="K794" s="89">
        <f t="shared" si="52"/>
        <v>1063.49</v>
      </c>
      <c r="L794" s="34">
        <v>1063.49</v>
      </c>
      <c r="M794" s="10">
        <f t="shared" si="51"/>
        <v>36.928414935730473</v>
      </c>
    </row>
    <row r="795" spans="1:13" ht="15" hidden="1" customHeight="1" x14ac:dyDescent="0.3">
      <c r="A795" s="9">
        <v>2056</v>
      </c>
      <c r="B795" t="s">
        <v>265</v>
      </c>
      <c r="C795" s="25">
        <v>44625</v>
      </c>
      <c r="D795" s="26">
        <v>0.96986111111111117</v>
      </c>
      <c r="E795" s="8" t="s">
        <v>26</v>
      </c>
      <c r="F795" t="s">
        <v>171</v>
      </c>
      <c r="G795" t="s">
        <v>172</v>
      </c>
      <c r="H795" t="s">
        <v>110</v>
      </c>
      <c r="I795">
        <v>372.14</v>
      </c>
      <c r="J795" s="7">
        <v>0</v>
      </c>
      <c r="K795" s="89">
        <f t="shared" si="52"/>
        <v>1593</v>
      </c>
      <c r="L795" s="7">
        <v>1593</v>
      </c>
      <c r="M795" s="10">
        <f t="shared" si="51"/>
        <v>23.360954174513495</v>
      </c>
    </row>
    <row r="796" spans="1:13" ht="15" hidden="1" customHeight="1" x14ac:dyDescent="0.3">
      <c r="A796" s="9">
        <v>2057</v>
      </c>
      <c r="B796" t="s">
        <v>265</v>
      </c>
      <c r="C796" s="25">
        <v>44626</v>
      </c>
      <c r="D796" s="26">
        <v>0.74101851851851863</v>
      </c>
      <c r="E796" s="8" t="s">
        <v>26</v>
      </c>
      <c r="F796" t="s">
        <v>210</v>
      </c>
      <c r="G796" t="s">
        <v>211</v>
      </c>
      <c r="H796" t="s">
        <v>110</v>
      </c>
      <c r="I796">
        <v>287.99</v>
      </c>
      <c r="J796" s="11">
        <v>0</v>
      </c>
      <c r="K796" s="89">
        <f t="shared" si="52"/>
        <v>692.36</v>
      </c>
      <c r="L796" s="7">
        <v>692.36</v>
      </c>
      <c r="M796" s="10">
        <f t="shared" si="51"/>
        <v>41.595412791033567</v>
      </c>
    </row>
    <row r="797" spans="1:13" ht="15" hidden="1" customHeight="1" x14ac:dyDescent="0.3">
      <c r="A797" s="9">
        <v>2058</v>
      </c>
      <c r="B797" t="s">
        <v>265</v>
      </c>
      <c r="C797" s="25">
        <v>44627</v>
      </c>
      <c r="D797" s="26">
        <v>0.10541666666666667</v>
      </c>
      <c r="E797" s="8" t="s">
        <v>26</v>
      </c>
      <c r="F797" t="s">
        <v>165</v>
      </c>
      <c r="G797" t="s">
        <v>185</v>
      </c>
      <c r="H797" t="s">
        <v>110</v>
      </c>
      <c r="I797">
        <v>403.55</v>
      </c>
      <c r="J797" s="11">
        <v>0</v>
      </c>
      <c r="K797" s="89">
        <f t="shared" si="52"/>
        <v>514.79999999999995</v>
      </c>
      <c r="L797" s="7">
        <v>514.79999999999995</v>
      </c>
      <c r="M797" s="36">
        <f t="shared" si="51"/>
        <v>78.389665889665892</v>
      </c>
    </row>
    <row r="798" spans="1:13" ht="15" hidden="1" customHeight="1" x14ac:dyDescent="0.3">
      <c r="A798" s="9">
        <v>2059</v>
      </c>
      <c r="B798" t="s">
        <v>265</v>
      </c>
      <c r="C798" s="25">
        <v>44629</v>
      </c>
      <c r="D798" s="26">
        <v>0.44946759259259261</v>
      </c>
      <c r="E798" s="8" t="s">
        <v>26</v>
      </c>
      <c r="F798" t="s">
        <v>175</v>
      </c>
      <c r="G798" t="s">
        <v>172</v>
      </c>
      <c r="H798" t="s">
        <v>110</v>
      </c>
      <c r="I798">
        <v>325.19</v>
      </c>
      <c r="J798" s="11">
        <v>0</v>
      </c>
      <c r="K798" s="89">
        <f t="shared" si="52"/>
        <v>1533.6</v>
      </c>
      <c r="L798" s="7">
        <v>1533.6</v>
      </c>
      <c r="M798" s="36">
        <f t="shared" si="51"/>
        <v>21.20435576421492</v>
      </c>
    </row>
    <row r="799" spans="1:13" ht="15" hidden="1" customHeight="1" x14ac:dyDescent="0.3">
      <c r="A799" s="9">
        <v>2060</v>
      </c>
      <c r="B799" t="s">
        <v>265</v>
      </c>
      <c r="C799" s="25">
        <v>44630</v>
      </c>
      <c r="D799" s="26">
        <v>0.58177083333333335</v>
      </c>
      <c r="E799" s="8" t="s">
        <v>26</v>
      </c>
      <c r="F799" t="s">
        <v>166</v>
      </c>
      <c r="G799" t="s">
        <v>161</v>
      </c>
      <c r="H799" t="s">
        <v>110</v>
      </c>
      <c r="I799">
        <v>200</v>
      </c>
      <c r="J799" s="7">
        <v>0</v>
      </c>
      <c r="K799" s="89">
        <f t="shared" si="52"/>
        <v>739.26</v>
      </c>
      <c r="L799" s="7">
        <v>739.26</v>
      </c>
      <c r="M799" s="36">
        <f t="shared" si="51"/>
        <v>27.054081108135165</v>
      </c>
    </row>
    <row r="800" spans="1:13" ht="15" hidden="1" customHeight="1" x14ac:dyDescent="0.3">
      <c r="A800" s="9">
        <v>2061</v>
      </c>
      <c r="B800" t="s">
        <v>265</v>
      </c>
      <c r="C800" s="25">
        <v>44630</v>
      </c>
      <c r="D800" s="26">
        <v>0.98815972222222215</v>
      </c>
      <c r="E800" s="8" t="s">
        <v>26</v>
      </c>
      <c r="F800" t="s">
        <v>165</v>
      </c>
      <c r="G800" t="s">
        <v>185</v>
      </c>
      <c r="H800" t="s">
        <v>110</v>
      </c>
      <c r="I800">
        <v>357.52</v>
      </c>
      <c r="J800" s="30">
        <v>0</v>
      </c>
      <c r="K800" s="89">
        <f t="shared" si="52"/>
        <v>597.70000000000005</v>
      </c>
      <c r="L800" s="7">
        <v>597.70000000000005</v>
      </c>
      <c r="M800" s="36">
        <f t="shared" si="51"/>
        <v>59.815961184540733</v>
      </c>
    </row>
    <row r="801" spans="1:13" ht="15" hidden="1" customHeight="1" x14ac:dyDescent="0.3">
      <c r="A801" s="9">
        <v>2062</v>
      </c>
      <c r="B801" t="s">
        <v>265</v>
      </c>
      <c r="C801" s="25">
        <v>44632</v>
      </c>
      <c r="D801" s="26">
        <v>0.4225694444444445</v>
      </c>
      <c r="E801" s="8" t="s">
        <v>26</v>
      </c>
      <c r="F801" t="s">
        <v>210</v>
      </c>
      <c r="G801" t="s">
        <v>211</v>
      </c>
      <c r="H801" t="s">
        <v>110</v>
      </c>
      <c r="I801">
        <v>247.19</v>
      </c>
      <c r="J801" s="11">
        <v>0</v>
      </c>
      <c r="K801" s="89">
        <f t="shared" si="52"/>
        <v>607.45000000000005</v>
      </c>
      <c r="L801" s="7">
        <v>607.45000000000005</v>
      </c>
      <c r="M801" s="36">
        <f t="shared" si="51"/>
        <v>40.693061157296896</v>
      </c>
    </row>
    <row r="802" spans="1:13" ht="15" hidden="1" customHeight="1" x14ac:dyDescent="0.3">
      <c r="A802" s="9">
        <v>2063</v>
      </c>
      <c r="B802" t="s">
        <v>265</v>
      </c>
      <c r="C802" s="25">
        <v>44633</v>
      </c>
      <c r="D802" s="26">
        <v>0.52668981481481481</v>
      </c>
      <c r="E802" s="8" t="s">
        <v>26</v>
      </c>
      <c r="F802" t="s">
        <v>205</v>
      </c>
      <c r="G802" t="s">
        <v>206</v>
      </c>
      <c r="H802" t="s">
        <v>110</v>
      </c>
      <c r="I802">
        <v>357.06</v>
      </c>
      <c r="J802" s="11">
        <v>0</v>
      </c>
      <c r="K802" s="89">
        <f t="shared" si="52"/>
        <v>1008.51</v>
      </c>
      <c r="L802" s="7">
        <v>1008.51</v>
      </c>
      <c r="M802" s="36">
        <f t="shared" si="51"/>
        <v>35.404705952345537</v>
      </c>
    </row>
    <row r="803" spans="1:13" ht="15" hidden="1" customHeight="1" x14ac:dyDescent="0.3">
      <c r="A803" s="9">
        <v>2064</v>
      </c>
      <c r="B803" t="s">
        <v>265</v>
      </c>
      <c r="C803" s="25">
        <v>44635</v>
      </c>
      <c r="D803" s="26">
        <v>0.43577546296296293</v>
      </c>
      <c r="E803" s="8" t="s">
        <v>26</v>
      </c>
      <c r="F803" t="s">
        <v>210</v>
      </c>
      <c r="G803" t="s">
        <v>211</v>
      </c>
      <c r="H803" t="s">
        <v>110</v>
      </c>
      <c r="I803">
        <v>328.8</v>
      </c>
      <c r="J803" s="7">
        <v>0</v>
      </c>
      <c r="K803" s="89">
        <f t="shared" si="52"/>
        <v>798.24</v>
      </c>
      <c r="L803" s="34">
        <v>798.24</v>
      </c>
      <c r="M803" s="10">
        <f t="shared" si="51"/>
        <v>41.190619362597715</v>
      </c>
    </row>
    <row r="804" spans="1:13" ht="15" hidden="1" customHeight="1" x14ac:dyDescent="0.3">
      <c r="A804" s="9">
        <v>2065</v>
      </c>
      <c r="B804" t="s">
        <v>265</v>
      </c>
      <c r="C804" s="25">
        <v>44636</v>
      </c>
      <c r="D804" s="26">
        <v>0.67354166666666659</v>
      </c>
      <c r="E804" s="8" t="s">
        <v>26</v>
      </c>
      <c r="F804" t="s">
        <v>210</v>
      </c>
      <c r="G804" t="s">
        <v>211</v>
      </c>
      <c r="H804" t="s">
        <v>110</v>
      </c>
      <c r="I804">
        <v>384.25</v>
      </c>
      <c r="J804" s="31">
        <v>0</v>
      </c>
      <c r="K804" s="89">
        <f t="shared" si="52"/>
        <v>1065.8599999999999</v>
      </c>
      <c r="L804" s="33">
        <v>1065.8599999999999</v>
      </c>
      <c r="M804" s="10">
        <f t="shared" si="51"/>
        <v>36.05070084251215</v>
      </c>
    </row>
    <row r="805" spans="1:13" ht="15" hidden="1" customHeight="1" x14ac:dyDescent="0.3">
      <c r="A805" s="9">
        <v>2066</v>
      </c>
      <c r="B805" t="s">
        <v>265</v>
      </c>
      <c r="C805" s="25">
        <v>44637</v>
      </c>
      <c r="D805" s="26">
        <v>0.86384259259259266</v>
      </c>
      <c r="E805" s="8" t="s">
        <v>26</v>
      </c>
      <c r="F805" t="s">
        <v>175</v>
      </c>
      <c r="G805" t="s">
        <v>172</v>
      </c>
      <c r="H805" t="s">
        <v>110</v>
      </c>
      <c r="I805">
        <v>319.87</v>
      </c>
      <c r="J805" s="7">
        <v>0</v>
      </c>
      <c r="K805" s="89">
        <f t="shared" si="52"/>
        <v>944.23</v>
      </c>
      <c r="L805" s="7">
        <v>944.23</v>
      </c>
      <c r="M805" s="10">
        <f t="shared" si="51"/>
        <v>33.87628014360908</v>
      </c>
    </row>
    <row r="806" spans="1:13" ht="15" hidden="1" customHeight="1" x14ac:dyDescent="0.3">
      <c r="A806" s="9">
        <v>2067</v>
      </c>
      <c r="B806" t="s">
        <v>265</v>
      </c>
      <c r="C806" s="25">
        <v>44638</v>
      </c>
      <c r="D806" s="26">
        <v>0.9523611111111111</v>
      </c>
      <c r="E806" s="8" t="s">
        <v>26</v>
      </c>
      <c r="F806" t="s">
        <v>210</v>
      </c>
      <c r="G806" t="s">
        <v>211</v>
      </c>
      <c r="H806" t="s">
        <v>110</v>
      </c>
      <c r="I806">
        <v>354.71</v>
      </c>
      <c r="J806" s="34">
        <v>0</v>
      </c>
      <c r="K806" s="89">
        <f t="shared" si="52"/>
        <v>830.91</v>
      </c>
      <c r="L806" s="34">
        <v>830.91</v>
      </c>
      <c r="M806" s="10">
        <f t="shared" si="51"/>
        <v>42.689340602471987</v>
      </c>
    </row>
    <row r="807" spans="1:13" ht="15" hidden="1" customHeight="1" x14ac:dyDescent="0.3">
      <c r="A807" s="9">
        <v>2068</v>
      </c>
      <c r="B807" t="s">
        <v>265</v>
      </c>
      <c r="C807" s="25">
        <v>44640</v>
      </c>
      <c r="D807" s="26">
        <v>0.46679398148148149</v>
      </c>
      <c r="E807" s="8" t="s">
        <v>26</v>
      </c>
      <c r="F807" t="s">
        <v>210</v>
      </c>
      <c r="G807" t="s">
        <v>211</v>
      </c>
      <c r="H807" t="s">
        <v>110</v>
      </c>
      <c r="I807">
        <v>420.04</v>
      </c>
      <c r="J807" s="31">
        <v>0</v>
      </c>
      <c r="K807" s="89">
        <f t="shared" si="52"/>
        <v>1064.22</v>
      </c>
      <c r="L807" s="7">
        <v>1064.22</v>
      </c>
      <c r="M807" s="10">
        <f t="shared" si="51"/>
        <v>39.469282667117703</v>
      </c>
    </row>
    <row r="808" spans="1:13" ht="15" hidden="1" customHeight="1" x14ac:dyDescent="0.3">
      <c r="A808" s="9">
        <v>2069</v>
      </c>
      <c r="B808" t="s">
        <v>265</v>
      </c>
      <c r="C808" s="25">
        <v>44642</v>
      </c>
      <c r="D808" s="26">
        <v>0.58931712962962968</v>
      </c>
      <c r="E808" s="8" t="s">
        <v>26</v>
      </c>
      <c r="F808" t="s">
        <v>175</v>
      </c>
      <c r="G808" t="s">
        <v>172</v>
      </c>
      <c r="H808" t="s">
        <v>110</v>
      </c>
      <c r="I808">
        <v>413.66</v>
      </c>
      <c r="J808" s="7">
        <v>0</v>
      </c>
      <c r="K808" s="89">
        <f t="shared" si="52"/>
        <v>1079.18</v>
      </c>
      <c r="L808" s="34">
        <v>1079.18</v>
      </c>
      <c r="M808" s="10">
        <f t="shared" si="51"/>
        <v>38.330954984339961</v>
      </c>
    </row>
    <row r="809" spans="1:13" ht="15" hidden="1" customHeight="1" x14ac:dyDescent="0.3">
      <c r="A809" s="9">
        <v>2965</v>
      </c>
      <c r="B809" t="s">
        <v>265</v>
      </c>
      <c r="C809" s="25">
        <v>44652</v>
      </c>
      <c r="D809" s="26">
        <v>0.10922453703703704</v>
      </c>
      <c r="E809" s="8" t="s">
        <v>27</v>
      </c>
      <c r="F809" t="s">
        <v>210</v>
      </c>
      <c r="G809" t="s">
        <v>211</v>
      </c>
      <c r="H809" t="s">
        <v>519</v>
      </c>
      <c r="I809" s="4">
        <v>364.63</v>
      </c>
      <c r="J809" s="34">
        <v>0</v>
      </c>
      <c r="K809" s="89">
        <f t="shared" si="52"/>
        <v>856.55</v>
      </c>
      <c r="L809" s="37">
        <v>856.55</v>
      </c>
      <c r="M809" s="10">
        <f t="shared" si="51"/>
        <v>42.569610647364428</v>
      </c>
    </row>
    <row r="810" spans="1:13" ht="15" hidden="1" customHeight="1" x14ac:dyDescent="0.3">
      <c r="A810" s="9">
        <v>2966</v>
      </c>
      <c r="B810" t="s">
        <v>265</v>
      </c>
      <c r="C810" s="25">
        <v>44652</v>
      </c>
      <c r="D810" s="26">
        <v>0.78569444444444436</v>
      </c>
      <c r="E810" s="8" t="s">
        <v>27</v>
      </c>
      <c r="F810" t="s">
        <v>165</v>
      </c>
      <c r="G810" t="s">
        <v>185</v>
      </c>
      <c r="H810" t="s">
        <v>519</v>
      </c>
      <c r="I810" s="4">
        <v>255.55</v>
      </c>
      <c r="J810" s="31">
        <v>0</v>
      </c>
      <c r="K810" s="89">
        <f t="shared" si="52"/>
        <v>550.79999999999995</v>
      </c>
      <c r="L810" s="33">
        <v>550.79999999999995</v>
      </c>
      <c r="M810" s="10">
        <f t="shared" si="51"/>
        <v>46.39615105301381</v>
      </c>
    </row>
    <row r="811" spans="1:13" ht="15" hidden="1" customHeight="1" x14ac:dyDescent="0.3">
      <c r="A811" s="9">
        <v>2967</v>
      </c>
      <c r="B811" t="s">
        <v>265</v>
      </c>
      <c r="C811" s="25">
        <v>44653</v>
      </c>
      <c r="D811" s="26">
        <v>0.88894675925925926</v>
      </c>
      <c r="E811" s="8" t="s">
        <v>27</v>
      </c>
      <c r="F811" t="s">
        <v>166</v>
      </c>
      <c r="G811" t="s">
        <v>161</v>
      </c>
      <c r="H811" t="s">
        <v>519</v>
      </c>
      <c r="I811" s="4">
        <v>150.19999999999999</v>
      </c>
      <c r="J811" s="7">
        <v>0</v>
      </c>
      <c r="K811" s="89">
        <f t="shared" si="52"/>
        <v>593.54999999999995</v>
      </c>
      <c r="L811" s="32">
        <v>593.54999999999995</v>
      </c>
      <c r="M811" s="10">
        <f t="shared" si="51"/>
        <v>25.305366018027126</v>
      </c>
    </row>
    <row r="812" spans="1:13" ht="15" hidden="1" customHeight="1" x14ac:dyDescent="0.3">
      <c r="A812" s="9">
        <v>2968</v>
      </c>
      <c r="B812" t="s">
        <v>265</v>
      </c>
      <c r="C812" s="25">
        <v>44655</v>
      </c>
      <c r="D812" s="26">
        <v>0.74269675925925915</v>
      </c>
      <c r="E812" s="8" t="s">
        <v>27</v>
      </c>
      <c r="F812" t="s">
        <v>175</v>
      </c>
      <c r="G812" t="s">
        <v>172</v>
      </c>
      <c r="H812" t="s">
        <v>519</v>
      </c>
      <c r="I812" s="4">
        <v>290.52</v>
      </c>
      <c r="J812" s="7">
        <v>0</v>
      </c>
      <c r="K812" s="89">
        <f t="shared" si="52"/>
        <v>859.72</v>
      </c>
      <c r="L812" s="37">
        <v>859.72</v>
      </c>
      <c r="M812" s="10">
        <f t="shared" si="51"/>
        <v>33.792397524775502</v>
      </c>
    </row>
    <row r="813" spans="1:13" ht="15" hidden="1" customHeight="1" x14ac:dyDescent="0.3">
      <c r="A813" s="9">
        <v>2969</v>
      </c>
      <c r="B813" t="s">
        <v>265</v>
      </c>
      <c r="C813" s="25">
        <v>44656</v>
      </c>
      <c r="D813" s="26">
        <v>0.74305555555555547</v>
      </c>
      <c r="E813" s="8" t="s">
        <v>27</v>
      </c>
      <c r="F813" t="s">
        <v>166</v>
      </c>
      <c r="G813" t="s">
        <v>161</v>
      </c>
      <c r="H813" t="s">
        <v>519</v>
      </c>
      <c r="I813" s="4">
        <v>310.12</v>
      </c>
      <c r="J813" s="7">
        <v>0</v>
      </c>
      <c r="K813" s="89">
        <f t="shared" si="52"/>
        <v>757.95</v>
      </c>
      <c r="L813" s="37">
        <v>757.95</v>
      </c>
      <c r="M813" s="10">
        <f t="shared" si="51"/>
        <v>40.915627679926118</v>
      </c>
    </row>
    <row r="814" spans="1:13" ht="15" hidden="1" customHeight="1" x14ac:dyDescent="0.3">
      <c r="A814" s="9">
        <v>2970</v>
      </c>
      <c r="B814" t="s">
        <v>265</v>
      </c>
      <c r="C814" s="25">
        <v>44657</v>
      </c>
      <c r="D814" s="26">
        <v>0.1662962962962963</v>
      </c>
      <c r="E814" s="8" t="s">
        <v>27</v>
      </c>
      <c r="F814" t="s">
        <v>165</v>
      </c>
      <c r="G814" t="s">
        <v>185</v>
      </c>
      <c r="H814" t="s">
        <v>519</v>
      </c>
      <c r="I814" s="4">
        <v>257.27999999999997</v>
      </c>
      <c r="J814" s="34">
        <v>0</v>
      </c>
      <c r="K814" s="100">
        <f t="shared" si="52"/>
        <v>599.49</v>
      </c>
      <c r="L814" s="38">
        <v>599.49</v>
      </c>
      <c r="M814" s="10">
        <f t="shared" si="51"/>
        <v>42.916479007156077</v>
      </c>
    </row>
    <row r="815" spans="1:13" ht="15" hidden="1" customHeight="1" x14ac:dyDescent="0.3">
      <c r="A815" s="9">
        <v>2971</v>
      </c>
      <c r="B815" t="s">
        <v>265</v>
      </c>
      <c r="C815" s="25">
        <v>44658</v>
      </c>
      <c r="D815" s="26">
        <v>0.51200231481481484</v>
      </c>
      <c r="E815" s="8" t="s">
        <v>27</v>
      </c>
      <c r="F815" t="s">
        <v>340</v>
      </c>
      <c r="G815" t="s">
        <v>337</v>
      </c>
      <c r="H815" t="s">
        <v>519</v>
      </c>
      <c r="I815" s="4">
        <v>250.35</v>
      </c>
      <c r="J815" s="7">
        <v>0</v>
      </c>
      <c r="K815" s="90">
        <f t="shared" si="52"/>
        <v>860.18</v>
      </c>
      <c r="L815" s="32">
        <v>860.18</v>
      </c>
      <c r="M815" s="10">
        <f t="shared" si="51"/>
        <v>29.104373503220259</v>
      </c>
    </row>
    <row r="816" spans="1:13" ht="15" hidden="1" customHeight="1" x14ac:dyDescent="0.3">
      <c r="A816" s="9">
        <v>2972</v>
      </c>
      <c r="B816" t="s">
        <v>265</v>
      </c>
      <c r="C816" s="25">
        <v>44659</v>
      </c>
      <c r="D816" s="26">
        <v>0.4883912037037037</v>
      </c>
      <c r="E816" s="8" t="s">
        <v>27</v>
      </c>
      <c r="F816" t="s">
        <v>165</v>
      </c>
      <c r="G816" t="s">
        <v>185</v>
      </c>
      <c r="H816" t="s">
        <v>519</v>
      </c>
      <c r="I816" s="4">
        <v>317.32</v>
      </c>
      <c r="J816" s="7">
        <v>0</v>
      </c>
      <c r="K816" s="97">
        <f t="shared" si="52"/>
        <v>805.78</v>
      </c>
      <c r="L816" s="37">
        <v>805.78</v>
      </c>
      <c r="M816" s="10">
        <f t="shared" si="51"/>
        <v>39.380476060463153</v>
      </c>
    </row>
    <row r="817" spans="1:13" ht="15" hidden="1" customHeight="1" x14ac:dyDescent="0.3">
      <c r="A817" s="9">
        <v>2973</v>
      </c>
      <c r="B817" t="s">
        <v>265</v>
      </c>
      <c r="C817" s="25">
        <v>44660</v>
      </c>
      <c r="D817" s="26">
        <v>0.93395833333333333</v>
      </c>
      <c r="E817" s="8" t="s">
        <v>27</v>
      </c>
      <c r="F817" t="s">
        <v>202</v>
      </c>
      <c r="G817" t="s">
        <v>203</v>
      </c>
      <c r="H817" t="s">
        <v>519</v>
      </c>
      <c r="I817" s="4">
        <v>150</v>
      </c>
      <c r="J817" s="30">
        <v>0</v>
      </c>
      <c r="K817" s="93">
        <f t="shared" si="52"/>
        <v>1059.49</v>
      </c>
      <c r="L817" s="68">
        <v>1059.49</v>
      </c>
      <c r="M817" s="10">
        <f t="shared" si="51"/>
        <v>14.157755146343995</v>
      </c>
    </row>
    <row r="818" spans="1:13" ht="15" hidden="1" customHeight="1" x14ac:dyDescent="0.3">
      <c r="A818" s="9">
        <v>2974</v>
      </c>
      <c r="B818" t="s">
        <v>265</v>
      </c>
      <c r="C818" s="25">
        <v>44661</v>
      </c>
      <c r="D818" s="26">
        <v>0.66929398148148145</v>
      </c>
      <c r="E818" s="8" t="s">
        <v>27</v>
      </c>
      <c r="F818" t="s">
        <v>165</v>
      </c>
      <c r="G818" t="s">
        <v>185</v>
      </c>
      <c r="H818" t="s">
        <v>519</v>
      </c>
      <c r="I818" s="4">
        <v>418.67</v>
      </c>
      <c r="J818" s="11">
        <v>0</v>
      </c>
      <c r="K818" s="89">
        <f t="shared" si="52"/>
        <v>541.15</v>
      </c>
      <c r="L818" s="32">
        <v>541.15</v>
      </c>
      <c r="M818" s="10">
        <f t="shared" ref="M818:M849" si="53">I818/K818*100</f>
        <v>77.36671902430011</v>
      </c>
    </row>
    <row r="819" spans="1:13" ht="15" hidden="1" customHeight="1" x14ac:dyDescent="0.3">
      <c r="A819" s="9">
        <v>2975</v>
      </c>
      <c r="B819" t="s">
        <v>265</v>
      </c>
      <c r="C819" s="25">
        <v>44662</v>
      </c>
      <c r="D819" s="26">
        <v>0.39542824074074073</v>
      </c>
      <c r="E819" s="8" t="s">
        <v>27</v>
      </c>
      <c r="F819" t="s">
        <v>210</v>
      </c>
      <c r="G819" t="s">
        <v>211</v>
      </c>
      <c r="H819" t="s">
        <v>519</v>
      </c>
      <c r="I819" s="4">
        <v>146.97999999999999</v>
      </c>
      <c r="J819" s="7">
        <v>0</v>
      </c>
      <c r="K819" s="90">
        <f t="shared" si="52"/>
        <v>550.30999999999995</v>
      </c>
      <c r="L819" s="32">
        <v>550.30999999999995</v>
      </c>
      <c r="M819" s="10">
        <f t="shared" si="53"/>
        <v>26.708582435354618</v>
      </c>
    </row>
    <row r="820" spans="1:13" ht="15" hidden="1" customHeight="1" x14ac:dyDescent="0.3">
      <c r="A820" s="9">
        <v>2976</v>
      </c>
      <c r="B820" t="s">
        <v>265</v>
      </c>
      <c r="C820" s="25">
        <v>44663</v>
      </c>
      <c r="D820" s="26">
        <v>0.79837962962962961</v>
      </c>
      <c r="E820" s="8" t="s">
        <v>27</v>
      </c>
      <c r="F820" t="s">
        <v>175</v>
      </c>
      <c r="G820" t="s">
        <v>172</v>
      </c>
      <c r="H820" t="s">
        <v>519</v>
      </c>
      <c r="I820" s="4">
        <f>27+343.04</f>
        <v>370.04</v>
      </c>
      <c r="J820" s="7">
        <v>0</v>
      </c>
      <c r="K820" s="97">
        <f t="shared" si="52"/>
        <v>700</v>
      </c>
      <c r="L820" s="37">
        <v>700</v>
      </c>
      <c r="M820" s="10">
        <f t="shared" si="53"/>
        <v>52.862857142857145</v>
      </c>
    </row>
    <row r="821" spans="1:13" ht="15" hidden="1" customHeight="1" x14ac:dyDescent="0.3">
      <c r="A821" s="9">
        <v>2977</v>
      </c>
      <c r="B821" t="s">
        <v>265</v>
      </c>
      <c r="C821" s="25">
        <v>44664</v>
      </c>
      <c r="D821" s="26">
        <v>0.82665509259259251</v>
      </c>
      <c r="E821" s="8" t="s">
        <v>27</v>
      </c>
      <c r="F821" t="s">
        <v>366</v>
      </c>
      <c r="G821" t="s">
        <v>367</v>
      </c>
      <c r="H821" t="s">
        <v>519</v>
      </c>
      <c r="I821" s="4">
        <v>100</v>
      </c>
      <c r="J821" s="7">
        <v>0</v>
      </c>
      <c r="K821" s="90">
        <f t="shared" si="52"/>
        <v>639.70000000000005</v>
      </c>
      <c r="L821" s="32">
        <v>639.70000000000005</v>
      </c>
      <c r="M821" s="10">
        <f t="shared" si="53"/>
        <v>15.63232765358762</v>
      </c>
    </row>
    <row r="822" spans="1:13" ht="15" hidden="1" customHeight="1" x14ac:dyDescent="0.3">
      <c r="A822" s="9">
        <v>2978</v>
      </c>
      <c r="B822" t="s">
        <v>265</v>
      </c>
      <c r="C822" s="25">
        <v>44664</v>
      </c>
      <c r="D822" s="26">
        <v>0.95798611111111109</v>
      </c>
      <c r="E822" s="8" t="s">
        <v>27</v>
      </c>
      <c r="F822" t="s">
        <v>210</v>
      </c>
      <c r="G822" t="s">
        <v>211</v>
      </c>
      <c r="H822" t="s">
        <v>519</v>
      </c>
      <c r="I822" s="4">
        <v>244.32</v>
      </c>
      <c r="J822" s="7">
        <v>0</v>
      </c>
      <c r="K822" s="90">
        <f t="shared" ref="K822:K837" si="54">+L822-J822</f>
        <v>199.53</v>
      </c>
      <c r="L822" s="32">
        <v>199.53</v>
      </c>
      <c r="M822" s="10">
        <f t="shared" si="53"/>
        <v>122.44775221771162</v>
      </c>
    </row>
    <row r="823" spans="1:13" ht="15" hidden="1" customHeight="1" x14ac:dyDescent="0.3">
      <c r="A823" s="9">
        <v>2979</v>
      </c>
      <c r="B823" t="s">
        <v>265</v>
      </c>
      <c r="C823" s="25">
        <v>44665</v>
      </c>
      <c r="D823" s="26">
        <v>0.72461805555555558</v>
      </c>
      <c r="E823" s="8" t="s">
        <v>27</v>
      </c>
      <c r="F823" t="s">
        <v>165</v>
      </c>
      <c r="G823" t="s">
        <v>185</v>
      </c>
      <c r="H823" t="s">
        <v>519</v>
      </c>
      <c r="I823" s="4">
        <v>236.28</v>
      </c>
      <c r="J823" s="7">
        <v>0</v>
      </c>
      <c r="K823" s="90">
        <f t="shared" si="54"/>
        <v>549.25</v>
      </c>
      <c r="L823" s="32">
        <v>549.25</v>
      </c>
      <c r="M823" s="10">
        <f t="shared" si="53"/>
        <v>43.018661811561223</v>
      </c>
    </row>
    <row r="824" spans="1:13" ht="15" hidden="1" customHeight="1" x14ac:dyDescent="0.3">
      <c r="A824" s="9">
        <v>2980</v>
      </c>
      <c r="B824" t="s">
        <v>265</v>
      </c>
      <c r="C824" s="25">
        <v>44666</v>
      </c>
      <c r="D824" s="26">
        <v>0.34050925925925929</v>
      </c>
      <c r="E824" s="8" t="s">
        <v>27</v>
      </c>
      <c r="F824" t="s">
        <v>210</v>
      </c>
      <c r="G824" t="s">
        <v>211</v>
      </c>
      <c r="H824" t="s">
        <v>519</v>
      </c>
      <c r="I824" s="4">
        <v>156.37</v>
      </c>
      <c r="J824" s="7">
        <v>0</v>
      </c>
      <c r="K824" s="90">
        <f t="shared" si="54"/>
        <v>516.17999999999995</v>
      </c>
      <c r="L824" s="32">
        <v>516.17999999999995</v>
      </c>
      <c r="M824" s="10">
        <f t="shared" si="53"/>
        <v>30.293695997520249</v>
      </c>
    </row>
    <row r="825" spans="1:13" ht="15" hidden="1" customHeight="1" x14ac:dyDescent="0.3">
      <c r="A825" s="9">
        <v>2981</v>
      </c>
      <c r="B825" t="s">
        <v>265</v>
      </c>
      <c r="C825" s="25">
        <v>44667</v>
      </c>
      <c r="D825" s="26">
        <v>0.71112268518518518</v>
      </c>
      <c r="E825" s="8" t="s">
        <v>27</v>
      </c>
      <c r="F825" t="s">
        <v>368</v>
      </c>
      <c r="G825" t="s">
        <v>369</v>
      </c>
      <c r="H825" t="s">
        <v>519</v>
      </c>
      <c r="I825" s="4">
        <v>150</v>
      </c>
      <c r="J825" s="7">
        <v>0</v>
      </c>
      <c r="K825" s="90">
        <f t="shared" si="54"/>
        <v>1050.0999999999999</v>
      </c>
      <c r="L825" s="32">
        <v>1050.0999999999999</v>
      </c>
      <c r="M825" s="10">
        <f t="shared" si="53"/>
        <v>14.284353871059901</v>
      </c>
    </row>
    <row r="826" spans="1:13" ht="15" hidden="1" customHeight="1" x14ac:dyDescent="0.3">
      <c r="A826" s="9">
        <v>2982</v>
      </c>
      <c r="B826" t="s">
        <v>265</v>
      </c>
      <c r="C826" s="25">
        <v>44669</v>
      </c>
      <c r="D826" s="26">
        <v>0.73806712962962961</v>
      </c>
      <c r="E826" s="8" t="s">
        <v>27</v>
      </c>
      <c r="F826" t="s">
        <v>456</v>
      </c>
      <c r="G826" t="s">
        <v>457</v>
      </c>
      <c r="H826" t="s">
        <v>519</v>
      </c>
      <c r="I826" s="4">
        <v>50.09</v>
      </c>
      <c r="J826" s="7">
        <v>0</v>
      </c>
      <c r="K826" s="90">
        <f t="shared" si="54"/>
        <v>453</v>
      </c>
      <c r="L826" s="32">
        <v>453</v>
      </c>
      <c r="M826" s="10">
        <f t="shared" si="53"/>
        <v>11.057395143487859</v>
      </c>
    </row>
    <row r="827" spans="1:13" ht="15" hidden="1" customHeight="1" x14ac:dyDescent="0.3">
      <c r="A827" s="9">
        <v>2983</v>
      </c>
      <c r="B827" t="s">
        <v>265</v>
      </c>
      <c r="C827" s="25">
        <v>44669</v>
      </c>
      <c r="D827" s="26">
        <v>0.79180555555555554</v>
      </c>
      <c r="E827" s="8" t="s">
        <v>27</v>
      </c>
      <c r="F827" t="s">
        <v>530</v>
      </c>
      <c r="G827" t="s">
        <v>489</v>
      </c>
      <c r="H827" t="s">
        <v>519</v>
      </c>
      <c r="I827" s="4">
        <v>345.73</v>
      </c>
      <c r="J827" s="30">
        <v>0</v>
      </c>
      <c r="K827" s="92">
        <f t="shared" si="54"/>
        <v>66</v>
      </c>
      <c r="L827" s="67">
        <v>66</v>
      </c>
      <c r="M827" s="10">
        <f t="shared" si="53"/>
        <v>523.83333333333337</v>
      </c>
    </row>
    <row r="828" spans="1:13" ht="15" hidden="1" customHeight="1" x14ac:dyDescent="0.3">
      <c r="A828" s="9">
        <v>2984</v>
      </c>
      <c r="B828" t="s">
        <v>265</v>
      </c>
      <c r="C828" s="25">
        <v>44669</v>
      </c>
      <c r="D828" s="26">
        <v>0.94335648148148143</v>
      </c>
      <c r="E828" s="8" t="s">
        <v>27</v>
      </c>
      <c r="F828" t="s">
        <v>210</v>
      </c>
      <c r="G828" t="s">
        <v>211</v>
      </c>
      <c r="H828" t="s">
        <v>519</v>
      </c>
      <c r="I828" s="4">
        <v>97.82</v>
      </c>
      <c r="J828" s="7">
        <v>0</v>
      </c>
      <c r="K828" s="90">
        <f t="shared" si="54"/>
        <v>246</v>
      </c>
      <c r="L828" s="32">
        <v>246</v>
      </c>
      <c r="M828" s="10">
        <f t="shared" si="53"/>
        <v>39.764227642276417</v>
      </c>
    </row>
    <row r="829" spans="1:13" ht="15" hidden="1" customHeight="1" x14ac:dyDescent="0.3">
      <c r="A829" s="9">
        <v>2985</v>
      </c>
      <c r="B829" t="s">
        <v>265</v>
      </c>
      <c r="C829" s="25">
        <v>44670</v>
      </c>
      <c r="D829" s="26">
        <v>0.70857638888888885</v>
      </c>
      <c r="E829" s="8" t="s">
        <v>27</v>
      </c>
      <c r="F829" t="s">
        <v>165</v>
      </c>
      <c r="G829" t="s">
        <v>185</v>
      </c>
      <c r="H829" t="s">
        <v>519</v>
      </c>
      <c r="I829" s="4">
        <v>239.25</v>
      </c>
      <c r="J829" s="7">
        <v>0</v>
      </c>
      <c r="K829" s="97">
        <f t="shared" si="54"/>
        <v>550.64</v>
      </c>
      <c r="L829" s="37">
        <v>550.64</v>
      </c>
      <c r="M829" s="10">
        <f t="shared" si="53"/>
        <v>43.449440650878977</v>
      </c>
    </row>
    <row r="830" spans="1:13" ht="15" hidden="1" customHeight="1" x14ac:dyDescent="0.3">
      <c r="A830" s="9">
        <v>2986</v>
      </c>
      <c r="B830" t="s">
        <v>265</v>
      </c>
      <c r="C830" s="25">
        <v>44671</v>
      </c>
      <c r="D830" s="26">
        <v>0.85047453703703713</v>
      </c>
      <c r="E830" s="8" t="s">
        <v>27</v>
      </c>
      <c r="F830" t="s">
        <v>202</v>
      </c>
      <c r="G830" t="s">
        <v>203</v>
      </c>
      <c r="H830" t="s">
        <v>519</v>
      </c>
      <c r="I830" s="4">
        <v>150</v>
      </c>
      <c r="J830" s="7">
        <v>0</v>
      </c>
      <c r="K830" s="89">
        <f t="shared" si="54"/>
        <v>1055</v>
      </c>
      <c r="L830" s="32">
        <v>1055</v>
      </c>
      <c r="M830" s="10">
        <f t="shared" si="53"/>
        <v>14.218009478672986</v>
      </c>
    </row>
    <row r="831" spans="1:13" ht="15" hidden="1" customHeight="1" x14ac:dyDescent="0.3">
      <c r="A831" s="9">
        <v>2987</v>
      </c>
      <c r="B831" t="s">
        <v>265</v>
      </c>
      <c r="C831" s="25">
        <v>44672</v>
      </c>
      <c r="D831" s="26">
        <v>0.56325231481481486</v>
      </c>
      <c r="E831" s="8" t="s">
        <v>27</v>
      </c>
      <c r="F831" t="s">
        <v>165</v>
      </c>
      <c r="G831" t="s">
        <v>185</v>
      </c>
      <c r="H831" t="s">
        <v>519</v>
      </c>
      <c r="I831" s="4">
        <v>365.78</v>
      </c>
      <c r="J831" s="30">
        <v>0</v>
      </c>
      <c r="K831" s="89">
        <f t="shared" si="54"/>
        <v>540.11</v>
      </c>
      <c r="L831" s="67">
        <v>540.11</v>
      </c>
      <c r="M831" s="10">
        <f t="shared" si="53"/>
        <v>67.723241561904047</v>
      </c>
    </row>
    <row r="832" spans="1:13" ht="15" hidden="1" customHeight="1" x14ac:dyDescent="0.3">
      <c r="A832" s="9">
        <v>2988</v>
      </c>
      <c r="B832" t="s">
        <v>265</v>
      </c>
      <c r="C832" s="25">
        <v>44673</v>
      </c>
      <c r="D832" s="26">
        <v>0.40076388888888892</v>
      </c>
      <c r="E832" s="8" t="s">
        <v>27</v>
      </c>
      <c r="F832" t="s">
        <v>210</v>
      </c>
      <c r="G832" t="s">
        <v>211</v>
      </c>
      <c r="H832" t="s">
        <v>519</v>
      </c>
      <c r="I832" s="4">
        <v>150</v>
      </c>
      <c r="J832" s="7">
        <v>0</v>
      </c>
      <c r="K832" s="89">
        <f t="shared" si="54"/>
        <v>550.95000000000005</v>
      </c>
      <c r="L832" s="32">
        <v>550.95000000000005</v>
      </c>
      <c r="M832" s="10">
        <f t="shared" si="53"/>
        <v>27.225701061802337</v>
      </c>
    </row>
    <row r="833" spans="1:13" ht="15" hidden="1" customHeight="1" x14ac:dyDescent="0.3">
      <c r="A833" s="9">
        <v>2989</v>
      </c>
      <c r="B833" t="s">
        <v>265</v>
      </c>
      <c r="C833" s="25">
        <v>44674</v>
      </c>
      <c r="D833" s="26">
        <v>0.88663194444444438</v>
      </c>
      <c r="E833" s="8" t="s">
        <v>27</v>
      </c>
      <c r="F833" t="s">
        <v>171</v>
      </c>
      <c r="G833" t="s">
        <v>172</v>
      </c>
      <c r="H833" t="s">
        <v>519</v>
      </c>
      <c r="I833" s="4">
        <v>410</v>
      </c>
      <c r="J833" s="7">
        <v>0</v>
      </c>
      <c r="K833" s="89">
        <f t="shared" si="54"/>
        <v>1238.26</v>
      </c>
      <c r="L833" s="32">
        <v>1238.26</v>
      </c>
      <c r="M833" s="10">
        <f t="shared" si="53"/>
        <v>33.110978308271285</v>
      </c>
    </row>
    <row r="834" spans="1:13" ht="15" hidden="1" customHeight="1" x14ac:dyDescent="0.3">
      <c r="A834" s="9">
        <v>2990</v>
      </c>
      <c r="B834" t="s">
        <v>265</v>
      </c>
      <c r="C834" s="25">
        <v>44675</v>
      </c>
      <c r="D834" s="26">
        <v>0.59180555555555558</v>
      </c>
      <c r="E834" s="8" t="s">
        <v>27</v>
      </c>
      <c r="F834" t="s">
        <v>166</v>
      </c>
      <c r="G834" t="s">
        <v>161</v>
      </c>
      <c r="H834" t="s">
        <v>519</v>
      </c>
      <c r="I834" s="4">
        <v>257.39999999999998</v>
      </c>
      <c r="J834" s="7">
        <v>0</v>
      </c>
      <c r="K834" s="89">
        <f t="shared" si="54"/>
        <v>618.4</v>
      </c>
      <c r="L834" s="37">
        <v>618.4</v>
      </c>
      <c r="M834" s="10">
        <f t="shared" si="53"/>
        <v>41.623544631306601</v>
      </c>
    </row>
    <row r="835" spans="1:13" ht="15" hidden="1" customHeight="1" x14ac:dyDescent="0.3">
      <c r="A835" s="9">
        <v>2991</v>
      </c>
      <c r="B835" t="s">
        <v>265</v>
      </c>
      <c r="C835" s="25">
        <v>44676</v>
      </c>
      <c r="D835" s="26">
        <v>5.7476851851851855E-2</v>
      </c>
      <c r="E835" s="8" t="s">
        <v>27</v>
      </c>
      <c r="F835" t="s">
        <v>165</v>
      </c>
      <c r="G835" t="s">
        <v>185</v>
      </c>
      <c r="H835" t="s">
        <v>519</v>
      </c>
      <c r="I835">
        <v>269.26</v>
      </c>
      <c r="J835" s="7">
        <v>0</v>
      </c>
      <c r="K835" s="89">
        <f t="shared" si="54"/>
        <v>592.36</v>
      </c>
      <c r="L835" s="7">
        <v>592.36</v>
      </c>
      <c r="M835" s="10">
        <f t="shared" si="53"/>
        <v>45.455466270511174</v>
      </c>
    </row>
    <row r="836" spans="1:13" ht="15" hidden="1" customHeight="1" x14ac:dyDescent="0.3">
      <c r="A836" s="9">
        <v>2992</v>
      </c>
      <c r="B836" t="s">
        <v>265</v>
      </c>
      <c r="C836" s="25">
        <v>44677</v>
      </c>
      <c r="D836" s="26">
        <v>0.10520833333333333</v>
      </c>
      <c r="E836" s="8" t="s">
        <v>27</v>
      </c>
      <c r="F836" t="s">
        <v>210</v>
      </c>
      <c r="G836" t="s">
        <v>211</v>
      </c>
      <c r="H836" t="s">
        <v>519</v>
      </c>
      <c r="I836">
        <v>226.82</v>
      </c>
      <c r="J836" s="34">
        <v>0</v>
      </c>
      <c r="K836" s="89">
        <f t="shared" si="54"/>
        <v>608.32000000000005</v>
      </c>
      <c r="L836" s="34">
        <v>608.32000000000005</v>
      </c>
      <c r="M836" s="10">
        <f t="shared" si="53"/>
        <v>37.286296685954753</v>
      </c>
    </row>
    <row r="837" spans="1:13" ht="15" hidden="1" customHeight="1" x14ac:dyDescent="0.3">
      <c r="A837" s="9">
        <v>3879</v>
      </c>
      <c r="B837" t="s">
        <v>265</v>
      </c>
      <c r="C837" s="25">
        <v>44686</v>
      </c>
      <c r="D837" s="26">
        <v>0.57451388888888888</v>
      </c>
      <c r="E837" s="8" t="s">
        <v>28</v>
      </c>
      <c r="F837" t="s">
        <v>518</v>
      </c>
      <c r="G837" t="s">
        <v>172</v>
      </c>
      <c r="H837" t="s">
        <v>519</v>
      </c>
      <c r="I837">
        <v>362</v>
      </c>
      <c r="J837" s="31">
        <v>0</v>
      </c>
      <c r="K837" s="89">
        <f t="shared" si="54"/>
        <v>1054.22</v>
      </c>
      <c r="L837" s="33">
        <v>1054.22</v>
      </c>
      <c r="M837" s="10">
        <f t="shared" si="53"/>
        <v>34.338183680825637</v>
      </c>
    </row>
    <row r="838" spans="1:13" ht="15" hidden="1" customHeight="1" x14ac:dyDescent="0.3">
      <c r="A838" s="9">
        <v>3937</v>
      </c>
      <c r="B838" t="s">
        <v>265</v>
      </c>
      <c r="C838" s="25">
        <v>44687</v>
      </c>
      <c r="D838" s="26">
        <v>0.60708333333333331</v>
      </c>
      <c r="E838" s="8" t="s">
        <v>28</v>
      </c>
      <c r="F838" t="s">
        <v>166</v>
      </c>
      <c r="G838" t="s">
        <v>161</v>
      </c>
      <c r="H838" t="s">
        <v>519</v>
      </c>
      <c r="I838">
        <v>296.62</v>
      </c>
      <c r="J838" s="7">
        <v>0</v>
      </c>
      <c r="K838" s="89">
        <f>+L838-J969</f>
        <v>758</v>
      </c>
      <c r="L838" s="32">
        <v>758</v>
      </c>
      <c r="M838" s="10">
        <f t="shared" si="53"/>
        <v>39.131926121372032</v>
      </c>
    </row>
    <row r="839" spans="1:13" ht="15" hidden="1" customHeight="1" x14ac:dyDescent="0.3">
      <c r="A839" s="9">
        <v>3983</v>
      </c>
      <c r="B839" t="s">
        <v>265</v>
      </c>
      <c r="C839" s="25">
        <v>44688</v>
      </c>
      <c r="D839" s="26">
        <v>6.0578703703703697E-2</v>
      </c>
      <c r="E839" s="8" t="s">
        <v>28</v>
      </c>
      <c r="F839" t="s">
        <v>165</v>
      </c>
      <c r="G839" t="s">
        <v>185</v>
      </c>
      <c r="H839" t="s">
        <v>519</v>
      </c>
      <c r="I839">
        <v>230.08</v>
      </c>
      <c r="J839" s="34">
        <v>0</v>
      </c>
      <c r="K839" s="89">
        <f>+L839-J970</f>
        <v>591</v>
      </c>
      <c r="L839" s="37">
        <v>591</v>
      </c>
      <c r="M839" s="10">
        <f t="shared" si="53"/>
        <v>38.930626057529608</v>
      </c>
    </row>
    <row r="840" spans="1:13" ht="15" hidden="1" customHeight="1" x14ac:dyDescent="0.3">
      <c r="A840" s="9">
        <v>3984</v>
      </c>
      <c r="B840" t="s">
        <v>265</v>
      </c>
      <c r="C840" s="25">
        <v>44688</v>
      </c>
      <c r="D840" s="26">
        <v>0.96936342592592595</v>
      </c>
      <c r="E840" s="8" t="s">
        <v>28</v>
      </c>
      <c r="F840" t="s">
        <v>210</v>
      </c>
      <c r="G840" t="s">
        <v>211</v>
      </c>
      <c r="H840" t="s">
        <v>519</v>
      </c>
      <c r="I840">
        <v>156.88999999999999</v>
      </c>
      <c r="J840" s="31">
        <v>0</v>
      </c>
      <c r="K840" s="89">
        <f>+L840-J971</f>
        <v>551</v>
      </c>
      <c r="L840" s="33">
        <v>551</v>
      </c>
      <c r="M840" s="10">
        <f t="shared" si="53"/>
        <v>28.473684210526311</v>
      </c>
    </row>
    <row r="841" spans="1:13" ht="15" hidden="1" customHeight="1" x14ac:dyDescent="0.3">
      <c r="A841" s="9">
        <v>4119</v>
      </c>
      <c r="B841" t="s">
        <v>265</v>
      </c>
      <c r="C841" s="25">
        <v>44691</v>
      </c>
      <c r="D841" s="26">
        <v>0.49447916666666664</v>
      </c>
      <c r="E841" s="8" t="s">
        <v>28</v>
      </c>
      <c r="F841" t="s">
        <v>175</v>
      </c>
      <c r="G841" t="s">
        <v>172</v>
      </c>
      <c r="H841" t="s">
        <v>519</v>
      </c>
      <c r="I841">
        <v>344.7</v>
      </c>
      <c r="J841" s="7">
        <v>0</v>
      </c>
      <c r="K841" s="89">
        <f>+L841-J974</f>
        <v>1057</v>
      </c>
      <c r="L841" s="32">
        <v>1057</v>
      </c>
      <c r="M841" s="10">
        <f t="shared" si="53"/>
        <v>32.611163670766317</v>
      </c>
    </row>
    <row r="842" spans="1:13" ht="15" hidden="1" customHeight="1" x14ac:dyDescent="0.3">
      <c r="A842" s="9">
        <v>4120</v>
      </c>
      <c r="B842" t="s">
        <v>265</v>
      </c>
      <c r="C842" s="25">
        <v>44691</v>
      </c>
      <c r="D842" s="26">
        <v>0.98159722222222223</v>
      </c>
      <c r="E842" s="8" t="s">
        <v>28</v>
      </c>
      <c r="F842" t="s">
        <v>210</v>
      </c>
      <c r="G842" t="s">
        <v>211</v>
      </c>
      <c r="H842" t="s">
        <v>519</v>
      </c>
      <c r="I842">
        <v>280.49</v>
      </c>
      <c r="J842" s="7">
        <v>0</v>
      </c>
      <c r="K842" s="89">
        <f>+L842-J975</f>
        <v>698</v>
      </c>
      <c r="L842" s="32">
        <v>698</v>
      </c>
      <c r="M842" s="10">
        <f t="shared" si="53"/>
        <v>40.184813753581658</v>
      </c>
    </row>
    <row r="843" spans="1:13" ht="15" hidden="1" customHeight="1" x14ac:dyDescent="0.3">
      <c r="A843" s="9">
        <v>4241</v>
      </c>
      <c r="B843" t="s">
        <v>265</v>
      </c>
      <c r="C843" s="25">
        <v>44693</v>
      </c>
      <c r="D843" s="26">
        <v>0.4798263888888889</v>
      </c>
      <c r="E843" s="8" t="s">
        <v>28</v>
      </c>
      <c r="F843" t="s">
        <v>166</v>
      </c>
      <c r="G843" t="s">
        <v>161</v>
      </c>
      <c r="H843" t="s">
        <v>519</v>
      </c>
      <c r="I843">
        <v>401.87</v>
      </c>
      <c r="J843" s="31">
        <v>0</v>
      </c>
      <c r="K843" s="89">
        <f>+L843-J977</f>
        <v>1144</v>
      </c>
      <c r="L843" s="33">
        <v>1144</v>
      </c>
      <c r="M843" s="10">
        <f t="shared" si="53"/>
        <v>35.128496503496507</v>
      </c>
    </row>
    <row r="844" spans="1:13" ht="15" hidden="1" customHeight="1" x14ac:dyDescent="0.3">
      <c r="A844" s="9">
        <v>4277</v>
      </c>
      <c r="B844" t="s">
        <v>265</v>
      </c>
      <c r="C844" s="25">
        <v>44694</v>
      </c>
      <c r="D844" s="26">
        <v>0.98366898148148152</v>
      </c>
      <c r="E844" s="8" t="s">
        <v>28</v>
      </c>
      <c r="F844" t="s">
        <v>197</v>
      </c>
      <c r="G844" t="s">
        <v>44</v>
      </c>
      <c r="H844" t="s">
        <v>519</v>
      </c>
      <c r="I844">
        <v>88.92</v>
      </c>
      <c r="J844" s="7">
        <v>0</v>
      </c>
      <c r="K844" s="89">
        <f>+L844-J1117</f>
        <v>1075</v>
      </c>
      <c r="L844" s="32">
        <v>1075</v>
      </c>
      <c r="M844" s="10">
        <f t="shared" si="53"/>
        <v>8.2716279069767449</v>
      </c>
    </row>
    <row r="845" spans="1:13" ht="15" hidden="1" customHeight="1" x14ac:dyDescent="0.3">
      <c r="A845" s="9">
        <v>4324</v>
      </c>
      <c r="B845" t="s">
        <v>265</v>
      </c>
      <c r="C845" s="25">
        <v>44695</v>
      </c>
      <c r="D845" s="26">
        <v>8.9050925925925936E-2</v>
      </c>
      <c r="E845" s="8" t="s">
        <v>28</v>
      </c>
      <c r="F845" t="s">
        <v>311</v>
      </c>
      <c r="G845" t="s">
        <v>303</v>
      </c>
      <c r="H845" t="s">
        <v>519</v>
      </c>
      <c r="I845">
        <v>397.79</v>
      </c>
      <c r="J845" s="34">
        <v>0</v>
      </c>
      <c r="K845" s="89">
        <f>+L845-J1118</f>
        <v>157</v>
      </c>
      <c r="L845" s="37">
        <v>157</v>
      </c>
      <c r="M845" s="10">
        <f t="shared" si="53"/>
        <v>253.36942675159239</v>
      </c>
    </row>
    <row r="846" spans="1:13" ht="15" hidden="1" customHeight="1" x14ac:dyDescent="0.3">
      <c r="A846" s="9">
        <v>4325</v>
      </c>
      <c r="B846" t="s">
        <v>265</v>
      </c>
      <c r="C846" s="25">
        <v>44695</v>
      </c>
      <c r="D846" s="26">
        <v>0.67678240740740747</v>
      </c>
      <c r="E846" s="8" t="s">
        <v>28</v>
      </c>
      <c r="F846" t="s">
        <v>210</v>
      </c>
      <c r="G846" t="s">
        <v>211</v>
      </c>
      <c r="H846" t="s">
        <v>519</v>
      </c>
      <c r="I846">
        <v>178.58</v>
      </c>
      <c r="J846" s="7">
        <v>0</v>
      </c>
      <c r="K846" s="89">
        <f>+L846-J1119</f>
        <v>432</v>
      </c>
      <c r="L846" s="32">
        <v>432</v>
      </c>
      <c r="M846" s="10">
        <f t="shared" si="53"/>
        <v>41.337962962962962</v>
      </c>
    </row>
    <row r="847" spans="1:13" ht="15" hidden="1" customHeight="1" x14ac:dyDescent="0.3">
      <c r="A847" s="9">
        <v>4387</v>
      </c>
      <c r="B847" t="s">
        <v>265</v>
      </c>
      <c r="C847" s="25">
        <v>44696</v>
      </c>
      <c r="D847" s="26">
        <v>0.4384953703703704</v>
      </c>
      <c r="E847" s="8" t="s">
        <v>28</v>
      </c>
      <c r="F847" t="s">
        <v>165</v>
      </c>
      <c r="G847" t="s">
        <v>185</v>
      </c>
      <c r="H847" t="s">
        <v>519</v>
      </c>
      <c r="I847">
        <v>240.79</v>
      </c>
      <c r="J847" s="34">
        <v>0</v>
      </c>
      <c r="K847" s="89">
        <f>+L847-J1120</f>
        <v>550</v>
      </c>
      <c r="L847" s="32">
        <v>550</v>
      </c>
      <c r="M847" s="10">
        <f t="shared" si="53"/>
        <v>43.779999999999994</v>
      </c>
    </row>
    <row r="848" spans="1:13" ht="15" hidden="1" customHeight="1" x14ac:dyDescent="0.3">
      <c r="A848" s="9">
        <v>4407</v>
      </c>
      <c r="B848" t="s">
        <v>265</v>
      </c>
      <c r="C848" s="25">
        <v>44696</v>
      </c>
      <c r="D848" s="26">
        <v>0.80218750000000005</v>
      </c>
      <c r="E848" s="8" t="s">
        <v>28</v>
      </c>
      <c r="F848" t="s">
        <v>166</v>
      </c>
      <c r="G848" t="s">
        <v>161</v>
      </c>
      <c r="H848" t="s">
        <v>519</v>
      </c>
      <c r="I848">
        <v>100</v>
      </c>
      <c r="J848" s="34">
        <v>0</v>
      </c>
      <c r="K848" s="89">
        <f>+L848-J1120</f>
        <v>592</v>
      </c>
      <c r="L848" s="37">
        <v>592</v>
      </c>
      <c r="M848" s="10">
        <f t="shared" si="53"/>
        <v>16.891891891891891</v>
      </c>
    </row>
    <row r="849" spans="1:13" ht="15" hidden="1" customHeight="1" x14ac:dyDescent="0.3">
      <c r="A849" s="9">
        <v>4456</v>
      </c>
      <c r="B849" t="s">
        <v>265</v>
      </c>
      <c r="C849" s="25">
        <v>44697</v>
      </c>
      <c r="D849" s="26">
        <v>0.45995370370370375</v>
      </c>
      <c r="E849" s="8" t="s">
        <v>28</v>
      </c>
      <c r="F849" t="s">
        <v>169</v>
      </c>
      <c r="G849" t="s">
        <v>196</v>
      </c>
      <c r="H849" t="s">
        <v>519</v>
      </c>
      <c r="I849">
        <v>190.07</v>
      </c>
      <c r="J849" s="7">
        <v>0</v>
      </c>
      <c r="K849" s="89">
        <f>+L849-J1121</f>
        <v>420</v>
      </c>
      <c r="L849" s="32">
        <v>420</v>
      </c>
      <c r="M849" s="10">
        <f t="shared" si="53"/>
        <v>45.254761904761907</v>
      </c>
    </row>
    <row r="850" spans="1:13" ht="15" hidden="1" customHeight="1" x14ac:dyDescent="0.3">
      <c r="A850" s="9">
        <v>4499</v>
      </c>
      <c r="B850" t="s">
        <v>265</v>
      </c>
      <c r="C850" s="25">
        <v>44698</v>
      </c>
      <c r="D850" s="26">
        <v>0.79718750000000005</v>
      </c>
      <c r="E850" s="8" t="s">
        <v>28</v>
      </c>
      <c r="F850" t="s">
        <v>166</v>
      </c>
      <c r="G850" t="s">
        <v>161</v>
      </c>
      <c r="H850" t="s">
        <v>519</v>
      </c>
      <c r="I850">
        <v>306.98</v>
      </c>
      <c r="J850" s="7">
        <v>0</v>
      </c>
      <c r="K850" s="89">
        <f>+L850-J1121</f>
        <v>122</v>
      </c>
      <c r="L850" s="32">
        <v>122</v>
      </c>
      <c r="M850" s="10">
        <f t="shared" ref="M850:M881" si="55">I850/K850*100</f>
        <v>251.62295081967216</v>
      </c>
    </row>
    <row r="851" spans="1:13" ht="15" hidden="1" customHeight="1" x14ac:dyDescent="0.3">
      <c r="A851" s="9">
        <v>4509</v>
      </c>
      <c r="B851" t="s">
        <v>265</v>
      </c>
      <c r="C851" s="25">
        <v>44698</v>
      </c>
      <c r="D851" s="26">
        <v>0.49712962962962964</v>
      </c>
      <c r="E851" s="8" t="s">
        <v>28</v>
      </c>
      <c r="F851" t="s">
        <v>541</v>
      </c>
      <c r="G851" t="s">
        <v>542</v>
      </c>
      <c r="H851" t="s">
        <v>519</v>
      </c>
      <c r="I851">
        <v>50</v>
      </c>
      <c r="J851" s="7">
        <v>0</v>
      </c>
      <c r="K851" s="89">
        <f>+L851-J1122</f>
        <v>706</v>
      </c>
      <c r="L851" s="32">
        <v>706</v>
      </c>
      <c r="M851" s="10">
        <f t="shared" si="55"/>
        <v>7.0821529745042495</v>
      </c>
    </row>
    <row r="852" spans="1:13" ht="15" hidden="1" customHeight="1" x14ac:dyDescent="0.3">
      <c r="A852" s="9">
        <v>4510</v>
      </c>
      <c r="B852" t="s">
        <v>265</v>
      </c>
      <c r="C852" s="25">
        <v>44698</v>
      </c>
      <c r="D852" s="26">
        <v>0.72287037037037039</v>
      </c>
      <c r="E852" s="8" t="s">
        <v>28</v>
      </c>
      <c r="F852" t="s">
        <v>366</v>
      </c>
      <c r="G852" t="s">
        <v>367</v>
      </c>
      <c r="H852" t="s">
        <v>519</v>
      </c>
      <c r="I852">
        <v>100</v>
      </c>
      <c r="J852" s="34">
        <v>0</v>
      </c>
      <c r="K852" s="89">
        <f>+L852-J1123</f>
        <v>337</v>
      </c>
      <c r="L852" s="37">
        <v>337</v>
      </c>
      <c r="M852" s="10">
        <f t="shared" si="55"/>
        <v>29.673590504451035</v>
      </c>
    </row>
    <row r="853" spans="1:13" ht="15" hidden="1" customHeight="1" x14ac:dyDescent="0.3">
      <c r="A853" s="9">
        <v>4555</v>
      </c>
      <c r="B853" t="s">
        <v>265</v>
      </c>
      <c r="C853" s="25">
        <v>44699</v>
      </c>
      <c r="D853" s="26">
        <v>0.6932060185185186</v>
      </c>
      <c r="E853" s="8" t="s">
        <v>28</v>
      </c>
      <c r="F853" t="s">
        <v>278</v>
      </c>
      <c r="G853" t="s">
        <v>279</v>
      </c>
      <c r="H853" t="s">
        <v>519</v>
      </c>
      <c r="I853">
        <v>319.56</v>
      </c>
      <c r="J853" s="31">
        <v>0</v>
      </c>
      <c r="K853" s="89">
        <f>+L853-J1124</f>
        <v>791</v>
      </c>
      <c r="L853" s="33">
        <v>791</v>
      </c>
      <c r="M853" s="10">
        <f t="shared" si="55"/>
        <v>40.399494310998733</v>
      </c>
    </row>
    <row r="854" spans="1:13" ht="15" hidden="1" customHeight="1" x14ac:dyDescent="0.3">
      <c r="A854" s="9">
        <v>4617</v>
      </c>
      <c r="B854" t="s">
        <v>265</v>
      </c>
      <c r="C854" s="25">
        <v>44700</v>
      </c>
      <c r="D854" s="26">
        <v>0.4750462962962963</v>
      </c>
      <c r="E854" s="8" t="s">
        <v>28</v>
      </c>
      <c r="F854" t="s">
        <v>340</v>
      </c>
      <c r="G854" t="s">
        <v>337</v>
      </c>
      <c r="H854" t="s">
        <v>519</v>
      </c>
      <c r="I854">
        <v>195.04</v>
      </c>
      <c r="J854" s="7">
        <v>0</v>
      </c>
      <c r="K854" s="89">
        <f>+L854-J1124</f>
        <v>657</v>
      </c>
      <c r="L854" s="32">
        <v>657</v>
      </c>
      <c r="M854" s="10">
        <f t="shared" si="55"/>
        <v>29.686453576864537</v>
      </c>
    </row>
    <row r="855" spans="1:13" ht="15" hidden="1" customHeight="1" x14ac:dyDescent="0.3">
      <c r="A855" s="9">
        <v>4663</v>
      </c>
      <c r="B855" t="s">
        <v>265</v>
      </c>
      <c r="C855" s="25">
        <v>44701</v>
      </c>
      <c r="D855" s="26">
        <v>0.1653587962962963</v>
      </c>
      <c r="E855" s="8" t="s">
        <v>28</v>
      </c>
      <c r="F855" t="s">
        <v>165</v>
      </c>
      <c r="G855" t="s">
        <v>185</v>
      </c>
      <c r="H855" t="s">
        <v>519</v>
      </c>
      <c r="I855">
        <v>306.89</v>
      </c>
      <c r="J855" s="7">
        <v>0</v>
      </c>
      <c r="K855" s="89">
        <f t="shared" ref="K855:K867" si="56">+L855-J1119</f>
        <v>804</v>
      </c>
      <c r="L855" s="37">
        <v>804</v>
      </c>
      <c r="M855" s="10">
        <f t="shared" si="55"/>
        <v>38.170398009950247</v>
      </c>
    </row>
    <row r="856" spans="1:13" ht="15" hidden="1" customHeight="1" x14ac:dyDescent="0.3">
      <c r="A856" s="9">
        <v>4726</v>
      </c>
      <c r="B856" t="s">
        <v>265</v>
      </c>
      <c r="C856" s="25">
        <v>44702</v>
      </c>
      <c r="D856" s="26">
        <v>0.42521990740740739</v>
      </c>
      <c r="E856" s="8" t="s">
        <v>28</v>
      </c>
      <c r="F856" t="s">
        <v>169</v>
      </c>
      <c r="G856" t="s">
        <v>196</v>
      </c>
      <c r="H856" t="s">
        <v>519</v>
      </c>
      <c r="I856">
        <v>100</v>
      </c>
      <c r="J856" s="7">
        <v>0</v>
      </c>
      <c r="K856" s="89">
        <f t="shared" si="56"/>
        <v>1012</v>
      </c>
      <c r="L856" s="33">
        <v>1012</v>
      </c>
      <c r="M856" s="10">
        <f t="shared" si="55"/>
        <v>9.8814229249011856</v>
      </c>
    </row>
    <row r="857" spans="1:13" ht="15" hidden="1" customHeight="1" x14ac:dyDescent="0.3">
      <c r="A857" s="9">
        <v>4727</v>
      </c>
      <c r="B857" t="s">
        <v>265</v>
      </c>
      <c r="C857" s="25">
        <v>44702</v>
      </c>
      <c r="D857" s="26">
        <v>0.66284722222222225</v>
      </c>
      <c r="E857" s="8" t="s">
        <v>28</v>
      </c>
      <c r="F857" t="s">
        <v>624</v>
      </c>
      <c r="G857" t="s">
        <v>277</v>
      </c>
      <c r="H857" t="s">
        <v>519</v>
      </c>
      <c r="I857">
        <f>100.27+162.39</f>
        <v>262.65999999999997</v>
      </c>
      <c r="J857" s="11">
        <v>0</v>
      </c>
      <c r="K857" s="89">
        <f t="shared" si="56"/>
        <v>284</v>
      </c>
      <c r="L857" s="32">
        <v>284</v>
      </c>
      <c r="M857" s="10">
        <f t="shared" si="55"/>
        <v>92.485915492957744</v>
      </c>
    </row>
    <row r="858" spans="1:13" ht="15" hidden="1" customHeight="1" x14ac:dyDescent="0.3">
      <c r="A858" s="9">
        <v>4774</v>
      </c>
      <c r="B858" t="s">
        <v>265</v>
      </c>
      <c r="C858" s="25">
        <v>44703</v>
      </c>
      <c r="D858" s="26">
        <v>0.86980324074074078</v>
      </c>
      <c r="E858" s="8" t="s">
        <v>28</v>
      </c>
      <c r="F858" t="s">
        <v>210</v>
      </c>
      <c r="G858" t="s">
        <v>211</v>
      </c>
      <c r="H858" t="s">
        <v>519</v>
      </c>
      <c r="I858">
        <v>362.74</v>
      </c>
      <c r="J858" s="7">
        <v>0</v>
      </c>
      <c r="K858" s="89">
        <f t="shared" si="56"/>
        <v>962</v>
      </c>
      <c r="L858" s="32">
        <v>962</v>
      </c>
      <c r="M858" s="10">
        <f t="shared" si="55"/>
        <v>37.706860706860709</v>
      </c>
    </row>
    <row r="859" spans="1:13" ht="15" hidden="1" customHeight="1" x14ac:dyDescent="0.3">
      <c r="A859" s="9">
        <v>4826</v>
      </c>
      <c r="B859" t="s">
        <v>265</v>
      </c>
      <c r="C859" s="25">
        <v>44704</v>
      </c>
      <c r="D859" s="26">
        <v>0.6664930555555556</v>
      </c>
      <c r="E859" s="8" t="s">
        <v>28</v>
      </c>
      <c r="F859" t="s">
        <v>278</v>
      </c>
      <c r="G859" t="s">
        <v>279</v>
      </c>
      <c r="H859" t="s">
        <v>519</v>
      </c>
      <c r="I859">
        <v>273.06</v>
      </c>
      <c r="J859" s="7">
        <v>0</v>
      </c>
      <c r="K859" s="89">
        <f t="shared" si="56"/>
        <v>715</v>
      </c>
      <c r="L859" s="37">
        <v>715</v>
      </c>
      <c r="M859" s="10">
        <f t="shared" si="55"/>
        <v>38.190209790209792</v>
      </c>
    </row>
    <row r="860" spans="1:13" ht="15" hidden="1" customHeight="1" x14ac:dyDescent="0.3">
      <c r="A860" s="9">
        <v>4827</v>
      </c>
      <c r="B860" t="s">
        <v>265</v>
      </c>
      <c r="C860" s="25">
        <v>44704</v>
      </c>
      <c r="D860" s="26">
        <v>0.88874999999999993</v>
      </c>
      <c r="E860" s="8" t="s">
        <v>28</v>
      </c>
      <c r="F860" t="s">
        <v>210</v>
      </c>
      <c r="G860" t="s">
        <v>211</v>
      </c>
      <c r="H860" t="s">
        <v>519</v>
      </c>
      <c r="I860">
        <v>101.03</v>
      </c>
      <c r="J860" s="7">
        <v>0</v>
      </c>
      <c r="K860" s="89">
        <f t="shared" si="56"/>
        <v>351</v>
      </c>
      <c r="L860" s="32">
        <v>351</v>
      </c>
      <c r="M860" s="10">
        <f t="shared" si="55"/>
        <v>28.783475783475783</v>
      </c>
    </row>
    <row r="861" spans="1:13" ht="15" hidden="1" customHeight="1" x14ac:dyDescent="0.3">
      <c r="A861" s="9">
        <v>4944</v>
      </c>
      <c r="B861" t="s">
        <v>265</v>
      </c>
      <c r="C861" s="25">
        <v>44706</v>
      </c>
      <c r="D861" s="26">
        <v>0.50914351851851858</v>
      </c>
      <c r="E861" s="8" t="s">
        <v>28</v>
      </c>
      <c r="F861" t="s">
        <v>197</v>
      </c>
      <c r="G861" t="s">
        <v>44</v>
      </c>
      <c r="H861" t="s">
        <v>519</v>
      </c>
      <c r="I861">
        <v>115.68</v>
      </c>
      <c r="J861" s="7">
        <v>0</v>
      </c>
      <c r="K861" s="89">
        <f t="shared" si="56"/>
        <v>1155</v>
      </c>
      <c r="L861" s="32">
        <v>1155</v>
      </c>
      <c r="M861" s="10">
        <f t="shared" si="55"/>
        <v>10.015584415584417</v>
      </c>
    </row>
    <row r="862" spans="1:13" ht="15" hidden="1" customHeight="1" x14ac:dyDescent="0.3">
      <c r="A862" s="9">
        <v>4945</v>
      </c>
      <c r="B862" t="s">
        <v>265</v>
      </c>
      <c r="C862" s="25">
        <v>44706</v>
      </c>
      <c r="D862" s="26">
        <v>0.65895833333333331</v>
      </c>
      <c r="E862" s="8" t="s">
        <v>28</v>
      </c>
      <c r="F862" t="s">
        <v>559</v>
      </c>
      <c r="G862" t="s">
        <v>303</v>
      </c>
      <c r="H862" t="s">
        <v>519</v>
      </c>
      <c r="I862">
        <v>358.92</v>
      </c>
      <c r="J862" s="7">
        <v>0</v>
      </c>
      <c r="K862" s="89">
        <f t="shared" si="56"/>
        <v>158</v>
      </c>
      <c r="L862" s="32">
        <v>158</v>
      </c>
      <c r="M862" s="10">
        <f t="shared" si="55"/>
        <v>227.1645569620253</v>
      </c>
    </row>
    <row r="863" spans="1:13" ht="15" hidden="1" customHeight="1" x14ac:dyDescent="0.3">
      <c r="A863" s="9">
        <v>4946</v>
      </c>
      <c r="B863" t="s">
        <v>265</v>
      </c>
      <c r="C863" s="25">
        <v>44706</v>
      </c>
      <c r="D863" s="26">
        <v>0.94107638888888889</v>
      </c>
      <c r="E863" s="8" t="s">
        <v>28</v>
      </c>
      <c r="F863" t="s">
        <v>210</v>
      </c>
      <c r="G863" t="s">
        <v>211</v>
      </c>
      <c r="H863" t="s">
        <v>519</v>
      </c>
      <c r="I863">
        <v>159.41</v>
      </c>
      <c r="J863" s="7">
        <v>0</v>
      </c>
      <c r="K863" s="89">
        <f t="shared" si="56"/>
        <v>419</v>
      </c>
      <c r="L863" s="72">
        <v>419</v>
      </c>
      <c r="M863" s="10">
        <f t="shared" si="55"/>
        <v>38.045346062052502</v>
      </c>
    </row>
    <row r="864" spans="1:13" ht="15" hidden="1" customHeight="1" x14ac:dyDescent="0.3">
      <c r="A864" s="9">
        <v>4991</v>
      </c>
      <c r="B864" t="s">
        <v>265</v>
      </c>
      <c r="C864" s="25">
        <v>44707</v>
      </c>
      <c r="D864" s="26">
        <v>0.88677083333333329</v>
      </c>
      <c r="E864" s="8" t="s">
        <v>28</v>
      </c>
      <c r="F864" t="s">
        <v>645</v>
      </c>
      <c r="G864" t="s">
        <v>279</v>
      </c>
      <c r="H864" t="s">
        <v>519</v>
      </c>
      <c r="I864">
        <v>280.01</v>
      </c>
      <c r="J864" s="7">
        <v>0</v>
      </c>
      <c r="K864" s="89">
        <f t="shared" si="56"/>
        <v>716</v>
      </c>
      <c r="L864" s="123">
        <v>716</v>
      </c>
      <c r="M864" s="10">
        <f t="shared" si="55"/>
        <v>39.107541899441337</v>
      </c>
    </row>
    <row r="865" spans="1:13" ht="15" hidden="1" customHeight="1" x14ac:dyDescent="0.3">
      <c r="A865" s="9">
        <v>5041</v>
      </c>
      <c r="B865" t="s">
        <v>265</v>
      </c>
      <c r="C865" s="25">
        <v>44708</v>
      </c>
      <c r="D865" s="26">
        <v>0.10055555555555555</v>
      </c>
      <c r="E865" s="8" t="s">
        <v>28</v>
      </c>
      <c r="F865" t="s">
        <v>634</v>
      </c>
      <c r="G865" t="s">
        <v>211</v>
      </c>
      <c r="H865" t="s">
        <v>519</v>
      </c>
      <c r="I865">
        <v>86.04</v>
      </c>
      <c r="J865" s="7">
        <v>0</v>
      </c>
      <c r="K865" s="89">
        <f t="shared" si="56"/>
        <v>350</v>
      </c>
      <c r="L865" s="142">
        <v>350</v>
      </c>
      <c r="M865" s="10">
        <f t="shared" si="55"/>
        <v>24.582857142857144</v>
      </c>
    </row>
    <row r="866" spans="1:13" ht="15" hidden="1" customHeight="1" x14ac:dyDescent="0.3">
      <c r="A866" s="9">
        <v>5097</v>
      </c>
      <c r="B866" t="s">
        <v>265</v>
      </c>
      <c r="C866" s="25">
        <v>44709</v>
      </c>
      <c r="D866" s="26">
        <v>0.4384953703703704</v>
      </c>
      <c r="E866" s="8" t="s">
        <v>28</v>
      </c>
      <c r="F866" t="s">
        <v>673</v>
      </c>
      <c r="G866" t="s">
        <v>172</v>
      </c>
      <c r="H866" t="s">
        <v>519</v>
      </c>
      <c r="I866">
        <v>299.18</v>
      </c>
      <c r="J866" s="7">
        <v>0</v>
      </c>
      <c r="K866" s="89">
        <f t="shared" si="56"/>
        <v>956</v>
      </c>
      <c r="L866" s="123">
        <v>956</v>
      </c>
      <c r="M866" s="36">
        <f t="shared" si="55"/>
        <v>31.29497907949791</v>
      </c>
    </row>
    <row r="867" spans="1:13" ht="15" hidden="1" customHeight="1" x14ac:dyDescent="0.3">
      <c r="A867" s="9">
        <v>5157</v>
      </c>
      <c r="B867" t="s">
        <v>265</v>
      </c>
      <c r="C867" s="25">
        <v>44710</v>
      </c>
      <c r="D867" s="26">
        <v>0.61249999999999993</v>
      </c>
      <c r="E867" s="8" t="s">
        <v>28</v>
      </c>
      <c r="F867" t="s">
        <v>674</v>
      </c>
      <c r="G867" t="s">
        <v>487</v>
      </c>
      <c r="H867" t="s">
        <v>519</v>
      </c>
      <c r="I867">
        <v>302.13</v>
      </c>
      <c r="J867" s="7">
        <v>0</v>
      </c>
      <c r="K867" s="89">
        <f t="shared" si="56"/>
        <v>751</v>
      </c>
      <c r="L867" s="123">
        <v>751</v>
      </c>
      <c r="M867" s="36">
        <f t="shared" si="55"/>
        <v>40.230359520639148</v>
      </c>
    </row>
    <row r="868" spans="1:13" ht="15" hidden="1" customHeight="1" x14ac:dyDescent="0.3">
      <c r="A868" s="9">
        <v>5206</v>
      </c>
      <c r="B868" t="s">
        <v>265</v>
      </c>
      <c r="C868" s="25">
        <v>44711</v>
      </c>
      <c r="D868" s="26">
        <v>0.36804398148148149</v>
      </c>
      <c r="E868" s="8" t="s">
        <v>28</v>
      </c>
      <c r="F868" t="s">
        <v>635</v>
      </c>
      <c r="G868" t="s">
        <v>185</v>
      </c>
      <c r="H868" t="s">
        <v>519</v>
      </c>
      <c r="I868">
        <v>286.02999999999997</v>
      </c>
      <c r="J868" s="32">
        <v>0</v>
      </c>
      <c r="K868" s="89">
        <f>+L868-J1131</f>
        <v>621</v>
      </c>
      <c r="L868" s="34">
        <v>621</v>
      </c>
      <c r="M868" s="36">
        <f t="shared" si="55"/>
        <v>46.059581320450881</v>
      </c>
    </row>
    <row r="869" spans="1:13" ht="15" hidden="1" customHeight="1" x14ac:dyDescent="0.3">
      <c r="A869" s="9">
        <v>5207</v>
      </c>
      <c r="B869" t="s">
        <v>265</v>
      </c>
      <c r="C869" s="25">
        <v>44711</v>
      </c>
      <c r="D869" s="26">
        <v>0.83792824074074079</v>
      </c>
      <c r="E869" s="8" t="s">
        <v>28</v>
      </c>
      <c r="F869" t="s">
        <v>632</v>
      </c>
      <c r="G869" t="s">
        <v>161</v>
      </c>
      <c r="H869" t="s">
        <v>519</v>
      </c>
      <c r="I869">
        <v>141.57</v>
      </c>
      <c r="J869" s="32">
        <v>0</v>
      </c>
      <c r="K869" s="89">
        <f>+L869-J1132</f>
        <v>592</v>
      </c>
      <c r="L869" s="7">
        <v>592</v>
      </c>
      <c r="M869" s="10">
        <f t="shared" si="55"/>
        <v>23.913851351351351</v>
      </c>
    </row>
    <row r="870" spans="1:13" ht="15" hidden="1" customHeight="1" x14ac:dyDescent="0.3">
      <c r="A870" s="9">
        <v>5284</v>
      </c>
      <c r="B870" t="s">
        <v>265</v>
      </c>
      <c r="C870" s="25">
        <v>44713</v>
      </c>
      <c r="D870" s="26">
        <v>3.1145833333333334E-2</v>
      </c>
      <c r="E870" s="8" t="s">
        <v>29</v>
      </c>
      <c r="F870" t="s">
        <v>638</v>
      </c>
      <c r="G870" t="s">
        <v>263</v>
      </c>
      <c r="H870" t="s">
        <v>519</v>
      </c>
      <c r="I870">
        <v>200.79</v>
      </c>
      <c r="J870" s="32">
        <v>0</v>
      </c>
      <c r="K870" s="89">
        <f>+L870-J1131</f>
        <v>826</v>
      </c>
      <c r="L870" s="7">
        <v>826</v>
      </c>
      <c r="M870" s="36">
        <f t="shared" si="55"/>
        <v>24.308716707021791</v>
      </c>
    </row>
    <row r="871" spans="1:13" ht="15" hidden="1" customHeight="1" x14ac:dyDescent="0.3">
      <c r="A871" s="9">
        <v>5285</v>
      </c>
      <c r="B871" t="s">
        <v>265</v>
      </c>
      <c r="C871" s="25">
        <v>44713</v>
      </c>
      <c r="D871" s="26">
        <v>0.97137731481481471</v>
      </c>
      <c r="E871" s="8" t="s">
        <v>29</v>
      </c>
      <c r="F871" t="s">
        <v>694</v>
      </c>
      <c r="G871" t="s">
        <v>489</v>
      </c>
      <c r="H871" t="s">
        <v>519</v>
      </c>
      <c r="I871">
        <v>345.64</v>
      </c>
      <c r="J871" s="32">
        <v>0</v>
      </c>
      <c r="K871" s="89">
        <f>+L871-J1132</f>
        <v>707</v>
      </c>
      <c r="L871" s="7">
        <v>707</v>
      </c>
      <c r="M871" s="10">
        <f t="shared" si="55"/>
        <v>48.888260254596887</v>
      </c>
    </row>
    <row r="872" spans="1:13" ht="15" hidden="1" customHeight="1" x14ac:dyDescent="0.3">
      <c r="A872" s="9">
        <v>5351</v>
      </c>
      <c r="B872" t="s">
        <v>265</v>
      </c>
      <c r="C872" s="25">
        <v>44714</v>
      </c>
      <c r="D872" s="26">
        <v>0.63159722222222225</v>
      </c>
      <c r="E872" s="8" t="s">
        <v>29</v>
      </c>
      <c r="F872" t="s">
        <v>645</v>
      </c>
      <c r="G872" t="s">
        <v>279</v>
      </c>
      <c r="H872" t="s">
        <v>519</v>
      </c>
      <c r="I872">
        <v>233.16</v>
      </c>
      <c r="J872" s="33">
        <v>0</v>
      </c>
      <c r="K872" s="89">
        <f>+L872-J1131</f>
        <v>588</v>
      </c>
      <c r="L872" s="31">
        <v>588</v>
      </c>
      <c r="M872" s="10">
        <f t="shared" si="55"/>
        <v>39.653061224489797</v>
      </c>
    </row>
    <row r="873" spans="1:13" ht="15" hidden="1" customHeight="1" x14ac:dyDescent="0.3">
      <c r="A873" s="9">
        <v>5352</v>
      </c>
      <c r="B873" t="s">
        <v>265</v>
      </c>
      <c r="C873" s="25">
        <v>44714</v>
      </c>
      <c r="D873" s="26">
        <v>0.97142361111111108</v>
      </c>
      <c r="E873" s="8" t="s">
        <v>29</v>
      </c>
      <c r="F873" t="s">
        <v>645</v>
      </c>
      <c r="G873" t="s">
        <v>279</v>
      </c>
      <c r="H873" t="s">
        <v>519</v>
      </c>
      <c r="I873">
        <v>128.87</v>
      </c>
      <c r="J873" s="33">
        <v>0</v>
      </c>
      <c r="K873" s="89">
        <f>+L873-J1132</f>
        <v>339</v>
      </c>
      <c r="L873" s="31">
        <v>339</v>
      </c>
      <c r="M873" s="10">
        <f t="shared" si="55"/>
        <v>38.014749262536874</v>
      </c>
    </row>
    <row r="874" spans="1:13" ht="15" hidden="1" customHeight="1" x14ac:dyDescent="0.3">
      <c r="A874" s="9">
        <v>5415</v>
      </c>
      <c r="B874" t="s">
        <v>265</v>
      </c>
      <c r="C874" s="25">
        <v>44715</v>
      </c>
      <c r="D874" s="26">
        <v>0.17460648148148147</v>
      </c>
      <c r="E874" s="8" t="s">
        <v>29</v>
      </c>
      <c r="F874" t="s">
        <v>634</v>
      </c>
      <c r="G874" t="s">
        <v>211</v>
      </c>
      <c r="H874" t="s">
        <v>519</v>
      </c>
      <c r="I874">
        <v>112.99</v>
      </c>
      <c r="J874" s="32">
        <v>0</v>
      </c>
      <c r="K874" s="89">
        <f>+L874-J1133</f>
        <v>350</v>
      </c>
      <c r="L874" s="7">
        <v>350</v>
      </c>
      <c r="M874" s="10">
        <f t="shared" si="55"/>
        <v>32.282857142857139</v>
      </c>
    </row>
    <row r="875" spans="1:13" ht="15" hidden="1" customHeight="1" x14ac:dyDescent="0.3">
      <c r="A875" s="9">
        <v>5466</v>
      </c>
      <c r="B875" t="s">
        <v>265</v>
      </c>
      <c r="C875" s="25">
        <v>44716</v>
      </c>
      <c r="D875" s="26">
        <v>0.42785879629629631</v>
      </c>
      <c r="E875" s="8" t="s">
        <v>29</v>
      </c>
      <c r="F875" t="s">
        <v>673</v>
      </c>
      <c r="G875" t="s">
        <v>172</v>
      </c>
      <c r="H875" t="s">
        <v>519</v>
      </c>
      <c r="I875">
        <v>326.29000000000002</v>
      </c>
      <c r="J875" s="38">
        <v>0</v>
      </c>
      <c r="K875" s="89">
        <f>+L875-J1129</f>
        <v>851</v>
      </c>
      <c r="L875" s="35">
        <v>851</v>
      </c>
      <c r="M875" s="10">
        <f t="shared" si="55"/>
        <v>38.341950646298471</v>
      </c>
    </row>
    <row r="876" spans="1:13" ht="15" hidden="1" customHeight="1" x14ac:dyDescent="0.3">
      <c r="A876" s="9">
        <v>5987</v>
      </c>
      <c r="B876" t="s">
        <v>265</v>
      </c>
      <c r="C876" s="25">
        <v>44726</v>
      </c>
      <c r="D876" s="26">
        <v>0.53365740740740741</v>
      </c>
      <c r="E876" s="8" t="s">
        <v>29</v>
      </c>
      <c r="F876" t="s">
        <v>672</v>
      </c>
      <c r="G876" t="s">
        <v>367</v>
      </c>
      <c r="H876" t="s">
        <v>519</v>
      </c>
      <c r="I876">
        <v>50</v>
      </c>
      <c r="J876" s="32">
        <v>0</v>
      </c>
      <c r="K876" s="89">
        <v>662</v>
      </c>
      <c r="L876" s="7">
        <v>662</v>
      </c>
      <c r="M876" s="10">
        <f t="shared" si="55"/>
        <v>7.5528700906344408</v>
      </c>
    </row>
    <row r="877" spans="1:13" ht="15" hidden="1" customHeight="1" x14ac:dyDescent="0.3">
      <c r="A877" s="9">
        <v>5988</v>
      </c>
      <c r="B877" t="s">
        <v>265</v>
      </c>
      <c r="C877" s="25">
        <v>44726</v>
      </c>
      <c r="D877" s="26">
        <v>0.63836805555555554</v>
      </c>
      <c r="E877" s="8" t="s">
        <v>29</v>
      </c>
      <c r="F877" t="s">
        <v>717</v>
      </c>
      <c r="G877" t="s">
        <v>487</v>
      </c>
      <c r="H877" t="s">
        <v>519</v>
      </c>
      <c r="I877">
        <v>269.18</v>
      </c>
      <c r="J877" s="32">
        <v>0</v>
      </c>
      <c r="K877" s="89">
        <v>110</v>
      </c>
      <c r="L877" s="7">
        <v>110</v>
      </c>
      <c r="M877" s="10">
        <f t="shared" si="55"/>
        <v>244.70909090909089</v>
      </c>
    </row>
    <row r="878" spans="1:13" ht="15" hidden="1" customHeight="1" x14ac:dyDescent="0.3">
      <c r="A878" s="9">
        <v>6050</v>
      </c>
      <c r="B878" t="s">
        <v>265</v>
      </c>
      <c r="C878" s="25">
        <v>44727</v>
      </c>
      <c r="D878" s="26">
        <v>0.63005787037037042</v>
      </c>
      <c r="E878" s="8" t="s">
        <v>29</v>
      </c>
      <c r="F878" t="s">
        <v>634</v>
      </c>
      <c r="G878" t="s">
        <v>211</v>
      </c>
      <c r="H878" t="s">
        <v>519</v>
      </c>
      <c r="I878">
        <v>346.64</v>
      </c>
      <c r="J878" s="33">
        <v>0</v>
      </c>
      <c r="K878" s="89">
        <v>990</v>
      </c>
      <c r="L878" s="7">
        <v>990</v>
      </c>
      <c r="M878" s="10">
        <f t="shared" si="55"/>
        <v>35.014141414141413</v>
      </c>
    </row>
    <row r="879" spans="1:13" ht="15" hidden="1" customHeight="1" x14ac:dyDescent="0.3">
      <c r="A879" s="9">
        <v>6163</v>
      </c>
      <c r="B879" t="s">
        <v>265</v>
      </c>
      <c r="C879" s="25">
        <v>44729</v>
      </c>
      <c r="D879" s="26">
        <v>0.64896990740740745</v>
      </c>
      <c r="E879" s="8" t="s">
        <v>29</v>
      </c>
      <c r="F879" t="s">
        <v>638</v>
      </c>
      <c r="G879" t="s">
        <v>263</v>
      </c>
      <c r="H879" t="s">
        <v>519</v>
      </c>
      <c r="I879">
        <v>200</v>
      </c>
      <c r="J879" s="32">
        <v>0</v>
      </c>
      <c r="K879" s="89">
        <v>1149</v>
      </c>
      <c r="L879" s="11">
        <v>1149</v>
      </c>
      <c r="M879" s="10">
        <f t="shared" si="55"/>
        <v>17.406440382941689</v>
      </c>
    </row>
    <row r="880" spans="1:13" ht="15" hidden="1" customHeight="1" x14ac:dyDescent="0.3">
      <c r="A880" s="9">
        <v>6164</v>
      </c>
      <c r="B880" t="s">
        <v>265</v>
      </c>
      <c r="C880" s="25">
        <v>44729</v>
      </c>
      <c r="D880" s="26">
        <v>0.69513888888888886</v>
      </c>
      <c r="E880" s="8" t="s">
        <v>29</v>
      </c>
      <c r="F880" t="s">
        <v>639</v>
      </c>
      <c r="G880" t="s">
        <v>44</v>
      </c>
      <c r="H880" t="s">
        <v>519</v>
      </c>
      <c r="I880">
        <v>203.15</v>
      </c>
      <c r="J880" s="37">
        <v>0</v>
      </c>
      <c r="K880" s="89">
        <v>47</v>
      </c>
      <c r="L880" s="7">
        <v>47</v>
      </c>
      <c r="M880" s="10">
        <f t="shared" si="55"/>
        <v>432.2340425531915</v>
      </c>
    </row>
    <row r="881" spans="1:13" ht="15" hidden="1" customHeight="1" x14ac:dyDescent="0.3">
      <c r="A881" s="9">
        <v>6214</v>
      </c>
      <c r="B881" t="s">
        <v>265</v>
      </c>
      <c r="C881" s="25">
        <v>44730</v>
      </c>
      <c r="D881" s="26">
        <v>4.1608796296296297E-2</v>
      </c>
      <c r="E881" s="8" t="s">
        <v>29</v>
      </c>
      <c r="F881" t="s">
        <v>674</v>
      </c>
      <c r="G881" t="s">
        <v>487</v>
      </c>
      <c r="H881" t="s">
        <v>519</v>
      </c>
      <c r="I881">
        <v>205.39</v>
      </c>
      <c r="J881" s="32">
        <v>0</v>
      </c>
      <c r="K881" s="89">
        <v>505</v>
      </c>
      <c r="L881" s="34">
        <v>505</v>
      </c>
      <c r="M881" s="10">
        <f t="shared" si="55"/>
        <v>40.671287128712869</v>
      </c>
    </row>
    <row r="882" spans="1:13" ht="15" hidden="1" customHeight="1" x14ac:dyDescent="0.3">
      <c r="A882" s="9">
        <v>6215</v>
      </c>
      <c r="B882" t="s">
        <v>265</v>
      </c>
      <c r="C882" s="25">
        <v>44730</v>
      </c>
      <c r="D882" s="26">
        <v>0.66636574074074073</v>
      </c>
      <c r="E882" s="8" t="s">
        <v>29</v>
      </c>
      <c r="F882" t="s">
        <v>707</v>
      </c>
      <c r="G882" t="s">
        <v>45</v>
      </c>
      <c r="H882" t="s">
        <v>519</v>
      </c>
      <c r="I882">
        <v>251.48</v>
      </c>
      <c r="J882" s="33">
        <v>0</v>
      </c>
      <c r="K882" s="89">
        <v>557</v>
      </c>
      <c r="L882" s="7">
        <v>557</v>
      </c>
      <c r="M882" s="10">
        <f t="shared" ref="M882:M894" si="57">I882/K882*100</f>
        <v>45.149012567324952</v>
      </c>
    </row>
    <row r="883" spans="1:13" ht="15" hidden="1" customHeight="1" x14ac:dyDescent="0.3">
      <c r="A883" s="9">
        <v>6267</v>
      </c>
      <c r="B883" t="s">
        <v>265</v>
      </c>
      <c r="C883" s="25">
        <v>44732</v>
      </c>
      <c r="D883" s="26">
        <v>0.74010416666666667</v>
      </c>
      <c r="E883" s="8" t="s">
        <v>29</v>
      </c>
      <c r="F883" t="s">
        <v>634</v>
      </c>
      <c r="G883" t="s">
        <v>211</v>
      </c>
      <c r="H883" t="s">
        <v>519</v>
      </c>
      <c r="I883">
        <v>180.97</v>
      </c>
      <c r="J883" s="32">
        <v>0</v>
      </c>
      <c r="K883" s="89">
        <v>487</v>
      </c>
      <c r="L883" s="7">
        <v>487</v>
      </c>
      <c r="M883" s="10">
        <f t="shared" si="57"/>
        <v>37.160164271047229</v>
      </c>
    </row>
    <row r="884" spans="1:13" ht="15" hidden="1" customHeight="1" x14ac:dyDescent="0.3">
      <c r="A884" s="9">
        <v>6299</v>
      </c>
      <c r="B884" t="s">
        <v>265</v>
      </c>
      <c r="C884" s="25">
        <v>44733</v>
      </c>
      <c r="D884" s="26">
        <v>0.92090277777777774</v>
      </c>
      <c r="E884" s="8" t="s">
        <v>29</v>
      </c>
      <c r="F884" t="s">
        <v>673</v>
      </c>
      <c r="G884" t="s">
        <v>172</v>
      </c>
      <c r="H884" t="s">
        <v>519</v>
      </c>
      <c r="I884">
        <v>306.26</v>
      </c>
      <c r="J884" s="32">
        <v>0</v>
      </c>
      <c r="K884" s="89">
        <v>924</v>
      </c>
      <c r="L884" s="34">
        <v>924</v>
      </c>
      <c r="M884" s="10">
        <f t="shared" si="57"/>
        <v>33.145021645021643</v>
      </c>
    </row>
    <row r="885" spans="1:13" ht="15" hidden="1" customHeight="1" x14ac:dyDescent="0.3">
      <c r="A885" s="9">
        <v>6389</v>
      </c>
      <c r="B885" t="s">
        <v>265</v>
      </c>
      <c r="C885" s="25">
        <v>44735</v>
      </c>
      <c r="D885" s="26">
        <v>4.8101851851851847E-2</v>
      </c>
      <c r="E885" s="8" t="s">
        <v>29</v>
      </c>
      <c r="F885" t="s">
        <v>674</v>
      </c>
      <c r="G885" t="s">
        <v>487</v>
      </c>
      <c r="H885" t="s">
        <v>519</v>
      </c>
      <c r="I885">
        <v>312.3</v>
      </c>
      <c r="J885" s="37">
        <v>0</v>
      </c>
      <c r="K885" s="89">
        <v>752</v>
      </c>
      <c r="L885" s="29">
        <v>752</v>
      </c>
      <c r="M885" s="10">
        <f t="shared" si="57"/>
        <v>41.529255319148938</v>
      </c>
    </row>
    <row r="886" spans="1:13" ht="15" hidden="1" customHeight="1" x14ac:dyDescent="0.3">
      <c r="A886" s="9">
        <v>6390</v>
      </c>
      <c r="B886" t="s">
        <v>265</v>
      </c>
      <c r="C886" s="25">
        <v>44735</v>
      </c>
      <c r="D886" s="26">
        <v>0.71378472222222211</v>
      </c>
      <c r="E886" s="8" t="s">
        <v>29</v>
      </c>
      <c r="F886" t="s">
        <v>645</v>
      </c>
      <c r="G886" t="s">
        <v>279</v>
      </c>
      <c r="H886" t="s">
        <v>519</v>
      </c>
      <c r="I886">
        <v>244.45</v>
      </c>
      <c r="J886" s="32">
        <v>0</v>
      </c>
      <c r="K886" s="89">
        <v>630</v>
      </c>
      <c r="L886" s="28">
        <v>630</v>
      </c>
      <c r="M886" s="10">
        <f t="shared" si="57"/>
        <v>38.801587301587297</v>
      </c>
    </row>
    <row r="887" spans="1:13" ht="15" hidden="1" customHeight="1" x14ac:dyDescent="0.3">
      <c r="A887" s="9">
        <v>6438</v>
      </c>
      <c r="B887" t="s">
        <v>265</v>
      </c>
      <c r="C887" s="25">
        <v>44736</v>
      </c>
      <c r="D887" s="26">
        <v>0.74851851851851858</v>
      </c>
      <c r="E887" s="8" t="s">
        <v>29</v>
      </c>
      <c r="F887" t="s">
        <v>637</v>
      </c>
      <c r="G887" t="s">
        <v>196</v>
      </c>
      <c r="H887" t="s">
        <v>519</v>
      </c>
      <c r="I887">
        <v>224.37</v>
      </c>
      <c r="J887" s="32">
        <v>0</v>
      </c>
      <c r="K887" s="89">
        <v>863</v>
      </c>
      <c r="L887" s="7">
        <v>836</v>
      </c>
      <c r="M887" s="10">
        <f t="shared" si="57"/>
        <v>25.998841251448436</v>
      </c>
    </row>
    <row r="888" spans="1:13" ht="15" hidden="1" customHeight="1" x14ac:dyDescent="0.3">
      <c r="A888" s="9">
        <v>6497</v>
      </c>
      <c r="B888" t="s">
        <v>265</v>
      </c>
      <c r="C888" s="25">
        <v>44737</v>
      </c>
      <c r="D888" s="26">
        <v>0.57582175925925927</v>
      </c>
      <c r="E888" s="8" t="s">
        <v>29</v>
      </c>
      <c r="F888" t="s">
        <v>673</v>
      </c>
      <c r="G888" t="s">
        <v>172</v>
      </c>
      <c r="H888" t="s">
        <v>519</v>
      </c>
      <c r="I888">
        <v>178.01</v>
      </c>
      <c r="J888" s="32">
        <v>0</v>
      </c>
      <c r="K888" s="89">
        <v>463</v>
      </c>
      <c r="L888" s="7">
        <v>463</v>
      </c>
      <c r="M888" s="10">
        <f t="shared" si="57"/>
        <v>38.447084233261336</v>
      </c>
    </row>
    <row r="889" spans="1:13" ht="15" hidden="1" customHeight="1" x14ac:dyDescent="0.3">
      <c r="A889" s="9">
        <v>6548</v>
      </c>
      <c r="B889" t="s">
        <v>265</v>
      </c>
      <c r="C889" s="25">
        <v>44738</v>
      </c>
      <c r="D889" s="26">
        <v>0.47443287037037035</v>
      </c>
      <c r="E889" s="8" t="s">
        <v>29</v>
      </c>
      <c r="F889" t="s">
        <v>674</v>
      </c>
      <c r="G889" t="s">
        <v>487</v>
      </c>
      <c r="H889" t="s">
        <v>519</v>
      </c>
      <c r="I889">
        <v>281.70999999999998</v>
      </c>
      <c r="J889" s="32">
        <v>0</v>
      </c>
      <c r="K889" s="89">
        <v>755</v>
      </c>
      <c r="L889" s="7">
        <v>755</v>
      </c>
      <c r="M889" s="10">
        <f t="shared" si="57"/>
        <v>37.312582781456946</v>
      </c>
    </row>
    <row r="890" spans="1:13" ht="15" hidden="1" customHeight="1" x14ac:dyDescent="0.3">
      <c r="A890" s="9">
        <v>6549</v>
      </c>
      <c r="B890" t="s">
        <v>265</v>
      </c>
      <c r="C890" s="25">
        <v>44738</v>
      </c>
      <c r="D890" s="26">
        <v>0.97976851851851843</v>
      </c>
      <c r="E890" s="8" t="s">
        <v>29</v>
      </c>
      <c r="F890" t="s">
        <v>635</v>
      </c>
      <c r="G890" t="s">
        <v>185</v>
      </c>
      <c r="H890" t="s">
        <v>519</v>
      </c>
      <c r="I890">
        <v>271.02999999999997</v>
      </c>
      <c r="J890" s="32">
        <v>0</v>
      </c>
      <c r="K890" s="89">
        <v>621</v>
      </c>
      <c r="L890" s="7">
        <v>621</v>
      </c>
      <c r="M890" s="10">
        <f t="shared" si="57"/>
        <v>43.644122383252814</v>
      </c>
    </row>
    <row r="891" spans="1:13" ht="15" hidden="1" customHeight="1" x14ac:dyDescent="0.3">
      <c r="A891" s="9">
        <v>6598</v>
      </c>
      <c r="B891" t="s">
        <v>265</v>
      </c>
      <c r="C891" s="25">
        <v>44739</v>
      </c>
      <c r="D891" s="26">
        <v>0.583125</v>
      </c>
      <c r="E891" s="8" t="s">
        <v>29</v>
      </c>
      <c r="F891" t="s">
        <v>634</v>
      </c>
      <c r="G891" t="s">
        <v>211</v>
      </c>
      <c r="H891" t="s">
        <v>519</v>
      </c>
      <c r="I891">
        <v>133.22</v>
      </c>
      <c r="J891" s="32">
        <v>0</v>
      </c>
      <c r="K891" s="89">
        <v>515</v>
      </c>
      <c r="L891" s="7">
        <v>515</v>
      </c>
      <c r="M891" s="10">
        <f t="shared" si="57"/>
        <v>25.867961165048541</v>
      </c>
    </row>
    <row r="892" spans="1:13" ht="15" hidden="1" customHeight="1" x14ac:dyDescent="0.3">
      <c r="A892" s="9">
        <v>6718</v>
      </c>
      <c r="B892" t="s">
        <v>265</v>
      </c>
      <c r="C892" s="25">
        <v>44741</v>
      </c>
      <c r="D892" s="26">
        <v>0.47001157407407407</v>
      </c>
      <c r="E892" s="8" t="s">
        <v>29</v>
      </c>
      <c r="F892" t="s">
        <v>638</v>
      </c>
      <c r="G892" t="s">
        <v>263</v>
      </c>
      <c r="H892" t="s">
        <v>519</v>
      </c>
      <c r="I892">
        <v>174.26</v>
      </c>
      <c r="J892" s="32">
        <v>0</v>
      </c>
      <c r="K892" s="89">
        <v>1133</v>
      </c>
      <c r="L892" s="7">
        <v>1133</v>
      </c>
      <c r="M892" s="10">
        <f t="shared" si="57"/>
        <v>15.380406001765223</v>
      </c>
    </row>
    <row r="893" spans="1:13" ht="15" hidden="1" customHeight="1" x14ac:dyDescent="0.3">
      <c r="A893" s="9">
        <v>6719</v>
      </c>
      <c r="B893" t="s">
        <v>265</v>
      </c>
      <c r="C893" s="25">
        <v>44741</v>
      </c>
      <c r="D893" s="26">
        <v>0.50711805555555556</v>
      </c>
      <c r="E893" s="8" t="s">
        <v>29</v>
      </c>
      <c r="F893" t="s">
        <v>639</v>
      </c>
      <c r="G893" t="s">
        <v>44</v>
      </c>
      <c r="H893" t="s">
        <v>519</v>
      </c>
      <c r="I893">
        <v>291.29000000000002</v>
      </c>
      <c r="J893" s="32">
        <v>0</v>
      </c>
      <c r="K893" s="89">
        <v>47</v>
      </c>
      <c r="L893" s="7">
        <v>47</v>
      </c>
      <c r="M893" s="10">
        <f t="shared" si="57"/>
        <v>619.76595744680856</v>
      </c>
    </row>
    <row r="894" spans="1:13" ht="15" hidden="1" customHeight="1" x14ac:dyDescent="0.3">
      <c r="A894" s="9">
        <v>6720</v>
      </c>
      <c r="B894" t="s">
        <v>265</v>
      </c>
      <c r="C894" s="25">
        <v>44741</v>
      </c>
      <c r="D894" s="26">
        <v>0.85682870370370379</v>
      </c>
      <c r="E894" s="8" t="s">
        <v>29</v>
      </c>
      <c r="F894" t="s">
        <v>717</v>
      </c>
      <c r="G894" t="s">
        <v>487</v>
      </c>
      <c r="H894" t="s">
        <v>519</v>
      </c>
      <c r="I894">
        <v>99.36</v>
      </c>
      <c r="J894" s="32">
        <v>0</v>
      </c>
      <c r="K894" s="90">
        <v>499</v>
      </c>
      <c r="L894" s="7">
        <v>499</v>
      </c>
      <c r="M894" s="10">
        <f t="shared" si="57"/>
        <v>19.91182364729459</v>
      </c>
    </row>
    <row r="895" spans="1:13" ht="15" hidden="1" customHeight="1" x14ac:dyDescent="0.3">
      <c r="A895" s="9">
        <v>6751</v>
      </c>
      <c r="B895" t="s">
        <v>265</v>
      </c>
      <c r="C895" s="25">
        <v>44742</v>
      </c>
      <c r="D895" s="26">
        <v>0.69560185185185175</v>
      </c>
      <c r="E895" s="8" t="s">
        <v>29</v>
      </c>
      <c r="F895" t="s">
        <v>278</v>
      </c>
      <c r="G895" t="s">
        <v>279</v>
      </c>
      <c r="H895" t="s">
        <v>519</v>
      </c>
      <c r="I895">
        <v>302.07</v>
      </c>
      <c r="J895" s="8"/>
      <c r="K895" s="44">
        <v>57282</v>
      </c>
      <c r="L895" s="44">
        <f>+K895-J895</f>
        <v>57282</v>
      </c>
      <c r="M895" s="10">
        <f>I895/L895*100</f>
        <v>0.52733843092070809</v>
      </c>
    </row>
    <row r="896" spans="1:13" ht="15" hidden="1" customHeight="1" x14ac:dyDescent="0.3">
      <c r="A896" s="9">
        <v>6751</v>
      </c>
      <c r="B896" t="s">
        <v>265</v>
      </c>
      <c r="C896" s="25">
        <v>44742</v>
      </c>
      <c r="D896" s="26">
        <v>0.98317129629629629</v>
      </c>
      <c r="E896" s="8" t="s">
        <v>29</v>
      </c>
      <c r="F896" t="s">
        <v>166</v>
      </c>
      <c r="G896" t="s">
        <v>161</v>
      </c>
      <c r="H896" t="s">
        <v>519</v>
      </c>
      <c r="I896">
        <v>118.86</v>
      </c>
      <c r="J896" s="54"/>
      <c r="K896" s="54">
        <v>57715</v>
      </c>
      <c r="L896" s="54">
        <f>+K896-J896</f>
        <v>57715</v>
      </c>
      <c r="M896" s="131">
        <f>I896/L896*100</f>
        <v>0.20594299575500302</v>
      </c>
    </row>
    <row r="897" spans="2:20" ht="15" hidden="1" customHeight="1" x14ac:dyDescent="0.3">
      <c r="B897" t="s">
        <v>317</v>
      </c>
      <c r="C897" s="25">
        <v>44681</v>
      </c>
      <c r="D897" s="26">
        <v>0.50806712962962963</v>
      </c>
      <c r="E897" s="8" t="s">
        <v>580</v>
      </c>
      <c r="F897" t="s">
        <v>165</v>
      </c>
      <c r="G897" t="s">
        <v>185</v>
      </c>
      <c r="H897" t="s">
        <v>427</v>
      </c>
      <c r="I897" s="8">
        <v>265.78500000000003</v>
      </c>
      <c r="J897" s="32">
        <v>0</v>
      </c>
      <c r="K897" s="90">
        <f>+L897-J1035</f>
        <v>153.76</v>
      </c>
      <c r="L897" s="32">
        <v>153.76</v>
      </c>
      <c r="M897" s="91">
        <f>I897/L897*100</f>
        <v>172.85704994797089</v>
      </c>
      <c r="O897" s="4" t="s">
        <v>73</v>
      </c>
      <c r="S897"/>
      <c r="T897"/>
    </row>
    <row r="898" spans="2:20" ht="15" hidden="1" customHeight="1" x14ac:dyDescent="0.3">
      <c r="B898" t="s">
        <v>551</v>
      </c>
      <c r="C898" s="25">
        <v>44681</v>
      </c>
      <c r="D898" s="26">
        <v>0.80798611111111107</v>
      </c>
      <c r="E898" s="8" t="s">
        <v>580</v>
      </c>
      <c r="F898" t="s">
        <v>210</v>
      </c>
      <c r="G898" t="s">
        <v>211</v>
      </c>
      <c r="H898" t="s">
        <v>140</v>
      </c>
      <c r="I898">
        <v>383.26</v>
      </c>
      <c r="J898" s="37">
        <v>0</v>
      </c>
      <c r="K898" s="92">
        <f>+L898-J1035</f>
        <v>1064</v>
      </c>
      <c r="L898" s="37">
        <v>1064</v>
      </c>
      <c r="M898" s="61">
        <f>I898/K898*100</f>
        <v>36.020676691729321</v>
      </c>
      <c r="S898"/>
      <c r="T898"/>
    </row>
    <row r="899" spans="2:20" ht="15" hidden="1" customHeight="1" x14ac:dyDescent="0.3">
      <c r="B899" t="s">
        <v>273</v>
      </c>
      <c r="C899" s="25">
        <v>44681</v>
      </c>
      <c r="D899" s="26">
        <v>0.73600694444444448</v>
      </c>
      <c r="E899" s="8" t="s">
        <v>580</v>
      </c>
      <c r="F899" t="s">
        <v>165</v>
      </c>
      <c r="G899" t="s">
        <v>185</v>
      </c>
      <c r="H899" t="s">
        <v>120</v>
      </c>
      <c r="I899">
        <v>190</v>
      </c>
      <c r="J899" s="32">
        <v>0</v>
      </c>
      <c r="K899" s="89">
        <f>+L899-J1035</f>
        <v>427.7</v>
      </c>
      <c r="L899" s="7">
        <v>427.7</v>
      </c>
      <c r="M899" s="10">
        <f>I899/L899*100</f>
        <v>44.423661444938041</v>
      </c>
      <c r="S899"/>
    </row>
    <row r="900" spans="2:20" ht="15" hidden="1" customHeight="1" x14ac:dyDescent="0.3">
      <c r="B900" t="s">
        <v>236</v>
      </c>
      <c r="C900" s="25">
        <v>44681</v>
      </c>
      <c r="D900" s="26">
        <v>3.9375E-2</v>
      </c>
      <c r="E900" s="8" t="s">
        <v>580</v>
      </c>
      <c r="F900" t="s">
        <v>583</v>
      </c>
      <c r="G900" t="s">
        <v>506</v>
      </c>
      <c r="H900" t="s">
        <v>243</v>
      </c>
      <c r="I900" s="128">
        <v>281.08999999999997</v>
      </c>
      <c r="J900" s="23"/>
      <c r="K900" s="89">
        <f>+L900-J1038</f>
        <v>15466</v>
      </c>
      <c r="L900" s="8">
        <v>15466</v>
      </c>
      <c r="M900" s="10">
        <f>I900/K900*100</f>
        <v>1.8174705806284754</v>
      </c>
      <c r="S900"/>
      <c r="T900"/>
    </row>
    <row r="901" spans="2:20" ht="15" hidden="1" customHeight="1" x14ac:dyDescent="0.3">
      <c r="B901" t="s">
        <v>236</v>
      </c>
      <c r="C901" s="25">
        <v>44681</v>
      </c>
      <c r="D901" s="26">
        <v>0.72281249999999997</v>
      </c>
      <c r="E901" s="8" t="s">
        <v>580</v>
      </c>
      <c r="F901" t="s">
        <v>291</v>
      </c>
      <c r="G901" t="s">
        <v>292</v>
      </c>
      <c r="H901" t="s">
        <v>243</v>
      </c>
      <c r="I901" s="128">
        <v>115.59</v>
      </c>
      <c r="J901" s="23"/>
      <c r="K901" s="89">
        <f>+L901-J1039</f>
        <v>200000</v>
      </c>
      <c r="L901" s="8">
        <v>200000</v>
      </c>
      <c r="M901" s="10">
        <f>I901/K901*100</f>
        <v>5.7795000000000006E-2</v>
      </c>
      <c r="S901"/>
      <c r="T901"/>
    </row>
    <row r="902" spans="2:20" ht="15" hidden="1" customHeight="1" x14ac:dyDescent="0.3">
      <c r="B902" t="s">
        <v>328</v>
      </c>
      <c r="C902" s="25">
        <v>44681</v>
      </c>
      <c r="D902" s="26">
        <v>0.66309027777777774</v>
      </c>
      <c r="E902" s="8" t="s">
        <v>580</v>
      </c>
      <c r="F902" t="s">
        <v>197</v>
      </c>
      <c r="G902" t="s">
        <v>44</v>
      </c>
      <c r="H902" t="s">
        <v>138</v>
      </c>
      <c r="I902">
        <f>132.86+150</f>
        <v>282.86</v>
      </c>
      <c r="J902" s="32">
        <v>0</v>
      </c>
      <c r="K902" s="89">
        <f>+L902-J1038</f>
        <v>1203.58</v>
      </c>
      <c r="L902" s="7">
        <v>1203.58</v>
      </c>
      <c r="M902" s="10">
        <f>I902/L902*100</f>
        <v>23.501553698133904</v>
      </c>
      <c r="S902"/>
      <c r="T902"/>
    </row>
    <row r="903" spans="2:20" ht="15" hidden="1" customHeight="1" x14ac:dyDescent="0.3">
      <c r="B903" t="s">
        <v>373</v>
      </c>
      <c r="C903" s="25">
        <v>44681</v>
      </c>
      <c r="D903" s="26">
        <v>0.69138888888888894</v>
      </c>
      <c r="E903" s="8" t="s">
        <v>580</v>
      </c>
      <c r="F903" t="s">
        <v>210</v>
      </c>
      <c r="G903" t="s">
        <v>211</v>
      </c>
      <c r="H903" t="s">
        <v>239</v>
      </c>
      <c r="I903" s="128">
        <v>312.05</v>
      </c>
      <c r="J903" s="120"/>
      <c r="K903" s="89">
        <f>+L903-J1041</f>
        <v>9289</v>
      </c>
      <c r="L903" s="45">
        <v>9289</v>
      </c>
      <c r="M903" s="10">
        <f>I903/K903*100</f>
        <v>3.3593497685434381</v>
      </c>
      <c r="S903"/>
      <c r="T903"/>
    </row>
    <row r="904" spans="2:20" ht="15" hidden="1" customHeight="1" x14ac:dyDescent="0.3">
      <c r="B904" t="s">
        <v>432</v>
      </c>
      <c r="C904" s="25">
        <v>44681</v>
      </c>
      <c r="D904" s="26">
        <v>0.7133449074074073</v>
      </c>
      <c r="E904" s="8" t="s">
        <v>580</v>
      </c>
      <c r="F904" t="s">
        <v>165</v>
      </c>
      <c r="G904" t="s">
        <v>185</v>
      </c>
      <c r="H904" t="s">
        <v>433</v>
      </c>
      <c r="I904">
        <v>300</v>
      </c>
      <c r="J904" s="7">
        <v>0</v>
      </c>
      <c r="K904" s="89">
        <f>+L904-J1042</f>
        <v>1592.95</v>
      </c>
      <c r="L904" s="32">
        <v>1592.95</v>
      </c>
      <c r="M904" s="10">
        <f>I904/L904*100</f>
        <v>18.83298283059732</v>
      </c>
      <c r="O904" s="4" t="s">
        <v>95</v>
      </c>
      <c r="R904" s="18" t="s">
        <v>125</v>
      </c>
      <c r="S904"/>
      <c r="T904"/>
    </row>
    <row r="905" spans="2:20" ht="15" hidden="1" customHeight="1" x14ac:dyDescent="0.3">
      <c r="B905" t="s">
        <v>286</v>
      </c>
      <c r="C905" s="25">
        <v>44681</v>
      </c>
      <c r="D905" s="26">
        <v>0.32550925925925928</v>
      </c>
      <c r="E905" s="8" t="s">
        <v>580</v>
      </c>
      <c r="F905" t="s">
        <v>166</v>
      </c>
      <c r="G905" t="s">
        <v>161</v>
      </c>
      <c r="H905" t="s">
        <v>287</v>
      </c>
      <c r="I905">
        <v>373.56</v>
      </c>
      <c r="J905" s="23"/>
      <c r="K905" s="89">
        <f t="shared" ref="K905:K936" si="58">+L905-J905</f>
        <v>704902</v>
      </c>
      <c r="L905" s="8">
        <v>704902</v>
      </c>
      <c r="M905" s="10">
        <f>I905/L905*100</f>
        <v>5.2994600667894264E-2</v>
      </c>
      <c r="S905"/>
      <c r="T905"/>
    </row>
    <row r="906" spans="2:20" ht="15" hidden="1" customHeight="1" x14ac:dyDescent="0.3">
      <c r="B906" t="s">
        <v>286</v>
      </c>
      <c r="C906" s="25">
        <v>44681</v>
      </c>
      <c r="D906" s="26">
        <v>0.66539351851851858</v>
      </c>
      <c r="E906" s="8" t="s">
        <v>580</v>
      </c>
      <c r="F906" t="s">
        <v>169</v>
      </c>
      <c r="G906" t="s">
        <v>196</v>
      </c>
      <c r="H906" t="s">
        <v>287</v>
      </c>
      <c r="I906">
        <v>134.91999999999999</v>
      </c>
      <c r="J906" s="23"/>
      <c r="K906" s="89">
        <f t="shared" si="58"/>
        <v>705319</v>
      </c>
      <c r="L906" s="8">
        <v>705319</v>
      </c>
      <c r="M906" s="10">
        <f>I906/L906*100</f>
        <v>1.9128933149397648E-2</v>
      </c>
      <c r="S906"/>
      <c r="T906"/>
    </row>
    <row r="907" spans="2:20" ht="15" hidden="1" customHeight="1" x14ac:dyDescent="0.3">
      <c r="B907" t="s">
        <v>552</v>
      </c>
      <c r="C907" s="25">
        <v>44681</v>
      </c>
      <c r="D907" s="26">
        <v>0.89629629629629637</v>
      </c>
      <c r="E907" s="8" t="s">
        <v>580</v>
      </c>
      <c r="F907" t="s">
        <v>197</v>
      </c>
      <c r="G907" t="s">
        <v>44</v>
      </c>
      <c r="H907" t="s">
        <v>195</v>
      </c>
      <c r="I907">
        <v>132.86000000000001</v>
      </c>
      <c r="J907" s="37">
        <v>0</v>
      </c>
      <c r="K907" s="89">
        <f t="shared" si="58"/>
        <v>1195</v>
      </c>
      <c r="L907" s="37">
        <v>1195</v>
      </c>
      <c r="M907" s="10">
        <f t="shared" ref="M907:M938" si="59">I907/K907*100</f>
        <v>11.117991631799164</v>
      </c>
      <c r="O907" s="4" t="s">
        <v>39</v>
      </c>
      <c r="R907" s="18" t="s">
        <v>111</v>
      </c>
      <c r="S907" s="2"/>
      <c r="T907"/>
    </row>
    <row r="908" spans="2:20" ht="15" hidden="1" customHeight="1" x14ac:dyDescent="0.3">
      <c r="B908" t="s">
        <v>316</v>
      </c>
      <c r="C908" s="25">
        <v>44564</v>
      </c>
      <c r="D908" s="26">
        <v>0.67190972222222223</v>
      </c>
      <c r="E908" s="8" t="s">
        <v>24</v>
      </c>
      <c r="F908" t="s">
        <v>234</v>
      </c>
      <c r="G908" t="s">
        <v>235</v>
      </c>
      <c r="H908" t="s">
        <v>121</v>
      </c>
      <c r="I908">
        <v>341.93</v>
      </c>
      <c r="J908" s="7">
        <v>0</v>
      </c>
      <c r="K908" s="11">
        <f t="shared" si="58"/>
        <v>845.29</v>
      </c>
      <c r="L908" s="7">
        <v>845.29</v>
      </c>
      <c r="M908" s="10">
        <f t="shared" si="59"/>
        <v>40.451206094949669</v>
      </c>
    </row>
    <row r="909" spans="2:20" ht="15" hidden="1" customHeight="1" x14ac:dyDescent="0.3">
      <c r="B909" t="s">
        <v>316</v>
      </c>
      <c r="C909" s="25">
        <v>44565</v>
      </c>
      <c r="D909" s="26">
        <v>0.20393518518518516</v>
      </c>
      <c r="E909" s="8" t="s">
        <v>24</v>
      </c>
      <c r="F909" t="s">
        <v>374</v>
      </c>
      <c r="G909" t="s">
        <v>375</v>
      </c>
      <c r="H909" t="s">
        <v>121</v>
      </c>
      <c r="I909">
        <v>204.85</v>
      </c>
      <c r="J909" s="7">
        <v>0</v>
      </c>
      <c r="K909" s="11">
        <f t="shared" si="58"/>
        <v>487</v>
      </c>
      <c r="L909" s="7">
        <v>487</v>
      </c>
      <c r="M909" s="10">
        <f t="shared" si="59"/>
        <v>42.063655030800824</v>
      </c>
    </row>
    <row r="910" spans="2:20" ht="15" hidden="1" customHeight="1" x14ac:dyDescent="0.3">
      <c r="B910" t="s">
        <v>316</v>
      </c>
      <c r="C910" s="25">
        <v>44565</v>
      </c>
      <c r="D910" s="26">
        <v>0.66862268518518519</v>
      </c>
      <c r="E910" s="8" t="s">
        <v>24</v>
      </c>
      <c r="F910" t="s">
        <v>357</v>
      </c>
      <c r="G910" t="s">
        <v>358</v>
      </c>
      <c r="H910" t="s">
        <v>121</v>
      </c>
      <c r="I910">
        <v>222.96</v>
      </c>
      <c r="J910" s="7">
        <v>0</v>
      </c>
      <c r="K910" s="11">
        <f t="shared" si="58"/>
        <v>565</v>
      </c>
      <c r="L910" s="7">
        <v>565</v>
      </c>
      <c r="M910" s="10">
        <f t="shared" si="59"/>
        <v>39.461946902654873</v>
      </c>
    </row>
    <row r="911" spans="2:20" ht="15" hidden="1" customHeight="1" x14ac:dyDescent="0.3">
      <c r="B911" t="s">
        <v>316</v>
      </c>
      <c r="C911" s="25">
        <v>44566</v>
      </c>
      <c r="D911" s="26">
        <v>0.35211805555555559</v>
      </c>
      <c r="E911" s="8" t="s">
        <v>24</v>
      </c>
      <c r="F911" t="s">
        <v>380</v>
      </c>
      <c r="G911" t="s">
        <v>381</v>
      </c>
      <c r="H911" t="s">
        <v>121</v>
      </c>
      <c r="I911">
        <v>272.08</v>
      </c>
      <c r="J911" s="7">
        <v>0</v>
      </c>
      <c r="K911" s="11">
        <f t="shared" si="58"/>
        <v>679</v>
      </c>
      <c r="L911" s="7">
        <v>679</v>
      </c>
      <c r="M911" s="10">
        <f t="shared" si="59"/>
        <v>40.070692194403534</v>
      </c>
    </row>
    <row r="912" spans="2:20" ht="15" hidden="1" customHeight="1" x14ac:dyDescent="0.3">
      <c r="B912" t="s">
        <v>316</v>
      </c>
      <c r="C912" s="25">
        <v>44567</v>
      </c>
      <c r="D912" s="26">
        <v>0.43035879629629631</v>
      </c>
      <c r="E912" s="8" t="s">
        <v>24</v>
      </c>
      <c r="F912" t="s">
        <v>268</v>
      </c>
      <c r="G912" t="s">
        <v>269</v>
      </c>
      <c r="H912" t="s">
        <v>121</v>
      </c>
      <c r="I912">
        <v>224.12</v>
      </c>
      <c r="J912" s="7">
        <v>0</v>
      </c>
      <c r="K912" s="11">
        <f t="shared" si="58"/>
        <v>556</v>
      </c>
      <c r="L912" s="7">
        <v>556</v>
      </c>
      <c r="M912" s="10">
        <f t="shared" si="59"/>
        <v>40.309352517985616</v>
      </c>
    </row>
    <row r="913" spans="1:13" ht="15" hidden="1" customHeight="1" x14ac:dyDescent="0.3">
      <c r="B913" t="s">
        <v>316</v>
      </c>
      <c r="C913" s="25">
        <v>44568</v>
      </c>
      <c r="D913" s="26">
        <v>0.59820601851851851</v>
      </c>
      <c r="E913" s="8" t="s">
        <v>24</v>
      </c>
      <c r="F913" t="s">
        <v>241</v>
      </c>
      <c r="G913" t="s">
        <v>242</v>
      </c>
      <c r="H913" t="s">
        <v>121</v>
      </c>
      <c r="I913">
        <v>330.33</v>
      </c>
      <c r="J913" s="35">
        <v>0</v>
      </c>
      <c r="K913" s="11">
        <f t="shared" si="58"/>
        <v>821</v>
      </c>
      <c r="L913" s="35">
        <v>821</v>
      </c>
      <c r="M913" s="10">
        <f t="shared" si="59"/>
        <v>40.235079171741781</v>
      </c>
    </row>
    <row r="914" spans="1:13" ht="15" hidden="1" customHeight="1" x14ac:dyDescent="0.3">
      <c r="B914" t="s">
        <v>316</v>
      </c>
      <c r="C914" s="25">
        <v>44569</v>
      </c>
      <c r="D914" s="26">
        <v>0.21314814814814817</v>
      </c>
      <c r="E914" s="8" t="s">
        <v>24</v>
      </c>
      <c r="F914" t="s">
        <v>241</v>
      </c>
      <c r="G914" t="s">
        <v>242</v>
      </c>
      <c r="H914" t="s">
        <v>121</v>
      </c>
      <c r="I914">
        <v>299.52</v>
      </c>
      <c r="J914" s="7">
        <v>0</v>
      </c>
      <c r="K914" s="11">
        <f t="shared" si="58"/>
        <v>725</v>
      </c>
      <c r="L914" s="7">
        <v>725</v>
      </c>
      <c r="M914" s="10">
        <f t="shared" si="59"/>
        <v>41.313103448275861</v>
      </c>
    </row>
    <row r="915" spans="1:13" ht="15" hidden="1" customHeight="1" x14ac:dyDescent="0.3">
      <c r="B915" t="s">
        <v>316</v>
      </c>
      <c r="C915" s="25">
        <v>44572</v>
      </c>
      <c r="D915" s="26">
        <v>0.29356481481481483</v>
      </c>
      <c r="E915" s="8" t="s">
        <v>24</v>
      </c>
      <c r="F915" t="s">
        <v>324</v>
      </c>
      <c r="G915" t="s">
        <v>325</v>
      </c>
      <c r="H915" t="s">
        <v>121</v>
      </c>
      <c r="I915">
        <v>302.91000000000003</v>
      </c>
      <c r="J915" s="34">
        <v>0</v>
      </c>
      <c r="K915" s="11">
        <f t="shared" si="58"/>
        <v>712</v>
      </c>
      <c r="L915" s="34">
        <v>712</v>
      </c>
      <c r="M915" s="10">
        <f t="shared" si="59"/>
        <v>42.543539325842701</v>
      </c>
    </row>
    <row r="916" spans="1:13" ht="15" hidden="1" customHeight="1" x14ac:dyDescent="0.3">
      <c r="B916" t="s">
        <v>316</v>
      </c>
      <c r="C916" s="25">
        <v>44573</v>
      </c>
      <c r="D916" s="26">
        <v>0.43968750000000001</v>
      </c>
      <c r="E916" s="8" t="s">
        <v>24</v>
      </c>
      <c r="F916" t="s">
        <v>324</v>
      </c>
      <c r="G916" t="s">
        <v>325</v>
      </c>
      <c r="H916" t="s">
        <v>121</v>
      </c>
      <c r="I916">
        <v>339.78</v>
      </c>
      <c r="J916" s="7">
        <v>0</v>
      </c>
      <c r="K916" s="11">
        <f t="shared" si="58"/>
        <v>775</v>
      </c>
      <c r="L916" s="7">
        <v>775</v>
      </c>
      <c r="M916" s="10">
        <f t="shared" si="59"/>
        <v>43.842580645161291</v>
      </c>
    </row>
    <row r="917" spans="1:13" ht="15" hidden="1" customHeight="1" x14ac:dyDescent="0.3">
      <c r="B917" t="s">
        <v>316</v>
      </c>
      <c r="C917" s="25">
        <v>44574</v>
      </c>
      <c r="D917" s="26">
        <v>0.34721064814814812</v>
      </c>
      <c r="E917" s="8" t="s">
        <v>24</v>
      </c>
      <c r="F917" t="s">
        <v>234</v>
      </c>
      <c r="G917" t="s">
        <v>235</v>
      </c>
      <c r="H917" t="s">
        <v>121</v>
      </c>
      <c r="I917">
        <v>260.08</v>
      </c>
      <c r="J917" s="7">
        <v>0</v>
      </c>
      <c r="K917" s="11">
        <f t="shared" si="58"/>
        <v>1010</v>
      </c>
      <c r="L917" s="7">
        <v>1010</v>
      </c>
      <c r="M917" s="10">
        <f t="shared" si="59"/>
        <v>25.750495049504952</v>
      </c>
    </row>
    <row r="918" spans="1:13" ht="15" hidden="1" customHeight="1" x14ac:dyDescent="0.3">
      <c r="B918" t="s">
        <v>316</v>
      </c>
      <c r="C918" s="25">
        <v>44581</v>
      </c>
      <c r="D918" s="26">
        <v>0.44457175925925929</v>
      </c>
      <c r="E918" s="8" t="s">
        <v>24</v>
      </c>
      <c r="F918" t="s">
        <v>387</v>
      </c>
      <c r="G918" t="s">
        <v>388</v>
      </c>
      <c r="H918" t="s">
        <v>121</v>
      </c>
      <c r="I918">
        <v>372</v>
      </c>
      <c r="J918" s="7">
        <v>0</v>
      </c>
      <c r="K918" s="11">
        <f t="shared" si="58"/>
        <v>911.7</v>
      </c>
      <c r="L918" s="7">
        <v>911.7</v>
      </c>
      <c r="M918" s="10">
        <f t="shared" si="59"/>
        <v>40.802895689371503</v>
      </c>
    </row>
    <row r="919" spans="1:13" ht="15" hidden="1" customHeight="1" x14ac:dyDescent="0.3">
      <c r="B919" t="s">
        <v>316</v>
      </c>
      <c r="C919" s="25">
        <v>44582</v>
      </c>
      <c r="D919" s="26">
        <v>0.9381018518518518</v>
      </c>
      <c r="E919" s="8" t="s">
        <v>24</v>
      </c>
      <c r="F919" t="s">
        <v>205</v>
      </c>
      <c r="G919" t="s">
        <v>206</v>
      </c>
      <c r="H919" t="s">
        <v>121</v>
      </c>
      <c r="I919">
        <v>262.83</v>
      </c>
      <c r="J919" s="7">
        <v>0</v>
      </c>
      <c r="K919" s="11">
        <f t="shared" si="58"/>
        <v>632.11</v>
      </c>
      <c r="L919" s="7">
        <v>632.11</v>
      </c>
      <c r="M919" s="10">
        <f t="shared" si="59"/>
        <v>41.579788327980886</v>
      </c>
    </row>
    <row r="920" spans="1:13" ht="15" hidden="1" customHeight="1" x14ac:dyDescent="0.3">
      <c r="A920" s="9">
        <v>695</v>
      </c>
      <c r="B920" t="s">
        <v>316</v>
      </c>
      <c r="C920" s="25">
        <v>44594</v>
      </c>
      <c r="D920" s="26">
        <v>0.71736111111111101</v>
      </c>
      <c r="E920" s="8" t="s">
        <v>25</v>
      </c>
      <c r="F920" t="s">
        <v>241</v>
      </c>
      <c r="G920" t="s">
        <v>242</v>
      </c>
      <c r="H920" t="s">
        <v>233</v>
      </c>
      <c r="I920">
        <v>306.01</v>
      </c>
      <c r="J920" s="34">
        <v>0</v>
      </c>
      <c r="K920" s="11">
        <f t="shared" si="58"/>
        <v>833.32</v>
      </c>
      <c r="L920" s="34">
        <v>833.32</v>
      </c>
      <c r="M920" s="10">
        <f t="shared" si="59"/>
        <v>36.721787548600773</v>
      </c>
    </row>
    <row r="921" spans="1:13" ht="15" hidden="1" customHeight="1" x14ac:dyDescent="0.3">
      <c r="A921" s="9">
        <v>696</v>
      </c>
      <c r="B921" t="s">
        <v>316</v>
      </c>
      <c r="C921" s="25">
        <v>44595</v>
      </c>
      <c r="D921" s="26">
        <v>0.80462962962962958</v>
      </c>
      <c r="E921" s="8" t="s">
        <v>25</v>
      </c>
      <c r="F921" t="s">
        <v>419</v>
      </c>
      <c r="G921" t="s">
        <v>238</v>
      </c>
      <c r="H921" t="s">
        <v>233</v>
      </c>
      <c r="I921">
        <v>264.69</v>
      </c>
      <c r="J921" s="7">
        <v>0</v>
      </c>
      <c r="K921" s="11">
        <f t="shared" si="58"/>
        <v>707.69</v>
      </c>
      <c r="L921" s="7">
        <v>707.69</v>
      </c>
      <c r="M921" s="10">
        <f t="shared" si="59"/>
        <v>37.401969789031916</v>
      </c>
    </row>
    <row r="922" spans="1:13" ht="15" hidden="1" customHeight="1" x14ac:dyDescent="0.3">
      <c r="A922" s="9">
        <v>714</v>
      </c>
      <c r="B922" t="s">
        <v>316</v>
      </c>
      <c r="C922" s="25">
        <v>44600</v>
      </c>
      <c r="D922" s="26">
        <v>0.81381944444444443</v>
      </c>
      <c r="E922" s="8" t="s">
        <v>25</v>
      </c>
      <c r="F922" t="s">
        <v>430</v>
      </c>
      <c r="G922" t="s">
        <v>431</v>
      </c>
      <c r="H922" t="s">
        <v>243</v>
      </c>
      <c r="I922">
        <v>299.72000000000003</v>
      </c>
      <c r="J922" s="7">
        <v>0</v>
      </c>
      <c r="K922" s="11">
        <f t="shared" si="58"/>
        <v>510.18</v>
      </c>
      <c r="L922" s="7">
        <v>510.18</v>
      </c>
      <c r="M922" s="10">
        <f t="shared" si="59"/>
        <v>58.747892900544905</v>
      </c>
    </row>
    <row r="923" spans="1:13" ht="15" hidden="1" customHeight="1" x14ac:dyDescent="0.3">
      <c r="A923" s="9">
        <v>715</v>
      </c>
      <c r="B923" t="s">
        <v>316</v>
      </c>
      <c r="C923" s="25">
        <v>44602</v>
      </c>
      <c r="D923" s="26">
        <v>0.68207175925925922</v>
      </c>
      <c r="E923" s="8" t="s">
        <v>25</v>
      </c>
      <c r="F923" t="s">
        <v>419</v>
      </c>
      <c r="G923" t="s">
        <v>238</v>
      </c>
      <c r="H923" t="s">
        <v>243</v>
      </c>
      <c r="I923">
        <v>298.83999999999997</v>
      </c>
      <c r="J923" s="7">
        <v>0</v>
      </c>
      <c r="K923" s="7">
        <f t="shared" si="58"/>
        <v>748.9</v>
      </c>
      <c r="L923" s="7">
        <v>748.9</v>
      </c>
      <c r="M923" s="10">
        <f t="shared" si="59"/>
        <v>39.903858993190013</v>
      </c>
    </row>
    <row r="924" spans="1:13" ht="15" hidden="1" customHeight="1" x14ac:dyDescent="0.3">
      <c r="A924" s="9">
        <v>1223</v>
      </c>
      <c r="B924" t="s">
        <v>316</v>
      </c>
      <c r="C924" s="25">
        <v>44614</v>
      </c>
      <c r="D924" s="26">
        <v>0.66493055555555558</v>
      </c>
      <c r="E924" s="8" t="s">
        <v>25</v>
      </c>
      <c r="F924" t="s">
        <v>447</v>
      </c>
      <c r="G924" t="s">
        <v>448</v>
      </c>
      <c r="H924" t="s">
        <v>290</v>
      </c>
      <c r="I924">
        <v>368.3</v>
      </c>
      <c r="J924" s="8"/>
      <c r="K924" s="8">
        <f t="shared" si="58"/>
        <v>145256</v>
      </c>
      <c r="L924" s="8">
        <v>145256</v>
      </c>
      <c r="M924" s="10">
        <f t="shared" si="59"/>
        <v>0.25355234895632539</v>
      </c>
    </row>
    <row r="925" spans="1:13" ht="15" hidden="1" customHeight="1" x14ac:dyDescent="0.3">
      <c r="A925" s="9">
        <v>1224</v>
      </c>
      <c r="B925" t="s">
        <v>316</v>
      </c>
      <c r="C925" s="25">
        <v>44616</v>
      </c>
      <c r="D925" s="26">
        <v>0.44378472222222221</v>
      </c>
      <c r="E925" s="8" t="s">
        <v>25</v>
      </c>
      <c r="F925" t="s">
        <v>443</v>
      </c>
      <c r="G925" t="s">
        <v>444</v>
      </c>
      <c r="H925" t="s">
        <v>290</v>
      </c>
      <c r="I925">
        <v>383.07</v>
      </c>
      <c r="J925" s="8"/>
      <c r="K925" s="8">
        <f t="shared" si="58"/>
        <v>12345</v>
      </c>
      <c r="L925" s="8">
        <v>12345</v>
      </c>
      <c r="M925" s="10">
        <f t="shared" si="59"/>
        <v>3.103037667071689</v>
      </c>
    </row>
    <row r="926" spans="1:13" ht="15" hidden="1" customHeight="1" x14ac:dyDescent="0.3">
      <c r="A926" s="9">
        <v>2435</v>
      </c>
      <c r="B926" t="s">
        <v>316</v>
      </c>
      <c r="C926" s="25">
        <v>44621</v>
      </c>
      <c r="D926" s="26">
        <v>0.94768518518518519</v>
      </c>
      <c r="E926" s="8" t="s">
        <v>26</v>
      </c>
      <c r="F926" t="s">
        <v>237</v>
      </c>
      <c r="G926" t="s">
        <v>238</v>
      </c>
      <c r="H926" t="s">
        <v>290</v>
      </c>
      <c r="I926">
        <v>210.98</v>
      </c>
      <c r="J926" s="7"/>
      <c r="K926" s="90">
        <f t="shared" si="58"/>
        <v>690000</v>
      </c>
      <c r="L926" s="7">
        <v>690000</v>
      </c>
      <c r="M926" s="10">
        <f t="shared" si="59"/>
        <v>3.0576811594202898E-2</v>
      </c>
    </row>
    <row r="927" spans="1:13" ht="15" hidden="1" customHeight="1" x14ac:dyDescent="0.3">
      <c r="A927" s="9">
        <v>2436</v>
      </c>
      <c r="B927" t="s">
        <v>316</v>
      </c>
      <c r="C927" s="25">
        <v>44623</v>
      </c>
      <c r="D927" s="26">
        <v>4.5925925925925926E-2</v>
      </c>
      <c r="E927" s="8" t="s">
        <v>26</v>
      </c>
      <c r="F927" t="s">
        <v>296</v>
      </c>
      <c r="G927" t="s">
        <v>297</v>
      </c>
      <c r="H927" t="s">
        <v>290</v>
      </c>
      <c r="I927">
        <v>368.01</v>
      </c>
      <c r="J927" s="8"/>
      <c r="K927" s="90">
        <f t="shared" si="58"/>
        <v>10000</v>
      </c>
      <c r="L927" s="8">
        <v>10000</v>
      </c>
      <c r="M927" s="10">
        <f t="shared" si="59"/>
        <v>3.6800999999999999</v>
      </c>
    </row>
    <row r="928" spans="1:13" ht="15" hidden="1" customHeight="1" x14ac:dyDescent="0.3">
      <c r="A928" s="9">
        <v>2437</v>
      </c>
      <c r="B928" t="s">
        <v>316</v>
      </c>
      <c r="C928" s="25">
        <v>44623</v>
      </c>
      <c r="D928" s="26">
        <v>0.65317129629629633</v>
      </c>
      <c r="E928" s="8" t="s">
        <v>26</v>
      </c>
      <c r="F928" t="s">
        <v>406</v>
      </c>
      <c r="G928" t="s">
        <v>409</v>
      </c>
      <c r="H928" t="s">
        <v>290</v>
      </c>
      <c r="I928">
        <v>295.95</v>
      </c>
      <c r="J928" s="8"/>
      <c r="K928" s="90">
        <f t="shared" si="58"/>
        <v>1234</v>
      </c>
      <c r="L928" s="8">
        <v>1234</v>
      </c>
      <c r="M928" s="10">
        <f t="shared" si="59"/>
        <v>23.982982171799026</v>
      </c>
    </row>
    <row r="929" spans="1:13" ht="15" hidden="1" customHeight="1" x14ac:dyDescent="0.3">
      <c r="A929" s="9">
        <v>2438</v>
      </c>
      <c r="B929" t="s">
        <v>316</v>
      </c>
      <c r="C929" s="25">
        <v>44625</v>
      </c>
      <c r="D929" s="26">
        <v>0.51984953703703707</v>
      </c>
      <c r="E929" s="8" t="s">
        <v>26</v>
      </c>
      <c r="F929" t="s">
        <v>329</v>
      </c>
      <c r="G929" t="s">
        <v>330</v>
      </c>
      <c r="H929" t="s">
        <v>290</v>
      </c>
      <c r="I929">
        <v>171.71</v>
      </c>
      <c r="J929" s="54"/>
      <c r="K929" s="99">
        <f t="shared" si="58"/>
        <v>1234</v>
      </c>
      <c r="L929" s="54">
        <v>1234</v>
      </c>
      <c r="M929" s="10">
        <f t="shared" si="59"/>
        <v>13.914910858995139</v>
      </c>
    </row>
    <row r="930" spans="1:13" ht="15" hidden="1" customHeight="1" x14ac:dyDescent="0.3">
      <c r="A930" s="9">
        <v>2439</v>
      </c>
      <c r="B930" t="s">
        <v>316</v>
      </c>
      <c r="C930" s="25">
        <v>44629</v>
      </c>
      <c r="D930" s="26">
        <v>0.52840277777777778</v>
      </c>
      <c r="E930" s="8" t="s">
        <v>26</v>
      </c>
      <c r="F930" t="s">
        <v>234</v>
      </c>
      <c r="G930" t="s">
        <v>235</v>
      </c>
      <c r="H930" t="s">
        <v>290</v>
      </c>
      <c r="I930">
        <v>290.02999999999997</v>
      </c>
      <c r="J930" s="8"/>
      <c r="K930" s="90">
        <f t="shared" si="58"/>
        <v>789456</v>
      </c>
      <c r="L930" s="8">
        <v>789456</v>
      </c>
      <c r="M930" s="10">
        <f t="shared" si="59"/>
        <v>3.6737956263553632E-2</v>
      </c>
    </row>
    <row r="931" spans="1:13" ht="15" hidden="1" customHeight="1" x14ac:dyDescent="0.3">
      <c r="A931" s="9">
        <v>2440</v>
      </c>
      <c r="B931" t="s">
        <v>316</v>
      </c>
      <c r="C931" s="25">
        <v>44631</v>
      </c>
      <c r="D931" s="26">
        <v>0.49124999999999996</v>
      </c>
      <c r="E931" s="8" t="s">
        <v>26</v>
      </c>
      <c r="F931" t="s">
        <v>357</v>
      </c>
      <c r="G931" t="s">
        <v>358</v>
      </c>
      <c r="H931" t="s">
        <v>290</v>
      </c>
      <c r="I931">
        <v>392.77</v>
      </c>
      <c r="J931" s="23"/>
      <c r="K931" s="90">
        <f t="shared" si="58"/>
        <v>1001</v>
      </c>
      <c r="L931" s="8">
        <v>1001</v>
      </c>
      <c r="M931" s="10">
        <f t="shared" si="59"/>
        <v>39.237762237762233</v>
      </c>
    </row>
    <row r="932" spans="1:13" ht="15" hidden="1" customHeight="1" x14ac:dyDescent="0.3">
      <c r="A932" s="9">
        <v>2441</v>
      </c>
      <c r="B932" t="s">
        <v>316</v>
      </c>
      <c r="C932" s="25">
        <v>44637</v>
      </c>
      <c r="D932" s="26">
        <v>0.37063657407407408</v>
      </c>
      <c r="E932" s="8" t="s">
        <v>26</v>
      </c>
      <c r="F932" t="s">
        <v>380</v>
      </c>
      <c r="G932" t="s">
        <v>381</v>
      </c>
      <c r="H932" t="s">
        <v>290</v>
      </c>
      <c r="I932">
        <v>229.37</v>
      </c>
      <c r="J932" s="32">
        <v>0</v>
      </c>
      <c r="K932" s="90">
        <f t="shared" si="58"/>
        <v>10000</v>
      </c>
      <c r="L932" s="8">
        <v>10000</v>
      </c>
      <c r="M932" s="10">
        <f t="shared" si="59"/>
        <v>2.2936999999999999</v>
      </c>
    </row>
    <row r="933" spans="1:13" ht="15" hidden="1" customHeight="1" x14ac:dyDescent="0.3">
      <c r="A933" s="9">
        <v>3689</v>
      </c>
      <c r="B933" t="s">
        <v>316</v>
      </c>
      <c r="C933" s="25">
        <v>44655</v>
      </c>
      <c r="D933" s="26">
        <v>4.4143518518518519E-2</v>
      </c>
      <c r="E933" s="8" t="s">
        <v>27</v>
      </c>
      <c r="F933" t="s">
        <v>296</v>
      </c>
      <c r="G933" t="s">
        <v>297</v>
      </c>
      <c r="H933" t="s">
        <v>290</v>
      </c>
      <c r="I933" s="4">
        <v>174.01</v>
      </c>
      <c r="J933" s="35">
        <v>0</v>
      </c>
      <c r="K933" s="100">
        <f t="shared" si="58"/>
        <v>150000</v>
      </c>
      <c r="L933" s="38">
        <v>150000</v>
      </c>
      <c r="M933" s="10">
        <f t="shared" si="59"/>
        <v>0.11600666666666667</v>
      </c>
    </row>
    <row r="934" spans="1:13" ht="15" hidden="1" customHeight="1" x14ac:dyDescent="0.3">
      <c r="A934" s="9">
        <v>3690</v>
      </c>
      <c r="B934" t="s">
        <v>316</v>
      </c>
      <c r="C934" s="25">
        <v>44655</v>
      </c>
      <c r="D934" s="26">
        <v>0.65871527777777772</v>
      </c>
      <c r="E934" s="8" t="s">
        <v>27</v>
      </c>
      <c r="F934" t="s">
        <v>406</v>
      </c>
      <c r="G934" t="s">
        <v>409</v>
      </c>
      <c r="H934" t="s">
        <v>290</v>
      </c>
      <c r="I934" s="4">
        <v>200</v>
      </c>
      <c r="J934" s="8"/>
      <c r="K934" s="90">
        <f t="shared" si="58"/>
        <v>52869</v>
      </c>
      <c r="L934" s="32">
        <v>52869</v>
      </c>
      <c r="M934" s="10">
        <f t="shared" si="59"/>
        <v>0.37829351794057009</v>
      </c>
    </row>
    <row r="935" spans="1:13" ht="15" hidden="1" customHeight="1" x14ac:dyDescent="0.3">
      <c r="A935" s="9">
        <v>3691</v>
      </c>
      <c r="B935" t="s">
        <v>316</v>
      </c>
      <c r="C935" s="25">
        <v>44656</v>
      </c>
      <c r="D935" s="26">
        <v>0.83956018518518516</v>
      </c>
      <c r="E935" s="8" t="s">
        <v>27</v>
      </c>
      <c r="F935" t="s">
        <v>319</v>
      </c>
      <c r="G935" t="s">
        <v>320</v>
      </c>
      <c r="H935" t="s">
        <v>290</v>
      </c>
      <c r="I935" s="4">
        <v>303.76</v>
      </c>
      <c r="J935" s="45"/>
      <c r="K935" s="100">
        <f t="shared" si="58"/>
        <v>1234</v>
      </c>
      <c r="L935" s="38">
        <v>1234</v>
      </c>
      <c r="M935" s="10">
        <f t="shared" si="59"/>
        <v>24.615883306320907</v>
      </c>
    </row>
    <row r="936" spans="1:13" ht="15" hidden="1" customHeight="1" x14ac:dyDescent="0.3">
      <c r="A936" s="9">
        <v>3692</v>
      </c>
      <c r="B936" t="s">
        <v>316</v>
      </c>
      <c r="C936" s="25">
        <v>44657</v>
      </c>
      <c r="D936" s="26">
        <v>0.82121527777777781</v>
      </c>
      <c r="E936" s="8" t="s">
        <v>27</v>
      </c>
      <c r="F936" t="s">
        <v>309</v>
      </c>
      <c r="G936" t="s">
        <v>310</v>
      </c>
      <c r="H936" t="s">
        <v>290</v>
      </c>
      <c r="I936" s="4">
        <v>200</v>
      </c>
      <c r="J936" s="8"/>
      <c r="K936" s="90">
        <f t="shared" si="58"/>
        <v>20000</v>
      </c>
      <c r="L936" s="32">
        <v>20000</v>
      </c>
      <c r="M936" s="10">
        <f t="shared" si="59"/>
        <v>1</v>
      </c>
    </row>
    <row r="937" spans="1:13" ht="15" hidden="1" customHeight="1" x14ac:dyDescent="0.3">
      <c r="A937" s="9">
        <v>3693</v>
      </c>
      <c r="B937" t="s">
        <v>316</v>
      </c>
      <c r="C937" s="25">
        <v>44657</v>
      </c>
      <c r="D937" s="26">
        <v>0.99916666666666665</v>
      </c>
      <c r="E937" s="8" t="s">
        <v>27</v>
      </c>
      <c r="F937" t="s">
        <v>324</v>
      </c>
      <c r="G937" t="s">
        <v>325</v>
      </c>
      <c r="H937" t="s">
        <v>290</v>
      </c>
      <c r="I937" s="4">
        <v>100</v>
      </c>
      <c r="J937" s="8"/>
      <c r="K937" s="90">
        <f t="shared" ref="K937:K953" si="60">+L937-J937</f>
        <v>987456</v>
      </c>
      <c r="L937" s="32">
        <v>987456</v>
      </c>
      <c r="M937" s="10">
        <f t="shared" si="59"/>
        <v>1.0127033508328472E-2</v>
      </c>
    </row>
    <row r="938" spans="1:13" ht="15" hidden="1" customHeight="1" x14ac:dyDescent="0.3">
      <c r="A938" s="9">
        <v>3694</v>
      </c>
      <c r="B938" t="s">
        <v>316</v>
      </c>
      <c r="C938" s="25">
        <v>44658</v>
      </c>
      <c r="D938" s="26">
        <v>0.68363425925925936</v>
      </c>
      <c r="E938" s="8" t="s">
        <v>27</v>
      </c>
      <c r="F938" t="s">
        <v>324</v>
      </c>
      <c r="G938" t="s">
        <v>334</v>
      </c>
      <c r="H938" t="s">
        <v>290</v>
      </c>
      <c r="I938" s="4">
        <v>150.93</v>
      </c>
      <c r="J938" s="8"/>
      <c r="K938" s="90">
        <f t="shared" si="60"/>
        <v>966666</v>
      </c>
      <c r="L938" s="32">
        <v>966666</v>
      </c>
      <c r="M938" s="10">
        <f t="shared" si="59"/>
        <v>1.5613459043764858E-2</v>
      </c>
    </row>
    <row r="939" spans="1:13" ht="15" hidden="1" customHeight="1" x14ac:dyDescent="0.3">
      <c r="A939" s="9">
        <v>3695</v>
      </c>
      <c r="B939" t="s">
        <v>316</v>
      </c>
      <c r="C939" s="25">
        <v>44658</v>
      </c>
      <c r="D939" s="26">
        <v>0.98171296296296295</v>
      </c>
      <c r="E939" s="8" t="s">
        <v>27</v>
      </c>
      <c r="F939" t="s">
        <v>545</v>
      </c>
      <c r="G939" t="s">
        <v>546</v>
      </c>
      <c r="H939" t="s">
        <v>290</v>
      </c>
      <c r="I939" s="4">
        <v>150</v>
      </c>
      <c r="J939" s="44"/>
      <c r="K939" s="97">
        <f t="shared" si="60"/>
        <v>1234</v>
      </c>
      <c r="L939" s="37">
        <v>1234</v>
      </c>
      <c r="M939" s="10">
        <f t="shared" ref="M939:M965" si="61">I939/K939*100</f>
        <v>12.155591572123177</v>
      </c>
    </row>
    <row r="940" spans="1:13" ht="15" hidden="1" customHeight="1" x14ac:dyDescent="0.3">
      <c r="A940" s="9">
        <v>3696</v>
      </c>
      <c r="B940" t="s">
        <v>316</v>
      </c>
      <c r="C940" s="25">
        <v>44659</v>
      </c>
      <c r="D940" s="26">
        <v>0.74826388888888884</v>
      </c>
      <c r="E940" s="8" t="s">
        <v>27</v>
      </c>
      <c r="F940" t="s">
        <v>549</v>
      </c>
      <c r="G940" t="s">
        <v>550</v>
      </c>
      <c r="H940" t="s">
        <v>290</v>
      </c>
      <c r="I940" s="4">
        <v>188.59</v>
      </c>
      <c r="J940" s="8"/>
      <c r="K940" s="89">
        <f t="shared" si="60"/>
        <v>2000</v>
      </c>
      <c r="L940" s="32">
        <v>2000</v>
      </c>
      <c r="M940" s="10">
        <f t="shared" si="61"/>
        <v>9.4295000000000009</v>
      </c>
    </row>
    <row r="941" spans="1:13" ht="15" hidden="1" customHeight="1" x14ac:dyDescent="0.3">
      <c r="A941" s="9">
        <v>3697</v>
      </c>
      <c r="B941" t="s">
        <v>316</v>
      </c>
      <c r="C941" s="25">
        <v>44662</v>
      </c>
      <c r="D941" s="26">
        <v>0.90513888888888883</v>
      </c>
      <c r="E941" s="8" t="s">
        <v>27</v>
      </c>
      <c r="F941" t="s">
        <v>340</v>
      </c>
      <c r="G941" t="s">
        <v>337</v>
      </c>
      <c r="H941" t="s">
        <v>290</v>
      </c>
      <c r="I941" s="4">
        <v>145.06</v>
      </c>
      <c r="J941" s="8"/>
      <c r="K941" s="89">
        <f t="shared" si="60"/>
        <v>4009</v>
      </c>
      <c r="L941" s="32">
        <v>4009</v>
      </c>
      <c r="M941" s="10">
        <f t="shared" si="61"/>
        <v>3.6183586929408831</v>
      </c>
    </row>
    <row r="942" spans="1:13" ht="15" hidden="1" customHeight="1" x14ac:dyDescent="0.3">
      <c r="A942" s="9">
        <v>3698</v>
      </c>
      <c r="B942" t="s">
        <v>316</v>
      </c>
      <c r="C942" s="25">
        <v>44664</v>
      </c>
      <c r="D942" s="26">
        <v>0.88268518518518524</v>
      </c>
      <c r="E942" s="8" t="s">
        <v>27</v>
      </c>
      <c r="F942" t="s">
        <v>340</v>
      </c>
      <c r="G942" t="s">
        <v>337</v>
      </c>
      <c r="H942" t="s">
        <v>290</v>
      </c>
      <c r="I942" s="19">
        <v>210.12</v>
      </c>
      <c r="J942" s="8"/>
      <c r="K942" s="89">
        <f t="shared" si="60"/>
        <v>4009</v>
      </c>
      <c r="L942" s="37">
        <v>4009</v>
      </c>
      <c r="M942" s="10">
        <f t="shared" si="61"/>
        <v>5.2412072836118737</v>
      </c>
    </row>
    <row r="943" spans="1:13" ht="15" hidden="1" customHeight="1" x14ac:dyDescent="0.3">
      <c r="A943" s="9">
        <v>3699</v>
      </c>
      <c r="B943" t="s">
        <v>316</v>
      </c>
      <c r="C943" s="25">
        <v>44666</v>
      </c>
      <c r="D943" s="26">
        <v>4.912037037037037E-2</v>
      </c>
      <c r="E943" s="8" t="s">
        <v>27</v>
      </c>
      <c r="F943" t="s">
        <v>175</v>
      </c>
      <c r="G943" t="s">
        <v>172</v>
      </c>
      <c r="H943" t="s">
        <v>290</v>
      </c>
      <c r="I943" s="19">
        <v>398.76</v>
      </c>
      <c r="J943" s="8"/>
      <c r="K943" s="89">
        <f t="shared" si="60"/>
        <v>10000</v>
      </c>
      <c r="L943" s="32">
        <v>10000</v>
      </c>
      <c r="M943" s="10">
        <f t="shared" si="61"/>
        <v>3.9876</v>
      </c>
    </row>
    <row r="944" spans="1:13" ht="15" hidden="1" customHeight="1" x14ac:dyDescent="0.3">
      <c r="A944" s="9">
        <v>3700</v>
      </c>
      <c r="B944" t="s">
        <v>316</v>
      </c>
      <c r="C944" s="25">
        <v>44670</v>
      </c>
      <c r="D944" s="26">
        <v>0.21787037037037038</v>
      </c>
      <c r="E944" s="8" t="s">
        <v>27</v>
      </c>
      <c r="F944" t="s">
        <v>319</v>
      </c>
      <c r="G944" t="s">
        <v>320</v>
      </c>
      <c r="H944" t="s">
        <v>290</v>
      </c>
      <c r="I944" s="19">
        <v>407.53</v>
      </c>
      <c r="J944" s="54"/>
      <c r="K944" s="89">
        <f t="shared" si="60"/>
        <v>1234</v>
      </c>
      <c r="L944" s="33">
        <v>1234</v>
      </c>
      <c r="M944" s="10">
        <f t="shared" si="61"/>
        <v>33.025121555915717</v>
      </c>
    </row>
    <row r="945" spans="1:13" ht="15" hidden="1" customHeight="1" x14ac:dyDescent="0.3">
      <c r="A945" s="9">
        <v>3701</v>
      </c>
      <c r="B945" t="s">
        <v>316</v>
      </c>
      <c r="C945" s="25">
        <v>44670</v>
      </c>
      <c r="D945" s="26">
        <v>0.93200231481481488</v>
      </c>
      <c r="E945" s="8" t="s">
        <v>27</v>
      </c>
      <c r="F945" t="s">
        <v>482</v>
      </c>
      <c r="G945" t="s">
        <v>445</v>
      </c>
      <c r="H945" t="s">
        <v>290</v>
      </c>
      <c r="I945" s="4">
        <v>293.95</v>
      </c>
      <c r="J945" s="54"/>
      <c r="K945" s="89">
        <f t="shared" si="60"/>
        <v>100000</v>
      </c>
      <c r="L945" s="32">
        <v>100000</v>
      </c>
      <c r="M945" s="10">
        <f t="shared" si="61"/>
        <v>0.29394999999999999</v>
      </c>
    </row>
    <row r="946" spans="1:13" ht="15" hidden="1" customHeight="1" x14ac:dyDescent="0.3">
      <c r="A946" s="9">
        <v>3702</v>
      </c>
      <c r="B946" t="s">
        <v>316</v>
      </c>
      <c r="C946" s="25">
        <v>44671</v>
      </c>
      <c r="D946" s="26">
        <v>0.80427083333333327</v>
      </c>
      <c r="E946" s="8" t="s">
        <v>27</v>
      </c>
      <c r="F946" t="s">
        <v>296</v>
      </c>
      <c r="G946" t="s">
        <v>297</v>
      </c>
      <c r="H946" t="s">
        <v>290</v>
      </c>
      <c r="I946" s="4">
        <v>304.37</v>
      </c>
      <c r="J946" s="8"/>
      <c r="K946" s="89">
        <f t="shared" si="60"/>
        <v>150000</v>
      </c>
      <c r="L946" s="67">
        <v>150000</v>
      </c>
      <c r="M946" s="10">
        <f t="shared" si="61"/>
        <v>0.20291333333333333</v>
      </c>
    </row>
    <row r="947" spans="1:13" ht="15" hidden="1" customHeight="1" x14ac:dyDescent="0.3">
      <c r="A947" s="9">
        <v>3703</v>
      </c>
      <c r="B947" t="s">
        <v>316</v>
      </c>
      <c r="C947" s="25">
        <v>44672</v>
      </c>
      <c r="D947" s="26">
        <v>0.86755787037037047</v>
      </c>
      <c r="E947" s="8" t="s">
        <v>27</v>
      </c>
      <c r="F947" t="s">
        <v>241</v>
      </c>
      <c r="G947" t="s">
        <v>242</v>
      </c>
      <c r="H947" t="s">
        <v>290</v>
      </c>
      <c r="I947" s="4">
        <v>463.28</v>
      </c>
      <c r="J947" s="8"/>
      <c r="K947" s="89">
        <f t="shared" si="60"/>
        <v>4009</v>
      </c>
      <c r="L947" s="53">
        <v>4009</v>
      </c>
      <c r="M947" s="10">
        <f t="shared" si="61"/>
        <v>11.555999002244949</v>
      </c>
    </row>
    <row r="948" spans="1:13" ht="15" hidden="1" customHeight="1" x14ac:dyDescent="0.3">
      <c r="A948" s="9">
        <v>3704</v>
      </c>
      <c r="B948" t="s">
        <v>316</v>
      </c>
      <c r="C948" s="25">
        <v>44675</v>
      </c>
      <c r="D948" s="26">
        <v>0.95269675925925934</v>
      </c>
      <c r="E948" s="8" t="s">
        <v>27</v>
      </c>
      <c r="F948" t="s">
        <v>296</v>
      </c>
      <c r="G948" t="s">
        <v>297</v>
      </c>
      <c r="H948" t="s">
        <v>290</v>
      </c>
      <c r="I948" s="4">
        <v>100</v>
      </c>
      <c r="J948" s="8"/>
      <c r="K948" s="89">
        <f t="shared" si="60"/>
        <v>10000</v>
      </c>
      <c r="L948" s="53">
        <v>10000</v>
      </c>
      <c r="M948" s="10">
        <f t="shared" si="61"/>
        <v>1</v>
      </c>
    </row>
    <row r="949" spans="1:13" ht="15" hidden="1" customHeight="1" x14ac:dyDescent="0.3">
      <c r="A949" s="9">
        <v>3705</v>
      </c>
      <c r="B949" t="s">
        <v>316</v>
      </c>
      <c r="C949" s="25">
        <v>44676</v>
      </c>
      <c r="D949" s="26">
        <v>0.11653935185185187</v>
      </c>
      <c r="E949" s="8" t="s">
        <v>27</v>
      </c>
      <c r="F949" t="s">
        <v>319</v>
      </c>
      <c r="G949" t="s">
        <v>320</v>
      </c>
      <c r="H949" t="s">
        <v>290</v>
      </c>
      <c r="I949">
        <v>100.18</v>
      </c>
      <c r="J949" s="44"/>
      <c r="K949" s="89">
        <f t="shared" si="60"/>
        <v>0</v>
      </c>
      <c r="L949" s="7"/>
      <c r="M949" s="10" t="e">
        <f t="shared" si="61"/>
        <v>#DIV/0!</v>
      </c>
    </row>
    <row r="950" spans="1:13" ht="15" hidden="1" customHeight="1" x14ac:dyDescent="0.3">
      <c r="A950" s="9">
        <v>3706</v>
      </c>
      <c r="B950" t="s">
        <v>316</v>
      </c>
      <c r="C950" s="25">
        <v>44676</v>
      </c>
      <c r="D950" s="26">
        <v>0.68238425925925927</v>
      </c>
      <c r="E950" s="8" t="s">
        <v>27</v>
      </c>
      <c r="F950" t="s">
        <v>574</v>
      </c>
      <c r="G950" t="s">
        <v>575</v>
      </c>
      <c r="H950" t="s">
        <v>290</v>
      </c>
      <c r="I950">
        <v>219.61</v>
      </c>
      <c r="J950" s="24"/>
      <c r="K950" s="89">
        <f t="shared" si="60"/>
        <v>0</v>
      </c>
      <c r="L950" s="7"/>
      <c r="M950" s="10" t="e">
        <f t="shared" si="61"/>
        <v>#DIV/0!</v>
      </c>
    </row>
    <row r="951" spans="1:13" ht="15" hidden="1" customHeight="1" x14ac:dyDescent="0.3">
      <c r="A951" s="9">
        <v>3707</v>
      </c>
      <c r="B951" t="s">
        <v>316</v>
      </c>
      <c r="C951" s="25">
        <v>44677</v>
      </c>
      <c r="D951" s="26">
        <v>0.54604166666666665</v>
      </c>
      <c r="E951" s="8" t="s">
        <v>27</v>
      </c>
      <c r="F951" t="s">
        <v>447</v>
      </c>
      <c r="G951" t="s">
        <v>448</v>
      </c>
      <c r="H951" t="s">
        <v>290</v>
      </c>
      <c r="I951">
        <v>200</v>
      </c>
      <c r="J951" s="8"/>
      <c r="K951" s="89">
        <f t="shared" si="60"/>
        <v>0</v>
      </c>
      <c r="L951" s="34"/>
      <c r="M951" s="10" t="e">
        <f t="shared" si="61"/>
        <v>#DIV/0!</v>
      </c>
    </row>
    <row r="952" spans="1:13" ht="15" hidden="1" customHeight="1" x14ac:dyDescent="0.3">
      <c r="A952" s="9">
        <v>3708</v>
      </c>
      <c r="B952" t="s">
        <v>316</v>
      </c>
      <c r="C952" s="25">
        <v>44678</v>
      </c>
      <c r="D952" s="26">
        <v>0.62487268518518524</v>
      </c>
      <c r="E952" s="8" t="s">
        <v>27</v>
      </c>
      <c r="F952" t="s">
        <v>296</v>
      </c>
      <c r="G952" t="s">
        <v>297</v>
      </c>
      <c r="H952" t="s">
        <v>290</v>
      </c>
      <c r="I952">
        <v>458.7</v>
      </c>
      <c r="J952" s="54"/>
      <c r="K952" s="89">
        <f t="shared" si="60"/>
        <v>0</v>
      </c>
      <c r="L952" s="31"/>
      <c r="M952" s="10" t="e">
        <f t="shared" si="61"/>
        <v>#DIV/0!</v>
      </c>
    </row>
    <row r="953" spans="1:13" ht="15" hidden="1" customHeight="1" x14ac:dyDescent="0.3">
      <c r="A953" s="9">
        <v>3709</v>
      </c>
      <c r="B953" t="s">
        <v>316</v>
      </c>
      <c r="C953" s="25">
        <v>44679</v>
      </c>
      <c r="D953" s="26">
        <v>0.84223379629629624</v>
      </c>
      <c r="E953" s="8" t="s">
        <v>27</v>
      </c>
      <c r="F953" t="s">
        <v>226</v>
      </c>
      <c r="G953" t="s">
        <v>227</v>
      </c>
      <c r="H953" t="s">
        <v>290</v>
      </c>
      <c r="I953">
        <v>461.38</v>
      </c>
      <c r="J953" s="8"/>
      <c r="K953" s="89">
        <f t="shared" si="60"/>
        <v>0</v>
      </c>
      <c r="L953" s="7"/>
      <c r="M953" s="10" t="e">
        <f t="shared" si="61"/>
        <v>#DIV/0!</v>
      </c>
    </row>
    <row r="954" spans="1:13" ht="15" hidden="1" customHeight="1" x14ac:dyDescent="0.3">
      <c r="A954" s="9">
        <v>3748</v>
      </c>
      <c r="B954" t="s">
        <v>316</v>
      </c>
      <c r="C954" s="25">
        <v>44683</v>
      </c>
      <c r="D954" s="26">
        <v>0.43358796296296293</v>
      </c>
      <c r="E954" s="8" t="s">
        <v>28</v>
      </c>
      <c r="F954" t="s">
        <v>406</v>
      </c>
      <c r="G954" t="s">
        <v>409</v>
      </c>
      <c r="H954" t="s">
        <v>290</v>
      </c>
      <c r="I954">
        <v>100</v>
      </c>
      <c r="J954" s="49"/>
      <c r="K954" s="89">
        <f>+L954-J1084</f>
        <v>852142</v>
      </c>
      <c r="L954" s="44">
        <v>852142</v>
      </c>
      <c r="M954" s="10">
        <f t="shared" si="61"/>
        <v>1.1735133346320214E-2</v>
      </c>
    </row>
    <row r="955" spans="1:13" ht="15" hidden="1" customHeight="1" x14ac:dyDescent="0.3">
      <c r="A955" s="9">
        <v>3789</v>
      </c>
      <c r="B955" t="s">
        <v>316</v>
      </c>
      <c r="C955" s="25">
        <v>44684</v>
      </c>
      <c r="D955" s="26">
        <v>0.51644675925925931</v>
      </c>
      <c r="E955" s="8" t="s">
        <v>28</v>
      </c>
      <c r="F955" t="s">
        <v>482</v>
      </c>
      <c r="G955" t="s">
        <v>445</v>
      </c>
      <c r="H955" t="s">
        <v>290</v>
      </c>
      <c r="I955">
        <v>100</v>
      </c>
      <c r="J955" s="8"/>
      <c r="K955" s="82"/>
      <c r="L955" s="8">
        <v>1234</v>
      </c>
      <c r="M955" s="10" t="e">
        <f t="shared" si="61"/>
        <v>#DIV/0!</v>
      </c>
    </row>
    <row r="956" spans="1:13" ht="15" hidden="1" customHeight="1" x14ac:dyDescent="0.3">
      <c r="A956" s="9">
        <v>3790</v>
      </c>
      <c r="B956" t="s">
        <v>316</v>
      </c>
      <c r="C956" s="25">
        <v>44684</v>
      </c>
      <c r="D956" s="26">
        <v>0.62103009259259256</v>
      </c>
      <c r="E956" s="8" t="s">
        <v>28</v>
      </c>
      <c r="F956" t="s">
        <v>574</v>
      </c>
      <c r="G956" t="s">
        <v>575</v>
      </c>
      <c r="H956" t="s">
        <v>290</v>
      </c>
      <c r="I956">
        <v>200</v>
      </c>
      <c r="J956" s="33">
        <v>0</v>
      </c>
      <c r="K956" s="82"/>
      <c r="L956" s="8">
        <v>236145</v>
      </c>
      <c r="M956" s="10" t="e">
        <f t="shared" si="61"/>
        <v>#DIV/0!</v>
      </c>
    </row>
    <row r="957" spans="1:13" ht="15" hidden="1" customHeight="1" x14ac:dyDescent="0.3">
      <c r="A957" s="9">
        <v>4101</v>
      </c>
      <c r="B957" t="s">
        <v>316</v>
      </c>
      <c r="C957" s="25">
        <v>44690</v>
      </c>
      <c r="D957" s="26">
        <v>0.51543981481481482</v>
      </c>
      <c r="E957" s="8" t="s">
        <v>28</v>
      </c>
      <c r="F957" t="s">
        <v>387</v>
      </c>
      <c r="G957" t="s">
        <v>388</v>
      </c>
      <c r="H957" t="s">
        <v>290</v>
      </c>
      <c r="I957">
        <v>474.59</v>
      </c>
      <c r="J957" s="8"/>
      <c r="K957" s="89">
        <f>+L957-J1085</f>
        <v>222588</v>
      </c>
      <c r="L957" s="8">
        <v>222588</v>
      </c>
      <c r="M957" s="10">
        <f t="shared" si="61"/>
        <v>0.21321454885258861</v>
      </c>
    </row>
    <row r="958" spans="1:13" ht="15" hidden="1" customHeight="1" x14ac:dyDescent="0.3">
      <c r="A958" s="9">
        <v>4200</v>
      </c>
      <c r="B958" t="s">
        <v>316</v>
      </c>
      <c r="C958" s="25">
        <v>44692</v>
      </c>
      <c r="D958" s="26">
        <v>5.151620370370371E-2</v>
      </c>
      <c r="E958" s="8" t="s">
        <v>28</v>
      </c>
      <c r="F958" t="s">
        <v>609</v>
      </c>
      <c r="G958" t="s">
        <v>610</v>
      </c>
      <c r="H958" t="s">
        <v>290</v>
      </c>
      <c r="I958">
        <v>279.89</v>
      </c>
      <c r="J958" s="8"/>
      <c r="K958" s="89">
        <f>+L958-J1087</f>
        <v>1112</v>
      </c>
      <c r="L958" s="44">
        <v>1112</v>
      </c>
      <c r="M958" s="10">
        <f t="shared" si="61"/>
        <v>25.169964028776974</v>
      </c>
    </row>
    <row r="959" spans="1:13" ht="15" hidden="1" customHeight="1" x14ac:dyDescent="0.3">
      <c r="A959" s="9">
        <v>4436</v>
      </c>
      <c r="B959" t="s">
        <v>316</v>
      </c>
      <c r="C959" s="25">
        <v>44696</v>
      </c>
      <c r="D959" s="26">
        <v>0.97673611111111114</v>
      </c>
      <c r="E959" s="8" t="s">
        <v>28</v>
      </c>
      <c r="F959" t="s">
        <v>387</v>
      </c>
      <c r="G959" t="s">
        <v>388</v>
      </c>
      <c r="H959" t="s">
        <v>290</v>
      </c>
      <c r="I959">
        <v>356</v>
      </c>
      <c r="J959" s="23"/>
      <c r="K959" s="89" t="e">
        <f>+L959-#REF!</f>
        <v>#REF!</v>
      </c>
      <c r="L959" s="8">
        <v>215555</v>
      </c>
      <c r="M959" s="10" t="e">
        <f t="shared" si="61"/>
        <v>#REF!</v>
      </c>
    </row>
    <row r="960" spans="1:13" ht="15" hidden="1" customHeight="1" x14ac:dyDescent="0.3">
      <c r="A960" s="9">
        <v>4530</v>
      </c>
      <c r="B960" t="s">
        <v>316</v>
      </c>
      <c r="C960" s="25">
        <v>44698</v>
      </c>
      <c r="D960" s="26">
        <v>0.44269675925925928</v>
      </c>
      <c r="E960" s="8" t="s">
        <v>28</v>
      </c>
      <c r="F960" t="s">
        <v>483</v>
      </c>
      <c r="G960" t="s">
        <v>484</v>
      </c>
      <c r="H960" t="s">
        <v>290</v>
      </c>
      <c r="I960">
        <v>150.02000000000001</v>
      </c>
      <c r="J960" s="8"/>
      <c r="K960" s="89">
        <f>+L960-J1231</f>
        <v>10000</v>
      </c>
      <c r="L960" s="45">
        <v>10000</v>
      </c>
      <c r="M960" s="10">
        <f t="shared" si="61"/>
        <v>1.5002000000000002</v>
      </c>
    </row>
    <row r="961" spans="1:20" ht="15" hidden="1" customHeight="1" x14ac:dyDescent="0.3">
      <c r="A961" s="9">
        <v>4593</v>
      </c>
      <c r="B961" t="s">
        <v>316</v>
      </c>
      <c r="C961" s="25">
        <v>44699</v>
      </c>
      <c r="D961" s="26">
        <v>0.82637731481481491</v>
      </c>
      <c r="E961" s="8" t="s">
        <v>28</v>
      </c>
      <c r="F961" t="s">
        <v>387</v>
      </c>
      <c r="G961" t="s">
        <v>388</v>
      </c>
      <c r="H961" t="s">
        <v>290</v>
      </c>
      <c r="I961">
        <v>532.12</v>
      </c>
      <c r="J961" s="45"/>
      <c r="K961" s="89">
        <f>+L961-J1232</f>
        <v>985476</v>
      </c>
      <c r="L961" s="8">
        <v>985476</v>
      </c>
      <c r="M961" s="10">
        <f t="shared" si="61"/>
        <v>5.3996241410242361E-2</v>
      </c>
    </row>
    <row r="962" spans="1:20" ht="15" hidden="1" customHeight="1" x14ac:dyDescent="0.3">
      <c r="A962" s="9">
        <v>4858</v>
      </c>
      <c r="B962" t="s">
        <v>316</v>
      </c>
      <c r="C962" s="25">
        <v>44704</v>
      </c>
      <c r="D962" s="26">
        <v>2.8819444444444444E-3</v>
      </c>
      <c r="E962" s="8" t="s">
        <v>28</v>
      </c>
      <c r="F962" t="s">
        <v>523</v>
      </c>
      <c r="G962" t="s">
        <v>388</v>
      </c>
      <c r="H962" t="s">
        <v>290</v>
      </c>
      <c r="I962">
        <v>200</v>
      </c>
      <c r="J962" s="8"/>
      <c r="K962" s="89" t="e">
        <f>+L962-#REF!</f>
        <v>#REF!</v>
      </c>
      <c r="L962" s="8">
        <v>100000</v>
      </c>
      <c r="M962" s="10" t="e">
        <f t="shared" si="61"/>
        <v>#REF!</v>
      </c>
    </row>
    <row r="963" spans="1:20" ht="15" hidden="1" customHeight="1" x14ac:dyDescent="0.3">
      <c r="A963" s="9">
        <v>4859</v>
      </c>
      <c r="B963" t="s">
        <v>316</v>
      </c>
      <c r="C963" s="25">
        <v>44704</v>
      </c>
      <c r="D963" s="26">
        <v>1.4444444444444446E-2</v>
      </c>
      <c r="E963" s="8" t="s">
        <v>28</v>
      </c>
      <c r="F963" t="s">
        <v>338</v>
      </c>
      <c r="G963" t="s">
        <v>388</v>
      </c>
      <c r="H963" t="s">
        <v>290</v>
      </c>
      <c r="I963">
        <v>268.26</v>
      </c>
      <c r="J963" s="8"/>
      <c r="K963" s="89" t="e">
        <f>+L963-#REF!</f>
        <v>#REF!</v>
      </c>
      <c r="L963" s="54">
        <v>100000</v>
      </c>
      <c r="M963" s="10" t="e">
        <f t="shared" si="61"/>
        <v>#REF!</v>
      </c>
    </row>
    <row r="964" spans="1:20" ht="15" hidden="1" customHeight="1" x14ac:dyDescent="0.3">
      <c r="A964" s="9">
        <v>4860</v>
      </c>
      <c r="B964" t="s">
        <v>316</v>
      </c>
      <c r="C964" s="25">
        <v>44704</v>
      </c>
      <c r="D964" s="26">
        <v>0.66114583333333332</v>
      </c>
      <c r="E964" s="8" t="s">
        <v>28</v>
      </c>
      <c r="F964" t="s">
        <v>406</v>
      </c>
      <c r="G964" t="s">
        <v>409</v>
      </c>
      <c r="H964" t="s">
        <v>290</v>
      </c>
      <c r="I964">
        <f>75.39+137.65</f>
        <v>213.04000000000002</v>
      </c>
      <c r="J964" s="8"/>
      <c r="K964" s="89" t="e">
        <f>+L964-#REF!</f>
        <v>#REF!</v>
      </c>
      <c r="L964" s="8">
        <v>366999</v>
      </c>
      <c r="M964" s="10" t="e">
        <f t="shared" si="61"/>
        <v>#REF!</v>
      </c>
    </row>
    <row r="965" spans="1:20" ht="15" hidden="1" customHeight="1" x14ac:dyDescent="0.3">
      <c r="A965" s="9">
        <v>5640</v>
      </c>
      <c r="B965" t="s">
        <v>316</v>
      </c>
      <c r="C965" s="25">
        <v>44719</v>
      </c>
      <c r="D965" s="26">
        <v>0.95203703703703713</v>
      </c>
      <c r="E965" s="8" t="s">
        <v>29</v>
      </c>
      <c r="F965" t="s">
        <v>722</v>
      </c>
      <c r="G965" t="s">
        <v>445</v>
      </c>
      <c r="H965" t="s">
        <v>290</v>
      </c>
      <c r="I965">
        <v>435.32</v>
      </c>
      <c r="J965" s="32">
        <v>0</v>
      </c>
      <c r="K965" s="89">
        <f>+L965-J524</f>
        <v>0</v>
      </c>
      <c r="L965" s="29"/>
      <c r="M965" s="10" t="e">
        <f t="shared" si="61"/>
        <v>#DIV/0!</v>
      </c>
    </row>
    <row r="966" spans="1:20" ht="15" hidden="1" customHeight="1" x14ac:dyDescent="0.3">
      <c r="A966" s="9">
        <v>6629</v>
      </c>
      <c r="B966" t="s">
        <v>316</v>
      </c>
      <c r="C966" s="25">
        <v>44739</v>
      </c>
      <c r="D966" s="26">
        <v>0.63606481481481481</v>
      </c>
      <c r="E966" s="8" t="s">
        <v>29</v>
      </c>
      <c r="F966" t="s">
        <v>766</v>
      </c>
      <c r="G966" t="s">
        <v>299</v>
      </c>
      <c r="H966" t="s">
        <v>290</v>
      </c>
      <c r="I966">
        <v>251.55</v>
      </c>
      <c r="J966" s="32">
        <v>0</v>
      </c>
      <c r="K966" s="89"/>
      <c r="L966" s="98"/>
      <c r="M966" s="15"/>
    </row>
    <row r="967" spans="1:20" ht="15" hidden="1" customHeight="1" x14ac:dyDescent="0.3">
      <c r="B967" t="s">
        <v>349</v>
      </c>
      <c r="C967" s="25">
        <v>44681</v>
      </c>
      <c r="D967" s="26">
        <v>0.28552083333333333</v>
      </c>
      <c r="E967" s="8" t="s">
        <v>580</v>
      </c>
      <c r="F967" t="s">
        <v>175</v>
      </c>
      <c r="G967" t="s">
        <v>172</v>
      </c>
      <c r="H967" t="s">
        <v>122</v>
      </c>
      <c r="I967">
        <v>423.88</v>
      </c>
      <c r="J967" s="7">
        <v>0</v>
      </c>
      <c r="K967" s="89">
        <f>+L967-J1102</f>
        <v>1140.56</v>
      </c>
      <c r="L967" s="28">
        <v>1140.56</v>
      </c>
      <c r="M967" s="10">
        <f>I967/L967*100</f>
        <v>37.164200042084595</v>
      </c>
      <c r="S967"/>
      <c r="T967"/>
    </row>
    <row r="968" spans="1:20" ht="15" hidden="1" customHeight="1" x14ac:dyDescent="0.3">
      <c r="B968" t="s">
        <v>349</v>
      </c>
      <c r="C968" s="25">
        <v>44681</v>
      </c>
      <c r="D968" s="26">
        <v>0.7122222222222222</v>
      </c>
      <c r="E968" s="8" t="s">
        <v>580</v>
      </c>
      <c r="F968" t="s">
        <v>166</v>
      </c>
      <c r="G968" t="s">
        <v>161</v>
      </c>
      <c r="H968" t="s">
        <v>122</v>
      </c>
      <c r="I968">
        <v>245.27</v>
      </c>
      <c r="J968" s="31">
        <v>0</v>
      </c>
      <c r="K968" s="96">
        <f>+L968-J1103</f>
        <v>620</v>
      </c>
      <c r="L968" s="31">
        <v>620</v>
      </c>
      <c r="M968" s="131">
        <f>I968/L968*100</f>
        <v>39.559677419354841</v>
      </c>
      <c r="S968"/>
      <c r="T968"/>
    </row>
    <row r="969" spans="1:20" ht="15" hidden="1" customHeight="1" x14ac:dyDescent="0.3">
      <c r="B969" t="s">
        <v>469</v>
      </c>
      <c r="C969" s="25">
        <v>44681</v>
      </c>
      <c r="D969" s="26">
        <v>0.28429398148148149</v>
      </c>
      <c r="E969" s="8" t="s">
        <v>580</v>
      </c>
      <c r="F969" t="s">
        <v>175</v>
      </c>
      <c r="G969" t="s">
        <v>172</v>
      </c>
      <c r="H969" t="s">
        <v>207</v>
      </c>
      <c r="I969">
        <v>406.29</v>
      </c>
      <c r="J969" s="7">
        <v>0</v>
      </c>
      <c r="K969" s="90">
        <f>+L969-J969</f>
        <v>1110.6500000000001</v>
      </c>
      <c r="L969" s="7">
        <v>1110.6500000000001</v>
      </c>
      <c r="M969" s="91">
        <f t="shared" ref="M969:M1005" si="62">I969/K969*100</f>
        <v>36.581281231711159</v>
      </c>
      <c r="O969" s="4" t="s">
        <v>36</v>
      </c>
      <c r="R969" s="18" t="s">
        <v>112</v>
      </c>
      <c r="S969"/>
      <c r="T969"/>
    </row>
    <row r="970" spans="1:20" ht="15" hidden="1" customHeight="1" x14ac:dyDescent="0.3">
      <c r="A970" s="9">
        <v>4852</v>
      </c>
      <c r="B970" t="s">
        <v>625</v>
      </c>
      <c r="C970" s="25">
        <v>44704</v>
      </c>
      <c r="D970" s="26">
        <v>0.81123842592592599</v>
      </c>
      <c r="E970" s="8" t="s">
        <v>28</v>
      </c>
      <c r="F970" t="s">
        <v>391</v>
      </c>
      <c r="G970" t="s">
        <v>392</v>
      </c>
      <c r="H970" t="s">
        <v>8</v>
      </c>
      <c r="I970">
        <v>202</v>
      </c>
      <c r="J970" s="37">
        <v>0</v>
      </c>
      <c r="K970" s="92">
        <f t="shared" ref="K970:K977" si="63">+L970-J1241</f>
        <v>477</v>
      </c>
      <c r="L970" s="37">
        <v>477</v>
      </c>
      <c r="M970" s="61">
        <f t="shared" si="62"/>
        <v>42.348008385744237</v>
      </c>
    </row>
    <row r="971" spans="1:20" ht="15" hidden="1" customHeight="1" x14ac:dyDescent="0.3">
      <c r="A971" s="9">
        <v>4916</v>
      </c>
      <c r="B971" t="s">
        <v>625</v>
      </c>
      <c r="C971" s="25">
        <v>44705</v>
      </c>
      <c r="D971" s="26">
        <v>0.84280092592592604</v>
      </c>
      <c r="E971" s="8" t="s">
        <v>28</v>
      </c>
      <c r="F971" t="s">
        <v>623</v>
      </c>
      <c r="G971" t="s">
        <v>44</v>
      </c>
      <c r="H971" t="s">
        <v>8</v>
      </c>
      <c r="I971">
        <v>168.89</v>
      </c>
      <c r="J971" s="32">
        <v>0</v>
      </c>
      <c r="K971" s="89">
        <f t="shared" si="63"/>
        <v>427</v>
      </c>
      <c r="L971" s="32">
        <v>427</v>
      </c>
      <c r="M971" s="10">
        <f t="shared" si="62"/>
        <v>39.55269320843091</v>
      </c>
    </row>
    <row r="972" spans="1:20" ht="15" hidden="1" customHeight="1" x14ac:dyDescent="0.3">
      <c r="A972" s="9">
        <v>4971</v>
      </c>
      <c r="B972" t="s">
        <v>625</v>
      </c>
      <c r="C972" s="25">
        <v>44706</v>
      </c>
      <c r="D972" s="26">
        <v>0.58928240740740734</v>
      </c>
      <c r="E972" s="8" t="s">
        <v>28</v>
      </c>
      <c r="F972" t="s">
        <v>166</v>
      </c>
      <c r="G972" t="s">
        <v>161</v>
      </c>
      <c r="H972" t="s">
        <v>8</v>
      </c>
      <c r="I972">
        <v>237.79</v>
      </c>
      <c r="J972" s="32">
        <v>0</v>
      </c>
      <c r="K972" s="89">
        <f t="shared" si="63"/>
        <v>517</v>
      </c>
      <c r="L972" s="32">
        <v>517</v>
      </c>
      <c r="M972" s="10">
        <f t="shared" si="62"/>
        <v>45.994197292069636</v>
      </c>
    </row>
    <row r="973" spans="1:20" ht="15" hidden="1" customHeight="1" x14ac:dyDescent="0.3">
      <c r="A973" s="9">
        <v>5010</v>
      </c>
      <c r="B973" t="s">
        <v>625</v>
      </c>
      <c r="C973" s="25">
        <v>44707</v>
      </c>
      <c r="D973" s="26">
        <v>0.4957523148148148</v>
      </c>
      <c r="E973" s="8" t="s">
        <v>28</v>
      </c>
      <c r="F973" t="s">
        <v>635</v>
      </c>
      <c r="G973" t="s">
        <v>185</v>
      </c>
      <c r="H973" t="s">
        <v>8</v>
      </c>
      <c r="I973">
        <v>278.04700000000003</v>
      </c>
      <c r="J973" s="32">
        <v>0</v>
      </c>
      <c r="K973" s="89">
        <f t="shared" si="63"/>
        <v>577</v>
      </c>
      <c r="L973" s="7">
        <v>577</v>
      </c>
      <c r="M973" s="10">
        <f t="shared" si="62"/>
        <v>48.188388214904684</v>
      </c>
    </row>
    <row r="974" spans="1:20" ht="15" hidden="1" customHeight="1" x14ac:dyDescent="0.3">
      <c r="A974" s="9">
        <v>5065</v>
      </c>
      <c r="B974" t="s">
        <v>625</v>
      </c>
      <c r="C974" s="25">
        <v>44708</v>
      </c>
      <c r="D974" s="26">
        <v>0.7834374999999999</v>
      </c>
      <c r="E974" s="8" t="s">
        <v>28</v>
      </c>
      <c r="F974" t="s">
        <v>655</v>
      </c>
      <c r="G974" t="s">
        <v>170</v>
      </c>
      <c r="H974" t="s">
        <v>8</v>
      </c>
      <c r="I974">
        <v>100</v>
      </c>
      <c r="J974" s="32">
        <v>0</v>
      </c>
      <c r="K974" s="89">
        <f t="shared" si="63"/>
        <v>1071</v>
      </c>
      <c r="L974" s="7">
        <v>1071</v>
      </c>
      <c r="M974" s="10">
        <f t="shared" si="62"/>
        <v>9.3370681605975729</v>
      </c>
    </row>
    <row r="975" spans="1:20" ht="15" hidden="1" customHeight="1" x14ac:dyDescent="0.3">
      <c r="A975" s="9">
        <v>5066</v>
      </c>
      <c r="B975" t="s">
        <v>625</v>
      </c>
      <c r="C975" s="25">
        <v>44708</v>
      </c>
      <c r="D975" s="26">
        <v>0.8443518518518518</v>
      </c>
      <c r="E975" s="8" t="s">
        <v>28</v>
      </c>
      <c r="F975" t="s">
        <v>656</v>
      </c>
      <c r="G975" t="s">
        <v>495</v>
      </c>
      <c r="H975" t="s">
        <v>8</v>
      </c>
      <c r="I975">
        <v>100.01</v>
      </c>
      <c r="J975" s="32">
        <v>0</v>
      </c>
      <c r="K975" s="89">
        <f t="shared" si="63"/>
        <v>401</v>
      </c>
      <c r="L975" s="34">
        <v>401</v>
      </c>
      <c r="M975" s="10">
        <f t="shared" si="62"/>
        <v>24.940149625935163</v>
      </c>
    </row>
    <row r="976" spans="1:20" ht="15" hidden="1" customHeight="1" x14ac:dyDescent="0.3">
      <c r="A976" s="9">
        <v>5119</v>
      </c>
      <c r="B976" t="s">
        <v>625</v>
      </c>
      <c r="C976" s="25">
        <v>44709</v>
      </c>
      <c r="D976" s="26">
        <v>0.44305555555555554</v>
      </c>
      <c r="E976" s="8" t="s">
        <v>28</v>
      </c>
      <c r="F976" t="s">
        <v>657</v>
      </c>
      <c r="G976" t="s">
        <v>206</v>
      </c>
      <c r="H976" t="s">
        <v>8</v>
      </c>
      <c r="I976">
        <v>100</v>
      </c>
      <c r="J976" s="38">
        <v>0</v>
      </c>
      <c r="K976" s="89">
        <f t="shared" si="63"/>
        <v>319</v>
      </c>
      <c r="L976" s="35">
        <v>319</v>
      </c>
      <c r="M976" s="10">
        <f t="shared" si="62"/>
        <v>31.347962382445143</v>
      </c>
    </row>
    <row r="977" spans="1:13" ht="15" hidden="1" customHeight="1" x14ac:dyDescent="0.3">
      <c r="A977" s="9">
        <v>5120</v>
      </c>
      <c r="B977" t="s">
        <v>625</v>
      </c>
      <c r="C977" s="25">
        <v>44709</v>
      </c>
      <c r="D977" s="26">
        <v>0.46806712962962965</v>
      </c>
      <c r="E977" s="8" t="s">
        <v>28</v>
      </c>
      <c r="F977" t="s">
        <v>658</v>
      </c>
      <c r="G977" t="s">
        <v>310</v>
      </c>
      <c r="H977" t="s">
        <v>8</v>
      </c>
      <c r="I977">
        <v>327.66000000000003</v>
      </c>
      <c r="J977" s="32">
        <v>0</v>
      </c>
      <c r="K977" s="89">
        <f t="shared" si="63"/>
        <v>5</v>
      </c>
      <c r="L977" s="7">
        <v>5</v>
      </c>
      <c r="M977" s="10">
        <f t="shared" si="62"/>
        <v>6553.2000000000007</v>
      </c>
    </row>
    <row r="978" spans="1:13" ht="15" hidden="1" customHeight="1" x14ac:dyDescent="0.3">
      <c r="A978" s="9">
        <v>5178</v>
      </c>
      <c r="B978" t="s">
        <v>625</v>
      </c>
      <c r="C978" s="25">
        <v>44710</v>
      </c>
      <c r="D978" s="26">
        <v>0.61614583333333328</v>
      </c>
      <c r="E978" s="8" t="s">
        <v>28</v>
      </c>
      <c r="F978" t="s">
        <v>632</v>
      </c>
      <c r="G978" t="s">
        <v>161</v>
      </c>
      <c r="H978" t="s">
        <v>8</v>
      </c>
      <c r="I978">
        <v>327.77</v>
      </c>
      <c r="J978" s="33">
        <v>0</v>
      </c>
      <c r="K978" s="89">
        <f>+L978-J1270</f>
        <v>694</v>
      </c>
      <c r="L978" s="7">
        <v>694</v>
      </c>
      <c r="M978" s="10">
        <f t="shared" si="62"/>
        <v>47.229106628242072</v>
      </c>
    </row>
    <row r="979" spans="1:13" ht="15" hidden="1" customHeight="1" x14ac:dyDescent="0.3">
      <c r="A979" s="9">
        <v>5226</v>
      </c>
      <c r="B979" t="s">
        <v>625</v>
      </c>
      <c r="C979" s="25">
        <v>44711</v>
      </c>
      <c r="D979" s="26">
        <v>0.48896990740740742</v>
      </c>
      <c r="E979" s="8" t="s">
        <v>28</v>
      </c>
      <c r="F979" t="s">
        <v>635</v>
      </c>
      <c r="G979" t="s">
        <v>185</v>
      </c>
      <c r="H979" t="s">
        <v>8</v>
      </c>
      <c r="I979">
        <v>295.01</v>
      </c>
      <c r="J979" s="32">
        <v>0</v>
      </c>
      <c r="K979" s="89">
        <f>+L979-J1264</f>
        <v>571</v>
      </c>
      <c r="L979" s="7">
        <v>571</v>
      </c>
      <c r="M979" s="10">
        <f t="shared" si="62"/>
        <v>51.665499124343249</v>
      </c>
    </row>
    <row r="980" spans="1:13" ht="15" hidden="1" customHeight="1" x14ac:dyDescent="0.3">
      <c r="A980" s="9">
        <v>5314</v>
      </c>
      <c r="B980" t="s">
        <v>625</v>
      </c>
      <c r="C980" s="25">
        <v>44713</v>
      </c>
      <c r="D980" s="26">
        <v>0.73126157407407411</v>
      </c>
      <c r="E980" s="8" t="s">
        <v>29</v>
      </c>
      <c r="F980" t="s">
        <v>635</v>
      </c>
      <c r="G980" t="s">
        <v>185</v>
      </c>
      <c r="H980" t="s">
        <v>8</v>
      </c>
      <c r="I980">
        <v>237.3</v>
      </c>
      <c r="J980" s="32">
        <v>0</v>
      </c>
      <c r="K980" s="90">
        <f>+L980-J1151</f>
        <v>392</v>
      </c>
      <c r="L980" s="7">
        <v>392</v>
      </c>
      <c r="M980" s="10">
        <f t="shared" si="62"/>
        <v>60.535714285714292</v>
      </c>
    </row>
    <row r="981" spans="1:13" ht="15" hidden="1" customHeight="1" x14ac:dyDescent="0.3">
      <c r="A981" s="9">
        <v>5383</v>
      </c>
      <c r="B981" t="s">
        <v>625</v>
      </c>
      <c r="C981" s="25">
        <v>44714</v>
      </c>
      <c r="D981" s="26">
        <v>0.82680555555555557</v>
      </c>
      <c r="E981" s="8" t="s">
        <v>29</v>
      </c>
      <c r="F981" t="s">
        <v>655</v>
      </c>
      <c r="G981" t="s">
        <v>170</v>
      </c>
      <c r="H981" t="s">
        <v>8</v>
      </c>
      <c r="I981">
        <v>100</v>
      </c>
      <c r="J981" s="37">
        <v>0</v>
      </c>
      <c r="K981" s="97">
        <f>+L981-J1152</f>
        <v>992</v>
      </c>
      <c r="L981" s="34">
        <v>992</v>
      </c>
      <c r="M981" s="10">
        <f t="shared" si="62"/>
        <v>10.080645161290322</v>
      </c>
    </row>
    <row r="982" spans="1:13" ht="15" hidden="1" customHeight="1" x14ac:dyDescent="0.3">
      <c r="A982" s="9">
        <v>5436</v>
      </c>
      <c r="B982" t="s">
        <v>625</v>
      </c>
      <c r="C982" s="25">
        <v>44715</v>
      </c>
      <c r="D982" s="26">
        <v>0.29387731481481483</v>
      </c>
      <c r="E982" s="8" t="s">
        <v>29</v>
      </c>
      <c r="F982" t="s">
        <v>656</v>
      </c>
      <c r="G982" t="s">
        <v>495</v>
      </c>
      <c r="H982" t="s">
        <v>8</v>
      </c>
      <c r="I982">
        <v>100.01</v>
      </c>
      <c r="J982" s="32">
        <v>0</v>
      </c>
      <c r="K982" s="99">
        <f>+L982-J1147</f>
        <v>68</v>
      </c>
      <c r="L982" s="31">
        <v>68</v>
      </c>
      <c r="M982" s="10">
        <f t="shared" si="62"/>
        <v>147.0735294117647</v>
      </c>
    </row>
    <row r="983" spans="1:13" ht="15" hidden="1" customHeight="1" x14ac:dyDescent="0.3">
      <c r="A983" s="9">
        <v>5493</v>
      </c>
      <c r="B983" t="s">
        <v>625</v>
      </c>
      <c r="C983" s="25">
        <v>44716</v>
      </c>
      <c r="D983" s="26">
        <v>0.52392361111111108</v>
      </c>
      <c r="E983" s="8" t="s">
        <v>29</v>
      </c>
      <c r="F983" t="s">
        <v>639</v>
      </c>
      <c r="G983" t="s">
        <v>44</v>
      </c>
      <c r="H983" t="s">
        <v>8</v>
      </c>
      <c r="I983">
        <v>115.49</v>
      </c>
      <c r="J983" s="32">
        <v>0</v>
      </c>
      <c r="K983" s="90">
        <f>+L983-J1147</f>
        <v>545</v>
      </c>
      <c r="L983" s="7">
        <v>545</v>
      </c>
      <c r="M983" s="10">
        <f t="shared" si="62"/>
        <v>21.190825688073396</v>
      </c>
    </row>
    <row r="984" spans="1:13" ht="15" hidden="1" customHeight="1" x14ac:dyDescent="0.3">
      <c r="A984" s="9">
        <v>5494</v>
      </c>
      <c r="B984" t="s">
        <v>625</v>
      </c>
      <c r="C984" s="25">
        <v>44716</v>
      </c>
      <c r="D984" s="26">
        <v>0.68355324074074064</v>
      </c>
      <c r="E984" s="8" t="s">
        <v>29</v>
      </c>
      <c r="F984" t="s">
        <v>654</v>
      </c>
      <c r="G984" t="s">
        <v>303</v>
      </c>
      <c r="H984" t="s">
        <v>8</v>
      </c>
      <c r="I984">
        <v>391.33</v>
      </c>
      <c r="J984" s="32">
        <v>0</v>
      </c>
      <c r="K984" s="90">
        <f>+L984-J1148</f>
        <v>116</v>
      </c>
      <c r="L984" s="7">
        <v>116</v>
      </c>
      <c r="M984" s="10">
        <f t="shared" si="62"/>
        <v>337.35344827586204</v>
      </c>
    </row>
    <row r="985" spans="1:13" ht="15" hidden="1" customHeight="1" x14ac:dyDescent="0.3">
      <c r="A985" s="9">
        <v>5537</v>
      </c>
      <c r="B985" t="s">
        <v>625</v>
      </c>
      <c r="C985" s="25">
        <v>44717</v>
      </c>
      <c r="D985" s="26">
        <v>0.34297453703703701</v>
      </c>
      <c r="E985" s="8" t="s">
        <v>29</v>
      </c>
      <c r="F985" t="s">
        <v>632</v>
      </c>
      <c r="G985" t="s">
        <v>161</v>
      </c>
      <c r="H985" t="s">
        <v>8</v>
      </c>
      <c r="I985">
        <v>139.31</v>
      </c>
      <c r="J985" s="32">
        <v>0</v>
      </c>
      <c r="K985" s="97">
        <f>+L985-J1149</f>
        <v>335</v>
      </c>
      <c r="L985" s="34">
        <v>335</v>
      </c>
      <c r="M985" s="10">
        <f t="shared" si="62"/>
        <v>41.585074626865669</v>
      </c>
    </row>
    <row r="986" spans="1:13" ht="15" hidden="1" customHeight="1" x14ac:dyDescent="0.3">
      <c r="A986" s="9">
        <v>5538</v>
      </c>
      <c r="B986" t="s">
        <v>625</v>
      </c>
      <c r="C986" s="25">
        <v>44717</v>
      </c>
      <c r="D986" s="26">
        <v>0.81886574074074081</v>
      </c>
      <c r="E986" s="8" t="s">
        <v>29</v>
      </c>
      <c r="F986" t="s">
        <v>635</v>
      </c>
      <c r="G986" t="s">
        <v>185</v>
      </c>
      <c r="H986" t="s">
        <v>8</v>
      </c>
      <c r="I986">
        <v>273.66000000000003</v>
      </c>
      <c r="J986" s="32">
        <v>0</v>
      </c>
      <c r="K986" s="90">
        <f>+L986-J1150</f>
        <v>347</v>
      </c>
      <c r="L986" s="7">
        <v>347</v>
      </c>
      <c r="M986" s="10">
        <f t="shared" si="62"/>
        <v>78.864553314121039</v>
      </c>
    </row>
    <row r="987" spans="1:13" ht="15" hidden="1" customHeight="1" x14ac:dyDescent="0.3">
      <c r="A987" s="9">
        <v>5568</v>
      </c>
      <c r="B987" t="s">
        <v>625</v>
      </c>
      <c r="C987" s="25">
        <v>44718</v>
      </c>
      <c r="D987" s="26">
        <v>0.8224189814814814</v>
      </c>
      <c r="E987" s="8" t="s">
        <v>29</v>
      </c>
      <c r="F987" t="s">
        <v>635</v>
      </c>
      <c r="G987" t="s">
        <v>185</v>
      </c>
      <c r="H987" t="s">
        <v>8</v>
      </c>
      <c r="I987">
        <v>191.56</v>
      </c>
      <c r="J987" s="32">
        <v>0</v>
      </c>
      <c r="K987" s="90">
        <f>+L987-J548</f>
        <v>428</v>
      </c>
      <c r="L987" s="7">
        <v>428</v>
      </c>
      <c r="M987" s="10">
        <f t="shared" si="62"/>
        <v>44.757009345794394</v>
      </c>
    </row>
    <row r="988" spans="1:13" ht="15" hidden="1" customHeight="1" x14ac:dyDescent="0.3">
      <c r="A988" s="9">
        <v>5636</v>
      </c>
      <c r="B988" t="s">
        <v>625</v>
      </c>
      <c r="C988" s="25">
        <v>44719</v>
      </c>
      <c r="D988" s="26">
        <v>0.76093749999999993</v>
      </c>
      <c r="E988" s="8" t="s">
        <v>29</v>
      </c>
      <c r="F988" t="s">
        <v>635</v>
      </c>
      <c r="G988" t="s">
        <v>185</v>
      </c>
      <c r="H988" t="s">
        <v>8</v>
      </c>
      <c r="I988">
        <v>177.89</v>
      </c>
      <c r="J988" s="32">
        <v>0</v>
      </c>
      <c r="K988" s="90">
        <f t="shared" ref="K988:K994" si="64">+L988-J547</f>
        <v>428</v>
      </c>
      <c r="L988" s="7">
        <v>428</v>
      </c>
      <c r="M988" s="10">
        <f t="shared" si="62"/>
        <v>41.563084112149525</v>
      </c>
    </row>
    <row r="989" spans="1:13" ht="15" hidden="1" customHeight="1" x14ac:dyDescent="0.3">
      <c r="A989" s="9">
        <v>5700</v>
      </c>
      <c r="B989" t="s">
        <v>625</v>
      </c>
      <c r="C989" s="25">
        <v>44720</v>
      </c>
      <c r="D989" s="26">
        <v>0.70212962962962966</v>
      </c>
      <c r="E989" s="8" t="s">
        <v>29</v>
      </c>
      <c r="F989" t="s">
        <v>635</v>
      </c>
      <c r="G989" t="s">
        <v>185</v>
      </c>
      <c r="H989" t="s">
        <v>8</v>
      </c>
      <c r="I989">
        <v>183.02</v>
      </c>
      <c r="J989" s="135">
        <v>0</v>
      </c>
      <c r="K989" s="137">
        <f t="shared" si="64"/>
        <v>0</v>
      </c>
      <c r="L989" s="137"/>
      <c r="M989" s="10" t="e">
        <f t="shared" si="62"/>
        <v>#DIV/0!</v>
      </c>
    </row>
    <row r="990" spans="1:13" ht="15" hidden="1" customHeight="1" x14ac:dyDescent="0.3">
      <c r="A990" s="9">
        <v>5749</v>
      </c>
      <c r="B990" t="s">
        <v>625</v>
      </c>
      <c r="C990" s="25">
        <v>44721</v>
      </c>
      <c r="D990" s="26">
        <v>0.95944444444444443</v>
      </c>
      <c r="E990" s="8" t="s">
        <v>29</v>
      </c>
      <c r="F990" t="s">
        <v>634</v>
      </c>
      <c r="G990" t="s">
        <v>211</v>
      </c>
      <c r="H990" t="s">
        <v>8</v>
      </c>
      <c r="I990">
        <v>246.8</v>
      </c>
      <c r="J990" s="32">
        <v>0</v>
      </c>
      <c r="K990" s="90">
        <f t="shared" si="64"/>
        <v>980</v>
      </c>
      <c r="L990" s="7">
        <v>980</v>
      </c>
      <c r="M990" s="10">
        <f t="shared" si="62"/>
        <v>25.183673469387756</v>
      </c>
    </row>
    <row r="991" spans="1:13" ht="15" hidden="1" customHeight="1" x14ac:dyDescent="0.3">
      <c r="A991" s="9">
        <v>5854</v>
      </c>
      <c r="B991" t="s">
        <v>625</v>
      </c>
      <c r="C991" s="25">
        <v>44723</v>
      </c>
      <c r="D991" s="26">
        <v>0.77859953703703699</v>
      </c>
      <c r="E991" s="8" t="s">
        <v>29</v>
      </c>
      <c r="F991" t="s">
        <v>639</v>
      </c>
      <c r="G991" t="s">
        <v>44</v>
      </c>
      <c r="H991" t="s">
        <v>8</v>
      </c>
      <c r="I991">
        <v>231</v>
      </c>
      <c r="J991" s="32">
        <v>0</v>
      </c>
      <c r="K991" s="90">
        <f t="shared" si="64"/>
        <v>1065</v>
      </c>
      <c r="L991" s="7">
        <v>1065</v>
      </c>
      <c r="M991" s="10">
        <f t="shared" si="62"/>
        <v>21.69014084507042</v>
      </c>
    </row>
    <row r="992" spans="1:13" ht="15" hidden="1" customHeight="1" x14ac:dyDescent="0.3">
      <c r="A992" s="9">
        <v>5906</v>
      </c>
      <c r="B992" t="s">
        <v>625</v>
      </c>
      <c r="C992" s="25">
        <v>44724</v>
      </c>
      <c r="D992" s="26">
        <v>0.56372685185185178</v>
      </c>
      <c r="E992" s="8" t="s">
        <v>29</v>
      </c>
      <c r="F992" t="s">
        <v>632</v>
      </c>
      <c r="G992" t="s">
        <v>161</v>
      </c>
      <c r="H992" t="s">
        <v>8</v>
      </c>
      <c r="I992">
        <v>449.54700000000003</v>
      </c>
      <c r="J992" s="32">
        <v>0</v>
      </c>
      <c r="K992" s="97">
        <f t="shared" si="64"/>
        <v>-1700</v>
      </c>
      <c r="L992" s="34">
        <v>512</v>
      </c>
      <c r="M992" s="10">
        <f t="shared" si="62"/>
        <v>-26.443941176470592</v>
      </c>
    </row>
    <row r="993" spans="1:20" ht="15" hidden="1" customHeight="1" x14ac:dyDescent="0.3">
      <c r="A993" s="9">
        <v>5963</v>
      </c>
      <c r="B993" t="s">
        <v>625</v>
      </c>
      <c r="C993" s="25">
        <v>44725</v>
      </c>
      <c r="D993" s="26">
        <v>0.46084490740740741</v>
      </c>
      <c r="E993" s="8" t="s">
        <v>29</v>
      </c>
      <c r="F993" t="s">
        <v>634</v>
      </c>
      <c r="G993" t="s">
        <v>211</v>
      </c>
      <c r="H993" t="s">
        <v>8</v>
      </c>
      <c r="I993">
        <v>366.55</v>
      </c>
      <c r="J993" s="32">
        <v>0</v>
      </c>
      <c r="K993" s="90">
        <f t="shared" si="64"/>
        <v>945</v>
      </c>
      <c r="L993" s="7">
        <v>945</v>
      </c>
      <c r="M993" s="10">
        <f t="shared" si="62"/>
        <v>38.788359788359791</v>
      </c>
      <c r="N993" s="2"/>
      <c r="O993" s="2"/>
      <c r="P993" s="2"/>
      <c r="Q993" s="2"/>
      <c r="R993" s="2"/>
      <c r="S993" s="2"/>
    </row>
    <row r="994" spans="1:20" ht="15" hidden="1" customHeight="1" x14ac:dyDescent="0.3">
      <c r="A994" s="9">
        <v>5964</v>
      </c>
      <c r="B994" t="s">
        <v>625</v>
      </c>
      <c r="C994" s="25">
        <v>44725</v>
      </c>
      <c r="D994" s="26">
        <v>0.94543981481481476</v>
      </c>
      <c r="E994" s="8" t="s">
        <v>29</v>
      </c>
      <c r="F994" t="s">
        <v>656</v>
      </c>
      <c r="G994" t="s">
        <v>495</v>
      </c>
      <c r="H994" t="s">
        <v>8</v>
      </c>
      <c r="I994">
        <v>50.23</v>
      </c>
      <c r="J994" s="32">
        <v>0</v>
      </c>
      <c r="K994" s="97">
        <f t="shared" si="64"/>
        <v>542</v>
      </c>
      <c r="L994" s="34">
        <v>542</v>
      </c>
      <c r="M994" s="10">
        <f t="shared" si="62"/>
        <v>9.2675276752767513</v>
      </c>
      <c r="N994" s="2"/>
      <c r="O994" s="2"/>
      <c r="P994" s="2"/>
      <c r="Q994" s="2"/>
      <c r="R994" s="2"/>
      <c r="S994" s="2"/>
    </row>
    <row r="995" spans="1:20" ht="15" hidden="1" customHeight="1" x14ac:dyDescent="0.3">
      <c r="A995" s="9">
        <v>6314</v>
      </c>
      <c r="B995" t="s">
        <v>625</v>
      </c>
      <c r="C995" s="25">
        <v>44733</v>
      </c>
      <c r="D995" s="26">
        <v>0.85358796296296291</v>
      </c>
      <c r="E995" s="8" t="s">
        <v>29</v>
      </c>
      <c r="F995" t="s">
        <v>651</v>
      </c>
      <c r="G995" t="s">
        <v>172</v>
      </c>
      <c r="H995" t="s">
        <v>8</v>
      </c>
      <c r="I995">
        <v>345.51</v>
      </c>
      <c r="J995" s="32">
        <v>0</v>
      </c>
      <c r="K995" s="141">
        <v>339</v>
      </c>
      <c r="L995" s="7">
        <v>339</v>
      </c>
      <c r="M995" s="10">
        <f t="shared" si="62"/>
        <v>101.92035398230088</v>
      </c>
    </row>
    <row r="996" spans="1:20" ht="15" hidden="1" customHeight="1" x14ac:dyDescent="0.3">
      <c r="A996" s="9">
        <v>6363</v>
      </c>
      <c r="B996" t="s">
        <v>625</v>
      </c>
      <c r="C996" s="25">
        <v>44734</v>
      </c>
      <c r="D996" s="26">
        <v>0.78836805555555556</v>
      </c>
      <c r="E996" s="8" t="s">
        <v>29</v>
      </c>
      <c r="F996" t="s">
        <v>632</v>
      </c>
      <c r="G996" t="s">
        <v>161</v>
      </c>
      <c r="H996" t="s">
        <v>8</v>
      </c>
      <c r="I996">
        <v>332.25</v>
      </c>
      <c r="J996" s="32">
        <v>0</v>
      </c>
      <c r="K996" s="141">
        <v>747</v>
      </c>
      <c r="L996" s="123">
        <v>747</v>
      </c>
      <c r="M996" s="10">
        <f t="shared" si="62"/>
        <v>44.477911646586342</v>
      </c>
    </row>
    <row r="997" spans="1:20" ht="15" hidden="1" customHeight="1" x14ac:dyDescent="0.3">
      <c r="A997" s="9">
        <v>6411</v>
      </c>
      <c r="B997" t="s">
        <v>625</v>
      </c>
      <c r="C997" s="25">
        <v>44735</v>
      </c>
      <c r="D997" s="26">
        <v>0.68872685185185178</v>
      </c>
      <c r="E997" s="8" t="s">
        <v>29</v>
      </c>
      <c r="F997" t="s">
        <v>635</v>
      </c>
      <c r="G997" t="s">
        <v>185</v>
      </c>
      <c r="H997" t="s">
        <v>8</v>
      </c>
      <c r="I997">
        <v>298.85000000000002</v>
      </c>
      <c r="J997" s="33">
        <v>0</v>
      </c>
      <c r="K997" s="140">
        <v>597</v>
      </c>
      <c r="L997" s="123">
        <v>597</v>
      </c>
      <c r="M997" s="10">
        <f t="shared" si="62"/>
        <v>50.058626465661646</v>
      </c>
    </row>
    <row r="998" spans="1:20" ht="15" hidden="1" customHeight="1" x14ac:dyDescent="0.3">
      <c r="A998" s="9">
        <v>6467</v>
      </c>
      <c r="B998" t="s">
        <v>625</v>
      </c>
      <c r="C998" s="25">
        <v>44736</v>
      </c>
      <c r="D998" s="26">
        <v>3.3680555555555554E-2</v>
      </c>
      <c r="E998" s="8" t="s">
        <v>29</v>
      </c>
      <c r="F998" t="s">
        <v>634</v>
      </c>
      <c r="G998" t="s">
        <v>211</v>
      </c>
      <c r="H998" t="s">
        <v>8</v>
      </c>
      <c r="I998">
        <v>150.04</v>
      </c>
      <c r="J998" s="32">
        <v>0</v>
      </c>
      <c r="K998" s="141">
        <v>510</v>
      </c>
      <c r="L998" s="123">
        <v>510</v>
      </c>
      <c r="M998" s="10">
        <f t="shared" si="62"/>
        <v>29.419607843137253</v>
      </c>
    </row>
    <row r="999" spans="1:20" ht="15" hidden="1" customHeight="1" x14ac:dyDescent="0.3">
      <c r="A999" s="9">
        <v>6519</v>
      </c>
      <c r="B999" t="s">
        <v>625</v>
      </c>
      <c r="C999" s="25">
        <v>44737</v>
      </c>
      <c r="D999" s="26">
        <v>0.63853009259259264</v>
      </c>
      <c r="E999" s="8" t="s">
        <v>29</v>
      </c>
      <c r="F999" t="s">
        <v>641</v>
      </c>
      <c r="G999" t="s">
        <v>172</v>
      </c>
      <c r="H999" t="s">
        <v>8</v>
      </c>
      <c r="I999">
        <v>420.22</v>
      </c>
      <c r="J999" s="32">
        <v>0</v>
      </c>
      <c r="K999" s="141">
        <v>1100</v>
      </c>
      <c r="L999" s="123">
        <v>1100</v>
      </c>
      <c r="M999" s="10">
        <f t="shared" si="62"/>
        <v>38.20181818181819</v>
      </c>
    </row>
    <row r="1000" spans="1:20" ht="15" hidden="1" customHeight="1" x14ac:dyDescent="0.3">
      <c r="A1000" s="9">
        <v>6575</v>
      </c>
      <c r="B1000" t="s">
        <v>625</v>
      </c>
      <c r="C1000" s="25">
        <v>44738</v>
      </c>
      <c r="D1000" s="26">
        <v>0.51959490740740744</v>
      </c>
      <c r="E1000" s="8" t="s">
        <v>29</v>
      </c>
      <c r="F1000" t="s">
        <v>632</v>
      </c>
      <c r="G1000" t="s">
        <v>161</v>
      </c>
      <c r="H1000" t="s">
        <v>8</v>
      </c>
      <c r="I1000" s="148">
        <v>264.27</v>
      </c>
      <c r="J1000" s="32">
        <v>0</v>
      </c>
      <c r="K1000" s="141">
        <v>613</v>
      </c>
      <c r="L1000" s="123">
        <v>613</v>
      </c>
      <c r="M1000" s="10">
        <f t="shared" si="62"/>
        <v>43.110929853181077</v>
      </c>
    </row>
    <row r="1001" spans="1:20" ht="15" hidden="1" customHeight="1" x14ac:dyDescent="0.3">
      <c r="A1001" s="9">
        <v>6626</v>
      </c>
      <c r="B1001" t="s">
        <v>625</v>
      </c>
      <c r="C1001" s="25">
        <v>44739</v>
      </c>
      <c r="D1001" s="26">
        <v>2.9861111111111113E-2</v>
      </c>
      <c r="E1001" s="8" t="s">
        <v>29</v>
      </c>
      <c r="F1001" t="s">
        <v>635</v>
      </c>
      <c r="G1001" t="s">
        <v>185</v>
      </c>
      <c r="H1001" t="s">
        <v>8</v>
      </c>
      <c r="I1001" s="148">
        <v>304.17</v>
      </c>
      <c r="J1001" s="37">
        <v>0</v>
      </c>
      <c r="K1001" s="207">
        <v>607</v>
      </c>
      <c r="L1001" s="142">
        <v>607</v>
      </c>
      <c r="M1001" s="36">
        <f t="shared" si="62"/>
        <v>50.110378912685341</v>
      </c>
    </row>
    <row r="1002" spans="1:20" ht="15" hidden="1" customHeight="1" x14ac:dyDescent="0.3">
      <c r="A1002" s="9">
        <v>6627</v>
      </c>
      <c r="B1002" t="s">
        <v>625</v>
      </c>
      <c r="C1002" s="25">
        <v>44739</v>
      </c>
      <c r="D1002" s="26">
        <v>0.93359953703703702</v>
      </c>
      <c r="E1002" s="8" t="s">
        <v>29</v>
      </c>
      <c r="F1002" t="s">
        <v>643</v>
      </c>
      <c r="G1002" t="s">
        <v>203</v>
      </c>
      <c r="H1002" t="s">
        <v>8</v>
      </c>
      <c r="I1002" s="148">
        <v>155.74</v>
      </c>
      <c r="J1002" s="32">
        <v>0</v>
      </c>
      <c r="K1002" s="141">
        <v>463</v>
      </c>
      <c r="L1002" s="123">
        <v>463</v>
      </c>
      <c r="M1002" s="10">
        <f t="shared" si="62"/>
        <v>33.637149028077758</v>
      </c>
    </row>
    <row r="1003" spans="1:20" ht="15" hidden="1" customHeight="1" x14ac:dyDescent="0.3">
      <c r="A1003" s="9">
        <v>6696</v>
      </c>
      <c r="B1003" t="s">
        <v>625</v>
      </c>
      <c r="C1003" s="25">
        <v>44740</v>
      </c>
      <c r="D1003" s="26">
        <v>0.73640046296296291</v>
      </c>
      <c r="E1003" s="8" t="s">
        <v>29</v>
      </c>
      <c r="F1003" t="s">
        <v>642</v>
      </c>
      <c r="G1003" t="s">
        <v>203</v>
      </c>
      <c r="H1003" t="s">
        <v>8</v>
      </c>
      <c r="I1003" s="148">
        <v>177.8</v>
      </c>
      <c r="J1003" s="32">
        <v>0</v>
      </c>
      <c r="K1003" s="90">
        <v>494</v>
      </c>
      <c r="L1003" s="7">
        <v>494</v>
      </c>
      <c r="M1003" s="10">
        <f t="shared" si="62"/>
        <v>35.991902834008101</v>
      </c>
    </row>
    <row r="1004" spans="1:20" ht="15" hidden="1" customHeight="1" x14ac:dyDescent="0.3">
      <c r="A1004" s="9">
        <v>6747</v>
      </c>
      <c r="B1004" t="s">
        <v>625</v>
      </c>
      <c r="C1004" s="25">
        <v>44741</v>
      </c>
      <c r="D1004" s="26">
        <v>0.49577546296296293</v>
      </c>
      <c r="E1004" s="8" t="s">
        <v>29</v>
      </c>
      <c r="F1004" t="s">
        <v>635</v>
      </c>
      <c r="G1004" t="s">
        <v>185</v>
      </c>
      <c r="H1004" t="s">
        <v>8</v>
      </c>
      <c r="I1004" s="148">
        <v>286.3</v>
      </c>
      <c r="J1004" s="32">
        <v>0</v>
      </c>
      <c r="K1004" s="97">
        <v>533</v>
      </c>
      <c r="L1004" s="34">
        <v>533</v>
      </c>
      <c r="M1004" s="36">
        <f t="shared" si="62"/>
        <v>53.714821763602252</v>
      </c>
    </row>
    <row r="1005" spans="1:20" ht="15" hidden="1" customHeight="1" x14ac:dyDescent="0.3">
      <c r="A1005" s="9">
        <v>6748</v>
      </c>
      <c r="B1005" t="s">
        <v>625</v>
      </c>
      <c r="C1005" s="25">
        <v>44741</v>
      </c>
      <c r="D1005" s="26">
        <v>0.87232638888888892</v>
      </c>
      <c r="E1005" s="8" t="s">
        <v>29</v>
      </c>
      <c r="F1005" t="s">
        <v>634</v>
      </c>
      <c r="G1005" t="s">
        <v>211</v>
      </c>
      <c r="H1005" t="s">
        <v>8</v>
      </c>
      <c r="I1005" s="148">
        <v>87.25</v>
      </c>
      <c r="J1005" s="33">
        <v>0</v>
      </c>
      <c r="K1005" s="99">
        <v>514</v>
      </c>
      <c r="L1005" s="31">
        <v>514</v>
      </c>
      <c r="M1005" s="36">
        <f t="shared" si="62"/>
        <v>16.974708171206228</v>
      </c>
    </row>
    <row r="1006" spans="1:20" ht="15" hidden="1" customHeight="1" x14ac:dyDescent="0.3">
      <c r="A1006" s="9">
        <v>6751</v>
      </c>
      <c r="B1006" t="s">
        <v>625</v>
      </c>
      <c r="C1006" s="25">
        <v>44742</v>
      </c>
      <c r="D1006" s="26">
        <v>0.78422453703703709</v>
      </c>
      <c r="E1006" s="8" t="s">
        <v>29</v>
      </c>
      <c r="F1006" t="s">
        <v>169</v>
      </c>
      <c r="G1006" t="s">
        <v>196</v>
      </c>
      <c r="H1006" t="s">
        <v>8</v>
      </c>
      <c r="I1006" s="148">
        <v>155.51</v>
      </c>
      <c r="J1006" s="54"/>
      <c r="K1006" s="54">
        <v>854954</v>
      </c>
      <c r="L1006" s="54">
        <f>+K1006-J1006</f>
        <v>854954</v>
      </c>
      <c r="M1006" s="131">
        <f>I1006/L1006*100</f>
        <v>1.8189282698250431E-2</v>
      </c>
    </row>
    <row r="1007" spans="1:20" ht="15" hidden="1" customHeight="1" x14ac:dyDescent="0.3">
      <c r="B1007" t="s">
        <v>469</v>
      </c>
      <c r="C1007" s="25">
        <v>44681</v>
      </c>
      <c r="D1007" s="26">
        <v>0.71298611111111121</v>
      </c>
      <c r="E1007" s="8" t="s">
        <v>580</v>
      </c>
      <c r="F1007" t="s">
        <v>166</v>
      </c>
      <c r="G1007" t="s">
        <v>161</v>
      </c>
      <c r="H1007" t="s">
        <v>207</v>
      </c>
      <c r="I1007">
        <v>239.95</v>
      </c>
      <c r="J1007" s="7">
        <v>0</v>
      </c>
      <c r="K1007" s="90">
        <f>+L1007-J1007</f>
        <v>649</v>
      </c>
      <c r="L1007" s="7">
        <v>649</v>
      </c>
      <c r="M1007" s="91">
        <f>I1007/K1007*100</f>
        <v>36.972265023112477</v>
      </c>
      <c r="S1007"/>
      <c r="T1007"/>
    </row>
    <row r="1008" spans="1:20" ht="15" hidden="1" customHeight="1" x14ac:dyDescent="0.3">
      <c r="B1008" t="s">
        <v>423</v>
      </c>
      <c r="C1008" s="25">
        <v>44681</v>
      </c>
      <c r="D1008" s="26">
        <v>0.51940972222222215</v>
      </c>
      <c r="E1008" s="8" t="s">
        <v>580</v>
      </c>
      <c r="F1008" t="s">
        <v>166</v>
      </c>
      <c r="G1008" t="s">
        <v>161</v>
      </c>
      <c r="H1008" t="s">
        <v>424</v>
      </c>
      <c r="I1008">
        <v>271.02999999999997</v>
      </c>
      <c r="J1008" s="35">
        <v>0</v>
      </c>
      <c r="K1008" s="93">
        <f>+L1008-J1146</f>
        <v>759</v>
      </c>
      <c r="L1008" s="35">
        <v>759</v>
      </c>
      <c r="M1008" s="239">
        <f>I1008/L1008*100</f>
        <v>35.708827404479578</v>
      </c>
      <c r="S1008"/>
      <c r="T1008"/>
    </row>
    <row r="1009" spans="2:20" ht="15" hidden="1" customHeight="1" x14ac:dyDescent="0.3">
      <c r="B1009" t="s">
        <v>510</v>
      </c>
      <c r="C1009" s="25">
        <v>44681</v>
      </c>
      <c r="D1009" s="26">
        <v>0.70246527777777779</v>
      </c>
      <c r="E1009" s="8" t="s">
        <v>580</v>
      </c>
      <c r="F1009" t="s">
        <v>210</v>
      </c>
      <c r="G1009" t="s">
        <v>211</v>
      </c>
      <c r="H1009" t="s">
        <v>113</v>
      </c>
      <c r="I1009" s="8">
        <v>32.57</v>
      </c>
      <c r="J1009" s="32">
        <v>0</v>
      </c>
      <c r="K1009" s="90">
        <f>+L1009-J1146</f>
        <v>76</v>
      </c>
      <c r="L1009" s="32">
        <v>76</v>
      </c>
      <c r="M1009" s="91">
        <f>I1009/K1009*100</f>
        <v>42.855263157894733</v>
      </c>
      <c r="S1009"/>
      <c r="T1009"/>
    </row>
    <row r="1010" spans="2:20" ht="15" hidden="1" customHeight="1" x14ac:dyDescent="0.3">
      <c r="B1010" t="s">
        <v>510</v>
      </c>
      <c r="C1010" s="25">
        <v>44681</v>
      </c>
      <c r="D1010" s="26">
        <v>0.64133101851851848</v>
      </c>
      <c r="E1010" s="8" t="s">
        <v>580</v>
      </c>
      <c r="F1010" t="s">
        <v>166</v>
      </c>
      <c r="G1010" t="s">
        <v>161</v>
      </c>
      <c r="H1010" t="s">
        <v>113</v>
      </c>
      <c r="I1010" s="8">
        <v>204.95</v>
      </c>
      <c r="J1010" s="32">
        <v>0</v>
      </c>
      <c r="K1010" s="90">
        <f>+L1010-J1147</f>
        <v>511</v>
      </c>
      <c r="L1010" s="32">
        <v>511</v>
      </c>
      <c r="M1010" s="91">
        <f>I1010/K1010*100</f>
        <v>40.107632093933461</v>
      </c>
      <c r="S1010"/>
      <c r="T1010"/>
    </row>
    <row r="1011" spans="2:20" ht="15" hidden="1" customHeight="1" x14ac:dyDescent="0.3">
      <c r="B1011" t="s">
        <v>183</v>
      </c>
      <c r="C1011" s="25">
        <v>44681</v>
      </c>
      <c r="D1011" s="26">
        <v>0.72745370370370377</v>
      </c>
      <c r="E1011" s="8" t="s">
        <v>580</v>
      </c>
      <c r="F1011" t="s">
        <v>210</v>
      </c>
      <c r="G1011" t="s">
        <v>211</v>
      </c>
      <c r="H1011" t="s">
        <v>184</v>
      </c>
      <c r="I1011" s="128">
        <v>436.14</v>
      </c>
      <c r="J1011" s="37">
        <v>0</v>
      </c>
      <c r="K1011" s="92">
        <f>+L1011-J1011</f>
        <v>1146.72</v>
      </c>
      <c r="L1011" s="34">
        <v>1146.72</v>
      </c>
      <c r="M1011" s="61">
        <f>I1011/L1011*100</f>
        <v>38.033696107157802</v>
      </c>
      <c r="O1011" s="4" t="s">
        <v>80</v>
      </c>
      <c r="R1011" s="18" t="s">
        <v>134</v>
      </c>
      <c r="S1011" s="2"/>
      <c r="T1011"/>
    </row>
    <row r="1012" spans="2:20" ht="15" hidden="1" customHeight="1" x14ac:dyDescent="0.3">
      <c r="B1012" t="s">
        <v>256</v>
      </c>
      <c r="C1012" s="25">
        <v>44681</v>
      </c>
      <c r="D1012" s="26">
        <v>0.72172453703703709</v>
      </c>
      <c r="E1012" s="8" t="s">
        <v>580</v>
      </c>
      <c r="F1012" t="s">
        <v>428</v>
      </c>
      <c r="G1012" t="s">
        <v>429</v>
      </c>
      <c r="H1012" t="s">
        <v>128</v>
      </c>
      <c r="I1012">
        <v>150.13999999999999</v>
      </c>
      <c r="J1012" s="66"/>
      <c r="K1012" s="89">
        <f>+L1012-J1012</f>
        <v>764636</v>
      </c>
      <c r="L1012" s="8">
        <v>764636</v>
      </c>
      <c r="M1012" s="10">
        <f t="shared" ref="M1012:M1017" si="65">I1012/K1012*100</f>
        <v>1.9635486689091278E-2</v>
      </c>
      <c r="S1012"/>
      <c r="T1012"/>
    </row>
    <row r="1013" spans="2:20" ht="15" hidden="1" customHeight="1" x14ac:dyDescent="0.3">
      <c r="B1013" t="s">
        <v>208</v>
      </c>
      <c r="C1013" s="25">
        <v>44681</v>
      </c>
      <c r="D1013" s="26">
        <v>0.41546296296296298</v>
      </c>
      <c r="E1013" s="8" t="s">
        <v>580</v>
      </c>
      <c r="F1013" t="s">
        <v>169</v>
      </c>
      <c r="G1013" t="s">
        <v>196</v>
      </c>
      <c r="H1013" t="s">
        <v>209</v>
      </c>
      <c r="I1013">
        <v>100</v>
      </c>
      <c r="J1013" s="32">
        <v>0</v>
      </c>
      <c r="K1013" s="89">
        <f>+L1013-J1013</f>
        <v>524.75</v>
      </c>
      <c r="L1013" s="7">
        <v>524.75</v>
      </c>
      <c r="M1013" s="10">
        <f t="shared" si="65"/>
        <v>19.056693663649359</v>
      </c>
      <c r="O1013" s="4" t="s">
        <v>75</v>
      </c>
      <c r="R1013" s="18" t="s">
        <v>117</v>
      </c>
      <c r="S1013"/>
      <c r="T1013"/>
    </row>
    <row r="1014" spans="2:20" ht="15" hidden="1" customHeight="1" x14ac:dyDescent="0.3">
      <c r="B1014" t="s">
        <v>208</v>
      </c>
      <c r="C1014" s="25">
        <v>44681</v>
      </c>
      <c r="D1014" s="26">
        <v>0.73091435185185183</v>
      </c>
      <c r="E1014" s="8" t="s">
        <v>580</v>
      </c>
      <c r="F1014" t="s">
        <v>428</v>
      </c>
      <c r="G1014" t="s">
        <v>429</v>
      </c>
      <c r="H1014" t="s">
        <v>209</v>
      </c>
      <c r="I1014">
        <v>150.06</v>
      </c>
      <c r="J1014" s="37">
        <v>0</v>
      </c>
      <c r="K1014" s="89">
        <f>+L1014-J1014</f>
        <v>410.79</v>
      </c>
      <c r="L1014" s="34">
        <v>410.79</v>
      </c>
      <c r="M1014" s="10">
        <f t="shared" si="65"/>
        <v>36.529613671218868</v>
      </c>
      <c r="O1014" s="4" t="s">
        <v>94</v>
      </c>
      <c r="R1014" s="18" t="s">
        <v>138</v>
      </c>
      <c r="S1014"/>
      <c r="T1014"/>
    </row>
    <row r="1015" spans="2:20" ht="15" hidden="1" customHeight="1" x14ac:dyDescent="0.3">
      <c r="B1015" t="s">
        <v>223</v>
      </c>
      <c r="C1015" s="25">
        <v>44681</v>
      </c>
      <c r="D1015" s="26">
        <v>6.0879629629629643E-3</v>
      </c>
      <c r="E1015" s="8" t="s">
        <v>580</v>
      </c>
      <c r="F1015" t="s">
        <v>291</v>
      </c>
      <c r="G1015" t="s">
        <v>292</v>
      </c>
      <c r="H1015" t="s">
        <v>224</v>
      </c>
      <c r="I1015">
        <v>285.51</v>
      </c>
      <c r="J1015" s="23"/>
      <c r="K1015" s="89">
        <f>+L1015-J1153</f>
        <v>100000</v>
      </c>
      <c r="L1015" s="8">
        <v>100000</v>
      </c>
      <c r="M1015" s="10">
        <f t="shared" si="65"/>
        <v>0.28550999999999999</v>
      </c>
      <c r="S1015"/>
      <c r="T1015"/>
    </row>
    <row r="1016" spans="2:20" ht="15" hidden="1" customHeight="1" x14ac:dyDescent="0.3">
      <c r="B1016" t="s">
        <v>267</v>
      </c>
      <c r="C1016" s="25">
        <v>44681</v>
      </c>
      <c r="D1016" s="26">
        <v>0.66704861111111102</v>
      </c>
      <c r="E1016" s="54" t="s">
        <v>580</v>
      </c>
      <c r="F1016" t="s">
        <v>210</v>
      </c>
      <c r="G1016" t="s">
        <v>211</v>
      </c>
      <c r="H1016" t="s">
        <v>129</v>
      </c>
      <c r="I1016">
        <v>385</v>
      </c>
      <c r="J1016" s="31">
        <v>0</v>
      </c>
      <c r="K1016" s="96">
        <f>+L1016-J1152</f>
        <v>1063.98</v>
      </c>
      <c r="L1016" s="31">
        <v>1063.98</v>
      </c>
      <c r="M1016" s="131">
        <f t="shared" si="65"/>
        <v>36.184890693434085</v>
      </c>
      <c r="S1016"/>
      <c r="T1016"/>
    </row>
    <row r="1017" spans="2:20" ht="15" hidden="1" customHeight="1" x14ac:dyDescent="0.3">
      <c r="B1017" s="8" t="s">
        <v>179</v>
      </c>
      <c r="C1017" s="21">
        <v>44681</v>
      </c>
      <c r="D1017" s="22">
        <v>3.7418981481481477E-2</v>
      </c>
      <c r="E1017" s="8" t="s">
        <v>580</v>
      </c>
      <c r="F1017" s="8" t="s">
        <v>210</v>
      </c>
      <c r="G1017" s="8" t="s">
        <v>211</v>
      </c>
      <c r="H1017" s="24" t="s">
        <v>305</v>
      </c>
      <c r="I1017" s="8">
        <v>338.51</v>
      </c>
      <c r="J1017" s="7">
        <v>0</v>
      </c>
      <c r="K1017" s="90">
        <f>+L1017-J1017</f>
        <v>572</v>
      </c>
      <c r="L1017" s="7">
        <v>572</v>
      </c>
      <c r="M1017" s="91">
        <f t="shared" si="65"/>
        <v>59.180069930069934</v>
      </c>
      <c r="O1017" s="4" t="s">
        <v>56</v>
      </c>
      <c r="R1017" s="18" t="s">
        <v>131</v>
      </c>
      <c r="S1017"/>
      <c r="T1017"/>
    </row>
    <row r="1018" spans="2:20" ht="15" hidden="1" customHeight="1" x14ac:dyDescent="0.3">
      <c r="B1018" t="s">
        <v>437</v>
      </c>
      <c r="C1018" s="25">
        <v>44681</v>
      </c>
      <c r="D1018" s="26">
        <v>0.75107638888888895</v>
      </c>
      <c r="E1018" s="44" t="s">
        <v>580</v>
      </c>
      <c r="F1018" t="s">
        <v>166</v>
      </c>
      <c r="G1018" t="s">
        <v>161</v>
      </c>
      <c r="H1018" t="s">
        <v>438</v>
      </c>
      <c r="I1018">
        <v>318.2</v>
      </c>
      <c r="J1018" s="37">
        <v>0</v>
      </c>
      <c r="K1018" s="92">
        <f>+L1018-J1018</f>
        <v>899</v>
      </c>
      <c r="L1018" s="34">
        <v>899</v>
      </c>
      <c r="M1018" s="61">
        <f>I1018/L1018*100</f>
        <v>35.394883203559509</v>
      </c>
      <c r="S1018"/>
      <c r="T1018"/>
    </row>
    <row r="1019" spans="2:20" ht="15" hidden="1" customHeight="1" x14ac:dyDescent="0.3">
      <c r="B1019" t="s">
        <v>284</v>
      </c>
      <c r="C1019" s="25">
        <v>44681</v>
      </c>
      <c r="D1019" s="26">
        <v>0.27041666666666669</v>
      </c>
      <c r="E1019" s="8" t="s">
        <v>580</v>
      </c>
      <c r="F1019" t="s">
        <v>518</v>
      </c>
      <c r="G1019" t="s">
        <v>172</v>
      </c>
      <c r="H1019" t="s">
        <v>7</v>
      </c>
      <c r="I1019">
        <v>396.9</v>
      </c>
      <c r="J1019" s="31">
        <v>0</v>
      </c>
      <c r="K1019" s="89">
        <f>+L1019-J1153</f>
        <v>1056.6199999999999</v>
      </c>
      <c r="L1019" s="33">
        <v>1056.6199999999999</v>
      </c>
      <c r="M1019" s="10">
        <f>I1019/L1019*100</f>
        <v>37.56317313698397</v>
      </c>
      <c r="S1019"/>
      <c r="T1019"/>
    </row>
    <row r="1020" spans="2:20" ht="15" hidden="1" customHeight="1" x14ac:dyDescent="0.3">
      <c r="B1020" t="s">
        <v>576</v>
      </c>
      <c r="C1020" s="25">
        <v>44681</v>
      </c>
      <c r="D1020" s="26">
        <v>0.67312500000000008</v>
      </c>
      <c r="E1020" s="8" t="s">
        <v>580</v>
      </c>
      <c r="F1020" t="s">
        <v>169</v>
      </c>
      <c r="G1020" t="s">
        <v>196</v>
      </c>
      <c r="H1020" t="s">
        <v>117</v>
      </c>
      <c r="I1020">
        <v>127.79</v>
      </c>
      <c r="J1020" s="7">
        <v>0</v>
      </c>
      <c r="K1020" s="89">
        <f>+L1020-J1156</f>
        <v>406</v>
      </c>
      <c r="L1020" s="7">
        <v>406</v>
      </c>
      <c r="M1020" s="10">
        <f>I1020/L1020*100</f>
        <v>31.475369458128082</v>
      </c>
      <c r="S1020"/>
      <c r="T1020"/>
    </row>
    <row r="1021" spans="2:20" ht="15" hidden="1" customHeight="1" x14ac:dyDescent="0.3">
      <c r="B1021" t="s">
        <v>576</v>
      </c>
      <c r="C1021" s="25">
        <v>44681</v>
      </c>
      <c r="D1021" s="26">
        <v>0.32383101851851853</v>
      </c>
      <c r="E1021" s="8" t="s">
        <v>580</v>
      </c>
      <c r="F1021" t="s">
        <v>166</v>
      </c>
      <c r="G1021" t="s">
        <v>161</v>
      </c>
      <c r="H1021" t="s">
        <v>117</v>
      </c>
      <c r="I1021" s="8">
        <v>374.44</v>
      </c>
      <c r="J1021" s="34">
        <v>0</v>
      </c>
      <c r="K1021" s="89">
        <f>+L1021-J1157</f>
        <v>973</v>
      </c>
      <c r="L1021" s="34">
        <v>973</v>
      </c>
      <c r="M1021" s="10">
        <f>I1021/L1021*100</f>
        <v>38.4830421377184</v>
      </c>
      <c r="S1021"/>
      <c r="T1021"/>
    </row>
    <row r="1022" spans="2:20" ht="15" hidden="1" customHeight="1" x14ac:dyDescent="0.3">
      <c r="B1022" t="s">
        <v>254</v>
      </c>
      <c r="C1022" s="25">
        <v>44681</v>
      </c>
      <c r="D1022" s="26">
        <v>0.72793981481481485</v>
      </c>
      <c r="E1022" s="8" t="s">
        <v>580</v>
      </c>
      <c r="F1022" t="s">
        <v>459</v>
      </c>
      <c r="G1022" t="s">
        <v>303</v>
      </c>
      <c r="H1022" t="s">
        <v>581</v>
      </c>
      <c r="I1022">
        <v>454.19</v>
      </c>
      <c r="J1022" s="223"/>
      <c r="K1022" s="105"/>
      <c r="L1022" s="54"/>
      <c r="M1022" s="10" t="e">
        <f>I1022/L1022*100</f>
        <v>#DIV/0!</v>
      </c>
      <c r="S1022"/>
      <c r="T1022"/>
    </row>
    <row r="1023" spans="2:20" ht="15" hidden="1" customHeight="1" x14ac:dyDescent="0.3">
      <c r="B1023" t="s">
        <v>275</v>
      </c>
      <c r="C1023" s="25">
        <v>44584</v>
      </c>
      <c r="D1023" s="26">
        <v>0.54243055555555553</v>
      </c>
      <c r="E1023" s="8" t="s">
        <v>24</v>
      </c>
      <c r="F1023" t="s">
        <v>210</v>
      </c>
      <c r="G1023" t="s">
        <v>211</v>
      </c>
      <c r="H1023" t="s">
        <v>193</v>
      </c>
      <c r="I1023">
        <v>342.26</v>
      </c>
      <c r="J1023" s="35">
        <v>0</v>
      </c>
      <c r="K1023" s="35">
        <f t="shared" ref="K1023:K1054" si="66">+L1023-J1023</f>
        <v>854.74</v>
      </c>
      <c r="L1023" s="7">
        <v>854.74</v>
      </c>
      <c r="M1023" s="10">
        <f t="shared" ref="M1023:M1054" si="67">I1023/K1023*100</f>
        <v>40.042586049558935</v>
      </c>
    </row>
    <row r="1024" spans="2:20" ht="15" hidden="1" customHeight="1" x14ac:dyDescent="0.3">
      <c r="B1024" t="s">
        <v>275</v>
      </c>
      <c r="C1024" s="25">
        <v>44585</v>
      </c>
      <c r="D1024" s="26">
        <v>0.97689814814814813</v>
      </c>
      <c r="E1024" s="8" t="s">
        <v>24</v>
      </c>
      <c r="F1024" t="s">
        <v>210</v>
      </c>
      <c r="G1024" t="s">
        <v>211</v>
      </c>
      <c r="H1024" t="s">
        <v>193</v>
      </c>
      <c r="I1024">
        <v>353.09</v>
      </c>
      <c r="J1024" s="7">
        <v>0</v>
      </c>
      <c r="K1024" s="7">
        <f t="shared" si="66"/>
        <v>1062.3800000000001</v>
      </c>
      <c r="L1024" s="7">
        <v>1062.3800000000001</v>
      </c>
      <c r="M1024" s="10">
        <f t="shared" si="67"/>
        <v>33.235753685122077</v>
      </c>
    </row>
    <row r="1025" spans="1:13" ht="15" hidden="1" customHeight="1" x14ac:dyDescent="0.3">
      <c r="B1025" t="s">
        <v>275</v>
      </c>
      <c r="C1025" s="25">
        <v>44587</v>
      </c>
      <c r="D1025" s="26">
        <v>0.68300925925925926</v>
      </c>
      <c r="E1025" s="8" t="s">
        <v>24</v>
      </c>
      <c r="F1025" t="s">
        <v>175</v>
      </c>
      <c r="G1025" t="s">
        <v>172</v>
      </c>
      <c r="H1025" t="s">
        <v>193</v>
      </c>
      <c r="I1025">
        <v>298.69</v>
      </c>
      <c r="J1025" s="7">
        <v>0</v>
      </c>
      <c r="K1025" s="34">
        <f t="shared" si="66"/>
        <v>923.94</v>
      </c>
      <c r="L1025" s="37">
        <v>923.94</v>
      </c>
      <c r="M1025" s="10">
        <f t="shared" si="67"/>
        <v>32.327856787237266</v>
      </c>
    </row>
    <row r="1026" spans="1:13" ht="15" hidden="1" customHeight="1" x14ac:dyDescent="0.3">
      <c r="B1026" t="s">
        <v>275</v>
      </c>
      <c r="C1026" s="25">
        <v>44588</v>
      </c>
      <c r="D1026" s="26">
        <v>0.51520833333333338</v>
      </c>
      <c r="E1026" s="8" t="s">
        <v>24</v>
      </c>
      <c r="F1026" t="s">
        <v>210</v>
      </c>
      <c r="G1026" t="s">
        <v>211</v>
      </c>
      <c r="H1026" t="s">
        <v>193</v>
      </c>
      <c r="I1026">
        <v>320.89</v>
      </c>
      <c r="J1026" s="7">
        <v>0</v>
      </c>
      <c r="K1026" s="7">
        <f t="shared" si="66"/>
        <v>815.45</v>
      </c>
      <c r="L1026" s="7">
        <v>815.45</v>
      </c>
      <c r="M1026" s="10">
        <f t="shared" si="67"/>
        <v>39.351278435219811</v>
      </c>
    </row>
    <row r="1027" spans="1:13" ht="15" hidden="1" customHeight="1" x14ac:dyDescent="0.3">
      <c r="B1027" t="s">
        <v>275</v>
      </c>
      <c r="C1027" s="25">
        <v>44589</v>
      </c>
      <c r="D1027" s="26">
        <v>0.48864583333333328</v>
      </c>
      <c r="E1027" s="8" t="s">
        <v>24</v>
      </c>
      <c r="F1027" t="s">
        <v>210</v>
      </c>
      <c r="G1027" t="s">
        <v>211</v>
      </c>
      <c r="H1027" t="s">
        <v>193</v>
      </c>
      <c r="I1027">
        <v>383.23</v>
      </c>
      <c r="J1027" s="7">
        <v>0</v>
      </c>
      <c r="K1027" s="35">
        <f t="shared" si="66"/>
        <v>1062.72</v>
      </c>
      <c r="L1027" s="35">
        <v>1062.72</v>
      </c>
      <c r="M1027" s="10">
        <f t="shared" si="67"/>
        <v>36.061239084613064</v>
      </c>
    </row>
    <row r="1028" spans="1:13" ht="15" hidden="1" customHeight="1" x14ac:dyDescent="0.3">
      <c r="B1028" t="s">
        <v>275</v>
      </c>
      <c r="C1028" s="25">
        <v>44590</v>
      </c>
      <c r="D1028" s="26">
        <v>0.70807870370370374</v>
      </c>
      <c r="E1028" s="8" t="s">
        <v>24</v>
      </c>
      <c r="F1028" t="s">
        <v>175</v>
      </c>
      <c r="G1028" t="s">
        <v>172</v>
      </c>
      <c r="H1028" t="s">
        <v>193</v>
      </c>
      <c r="I1028">
        <v>365.77</v>
      </c>
      <c r="J1028" s="31">
        <v>0</v>
      </c>
      <c r="K1028" s="31">
        <f t="shared" si="66"/>
        <v>1051.53</v>
      </c>
      <c r="L1028" s="31">
        <v>1051.53</v>
      </c>
      <c r="M1028" s="10">
        <f t="shared" si="67"/>
        <v>34.784552033703271</v>
      </c>
    </row>
    <row r="1029" spans="1:13" ht="15" hidden="1" customHeight="1" x14ac:dyDescent="0.3">
      <c r="B1029" t="s">
        <v>275</v>
      </c>
      <c r="C1029" s="25">
        <v>44566</v>
      </c>
      <c r="D1029" s="26">
        <v>0.37358796296296298</v>
      </c>
      <c r="E1029" s="8" t="s">
        <v>24</v>
      </c>
      <c r="F1029" t="s">
        <v>210</v>
      </c>
      <c r="G1029" t="s">
        <v>211</v>
      </c>
      <c r="H1029" t="s">
        <v>112</v>
      </c>
      <c r="I1029">
        <v>378.72</v>
      </c>
      <c r="J1029" s="7">
        <v>0</v>
      </c>
      <c r="K1029" s="7">
        <f t="shared" si="66"/>
        <v>841.38</v>
      </c>
      <c r="L1029" s="7">
        <v>841.38</v>
      </c>
      <c r="M1029" s="10">
        <f t="shared" si="67"/>
        <v>45.011766383798054</v>
      </c>
    </row>
    <row r="1030" spans="1:13" ht="15" hidden="1" customHeight="1" x14ac:dyDescent="0.3">
      <c r="B1030" t="s">
        <v>275</v>
      </c>
      <c r="C1030" s="25">
        <v>44568</v>
      </c>
      <c r="D1030" s="26">
        <v>0.16947916666666665</v>
      </c>
      <c r="E1030" s="8" t="s">
        <v>24</v>
      </c>
      <c r="F1030" t="s">
        <v>210</v>
      </c>
      <c r="G1030" t="s">
        <v>211</v>
      </c>
      <c r="H1030" t="s">
        <v>112</v>
      </c>
      <c r="I1030">
        <v>410.59</v>
      </c>
      <c r="J1030" s="7">
        <v>0</v>
      </c>
      <c r="K1030" s="34">
        <f t="shared" si="66"/>
        <v>1073.8399999999999</v>
      </c>
      <c r="L1030" s="34">
        <v>1073.8399999999999</v>
      </c>
      <c r="M1030" s="10">
        <f t="shared" si="67"/>
        <v>38.235677568352827</v>
      </c>
    </row>
    <row r="1031" spans="1:13" ht="15" hidden="1" customHeight="1" x14ac:dyDescent="0.3">
      <c r="B1031" t="s">
        <v>275</v>
      </c>
      <c r="C1031" s="25">
        <v>44569</v>
      </c>
      <c r="D1031" s="26">
        <v>0.2648611111111111</v>
      </c>
      <c r="E1031" s="8" t="s">
        <v>24</v>
      </c>
      <c r="F1031" t="s">
        <v>205</v>
      </c>
      <c r="G1031" t="s">
        <v>206</v>
      </c>
      <c r="H1031" t="s">
        <v>112</v>
      </c>
      <c r="I1031">
        <v>366.49</v>
      </c>
      <c r="J1031" s="7">
        <v>0</v>
      </c>
      <c r="K1031" s="7">
        <f t="shared" si="66"/>
        <v>992.7</v>
      </c>
      <c r="L1031" s="7">
        <v>992.7</v>
      </c>
      <c r="M1031" s="10">
        <f t="shared" si="67"/>
        <v>36.918505087136097</v>
      </c>
    </row>
    <row r="1032" spans="1:13" ht="15" hidden="1" customHeight="1" x14ac:dyDescent="0.3">
      <c r="B1032" t="s">
        <v>275</v>
      </c>
      <c r="C1032" s="25">
        <v>44570</v>
      </c>
      <c r="D1032" s="26">
        <v>0.39968749999999997</v>
      </c>
      <c r="E1032" s="8" t="s">
        <v>24</v>
      </c>
      <c r="F1032" t="s">
        <v>210</v>
      </c>
      <c r="G1032" t="s">
        <v>211</v>
      </c>
      <c r="H1032" t="s">
        <v>112</v>
      </c>
      <c r="I1032">
        <v>342.47</v>
      </c>
      <c r="J1032" s="31">
        <v>0</v>
      </c>
      <c r="K1032" s="31">
        <f t="shared" si="66"/>
        <v>793.47</v>
      </c>
      <c r="L1032" s="7">
        <v>793.47</v>
      </c>
      <c r="M1032" s="10">
        <f t="shared" si="67"/>
        <v>43.161052087665574</v>
      </c>
    </row>
    <row r="1033" spans="1:13" ht="15" hidden="1" customHeight="1" x14ac:dyDescent="0.3">
      <c r="B1033" t="s">
        <v>275</v>
      </c>
      <c r="C1033" s="25">
        <v>44571</v>
      </c>
      <c r="D1033" s="26">
        <v>0.99890046296296298</v>
      </c>
      <c r="E1033" s="8" t="s">
        <v>24</v>
      </c>
      <c r="F1033" t="s">
        <v>210</v>
      </c>
      <c r="G1033" t="s">
        <v>211</v>
      </c>
      <c r="H1033" t="s">
        <v>112</v>
      </c>
      <c r="I1033">
        <v>388.67</v>
      </c>
      <c r="J1033" s="7">
        <v>0</v>
      </c>
      <c r="K1033" s="7">
        <f t="shared" si="66"/>
        <v>1063.6500000000001</v>
      </c>
      <c r="L1033" s="7">
        <v>1063.6500000000001</v>
      </c>
      <c r="M1033" s="10">
        <f t="shared" si="67"/>
        <v>36.541155455271941</v>
      </c>
    </row>
    <row r="1034" spans="1:13" ht="15" hidden="1" customHeight="1" x14ac:dyDescent="0.3">
      <c r="B1034" t="s">
        <v>275</v>
      </c>
      <c r="C1034" s="25">
        <v>44574</v>
      </c>
      <c r="D1034" s="26">
        <v>0.37712962962962965</v>
      </c>
      <c r="E1034" s="8" t="s">
        <v>24</v>
      </c>
      <c r="F1034" t="s">
        <v>205</v>
      </c>
      <c r="G1034" t="s">
        <v>206</v>
      </c>
      <c r="H1034" t="s">
        <v>112</v>
      </c>
      <c r="I1034">
        <v>410.05</v>
      </c>
      <c r="J1034" s="7">
        <v>0</v>
      </c>
      <c r="K1034" s="34">
        <f t="shared" si="66"/>
        <v>1023.16</v>
      </c>
      <c r="L1034" s="34">
        <v>1023.16</v>
      </c>
      <c r="M1034" s="10">
        <f t="shared" si="67"/>
        <v>40.076820829586772</v>
      </c>
    </row>
    <row r="1035" spans="1:13" ht="15" hidden="1" customHeight="1" x14ac:dyDescent="0.3">
      <c r="A1035" s="9">
        <v>322</v>
      </c>
      <c r="B1035" t="s">
        <v>275</v>
      </c>
      <c r="C1035" s="25">
        <v>44594</v>
      </c>
      <c r="D1035" s="26">
        <v>6.1851851851851852E-2</v>
      </c>
      <c r="E1035" s="8" t="s">
        <v>25</v>
      </c>
      <c r="F1035" t="s">
        <v>210</v>
      </c>
      <c r="G1035" t="s">
        <v>211</v>
      </c>
      <c r="H1035" t="s">
        <v>193</v>
      </c>
      <c r="I1035">
        <v>325.02</v>
      </c>
      <c r="J1035" s="31">
        <v>0</v>
      </c>
      <c r="K1035" s="31">
        <f t="shared" si="66"/>
        <v>830.69</v>
      </c>
      <c r="L1035" s="7">
        <v>830.69</v>
      </c>
      <c r="M1035" s="10">
        <f t="shared" si="67"/>
        <v>39.126509287459818</v>
      </c>
    </row>
    <row r="1036" spans="1:13" ht="15" hidden="1" customHeight="1" x14ac:dyDescent="0.3">
      <c r="A1036" s="9">
        <v>323</v>
      </c>
      <c r="B1036" t="s">
        <v>275</v>
      </c>
      <c r="C1036" s="25">
        <v>44595</v>
      </c>
      <c r="D1036" s="26">
        <v>0.93281249999999993</v>
      </c>
      <c r="E1036" s="8" t="s">
        <v>25</v>
      </c>
      <c r="F1036" t="s">
        <v>210</v>
      </c>
      <c r="G1036" t="s">
        <v>211</v>
      </c>
      <c r="H1036" t="s">
        <v>193</v>
      </c>
      <c r="I1036">
        <v>384.56</v>
      </c>
      <c r="J1036" s="7">
        <v>0</v>
      </c>
      <c r="K1036" s="34">
        <f t="shared" si="66"/>
        <v>1071.2</v>
      </c>
      <c r="L1036" s="34">
        <v>1071.2</v>
      </c>
      <c r="M1036" s="10">
        <f t="shared" si="67"/>
        <v>35.899925317401042</v>
      </c>
    </row>
    <row r="1037" spans="1:13" ht="15" hidden="1" customHeight="1" x14ac:dyDescent="0.3">
      <c r="A1037" s="9">
        <v>324</v>
      </c>
      <c r="B1037" t="s">
        <v>275</v>
      </c>
      <c r="C1037" s="25">
        <v>44596</v>
      </c>
      <c r="D1037" s="26">
        <v>0.77673611111111107</v>
      </c>
      <c r="E1037" s="8" t="s">
        <v>25</v>
      </c>
      <c r="F1037" t="s">
        <v>391</v>
      </c>
      <c r="G1037" t="s">
        <v>392</v>
      </c>
      <c r="H1037" t="s">
        <v>193</v>
      </c>
      <c r="I1037">
        <v>318.33999999999997</v>
      </c>
      <c r="J1037" s="34">
        <v>0</v>
      </c>
      <c r="K1037" s="35">
        <f t="shared" si="66"/>
        <v>919.52</v>
      </c>
      <c r="L1037" s="35">
        <v>919.52</v>
      </c>
      <c r="M1037" s="10">
        <f t="shared" si="67"/>
        <v>34.620236645206191</v>
      </c>
    </row>
    <row r="1038" spans="1:13" ht="15" hidden="1" customHeight="1" x14ac:dyDescent="0.3">
      <c r="A1038" s="9">
        <v>325</v>
      </c>
      <c r="B1038" t="s">
        <v>275</v>
      </c>
      <c r="C1038" s="25">
        <v>44598</v>
      </c>
      <c r="D1038" s="26">
        <v>0.51768518518518525</v>
      </c>
      <c r="E1038" s="8" t="s">
        <v>25</v>
      </c>
      <c r="F1038" t="s">
        <v>210</v>
      </c>
      <c r="G1038" t="s">
        <v>211</v>
      </c>
      <c r="H1038" t="s">
        <v>193</v>
      </c>
      <c r="I1038">
        <v>347.38</v>
      </c>
      <c r="J1038" s="7">
        <v>0</v>
      </c>
      <c r="K1038" s="7">
        <f t="shared" si="66"/>
        <v>844.32</v>
      </c>
      <c r="L1038" s="7">
        <v>844.32</v>
      </c>
      <c r="M1038" s="10">
        <f t="shared" si="67"/>
        <v>41.143168466931968</v>
      </c>
    </row>
    <row r="1039" spans="1:13" ht="15" hidden="1" customHeight="1" x14ac:dyDescent="0.3">
      <c r="A1039" s="9">
        <v>326</v>
      </c>
      <c r="B1039" t="s">
        <v>275</v>
      </c>
      <c r="C1039" s="25">
        <v>44599</v>
      </c>
      <c r="D1039" s="26">
        <v>0.92978009259259264</v>
      </c>
      <c r="E1039" s="8" t="s">
        <v>25</v>
      </c>
      <c r="F1039" t="s">
        <v>210</v>
      </c>
      <c r="G1039" t="s">
        <v>211</v>
      </c>
      <c r="H1039" t="s">
        <v>193</v>
      </c>
      <c r="I1039">
        <v>443.68</v>
      </c>
      <c r="J1039" s="35">
        <v>0</v>
      </c>
      <c r="K1039" s="35">
        <f t="shared" si="66"/>
        <v>1120.79</v>
      </c>
      <c r="L1039" s="34">
        <v>1120.79</v>
      </c>
      <c r="M1039" s="10">
        <f t="shared" si="67"/>
        <v>39.586363190249735</v>
      </c>
    </row>
    <row r="1040" spans="1:13" ht="15" hidden="1" customHeight="1" x14ac:dyDescent="0.3">
      <c r="A1040" s="9">
        <v>327</v>
      </c>
      <c r="B1040" t="s">
        <v>275</v>
      </c>
      <c r="C1040" s="25">
        <v>44601</v>
      </c>
      <c r="D1040" s="26">
        <v>0.35061342592592593</v>
      </c>
      <c r="E1040" s="8" t="s">
        <v>25</v>
      </c>
      <c r="F1040" t="s">
        <v>391</v>
      </c>
      <c r="G1040" t="s">
        <v>392</v>
      </c>
      <c r="H1040" t="s">
        <v>193</v>
      </c>
      <c r="I1040">
        <v>311.33</v>
      </c>
      <c r="J1040" s="31">
        <v>0</v>
      </c>
      <c r="K1040" s="31">
        <f t="shared" si="66"/>
        <v>924.94</v>
      </c>
      <c r="L1040" s="32">
        <v>924.94</v>
      </c>
      <c r="M1040" s="10">
        <f t="shared" si="67"/>
        <v>33.659480614958802</v>
      </c>
    </row>
    <row r="1041" spans="1:13" ht="15" hidden="1" customHeight="1" x14ac:dyDescent="0.3">
      <c r="A1041" s="9">
        <v>328</v>
      </c>
      <c r="B1041" t="s">
        <v>275</v>
      </c>
      <c r="C1041" s="25">
        <v>44603</v>
      </c>
      <c r="D1041" s="26">
        <v>0.77592592592592602</v>
      </c>
      <c r="E1041" s="8" t="s">
        <v>25</v>
      </c>
      <c r="F1041" t="s">
        <v>175</v>
      </c>
      <c r="G1041" t="s">
        <v>172</v>
      </c>
      <c r="H1041" t="s">
        <v>193</v>
      </c>
      <c r="I1041">
        <v>146.82</v>
      </c>
      <c r="J1041" s="7">
        <v>0</v>
      </c>
      <c r="K1041" s="7">
        <f t="shared" si="66"/>
        <v>427.23</v>
      </c>
      <c r="L1041" s="7">
        <v>427.23</v>
      </c>
      <c r="M1041" s="10">
        <f t="shared" si="67"/>
        <v>34.365564215996066</v>
      </c>
    </row>
    <row r="1042" spans="1:13" ht="15" hidden="1" customHeight="1" x14ac:dyDescent="0.3">
      <c r="A1042" s="9">
        <v>329</v>
      </c>
      <c r="B1042" t="s">
        <v>275</v>
      </c>
      <c r="C1042" s="25">
        <v>44604</v>
      </c>
      <c r="D1042" s="26">
        <v>0.85591435185185183</v>
      </c>
      <c r="E1042" s="8" t="s">
        <v>25</v>
      </c>
      <c r="F1042" t="s">
        <v>210</v>
      </c>
      <c r="G1042" t="s">
        <v>211</v>
      </c>
      <c r="H1042" t="s">
        <v>193</v>
      </c>
      <c r="I1042">
        <v>389.06</v>
      </c>
      <c r="J1042" s="7">
        <v>0</v>
      </c>
      <c r="K1042" s="7">
        <f t="shared" si="66"/>
        <v>902.2</v>
      </c>
      <c r="L1042" s="7">
        <v>902.2</v>
      </c>
      <c r="M1042" s="10">
        <f t="shared" si="67"/>
        <v>43.123475947683438</v>
      </c>
    </row>
    <row r="1043" spans="1:13" ht="15" hidden="1" customHeight="1" x14ac:dyDescent="0.3">
      <c r="A1043" s="9">
        <v>330</v>
      </c>
      <c r="B1043" t="s">
        <v>275</v>
      </c>
      <c r="C1043" s="25">
        <v>44605</v>
      </c>
      <c r="D1043" s="26">
        <v>0.93259259259259253</v>
      </c>
      <c r="E1043" s="8" t="s">
        <v>25</v>
      </c>
      <c r="F1043" t="s">
        <v>210</v>
      </c>
      <c r="G1043" t="s">
        <v>211</v>
      </c>
      <c r="H1043" t="s">
        <v>193</v>
      </c>
      <c r="I1043">
        <v>388.78</v>
      </c>
      <c r="J1043" s="7">
        <v>0</v>
      </c>
      <c r="K1043" s="7">
        <f t="shared" si="66"/>
        <v>1062.1400000000001</v>
      </c>
      <c r="L1043" s="7">
        <v>1062.1400000000001</v>
      </c>
      <c r="M1043" s="10">
        <f t="shared" si="67"/>
        <v>36.603460937352885</v>
      </c>
    </row>
    <row r="1044" spans="1:13" ht="15" hidden="1" customHeight="1" x14ac:dyDescent="0.3">
      <c r="A1044" s="9">
        <v>331</v>
      </c>
      <c r="B1044" t="s">
        <v>275</v>
      </c>
      <c r="C1044" s="25">
        <v>44607</v>
      </c>
      <c r="D1044" s="26">
        <v>0.82378472222222221</v>
      </c>
      <c r="E1044" s="8" t="s">
        <v>25</v>
      </c>
      <c r="F1044" t="s">
        <v>175</v>
      </c>
      <c r="G1044" t="s">
        <v>172</v>
      </c>
      <c r="H1044" t="s">
        <v>193</v>
      </c>
      <c r="I1044">
        <v>326.06</v>
      </c>
      <c r="J1044" s="7">
        <v>0</v>
      </c>
      <c r="K1044" s="31">
        <f t="shared" si="66"/>
        <v>993.68</v>
      </c>
      <c r="L1044" s="33">
        <v>993.68</v>
      </c>
      <c r="M1044" s="10">
        <f t="shared" si="67"/>
        <v>32.81338056517189</v>
      </c>
    </row>
    <row r="1045" spans="1:13" ht="15" hidden="1" customHeight="1" x14ac:dyDescent="0.3">
      <c r="A1045" s="9">
        <v>332</v>
      </c>
      <c r="B1045" t="s">
        <v>275</v>
      </c>
      <c r="C1045" s="25">
        <v>44609</v>
      </c>
      <c r="D1045" s="26">
        <v>4.447916666666666E-2</v>
      </c>
      <c r="E1045" s="8" t="s">
        <v>25</v>
      </c>
      <c r="F1045" t="s">
        <v>210</v>
      </c>
      <c r="G1045" t="s">
        <v>211</v>
      </c>
      <c r="H1045" t="s">
        <v>193</v>
      </c>
      <c r="I1045">
        <v>331.32</v>
      </c>
      <c r="J1045" s="39">
        <v>0</v>
      </c>
      <c r="K1045" s="39">
        <f t="shared" si="66"/>
        <v>830.41</v>
      </c>
      <c r="L1045" s="32">
        <v>830.41</v>
      </c>
      <c r="M1045" s="10">
        <f t="shared" si="67"/>
        <v>39.898363459014227</v>
      </c>
    </row>
    <row r="1046" spans="1:13" ht="15" hidden="1" customHeight="1" x14ac:dyDescent="0.3">
      <c r="A1046" s="9">
        <v>333</v>
      </c>
      <c r="B1046" t="s">
        <v>275</v>
      </c>
      <c r="C1046" s="25">
        <v>44610</v>
      </c>
      <c r="D1046" s="26">
        <v>6.880787037037038E-2</v>
      </c>
      <c r="E1046" s="8" t="s">
        <v>25</v>
      </c>
      <c r="F1046" t="s">
        <v>210</v>
      </c>
      <c r="G1046" t="s">
        <v>211</v>
      </c>
      <c r="H1046" t="s">
        <v>193</v>
      </c>
      <c r="I1046">
        <v>400.34</v>
      </c>
      <c r="J1046" s="31">
        <v>0</v>
      </c>
      <c r="K1046" s="35">
        <f t="shared" si="66"/>
        <v>1669.43</v>
      </c>
      <c r="L1046" s="34">
        <v>1669.43</v>
      </c>
      <c r="M1046" s="10">
        <f t="shared" si="67"/>
        <v>23.980640098716329</v>
      </c>
    </row>
    <row r="1047" spans="1:13" ht="15" hidden="1" customHeight="1" x14ac:dyDescent="0.3">
      <c r="A1047" s="9">
        <v>334</v>
      </c>
      <c r="B1047" t="s">
        <v>275</v>
      </c>
      <c r="C1047" s="25">
        <v>44611</v>
      </c>
      <c r="D1047" s="26">
        <v>0.35877314814814815</v>
      </c>
      <c r="E1047" s="8" t="s">
        <v>25</v>
      </c>
      <c r="F1047" t="s">
        <v>368</v>
      </c>
      <c r="G1047" t="s">
        <v>369</v>
      </c>
      <c r="H1047" t="s">
        <v>193</v>
      </c>
      <c r="I1047">
        <v>387.33</v>
      </c>
      <c r="J1047" s="7">
        <v>0</v>
      </c>
      <c r="K1047" s="7">
        <f t="shared" si="66"/>
        <v>1069.96</v>
      </c>
      <c r="L1047" s="7">
        <v>1069.96</v>
      </c>
      <c r="M1047" s="10">
        <f t="shared" si="67"/>
        <v>36.20041870724139</v>
      </c>
    </row>
    <row r="1048" spans="1:13" ht="15" hidden="1" customHeight="1" x14ac:dyDescent="0.3">
      <c r="A1048" s="9">
        <v>335</v>
      </c>
      <c r="B1048" t="s">
        <v>275</v>
      </c>
      <c r="C1048" s="25">
        <v>44612</v>
      </c>
      <c r="D1048" s="26">
        <v>3.90625E-2</v>
      </c>
      <c r="E1048" s="8" t="s">
        <v>25</v>
      </c>
      <c r="F1048" t="s">
        <v>210</v>
      </c>
      <c r="G1048" t="s">
        <v>211</v>
      </c>
      <c r="H1048" t="s">
        <v>193</v>
      </c>
      <c r="I1048">
        <v>272.73</v>
      </c>
      <c r="J1048" s="34">
        <v>0</v>
      </c>
      <c r="K1048" s="34">
        <f t="shared" si="66"/>
        <v>723.59</v>
      </c>
      <c r="L1048" s="7">
        <v>723.59</v>
      </c>
      <c r="M1048" s="10">
        <f t="shared" si="67"/>
        <v>37.691233986097103</v>
      </c>
    </row>
    <row r="1049" spans="1:13" ht="15" hidden="1" customHeight="1" x14ac:dyDescent="0.3">
      <c r="A1049" s="9">
        <v>336</v>
      </c>
      <c r="B1049" t="s">
        <v>275</v>
      </c>
      <c r="C1049" s="25">
        <v>44613</v>
      </c>
      <c r="D1049" s="26">
        <v>0.37725694444444446</v>
      </c>
      <c r="E1049" s="8" t="s">
        <v>25</v>
      </c>
      <c r="F1049" t="s">
        <v>210</v>
      </c>
      <c r="G1049" t="s">
        <v>211</v>
      </c>
      <c r="H1049" t="s">
        <v>193</v>
      </c>
      <c r="I1049">
        <v>401.67</v>
      </c>
      <c r="J1049" s="7">
        <v>0</v>
      </c>
      <c r="K1049" s="11">
        <f t="shared" si="66"/>
        <v>1063.3499999999999</v>
      </c>
      <c r="L1049" s="31">
        <v>1063.3499999999999</v>
      </c>
      <c r="M1049" s="10">
        <f t="shared" si="67"/>
        <v>37.774016081252647</v>
      </c>
    </row>
    <row r="1050" spans="1:13" ht="15" hidden="1" customHeight="1" x14ac:dyDescent="0.3">
      <c r="A1050" s="9">
        <v>337</v>
      </c>
      <c r="B1050" t="s">
        <v>275</v>
      </c>
      <c r="C1050" s="25">
        <v>44614</v>
      </c>
      <c r="D1050" s="26">
        <v>0.54334490740740737</v>
      </c>
      <c r="E1050" s="8" t="s">
        <v>25</v>
      </c>
      <c r="F1050" t="s">
        <v>391</v>
      </c>
      <c r="G1050" t="s">
        <v>392</v>
      </c>
      <c r="H1050" t="s">
        <v>193</v>
      </c>
      <c r="I1050">
        <v>318.58999999999997</v>
      </c>
      <c r="J1050" s="7">
        <v>0</v>
      </c>
      <c r="K1050" s="11">
        <f t="shared" si="66"/>
        <v>910.24</v>
      </c>
      <c r="L1050" s="7">
        <v>910.24</v>
      </c>
      <c r="M1050" s="10">
        <f t="shared" si="67"/>
        <v>35.000659166813151</v>
      </c>
    </row>
    <row r="1051" spans="1:13" ht="15" hidden="1" customHeight="1" x14ac:dyDescent="0.3">
      <c r="A1051" s="9">
        <v>1379</v>
      </c>
      <c r="B1051" t="s">
        <v>275</v>
      </c>
      <c r="C1051" s="25">
        <v>44627</v>
      </c>
      <c r="D1051" s="26">
        <v>0.58491898148148147</v>
      </c>
      <c r="E1051" s="8" t="s">
        <v>26</v>
      </c>
      <c r="F1051" t="s">
        <v>210</v>
      </c>
      <c r="G1051" t="s">
        <v>211</v>
      </c>
      <c r="H1051" t="s">
        <v>193</v>
      </c>
      <c r="I1051">
        <v>370</v>
      </c>
      <c r="J1051" s="31">
        <v>0</v>
      </c>
      <c r="K1051" s="89">
        <f t="shared" si="66"/>
        <v>861.69</v>
      </c>
      <c r="L1051" s="35">
        <v>861.69</v>
      </c>
      <c r="M1051" s="10">
        <f t="shared" si="67"/>
        <v>42.93887592985876</v>
      </c>
    </row>
    <row r="1052" spans="1:13" ht="15" hidden="1" customHeight="1" x14ac:dyDescent="0.3">
      <c r="A1052" s="9">
        <v>1380</v>
      </c>
      <c r="B1052" t="s">
        <v>275</v>
      </c>
      <c r="C1052" s="25">
        <v>44629</v>
      </c>
      <c r="D1052" s="26">
        <v>6.5358796296296304E-2</v>
      </c>
      <c r="E1052" s="8" t="s">
        <v>26</v>
      </c>
      <c r="F1052" t="s">
        <v>166</v>
      </c>
      <c r="G1052" t="s">
        <v>161</v>
      </c>
      <c r="H1052" t="s">
        <v>193</v>
      </c>
      <c r="I1052">
        <v>449.23</v>
      </c>
      <c r="J1052" s="7">
        <v>0</v>
      </c>
      <c r="K1052" s="89">
        <f t="shared" si="66"/>
        <v>1173.8599999999999</v>
      </c>
      <c r="L1052" s="7">
        <v>1173.8599999999999</v>
      </c>
      <c r="M1052" s="10">
        <f t="shared" si="67"/>
        <v>38.269469953827553</v>
      </c>
    </row>
    <row r="1053" spans="1:13" ht="15" hidden="1" customHeight="1" x14ac:dyDescent="0.3">
      <c r="A1053" s="9">
        <v>1381</v>
      </c>
      <c r="B1053" t="s">
        <v>275</v>
      </c>
      <c r="C1053" s="25">
        <v>44630</v>
      </c>
      <c r="D1053" s="26">
        <v>0.48726851851851855</v>
      </c>
      <c r="E1053" t="s">
        <v>26</v>
      </c>
      <c r="F1053" t="s">
        <v>391</v>
      </c>
      <c r="G1053" t="s">
        <v>392</v>
      </c>
      <c r="H1053" t="s">
        <v>193</v>
      </c>
      <c r="I1053">
        <v>346.09</v>
      </c>
      <c r="J1053" s="7">
        <v>0</v>
      </c>
      <c r="K1053" s="89">
        <f t="shared" si="66"/>
        <v>1029.73</v>
      </c>
      <c r="L1053" s="34">
        <v>1029.73</v>
      </c>
      <c r="M1053" s="10">
        <f t="shared" si="67"/>
        <v>33.609781204781832</v>
      </c>
    </row>
    <row r="1054" spans="1:13" ht="15" hidden="1" customHeight="1" x14ac:dyDescent="0.3">
      <c r="A1054" s="9">
        <v>1382</v>
      </c>
      <c r="B1054" t="s">
        <v>275</v>
      </c>
      <c r="C1054" s="25">
        <v>44631</v>
      </c>
      <c r="D1054" s="26">
        <v>0.95624999999999993</v>
      </c>
      <c r="E1054" t="s">
        <v>26</v>
      </c>
      <c r="F1054" t="s">
        <v>210</v>
      </c>
      <c r="G1054" t="s">
        <v>211</v>
      </c>
      <c r="H1054" t="s">
        <v>193</v>
      </c>
      <c r="I1054">
        <v>375.81</v>
      </c>
      <c r="J1054" s="34">
        <v>0</v>
      </c>
      <c r="K1054" s="89">
        <f t="shared" si="66"/>
        <v>895.97</v>
      </c>
      <c r="L1054" s="34">
        <v>895.97</v>
      </c>
      <c r="M1054" s="10">
        <f t="shared" si="67"/>
        <v>41.94448474837327</v>
      </c>
    </row>
    <row r="1055" spans="1:13" ht="15" hidden="1" customHeight="1" x14ac:dyDescent="0.3">
      <c r="A1055" s="9">
        <v>1383</v>
      </c>
      <c r="B1055" t="s">
        <v>275</v>
      </c>
      <c r="C1055" s="25">
        <v>44633</v>
      </c>
      <c r="D1055" s="26">
        <v>0.61766203703703704</v>
      </c>
      <c r="E1055" t="s">
        <v>26</v>
      </c>
      <c r="F1055" t="s">
        <v>210</v>
      </c>
      <c r="G1055" t="s">
        <v>211</v>
      </c>
      <c r="H1055" t="s">
        <v>193</v>
      </c>
      <c r="I1055">
        <v>308.7</v>
      </c>
      <c r="J1055" s="7">
        <v>0</v>
      </c>
      <c r="K1055" s="89">
        <f t="shared" ref="K1055:K1086" si="68">+L1055-J1055</f>
        <v>889.56</v>
      </c>
      <c r="L1055" s="7">
        <v>889.56</v>
      </c>
      <c r="M1055" s="10">
        <f t="shared" ref="M1055:M1086" si="69">I1055/K1055*100</f>
        <v>34.702549575070826</v>
      </c>
    </row>
    <row r="1056" spans="1:13" ht="15" hidden="1" customHeight="1" x14ac:dyDescent="0.3">
      <c r="A1056" s="9">
        <v>1384</v>
      </c>
      <c r="B1056" t="s">
        <v>275</v>
      </c>
      <c r="C1056" s="25">
        <v>44634</v>
      </c>
      <c r="D1056" s="26">
        <v>0.97879629629629628</v>
      </c>
      <c r="E1056" t="s">
        <v>26</v>
      </c>
      <c r="F1056" t="s">
        <v>197</v>
      </c>
      <c r="G1056" t="s">
        <v>44</v>
      </c>
      <c r="H1056" t="s">
        <v>193</v>
      </c>
      <c r="I1056">
        <v>300.01</v>
      </c>
      <c r="J1056" s="34">
        <v>0</v>
      </c>
      <c r="K1056" s="89">
        <f t="shared" si="68"/>
        <v>1125.33</v>
      </c>
      <c r="L1056" s="34">
        <v>1125.33</v>
      </c>
      <c r="M1056" s="10">
        <f t="shared" si="69"/>
        <v>26.659735366514713</v>
      </c>
    </row>
    <row r="1057" spans="1:13" ht="15" hidden="1" customHeight="1" x14ac:dyDescent="0.3">
      <c r="A1057" s="9">
        <v>1385</v>
      </c>
      <c r="B1057" t="s">
        <v>275</v>
      </c>
      <c r="C1057" s="25">
        <v>44635</v>
      </c>
      <c r="D1057" s="26">
        <v>0.73634259259259249</v>
      </c>
      <c r="E1057" t="s">
        <v>26</v>
      </c>
      <c r="F1057" t="s">
        <v>210</v>
      </c>
      <c r="G1057" t="s">
        <v>211</v>
      </c>
      <c r="H1057" t="s">
        <v>193</v>
      </c>
      <c r="I1057">
        <v>344</v>
      </c>
      <c r="J1057" s="7">
        <v>0</v>
      </c>
      <c r="K1057" s="89">
        <f t="shared" si="68"/>
        <v>588.16999999999996</v>
      </c>
      <c r="L1057" s="7">
        <v>588.16999999999996</v>
      </c>
      <c r="M1057" s="10">
        <f t="shared" si="69"/>
        <v>58.486492000612067</v>
      </c>
    </row>
    <row r="1058" spans="1:13" ht="15" hidden="1" customHeight="1" x14ac:dyDescent="0.3">
      <c r="A1058" s="9">
        <v>1386</v>
      </c>
      <c r="B1058" t="s">
        <v>275</v>
      </c>
      <c r="C1058" s="25">
        <v>44637</v>
      </c>
      <c r="D1058" s="26">
        <v>3.2337962962962964E-2</v>
      </c>
      <c r="E1058" t="s">
        <v>26</v>
      </c>
      <c r="F1058" t="s">
        <v>210</v>
      </c>
      <c r="G1058" t="s">
        <v>211</v>
      </c>
      <c r="H1058" t="s">
        <v>193</v>
      </c>
      <c r="I1058">
        <v>417.43</v>
      </c>
      <c r="J1058" s="31">
        <v>0</v>
      </c>
      <c r="K1058" s="89">
        <f t="shared" si="68"/>
        <v>1116.81</v>
      </c>
      <c r="L1058" s="7">
        <v>1116.81</v>
      </c>
      <c r="M1058" s="10">
        <f t="shared" si="69"/>
        <v>37.376993400847056</v>
      </c>
    </row>
    <row r="1059" spans="1:13" ht="15" hidden="1" customHeight="1" x14ac:dyDescent="0.3">
      <c r="A1059" s="9">
        <v>1387</v>
      </c>
      <c r="B1059" t="s">
        <v>275</v>
      </c>
      <c r="C1059" s="25">
        <v>44639</v>
      </c>
      <c r="D1059" s="26">
        <v>0.48777777777777781</v>
      </c>
      <c r="E1059" t="s">
        <v>26</v>
      </c>
      <c r="F1059" t="s">
        <v>175</v>
      </c>
      <c r="G1059" t="s">
        <v>172</v>
      </c>
      <c r="H1059" t="s">
        <v>193</v>
      </c>
      <c r="I1059">
        <f>117.13+441.96</f>
        <v>559.08999999999992</v>
      </c>
      <c r="J1059" s="39">
        <v>0</v>
      </c>
      <c r="K1059" s="89">
        <f t="shared" si="68"/>
        <v>1357.57</v>
      </c>
      <c r="L1059" s="11">
        <v>1357.57</v>
      </c>
      <c r="M1059" s="10">
        <f t="shared" si="69"/>
        <v>41.183143410652853</v>
      </c>
    </row>
    <row r="1060" spans="1:13" ht="15" hidden="1" customHeight="1" x14ac:dyDescent="0.3">
      <c r="A1060" s="9">
        <v>1388</v>
      </c>
      <c r="B1060" t="s">
        <v>275</v>
      </c>
      <c r="C1060" s="25">
        <v>44641</v>
      </c>
      <c r="D1060" s="26">
        <v>0.78061342592592586</v>
      </c>
      <c r="E1060" t="s">
        <v>26</v>
      </c>
      <c r="F1060" t="s">
        <v>210</v>
      </c>
      <c r="G1060" t="s">
        <v>211</v>
      </c>
      <c r="H1060" t="s">
        <v>193</v>
      </c>
      <c r="I1060">
        <f>48.06+262.61</f>
        <v>310.67</v>
      </c>
      <c r="J1060" s="40">
        <v>0</v>
      </c>
      <c r="K1060" s="89">
        <f t="shared" si="68"/>
        <v>809.47</v>
      </c>
      <c r="L1060" s="67">
        <v>809.47</v>
      </c>
      <c r="M1060" s="10">
        <f t="shared" si="69"/>
        <v>38.379433456459168</v>
      </c>
    </row>
    <row r="1061" spans="1:13" ht="15" hidden="1" customHeight="1" x14ac:dyDescent="0.3">
      <c r="A1061" s="9">
        <v>1389</v>
      </c>
      <c r="B1061" t="s">
        <v>275</v>
      </c>
      <c r="C1061" s="25">
        <v>44643</v>
      </c>
      <c r="D1061" s="26">
        <v>0.70936342592592594</v>
      </c>
      <c r="E1061" t="s">
        <v>26</v>
      </c>
      <c r="F1061" t="s">
        <v>210</v>
      </c>
      <c r="G1061" t="s">
        <v>211</v>
      </c>
      <c r="H1061" t="s">
        <v>193</v>
      </c>
      <c r="I1061">
        <v>467.39</v>
      </c>
      <c r="J1061" s="39">
        <v>0</v>
      </c>
      <c r="K1061" s="89">
        <f t="shared" si="68"/>
        <v>1121.0999999999999</v>
      </c>
      <c r="L1061" s="11">
        <v>1121.0999999999999</v>
      </c>
      <c r="M1061" s="10">
        <f t="shared" si="69"/>
        <v>41.690304165551694</v>
      </c>
    </row>
    <row r="1062" spans="1:13" ht="15" hidden="1" customHeight="1" x14ac:dyDescent="0.3">
      <c r="A1062" s="9">
        <v>1390</v>
      </c>
      <c r="B1062" t="s">
        <v>275</v>
      </c>
      <c r="C1062" s="25">
        <v>44645</v>
      </c>
      <c r="D1062" s="26">
        <v>0.38568287037037036</v>
      </c>
      <c r="E1062" t="s">
        <v>26</v>
      </c>
      <c r="F1062" t="s">
        <v>205</v>
      </c>
      <c r="G1062" t="s">
        <v>206</v>
      </c>
      <c r="H1062" t="s">
        <v>193</v>
      </c>
      <c r="I1062">
        <v>100</v>
      </c>
      <c r="J1062" s="76">
        <v>0</v>
      </c>
      <c r="K1062" s="89">
        <f t="shared" si="68"/>
        <v>971.8</v>
      </c>
      <c r="L1062" s="11">
        <v>971.8</v>
      </c>
      <c r="M1062" s="10">
        <f t="shared" si="69"/>
        <v>10.290183165260341</v>
      </c>
    </row>
    <row r="1063" spans="1:13" ht="15" hidden="1" customHeight="1" x14ac:dyDescent="0.3">
      <c r="A1063" s="9">
        <v>1391</v>
      </c>
      <c r="B1063" t="s">
        <v>275</v>
      </c>
      <c r="C1063" s="25">
        <v>44645</v>
      </c>
      <c r="D1063" s="26">
        <v>0.65650462962962963</v>
      </c>
      <c r="E1063" t="s">
        <v>26</v>
      </c>
      <c r="F1063" t="s">
        <v>197</v>
      </c>
      <c r="G1063" t="s">
        <v>44</v>
      </c>
      <c r="H1063" t="s">
        <v>193</v>
      </c>
      <c r="I1063">
        <v>200</v>
      </c>
      <c r="J1063" s="39">
        <v>0</v>
      </c>
      <c r="K1063" s="89">
        <f t="shared" si="68"/>
        <v>149.32</v>
      </c>
      <c r="L1063" s="11">
        <v>149.32</v>
      </c>
      <c r="M1063" s="10">
        <f t="shared" si="69"/>
        <v>133.94053040450041</v>
      </c>
    </row>
    <row r="1064" spans="1:13" ht="15" hidden="1" customHeight="1" x14ac:dyDescent="0.3">
      <c r="A1064" s="9">
        <v>1392</v>
      </c>
      <c r="B1064" t="s">
        <v>275</v>
      </c>
      <c r="C1064" s="25">
        <v>44646</v>
      </c>
      <c r="D1064" s="26">
        <v>0.42932870370370368</v>
      </c>
      <c r="E1064" t="s">
        <v>26</v>
      </c>
      <c r="F1064" t="s">
        <v>210</v>
      </c>
      <c r="G1064" t="s">
        <v>211</v>
      </c>
      <c r="H1064" t="s">
        <v>193</v>
      </c>
      <c r="I1064">
        <v>338.18</v>
      </c>
      <c r="J1064" s="76">
        <v>0</v>
      </c>
      <c r="K1064" s="89">
        <f t="shared" si="68"/>
        <v>587.11</v>
      </c>
      <c r="L1064" s="28">
        <v>587.11</v>
      </c>
      <c r="M1064" s="10">
        <f t="shared" si="69"/>
        <v>57.600790311866604</v>
      </c>
    </row>
    <row r="1065" spans="1:13" ht="15" hidden="1" customHeight="1" x14ac:dyDescent="0.3">
      <c r="A1065" s="9">
        <v>1393</v>
      </c>
      <c r="B1065" t="s">
        <v>275</v>
      </c>
      <c r="C1065" s="25">
        <v>44647</v>
      </c>
      <c r="D1065" s="26">
        <v>0.59171296296296294</v>
      </c>
      <c r="E1065" t="s">
        <v>26</v>
      </c>
      <c r="F1065" t="s">
        <v>165</v>
      </c>
      <c r="G1065" t="s">
        <v>185</v>
      </c>
      <c r="H1065" t="s">
        <v>193</v>
      </c>
      <c r="I1065">
        <v>244</v>
      </c>
      <c r="J1065" s="76">
        <v>0</v>
      </c>
      <c r="K1065" s="89">
        <f t="shared" si="68"/>
        <v>549.6</v>
      </c>
      <c r="L1065" s="11">
        <v>549.6</v>
      </c>
      <c r="M1065" s="10">
        <f t="shared" si="69"/>
        <v>44.395924308588064</v>
      </c>
    </row>
    <row r="1066" spans="1:13" ht="15" hidden="1" customHeight="1" x14ac:dyDescent="0.3">
      <c r="A1066" s="9">
        <v>1394</v>
      </c>
      <c r="B1066" t="s">
        <v>275</v>
      </c>
      <c r="C1066" s="25">
        <v>44648</v>
      </c>
      <c r="D1066" s="26">
        <v>0.82988425925925924</v>
      </c>
      <c r="E1066" t="s">
        <v>26</v>
      </c>
      <c r="F1066" t="s">
        <v>202</v>
      </c>
      <c r="G1066" t="s">
        <v>203</v>
      </c>
      <c r="H1066" t="s">
        <v>193</v>
      </c>
      <c r="I1066">
        <v>300</v>
      </c>
      <c r="J1066" s="39">
        <v>0</v>
      </c>
      <c r="K1066" s="89">
        <f t="shared" si="68"/>
        <v>1049.97</v>
      </c>
      <c r="L1066" s="68">
        <v>1049.97</v>
      </c>
      <c r="M1066" s="10">
        <f t="shared" si="69"/>
        <v>28.572244921283463</v>
      </c>
    </row>
    <row r="1067" spans="1:13" ht="15" hidden="1" customHeight="1" x14ac:dyDescent="0.3">
      <c r="A1067" s="9">
        <v>1395</v>
      </c>
      <c r="B1067" t="s">
        <v>275</v>
      </c>
      <c r="C1067" s="25">
        <v>44650</v>
      </c>
      <c r="D1067" s="26">
        <v>0.45378472222222221</v>
      </c>
      <c r="E1067" t="s">
        <v>26</v>
      </c>
      <c r="F1067" t="s">
        <v>210</v>
      </c>
      <c r="G1067" t="s">
        <v>211</v>
      </c>
      <c r="H1067" t="s">
        <v>193</v>
      </c>
      <c r="I1067">
        <v>440.28</v>
      </c>
      <c r="J1067" s="34">
        <v>0</v>
      </c>
      <c r="K1067" s="89">
        <f t="shared" si="68"/>
        <v>955.46</v>
      </c>
      <c r="L1067" s="32">
        <v>955.46</v>
      </c>
      <c r="M1067" s="10">
        <f t="shared" si="69"/>
        <v>46.080421995687935</v>
      </c>
    </row>
    <row r="1068" spans="1:13" ht="15" hidden="1" customHeight="1" x14ac:dyDescent="0.3">
      <c r="A1068" s="9">
        <v>2574</v>
      </c>
      <c r="B1068" t="s">
        <v>275</v>
      </c>
      <c r="C1068" s="25">
        <v>44652</v>
      </c>
      <c r="D1068" s="26">
        <v>0.87224537037037031</v>
      </c>
      <c r="E1068" t="s">
        <v>27</v>
      </c>
      <c r="F1068" t="s">
        <v>391</v>
      </c>
      <c r="G1068" t="s">
        <v>392</v>
      </c>
      <c r="H1068" t="s">
        <v>193</v>
      </c>
      <c r="I1068" s="4">
        <v>378.59</v>
      </c>
      <c r="J1068" s="35">
        <v>0</v>
      </c>
      <c r="K1068" s="89">
        <f t="shared" si="68"/>
        <v>1030.21</v>
      </c>
      <c r="L1068" s="35">
        <v>1030.21</v>
      </c>
      <c r="M1068" s="10">
        <f t="shared" si="69"/>
        <v>36.74881820211413</v>
      </c>
    </row>
    <row r="1069" spans="1:13" ht="15" hidden="1" customHeight="1" x14ac:dyDescent="0.3">
      <c r="A1069" s="9">
        <v>2575</v>
      </c>
      <c r="B1069" t="s">
        <v>275</v>
      </c>
      <c r="C1069" s="25">
        <v>44653</v>
      </c>
      <c r="D1069" s="26">
        <v>0.92541666666666667</v>
      </c>
      <c r="E1069" t="s">
        <v>27</v>
      </c>
      <c r="F1069" t="s">
        <v>166</v>
      </c>
      <c r="G1069" t="s">
        <v>161</v>
      </c>
      <c r="H1069" t="s">
        <v>193</v>
      </c>
      <c r="I1069" s="4">
        <v>295.81</v>
      </c>
      <c r="J1069" s="7">
        <v>0</v>
      </c>
      <c r="K1069" s="89">
        <f t="shared" si="68"/>
        <v>771.46</v>
      </c>
      <c r="L1069" s="7">
        <v>771.46</v>
      </c>
      <c r="M1069" s="36">
        <f t="shared" si="69"/>
        <v>38.344178570502677</v>
      </c>
    </row>
    <row r="1070" spans="1:13" ht="15" hidden="1" customHeight="1" x14ac:dyDescent="0.3">
      <c r="A1070" s="9">
        <v>2576</v>
      </c>
      <c r="B1070" t="s">
        <v>275</v>
      </c>
      <c r="C1070" s="25">
        <v>44655</v>
      </c>
      <c r="D1070" s="26">
        <v>0.4017592592592592</v>
      </c>
      <c r="E1070" t="s">
        <v>27</v>
      </c>
      <c r="F1070" t="s">
        <v>210</v>
      </c>
      <c r="G1070" t="s">
        <v>211</v>
      </c>
      <c r="H1070" t="s">
        <v>193</v>
      </c>
      <c r="I1070" s="4">
        <v>469.81</v>
      </c>
      <c r="J1070" s="7">
        <v>0</v>
      </c>
      <c r="K1070" s="89">
        <f t="shared" si="68"/>
        <v>1139.67</v>
      </c>
      <c r="L1070" s="32">
        <v>1139.67</v>
      </c>
      <c r="M1070" s="36">
        <f t="shared" si="69"/>
        <v>41.22333657988716</v>
      </c>
    </row>
    <row r="1071" spans="1:13" ht="15" hidden="1" customHeight="1" x14ac:dyDescent="0.3">
      <c r="A1071" s="9">
        <v>2577</v>
      </c>
      <c r="B1071" t="s">
        <v>275</v>
      </c>
      <c r="C1071" s="25">
        <v>44657</v>
      </c>
      <c r="D1071" s="26">
        <v>0.3382175925925926</v>
      </c>
      <c r="E1071" t="s">
        <v>27</v>
      </c>
      <c r="F1071" t="s">
        <v>391</v>
      </c>
      <c r="G1071" t="s">
        <v>392</v>
      </c>
      <c r="H1071" t="s">
        <v>193</v>
      </c>
      <c r="I1071" s="4">
        <v>333.01</v>
      </c>
      <c r="J1071" s="7">
        <v>0</v>
      </c>
      <c r="K1071" s="89">
        <f t="shared" si="68"/>
        <v>994.91</v>
      </c>
      <c r="L1071" s="33">
        <v>994.91</v>
      </c>
      <c r="M1071" s="36">
        <f t="shared" si="69"/>
        <v>33.471369269582176</v>
      </c>
    </row>
    <row r="1072" spans="1:13" ht="15" hidden="1" customHeight="1" x14ac:dyDescent="0.3">
      <c r="A1072" s="9">
        <v>2584</v>
      </c>
      <c r="B1072" t="s">
        <v>275</v>
      </c>
      <c r="C1072" s="25">
        <v>44670</v>
      </c>
      <c r="D1072" s="26">
        <v>0.46192129629629625</v>
      </c>
      <c r="E1072" t="s">
        <v>27</v>
      </c>
      <c r="F1072" t="s">
        <v>175</v>
      </c>
      <c r="G1072" t="s">
        <v>172</v>
      </c>
      <c r="H1072" t="s">
        <v>193</v>
      </c>
      <c r="I1072" s="4">
        <v>309.91000000000003</v>
      </c>
      <c r="J1072" s="7"/>
      <c r="K1072" s="89">
        <f t="shared" si="68"/>
        <v>921</v>
      </c>
      <c r="L1072" s="32">
        <v>921</v>
      </c>
      <c r="M1072" s="36">
        <f t="shared" si="69"/>
        <v>33.649294245385455</v>
      </c>
    </row>
    <row r="1073" spans="1:13" ht="15" hidden="1" customHeight="1" x14ac:dyDescent="0.3">
      <c r="A1073" s="9">
        <v>2585</v>
      </c>
      <c r="B1073" t="s">
        <v>275</v>
      </c>
      <c r="C1073" s="25">
        <v>44671</v>
      </c>
      <c r="D1073" s="26">
        <v>0.5276967592592593</v>
      </c>
      <c r="E1073" t="s">
        <v>27</v>
      </c>
      <c r="F1073" t="s">
        <v>210</v>
      </c>
      <c r="G1073" t="s">
        <v>211</v>
      </c>
      <c r="H1073" t="s">
        <v>193</v>
      </c>
      <c r="I1073" s="4">
        <v>314.49</v>
      </c>
      <c r="J1073" s="7">
        <v>0</v>
      </c>
      <c r="K1073" s="89">
        <f t="shared" si="68"/>
        <v>832.72</v>
      </c>
      <c r="L1073" s="32">
        <v>832.72</v>
      </c>
      <c r="M1073" s="36">
        <f t="shared" si="69"/>
        <v>37.766596214814101</v>
      </c>
    </row>
    <row r="1074" spans="1:13" ht="15" hidden="1" customHeight="1" x14ac:dyDescent="0.3">
      <c r="A1074" s="9">
        <v>2586</v>
      </c>
      <c r="B1074" t="s">
        <v>275</v>
      </c>
      <c r="C1074" s="25">
        <v>44674</v>
      </c>
      <c r="D1074" s="26">
        <v>0.15</v>
      </c>
      <c r="E1074" t="s">
        <v>27</v>
      </c>
      <c r="F1074" t="s">
        <v>210</v>
      </c>
      <c r="G1074" t="s">
        <v>211</v>
      </c>
      <c r="H1074" t="s">
        <v>193</v>
      </c>
      <c r="I1074" s="4">
        <f>117.18+329.54</f>
        <v>446.72</v>
      </c>
      <c r="J1074" s="7">
        <v>0</v>
      </c>
      <c r="K1074" s="89">
        <f t="shared" si="68"/>
        <v>1095.54</v>
      </c>
      <c r="L1074" s="32">
        <v>1095.54</v>
      </c>
      <c r="M1074" s="36">
        <f t="shared" si="69"/>
        <v>40.776238202165146</v>
      </c>
    </row>
    <row r="1075" spans="1:13" ht="15" hidden="1" customHeight="1" x14ac:dyDescent="0.3">
      <c r="A1075" s="9">
        <v>2587</v>
      </c>
      <c r="B1075" t="s">
        <v>275</v>
      </c>
      <c r="C1075" s="25">
        <v>44675</v>
      </c>
      <c r="D1075" s="26">
        <v>0.51005787037037031</v>
      </c>
      <c r="E1075" t="s">
        <v>27</v>
      </c>
      <c r="F1075" t="s">
        <v>175</v>
      </c>
      <c r="G1075" t="s">
        <v>172</v>
      </c>
      <c r="H1075" t="s">
        <v>193</v>
      </c>
      <c r="I1075" s="4">
        <v>383</v>
      </c>
      <c r="J1075" s="7">
        <v>0</v>
      </c>
      <c r="K1075" s="89">
        <f t="shared" si="68"/>
        <v>1071</v>
      </c>
      <c r="L1075" s="37">
        <v>1071</v>
      </c>
      <c r="M1075" s="10">
        <f t="shared" si="69"/>
        <v>35.760971055088703</v>
      </c>
    </row>
    <row r="1076" spans="1:13" ht="15" hidden="1" customHeight="1" x14ac:dyDescent="0.3">
      <c r="A1076" s="9">
        <v>2588</v>
      </c>
      <c r="B1076" t="s">
        <v>275</v>
      </c>
      <c r="C1076" s="25">
        <v>44676</v>
      </c>
      <c r="D1076" s="26">
        <v>0.98291666666666666</v>
      </c>
      <c r="E1076" t="s">
        <v>27</v>
      </c>
      <c r="F1076" t="s">
        <v>210</v>
      </c>
      <c r="G1076" t="s">
        <v>211</v>
      </c>
      <c r="H1076" t="s">
        <v>193</v>
      </c>
      <c r="I1076">
        <v>331.94</v>
      </c>
      <c r="J1076" s="7">
        <v>0</v>
      </c>
      <c r="K1076" s="89">
        <f t="shared" si="68"/>
        <v>850.75</v>
      </c>
      <c r="L1076" s="7">
        <v>850.75</v>
      </c>
      <c r="M1076" s="10">
        <f t="shared" si="69"/>
        <v>39.017337643255949</v>
      </c>
    </row>
    <row r="1077" spans="1:13" ht="15" hidden="1" customHeight="1" x14ac:dyDescent="0.3">
      <c r="A1077" s="9">
        <v>2589</v>
      </c>
      <c r="B1077" t="s">
        <v>275</v>
      </c>
      <c r="C1077" s="25">
        <v>44677</v>
      </c>
      <c r="D1077" s="26">
        <v>0.73518518518518527</v>
      </c>
      <c r="E1077" t="s">
        <v>27</v>
      </c>
      <c r="F1077" t="s">
        <v>165</v>
      </c>
      <c r="G1077" t="s">
        <v>185</v>
      </c>
      <c r="H1077" t="s">
        <v>193</v>
      </c>
      <c r="I1077">
        <v>249.56</v>
      </c>
      <c r="J1077" s="7">
        <v>0</v>
      </c>
      <c r="K1077" s="89">
        <f t="shared" si="68"/>
        <v>547.61</v>
      </c>
      <c r="L1077" s="7">
        <v>547.61</v>
      </c>
      <c r="M1077" s="10">
        <f t="shared" si="69"/>
        <v>45.57257902521868</v>
      </c>
    </row>
    <row r="1078" spans="1:13" ht="15" hidden="1" customHeight="1" x14ac:dyDescent="0.3">
      <c r="A1078" s="9">
        <v>2590</v>
      </c>
      <c r="B1078" t="s">
        <v>275</v>
      </c>
      <c r="C1078" s="25">
        <v>44678</v>
      </c>
      <c r="D1078" s="26">
        <v>0.85021990740740738</v>
      </c>
      <c r="E1078" t="s">
        <v>27</v>
      </c>
      <c r="F1078" t="s">
        <v>202</v>
      </c>
      <c r="G1078" t="s">
        <v>203</v>
      </c>
      <c r="H1078" t="s">
        <v>193</v>
      </c>
      <c r="I1078">
        <v>150</v>
      </c>
      <c r="J1078" s="31">
        <v>0</v>
      </c>
      <c r="K1078" s="89">
        <f t="shared" si="68"/>
        <v>1051.6300000000001</v>
      </c>
      <c r="L1078" s="31">
        <v>1051.6300000000001</v>
      </c>
      <c r="M1078" s="10">
        <f t="shared" si="69"/>
        <v>14.263571788556812</v>
      </c>
    </row>
    <row r="1079" spans="1:13" ht="15" hidden="1" customHeight="1" x14ac:dyDescent="0.3">
      <c r="A1079" s="9">
        <v>3716</v>
      </c>
      <c r="B1079" t="s">
        <v>275</v>
      </c>
      <c r="C1079" s="25">
        <v>44683</v>
      </c>
      <c r="D1079" s="26">
        <v>0.54447916666666674</v>
      </c>
      <c r="E1079" t="s">
        <v>28</v>
      </c>
      <c r="F1079" t="s">
        <v>210</v>
      </c>
      <c r="G1079" t="s">
        <v>211</v>
      </c>
      <c r="H1079" t="s">
        <v>193</v>
      </c>
      <c r="I1079">
        <v>354.05</v>
      </c>
      <c r="J1079" s="7">
        <v>0</v>
      </c>
      <c r="K1079" s="89">
        <f t="shared" si="68"/>
        <v>1063.68</v>
      </c>
      <c r="L1079" s="32">
        <v>1063.68</v>
      </c>
      <c r="M1079" s="10">
        <f t="shared" si="69"/>
        <v>33.285386582430803</v>
      </c>
    </row>
    <row r="1080" spans="1:13" ht="15" hidden="1" customHeight="1" x14ac:dyDescent="0.3">
      <c r="A1080" s="9">
        <v>3863</v>
      </c>
      <c r="B1080" t="s">
        <v>275</v>
      </c>
      <c r="C1080" s="25">
        <v>44686</v>
      </c>
      <c r="D1080" s="26">
        <v>6.9120370370370374E-2</v>
      </c>
      <c r="E1080" t="s">
        <v>28</v>
      </c>
      <c r="F1080" t="s">
        <v>311</v>
      </c>
      <c r="G1080" t="s">
        <v>303</v>
      </c>
      <c r="H1080" t="s">
        <v>193</v>
      </c>
      <c r="I1080">
        <v>297.66000000000003</v>
      </c>
      <c r="J1080" s="34">
        <v>0</v>
      </c>
      <c r="K1080" s="89">
        <f t="shared" si="68"/>
        <v>1323</v>
      </c>
      <c r="L1080" s="35">
        <v>1323</v>
      </c>
      <c r="M1080" s="10">
        <f t="shared" si="69"/>
        <v>22.498866213151931</v>
      </c>
    </row>
    <row r="1081" spans="1:13" ht="15" hidden="1" customHeight="1" x14ac:dyDescent="0.3">
      <c r="A1081" s="9">
        <v>3864</v>
      </c>
      <c r="B1081" t="s">
        <v>275</v>
      </c>
      <c r="C1081" s="25">
        <v>44686</v>
      </c>
      <c r="D1081" s="26">
        <v>0.56568287037037035</v>
      </c>
      <c r="E1081" t="s">
        <v>28</v>
      </c>
      <c r="F1081" t="s">
        <v>210</v>
      </c>
      <c r="G1081" t="s">
        <v>211</v>
      </c>
      <c r="H1081" t="s">
        <v>193</v>
      </c>
      <c r="I1081">
        <v>333.83</v>
      </c>
      <c r="J1081" s="7">
        <v>0</v>
      </c>
      <c r="K1081" s="89">
        <f t="shared" si="68"/>
        <v>430</v>
      </c>
      <c r="L1081" s="7">
        <v>430</v>
      </c>
      <c r="M1081" s="10">
        <f t="shared" si="69"/>
        <v>77.634883720930219</v>
      </c>
    </row>
    <row r="1082" spans="1:13" ht="15" hidden="1" customHeight="1" x14ac:dyDescent="0.3">
      <c r="A1082" s="9">
        <v>3915</v>
      </c>
      <c r="B1082" t="s">
        <v>275</v>
      </c>
      <c r="C1082" s="25">
        <v>44687</v>
      </c>
      <c r="D1082" s="26">
        <v>0.4599421296296296</v>
      </c>
      <c r="E1082" t="s">
        <v>28</v>
      </c>
      <c r="F1082" t="s">
        <v>165</v>
      </c>
      <c r="G1082" t="s">
        <v>185</v>
      </c>
      <c r="H1082" t="s">
        <v>193</v>
      </c>
      <c r="I1082">
        <v>251.15</v>
      </c>
      <c r="J1082" s="7">
        <v>0</v>
      </c>
      <c r="K1082" s="89">
        <f t="shared" si="68"/>
        <v>569</v>
      </c>
      <c r="L1082" s="37">
        <v>569</v>
      </c>
      <c r="M1082" s="10">
        <f t="shared" si="69"/>
        <v>44.13884007029877</v>
      </c>
    </row>
    <row r="1083" spans="1:13" ht="15" hidden="1" customHeight="1" x14ac:dyDescent="0.3">
      <c r="A1083" s="9">
        <v>3969</v>
      </c>
      <c r="B1083" t="s">
        <v>275</v>
      </c>
      <c r="C1083" s="25">
        <v>44688</v>
      </c>
      <c r="D1083" s="26">
        <v>0.81995370370370368</v>
      </c>
      <c r="E1083" t="s">
        <v>28</v>
      </c>
      <c r="F1083" t="s">
        <v>202</v>
      </c>
      <c r="G1083" t="s">
        <v>203</v>
      </c>
      <c r="H1083" t="s">
        <v>193</v>
      </c>
      <c r="I1083">
        <v>150</v>
      </c>
      <c r="J1083" s="7">
        <v>0</v>
      </c>
      <c r="K1083" s="89">
        <f t="shared" si="68"/>
        <v>1053</v>
      </c>
      <c r="L1083" s="32">
        <v>1053</v>
      </c>
      <c r="M1083" s="10">
        <f t="shared" si="69"/>
        <v>14.245014245014245</v>
      </c>
    </row>
    <row r="1084" spans="1:13" ht="15" hidden="1" customHeight="1" x14ac:dyDescent="0.3">
      <c r="A1084" s="9">
        <v>4017</v>
      </c>
      <c r="B1084" t="s">
        <v>275</v>
      </c>
      <c r="C1084" s="25">
        <v>44689</v>
      </c>
      <c r="D1084" s="26">
        <v>0.98054398148148147</v>
      </c>
      <c r="E1084" t="s">
        <v>28</v>
      </c>
      <c r="F1084" t="s">
        <v>165</v>
      </c>
      <c r="G1084" t="s">
        <v>185</v>
      </c>
      <c r="H1084" t="s">
        <v>193</v>
      </c>
      <c r="I1084">
        <v>423.34</v>
      </c>
      <c r="J1084" s="7">
        <v>0</v>
      </c>
      <c r="K1084" s="89">
        <f t="shared" si="68"/>
        <v>573</v>
      </c>
      <c r="L1084" s="32">
        <v>573</v>
      </c>
      <c r="M1084" s="10">
        <f t="shared" si="69"/>
        <v>73.881326352530536</v>
      </c>
    </row>
    <row r="1085" spans="1:13" ht="15" hidden="1" customHeight="1" x14ac:dyDescent="0.3">
      <c r="A1085" s="9">
        <v>4065</v>
      </c>
      <c r="B1085" t="s">
        <v>275</v>
      </c>
      <c r="C1085" s="25">
        <v>44690</v>
      </c>
      <c r="D1085" s="26">
        <v>0.98305555555555557</v>
      </c>
      <c r="E1085" t="s">
        <v>28</v>
      </c>
      <c r="F1085" t="s">
        <v>210</v>
      </c>
      <c r="G1085" t="s">
        <v>211</v>
      </c>
      <c r="H1085" t="s">
        <v>193</v>
      </c>
      <c r="I1085">
        <v>200.04</v>
      </c>
      <c r="J1085" s="7">
        <v>0</v>
      </c>
      <c r="K1085" s="89">
        <f t="shared" si="68"/>
        <v>572</v>
      </c>
      <c r="L1085" s="32">
        <v>572</v>
      </c>
      <c r="M1085" s="10">
        <f t="shared" si="69"/>
        <v>34.972027972027966</v>
      </c>
    </row>
    <row r="1086" spans="1:13" ht="15" hidden="1" customHeight="1" x14ac:dyDescent="0.3">
      <c r="A1086" s="9">
        <v>4237</v>
      </c>
      <c r="B1086" t="s">
        <v>275</v>
      </c>
      <c r="C1086" s="25">
        <v>44693</v>
      </c>
      <c r="D1086" s="26">
        <v>0.71329861111111115</v>
      </c>
      <c r="E1086" t="s">
        <v>28</v>
      </c>
      <c r="F1086" t="s">
        <v>166</v>
      </c>
      <c r="G1086" t="s">
        <v>161</v>
      </c>
      <c r="H1086" t="s">
        <v>193</v>
      </c>
      <c r="I1086">
        <v>603.79</v>
      </c>
      <c r="J1086" s="7">
        <v>0</v>
      </c>
      <c r="K1086" s="89">
        <f t="shared" si="68"/>
        <v>1727</v>
      </c>
      <c r="L1086" s="37">
        <v>1727</v>
      </c>
      <c r="M1086" s="10">
        <f t="shared" si="69"/>
        <v>34.961783439490446</v>
      </c>
    </row>
    <row r="1087" spans="1:13" ht="15" hidden="1" customHeight="1" x14ac:dyDescent="0.3">
      <c r="A1087" s="9">
        <v>4262</v>
      </c>
      <c r="B1087" t="s">
        <v>275</v>
      </c>
      <c r="C1087" s="25">
        <v>44694</v>
      </c>
      <c r="D1087" s="26">
        <v>0.48024305555555552</v>
      </c>
      <c r="E1087" t="s">
        <v>28</v>
      </c>
      <c r="F1087" t="s">
        <v>165</v>
      </c>
      <c r="G1087" t="s">
        <v>185</v>
      </c>
      <c r="H1087" t="s">
        <v>193</v>
      </c>
      <c r="I1087">
        <v>285.44</v>
      </c>
      <c r="J1087" s="7">
        <v>0</v>
      </c>
      <c r="K1087" s="90">
        <f>+L1087-J1216</f>
        <v>634</v>
      </c>
      <c r="L1087" s="32">
        <v>634</v>
      </c>
      <c r="M1087" s="10">
        <f t="shared" ref="M1087:M1116" si="70">I1087/K1087*100</f>
        <v>45.022082018927442</v>
      </c>
    </row>
    <row r="1088" spans="1:13" ht="15" hidden="1" customHeight="1" x14ac:dyDescent="0.3">
      <c r="A1088" s="9">
        <v>4304</v>
      </c>
      <c r="B1088" t="s">
        <v>275</v>
      </c>
      <c r="C1088" s="25">
        <v>44695</v>
      </c>
      <c r="D1088" s="26">
        <v>0.81586805555555564</v>
      </c>
      <c r="E1088" t="s">
        <v>28</v>
      </c>
      <c r="F1088" t="s">
        <v>202</v>
      </c>
      <c r="G1088" t="s">
        <v>203</v>
      </c>
      <c r="H1088" t="s">
        <v>193</v>
      </c>
      <c r="I1088">
        <v>200</v>
      </c>
      <c r="J1088" s="34">
        <v>0</v>
      </c>
      <c r="K1088" s="97">
        <f>+L1088-J1217</f>
        <v>1050</v>
      </c>
      <c r="L1088" s="32">
        <v>1050</v>
      </c>
      <c r="M1088" s="10">
        <f t="shared" si="70"/>
        <v>19.047619047619047</v>
      </c>
    </row>
    <row r="1089" spans="1:19" ht="15" hidden="1" customHeight="1" x14ac:dyDescent="0.3">
      <c r="A1089" s="9">
        <v>4369</v>
      </c>
      <c r="B1089" t="s">
        <v>275</v>
      </c>
      <c r="C1089" s="25">
        <v>44696</v>
      </c>
      <c r="D1089" s="26">
        <v>0.79917824074074073</v>
      </c>
      <c r="E1089" t="s">
        <v>28</v>
      </c>
      <c r="F1089" t="s">
        <v>165</v>
      </c>
      <c r="G1089" t="s">
        <v>185</v>
      </c>
      <c r="H1089" t="s">
        <v>193</v>
      </c>
      <c r="I1089">
        <v>368.36</v>
      </c>
      <c r="J1089" s="34">
        <v>0</v>
      </c>
      <c r="K1089" s="100">
        <f>+L1089-J1218</f>
        <v>577</v>
      </c>
      <c r="L1089" s="38">
        <v>577</v>
      </c>
      <c r="M1089" s="36">
        <f t="shared" si="70"/>
        <v>63.840554592720977</v>
      </c>
    </row>
    <row r="1090" spans="1:19" ht="15" hidden="1" customHeight="1" x14ac:dyDescent="0.3">
      <c r="A1090" s="9">
        <v>4443</v>
      </c>
      <c r="B1090" t="s">
        <v>275</v>
      </c>
      <c r="C1090" s="25">
        <v>44697</v>
      </c>
      <c r="D1090" s="26">
        <v>0.79567129629629629</v>
      </c>
      <c r="E1090" t="s">
        <v>28</v>
      </c>
      <c r="F1090" t="s">
        <v>210</v>
      </c>
      <c r="G1090" t="s">
        <v>211</v>
      </c>
      <c r="H1090" t="s">
        <v>193</v>
      </c>
      <c r="I1090">
        <v>207.55</v>
      </c>
      <c r="J1090" s="31">
        <v>0</v>
      </c>
      <c r="K1090" s="99">
        <f>+L1090-J1219</f>
        <v>566</v>
      </c>
      <c r="L1090" s="32">
        <v>566</v>
      </c>
      <c r="M1090" s="10">
        <f t="shared" si="70"/>
        <v>36.669611307420496</v>
      </c>
    </row>
    <row r="1091" spans="1:19" ht="15" hidden="1" customHeight="1" x14ac:dyDescent="0.3">
      <c r="A1091" s="9">
        <v>4537</v>
      </c>
      <c r="B1091" t="s">
        <v>275</v>
      </c>
      <c r="C1091" s="25">
        <v>44699</v>
      </c>
      <c r="D1091" s="26">
        <v>0.51134259259259263</v>
      </c>
      <c r="E1091" t="s">
        <v>28</v>
      </c>
      <c r="F1091" t="s">
        <v>534</v>
      </c>
      <c r="G1091" t="s">
        <v>535</v>
      </c>
      <c r="H1091" t="s">
        <v>193</v>
      </c>
      <c r="I1091">
        <v>363.1</v>
      </c>
      <c r="J1091" s="7">
        <v>0</v>
      </c>
      <c r="K1091" s="97">
        <f>+L1091-J1218</f>
        <v>935</v>
      </c>
      <c r="L1091" s="37">
        <v>935</v>
      </c>
      <c r="M1091" s="10">
        <f t="shared" si="70"/>
        <v>38.834224598930483</v>
      </c>
    </row>
    <row r="1092" spans="1:19" ht="15" hidden="1" customHeight="1" x14ac:dyDescent="0.3">
      <c r="A1092" s="9">
        <v>5194</v>
      </c>
      <c r="B1092" t="s">
        <v>275</v>
      </c>
      <c r="C1092" s="25">
        <v>44711</v>
      </c>
      <c r="D1092" s="26">
        <v>0.41531249999999997</v>
      </c>
      <c r="E1092" t="s">
        <v>28</v>
      </c>
      <c r="F1092" t="s">
        <v>685</v>
      </c>
      <c r="G1092" t="s">
        <v>392</v>
      </c>
      <c r="H1092" t="s">
        <v>573</v>
      </c>
      <c r="I1092">
        <v>54.44</v>
      </c>
      <c r="J1092" s="37">
        <v>0</v>
      </c>
      <c r="K1092" s="97"/>
      <c r="L1092" s="34"/>
      <c r="M1092" s="10" t="e">
        <f t="shared" si="70"/>
        <v>#DIV/0!</v>
      </c>
    </row>
    <row r="1093" spans="1:19" ht="15" hidden="1" customHeight="1" x14ac:dyDescent="0.3">
      <c r="A1093" s="9">
        <v>5327</v>
      </c>
      <c r="B1093" t="s">
        <v>275</v>
      </c>
      <c r="C1093" s="25">
        <v>44714</v>
      </c>
      <c r="D1093" s="26">
        <v>0.43246527777777777</v>
      </c>
      <c r="E1093" t="s">
        <v>29</v>
      </c>
      <c r="F1093" t="s">
        <v>694</v>
      </c>
      <c r="G1093" t="s">
        <v>489</v>
      </c>
      <c r="H1093" t="s">
        <v>193</v>
      </c>
      <c r="I1093">
        <v>285.85000000000002</v>
      </c>
      <c r="J1093" s="32">
        <v>0</v>
      </c>
      <c r="K1093" s="90">
        <f>+L1093-J1218</f>
        <v>699</v>
      </c>
      <c r="L1093" s="7">
        <v>699</v>
      </c>
      <c r="M1093" s="10">
        <f t="shared" si="70"/>
        <v>40.894134477825467</v>
      </c>
    </row>
    <row r="1094" spans="1:19" ht="15" hidden="1" customHeight="1" x14ac:dyDescent="0.3">
      <c r="A1094" s="9">
        <v>5393</v>
      </c>
      <c r="B1094" t="s">
        <v>275</v>
      </c>
      <c r="C1094" s="25">
        <v>44715</v>
      </c>
      <c r="D1094" s="26">
        <v>0.38177083333333334</v>
      </c>
      <c r="E1094" t="s">
        <v>29</v>
      </c>
      <c r="F1094" t="s">
        <v>640</v>
      </c>
      <c r="G1094" t="s">
        <v>185</v>
      </c>
      <c r="H1094" t="s">
        <v>193</v>
      </c>
      <c r="I1094">
        <v>360.01</v>
      </c>
      <c r="J1094" s="33">
        <v>0</v>
      </c>
      <c r="K1094" s="100">
        <f>+L1094-J1219</f>
        <v>794</v>
      </c>
      <c r="L1094" s="35">
        <v>794</v>
      </c>
      <c r="M1094" s="10">
        <f t="shared" si="70"/>
        <v>45.341309823677577</v>
      </c>
    </row>
    <row r="1095" spans="1:19" ht="15" hidden="1" customHeight="1" x14ac:dyDescent="0.3">
      <c r="A1095" s="9">
        <v>5394</v>
      </c>
      <c r="B1095" t="s">
        <v>275</v>
      </c>
      <c r="C1095" s="25">
        <v>44715</v>
      </c>
      <c r="D1095" s="26">
        <v>0.91719907407407408</v>
      </c>
      <c r="E1095" t="s">
        <v>29</v>
      </c>
      <c r="F1095" t="s">
        <v>635</v>
      </c>
      <c r="G1095" t="s">
        <v>185</v>
      </c>
      <c r="H1095" t="s">
        <v>193</v>
      </c>
      <c r="I1095">
        <v>175.1</v>
      </c>
      <c r="J1095" s="32">
        <v>0</v>
      </c>
      <c r="K1095" s="90">
        <f>+L1095-J1220</f>
        <v>434</v>
      </c>
      <c r="L1095" s="7">
        <v>434</v>
      </c>
      <c r="M1095" s="10">
        <f t="shared" si="70"/>
        <v>40.345622119815665</v>
      </c>
    </row>
    <row r="1096" spans="1:19" ht="15" hidden="1" customHeight="1" x14ac:dyDescent="0.3">
      <c r="A1096" s="9">
        <v>5450</v>
      </c>
      <c r="B1096" t="s">
        <v>275</v>
      </c>
      <c r="C1096" s="25">
        <v>44716</v>
      </c>
      <c r="D1096" s="26">
        <v>0.77503472222222225</v>
      </c>
      <c r="E1096" t="s">
        <v>29</v>
      </c>
      <c r="F1096" t="s">
        <v>635</v>
      </c>
      <c r="G1096" t="s">
        <v>185</v>
      </c>
      <c r="H1096" t="s">
        <v>193</v>
      </c>
      <c r="I1096">
        <v>185.02</v>
      </c>
      <c r="J1096" s="37">
        <v>0</v>
      </c>
      <c r="K1096" s="90">
        <f>+L1096-J1221</f>
        <v>438</v>
      </c>
      <c r="L1096" s="30">
        <v>438</v>
      </c>
      <c r="M1096" s="10">
        <f t="shared" si="70"/>
        <v>42.242009132420094</v>
      </c>
    </row>
    <row r="1097" spans="1:19" ht="15" hidden="1" customHeight="1" x14ac:dyDescent="0.3">
      <c r="A1097" s="9">
        <v>5503</v>
      </c>
      <c r="B1097" t="s">
        <v>275</v>
      </c>
      <c r="C1097" s="25">
        <v>44717</v>
      </c>
      <c r="D1097" s="26">
        <v>0.65733796296296299</v>
      </c>
      <c r="E1097" t="s">
        <v>29</v>
      </c>
      <c r="F1097" t="s">
        <v>642</v>
      </c>
      <c r="G1097" t="s">
        <v>203</v>
      </c>
      <c r="H1097" t="s">
        <v>193</v>
      </c>
      <c r="I1097">
        <v>150</v>
      </c>
      <c r="J1097" s="37">
        <v>0</v>
      </c>
      <c r="K1097" s="90">
        <f>+L1097-J1221</f>
        <v>541</v>
      </c>
      <c r="L1097" s="11">
        <v>541</v>
      </c>
      <c r="M1097" s="10">
        <f t="shared" si="70"/>
        <v>27.726432532347506</v>
      </c>
    </row>
    <row r="1098" spans="1:19" ht="15" hidden="1" customHeight="1" x14ac:dyDescent="0.3">
      <c r="A1098" s="9">
        <v>5547</v>
      </c>
      <c r="B1098" t="s">
        <v>275</v>
      </c>
      <c r="C1098" s="25">
        <v>44718</v>
      </c>
      <c r="D1098" s="26">
        <v>0.58228009259259261</v>
      </c>
      <c r="E1098" t="s">
        <v>29</v>
      </c>
      <c r="F1098" t="s">
        <v>642</v>
      </c>
      <c r="G1098" t="s">
        <v>203</v>
      </c>
      <c r="H1098" t="s">
        <v>193</v>
      </c>
      <c r="I1098">
        <v>150</v>
      </c>
      <c r="J1098" s="32">
        <v>0</v>
      </c>
      <c r="K1098" s="90">
        <f>+L1098-J662</f>
        <v>513</v>
      </c>
      <c r="L1098" s="11">
        <v>513</v>
      </c>
      <c r="M1098" s="10">
        <f t="shared" si="70"/>
        <v>29.239766081871345</v>
      </c>
    </row>
    <row r="1099" spans="1:19" ht="15" hidden="1" customHeight="1" x14ac:dyDescent="0.3">
      <c r="A1099" s="9">
        <v>5579</v>
      </c>
      <c r="B1099" t="s">
        <v>275</v>
      </c>
      <c r="C1099" s="25">
        <v>44719</v>
      </c>
      <c r="D1099" s="26">
        <v>0.44697916666666665</v>
      </c>
      <c r="E1099" t="s">
        <v>29</v>
      </c>
      <c r="F1099" t="s">
        <v>635</v>
      </c>
      <c r="G1099" t="s">
        <v>185</v>
      </c>
      <c r="H1099" t="s">
        <v>193</v>
      </c>
      <c r="I1099">
        <v>249.13</v>
      </c>
      <c r="J1099" s="32">
        <v>0</v>
      </c>
      <c r="K1099" s="90">
        <f>+L1099-J660</f>
        <v>575</v>
      </c>
      <c r="L1099" s="11">
        <v>575</v>
      </c>
      <c r="M1099" s="10">
        <f t="shared" si="70"/>
        <v>43.326956521739127</v>
      </c>
    </row>
    <row r="1100" spans="1:19" ht="15" hidden="1" customHeight="1" x14ac:dyDescent="0.3">
      <c r="A1100" s="9">
        <v>5580</v>
      </c>
      <c r="B1100" t="s">
        <v>275</v>
      </c>
      <c r="C1100" s="25">
        <v>44719</v>
      </c>
      <c r="D1100" s="26">
        <v>0.9228587962962963</v>
      </c>
      <c r="E1100" t="s">
        <v>29</v>
      </c>
      <c r="F1100" t="s">
        <v>632</v>
      </c>
      <c r="G1100" t="s">
        <v>161</v>
      </c>
      <c r="H1100" t="s">
        <v>193</v>
      </c>
      <c r="I1100">
        <v>163.65</v>
      </c>
      <c r="J1100" s="32">
        <v>0</v>
      </c>
      <c r="K1100" s="90">
        <f>+L1100-J661</f>
        <v>591</v>
      </c>
      <c r="L1100" s="7">
        <v>591</v>
      </c>
      <c r="M1100" s="10">
        <f t="shared" si="70"/>
        <v>27.690355329949242</v>
      </c>
    </row>
    <row r="1101" spans="1:19" ht="15" hidden="1" customHeight="1" x14ac:dyDescent="0.3">
      <c r="A1101" s="9">
        <v>5863</v>
      </c>
      <c r="B1101" t="s">
        <v>275</v>
      </c>
      <c r="C1101" s="25">
        <v>44724</v>
      </c>
      <c r="D1101" s="26">
        <v>0.70761574074074074</v>
      </c>
      <c r="E1101" t="s">
        <v>29</v>
      </c>
      <c r="F1101" t="s">
        <v>637</v>
      </c>
      <c r="G1101" t="s">
        <v>196</v>
      </c>
      <c r="H1101" t="s">
        <v>193</v>
      </c>
      <c r="I1101">
        <v>178</v>
      </c>
      <c r="J1101" s="32">
        <v>0</v>
      </c>
      <c r="K1101" s="97">
        <f>+L1101-J663</f>
        <v>491</v>
      </c>
      <c r="L1101" s="34">
        <v>491</v>
      </c>
      <c r="M1101" s="10">
        <f t="shared" si="70"/>
        <v>36.252545824847246</v>
      </c>
    </row>
    <row r="1102" spans="1:19" ht="15" hidden="1" customHeight="1" x14ac:dyDescent="0.3">
      <c r="A1102" s="9">
        <v>5920</v>
      </c>
      <c r="B1102" t="s">
        <v>275</v>
      </c>
      <c r="C1102" s="25">
        <v>44725</v>
      </c>
      <c r="D1102" s="26">
        <v>0.42586805555555557</v>
      </c>
      <c r="E1102" t="s">
        <v>29</v>
      </c>
      <c r="F1102" t="s">
        <v>679</v>
      </c>
      <c r="G1102" t="s">
        <v>392</v>
      </c>
      <c r="H1102" t="s">
        <v>193</v>
      </c>
      <c r="I1102">
        <v>180.04</v>
      </c>
      <c r="J1102" s="32">
        <v>0</v>
      </c>
      <c r="K1102" s="90">
        <v>420</v>
      </c>
      <c r="L1102" s="7">
        <v>420</v>
      </c>
      <c r="M1102" s="10">
        <f t="shared" si="70"/>
        <v>42.866666666666667</v>
      </c>
      <c r="N1102" s="2"/>
      <c r="O1102" s="2"/>
      <c r="P1102" s="2"/>
      <c r="Q1102" s="2"/>
      <c r="R1102" s="2"/>
      <c r="S1102" s="2"/>
    </row>
    <row r="1103" spans="1:19" ht="15" hidden="1" customHeight="1" x14ac:dyDescent="0.3">
      <c r="A1103" s="9">
        <v>5971</v>
      </c>
      <c r="B1103" t="s">
        <v>275</v>
      </c>
      <c r="C1103" s="25">
        <v>44726</v>
      </c>
      <c r="D1103" s="26">
        <v>0.82160879629629635</v>
      </c>
      <c r="E1103" t="s">
        <v>29</v>
      </c>
      <c r="F1103" t="s">
        <v>634</v>
      </c>
      <c r="G1103" t="s">
        <v>211</v>
      </c>
      <c r="H1103" t="s">
        <v>193</v>
      </c>
      <c r="I1103">
        <v>362.19</v>
      </c>
      <c r="J1103" s="32">
        <v>0</v>
      </c>
      <c r="K1103" s="99">
        <v>884</v>
      </c>
      <c r="L1103" s="31">
        <v>884</v>
      </c>
      <c r="M1103" s="10">
        <f t="shared" si="70"/>
        <v>40.97171945701357</v>
      </c>
      <c r="N1103" s="2"/>
      <c r="O1103" s="2"/>
      <c r="P1103" s="2"/>
      <c r="Q1103" s="2"/>
      <c r="R1103" s="2"/>
      <c r="S1103" s="2"/>
    </row>
    <row r="1104" spans="1:19" ht="15" hidden="1" customHeight="1" x14ac:dyDescent="0.3">
      <c r="A1104" s="9">
        <v>6027</v>
      </c>
      <c r="B1104" t="s">
        <v>275</v>
      </c>
      <c r="C1104" s="25">
        <v>44727</v>
      </c>
      <c r="D1104" s="26">
        <v>0.79936342592592602</v>
      </c>
      <c r="E1104" t="s">
        <v>29</v>
      </c>
      <c r="F1104" t="s">
        <v>634</v>
      </c>
      <c r="G1104" t="s">
        <v>211</v>
      </c>
      <c r="H1104" t="s">
        <v>193</v>
      </c>
      <c r="I1104">
        <v>353.04</v>
      </c>
      <c r="J1104" s="33">
        <v>0</v>
      </c>
      <c r="K1104" s="99">
        <v>912</v>
      </c>
      <c r="L1104" s="7">
        <v>912</v>
      </c>
      <c r="M1104" s="10">
        <f t="shared" si="70"/>
        <v>38.71052631578948</v>
      </c>
    </row>
    <row r="1105" spans="1:20" ht="15" hidden="1" customHeight="1" x14ac:dyDescent="0.3">
      <c r="A1105" s="9">
        <v>6091</v>
      </c>
      <c r="B1105" t="s">
        <v>275</v>
      </c>
      <c r="C1105" s="25">
        <v>44728</v>
      </c>
      <c r="D1105" s="26">
        <v>0.58453703703703697</v>
      </c>
      <c r="E1105" t="s">
        <v>29</v>
      </c>
      <c r="F1105" t="s">
        <v>637</v>
      </c>
      <c r="G1105" t="s">
        <v>196</v>
      </c>
      <c r="H1105" t="s">
        <v>193</v>
      </c>
      <c r="I1105">
        <v>167.76</v>
      </c>
      <c r="J1105" s="32">
        <v>0</v>
      </c>
      <c r="K1105" s="97">
        <v>481</v>
      </c>
      <c r="L1105" s="34">
        <v>481</v>
      </c>
      <c r="M1105" s="10">
        <f t="shared" si="70"/>
        <v>34.877338877338879</v>
      </c>
    </row>
    <row r="1106" spans="1:20" ht="15" hidden="1" customHeight="1" x14ac:dyDescent="0.3">
      <c r="A1106" s="9">
        <v>6197</v>
      </c>
      <c r="B1106" t="s">
        <v>275</v>
      </c>
      <c r="C1106" s="25">
        <v>44730</v>
      </c>
      <c r="D1106" s="26">
        <v>0.39765046296296297</v>
      </c>
      <c r="E1106" t="s">
        <v>29</v>
      </c>
      <c r="F1106" t="s">
        <v>679</v>
      </c>
      <c r="G1106" t="s">
        <v>392</v>
      </c>
      <c r="H1106" t="s">
        <v>193</v>
      </c>
      <c r="I1106">
        <v>177.62</v>
      </c>
      <c r="J1106" s="33">
        <v>0</v>
      </c>
      <c r="K1106" s="99">
        <v>431</v>
      </c>
      <c r="L1106" s="31">
        <v>431</v>
      </c>
      <c r="M1106" s="10">
        <f t="shared" si="70"/>
        <v>41.211136890951281</v>
      </c>
    </row>
    <row r="1107" spans="1:20" ht="15" hidden="1" customHeight="1" x14ac:dyDescent="0.3">
      <c r="A1107" s="9">
        <v>6288</v>
      </c>
      <c r="B1107" t="s">
        <v>275</v>
      </c>
      <c r="C1107" s="25">
        <v>44733</v>
      </c>
      <c r="D1107" s="26">
        <v>0.94612268518518527</v>
      </c>
      <c r="E1107" t="s">
        <v>29</v>
      </c>
      <c r="F1107" t="s">
        <v>634</v>
      </c>
      <c r="G1107" t="s">
        <v>211</v>
      </c>
      <c r="H1107" t="s">
        <v>193</v>
      </c>
      <c r="I1107">
        <v>383.64</v>
      </c>
      <c r="J1107" s="32">
        <v>0</v>
      </c>
      <c r="K1107" s="89">
        <v>844</v>
      </c>
      <c r="L1107" s="7">
        <v>844</v>
      </c>
      <c r="M1107" s="10">
        <f t="shared" si="70"/>
        <v>45.454976303317537</v>
      </c>
    </row>
    <row r="1108" spans="1:20" ht="15" hidden="1" customHeight="1" x14ac:dyDescent="0.3">
      <c r="A1108" s="9">
        <v>6322</v>
      </c>
      <c r="B1108" t="s">
        <v>275</v>
      </c>
      <c r="C1108" s="25">
        <v>44734</v>
      </c>
      <c r="D1108" s="26">
        <v>0.60901620370370368</v>
      </c>
      <c r="E1108" t="s">
        <v>29</v>
      </c>
      <c r="F1108" t="s">
        <v>634</v>
      </c>
      <c r="G1108" t="s">
        <v>211</v>
      </c>
      <c r="H1108" t="s">
        <v>193</v>
      </c>
      <c r="I1108">
        <v>361.57</v>
      </c>
      <c r="J1108" s="32">
        <v>0</v>
      </c>
      <c r="K1108" s="89">
        <v>910</v>
      </c>
      <c r="L1108" s="7">
        <v>910</v>
      </c>
      <c r="M1108" s="10">
        <f t="shared" si="70"/>
        <v>39.732967032967032</v>
      </c>
    </row>
    <row r="1109" spans="1:20" ht="15" hidden="1" customHeight="1" x14ac:dyDescent="0.3">
      <c r="A1109" s="9">
        <v>6417</v>
      </c>
      <c r="B1109" t="s">
        <v>275</v>
      </c>
      <c r="C1109" s="25">
        <v>44736</v>
      </c>
      <c r="D1109" s="26">
        <v>2.2083333333333333E-2</v>
      </c>
      <c r="E1109" t="s">
        <v>29</v>
      </c>
      <c r="F1109" t="s">
        <v>638</v>
      </c>
      <c r="G1109" t="s">
        <v>263</v>
      </c>
      <c r="H1109" t="s">
        <v>193</v>
      </c>
      <c r="I1109">
        <v>200.26</v>
      </c>
      <c r="J1109" s="37">
        <v>0</v>
      </c>
      <c r="K1109" s="89">
        <v>1117</v>
      </c>
      <c r="L1109" s="7">
        <v>1117</v>
      </c>
      <c r="M1109" s="10">
        <f t="shared" si="70"/>
        <v>17.928379588182629</v>
      </c>
    </row>
    <row r="1110" spans="1:20" ht="15" hidden="1" customHeight="1" x14ac:dyDescent="0.3">
      <c r="A1110" s="9">
        <v>6418</v>
      </c>
      <c r="B1110" t="s">
        <v>275</v>
      </c>
      <c r="C1110" s="25">
        <v>44736</v>
      </c>
      <c r="D1110" s="26">
        <v>0.36991898148148145</v>
      </c>
      <c r="E1110" t="s">
        <v>29</v>
      </c>
      <c r="F1110" t="s">
        <v>654</v>
      </c>
      <c r="G1110" t="s">
        <v>303</v>
      </c>
      <c r="H1110" t="s">
        <v>193</v>
      </c>
      <c r="I1110">
        <v>201.75</v>
      </c>
      <c r="J1110" s="33">
        <v>0</v>
      </c>
      <c r="K1110" s="89">
        <v>202</v>
      </c>
      <c r="L1110" s="7">
        <v>202</v>
      </c>
      <c r="M1110" s="10">
        <f t="shared" si="70"/>
        <v>99.876237623762378</v>
      </c>
    </row>
    <row r="1111" spans="1:20" ht="15" hidden="1" customHeight="1" x14ac:dyDescent="0.3">
      <c r="A1111" s="9">
        <v>6419</v>
      </c>
      <c r="B1111" t="s">
        <v>275</v>
      </c>
      <c r="C1111" s="25">
        <v>44736</v>
      </c>
      <c r="D1111" s="26">
        <v>0.61668981481481489</v>
      </c>
      <c r="E1111" t="s">
        <v>29</v>
      </c>
      <c r="F1111" t="s">
        <v>634</v>
      </c>
      <c r="G1111" t="s">
        <v>211</v>
      </c>
      <c r="H1111" t="s">
        <v>193</v>
      </c>
      <c r="I1111">
        <v>252.53</v>
      </c>
      <c r="J1111" s="32">
        <v>0</v>
      </c>
      <c r="K1111" s="89">
        <v>418</v>
      </c>
      <c r="L1111" s="11">
        <v>418</v>
      </c>
      <c r="M1111" s="10">
        <f t="shared" si="70"/>
        <v>60.413875598086122</v>
      </c>
    </row>
    <row r="1112" spans="1:20" ht="15" hidden="1" customHeight="1" x14ac:dyDescent="0.3">
      <c r="A1112" s="9">
        <v>6482</v>
      </c>
      <c r="B1112" t="s">
        <v>275</v>
      </c>
      <c r="C1112" s="25">
        <v>44737</v>
      </c>
      <c r="D1112" s="26">
        <v>0.56532407407407403</v>
      </c>
      <c r="E1112" t="s">
        <v>29</v>
      </c>
      <c r="F1112" t="s">
        <v>635</v>
      </c>
      <c r="G1112" t="s">
        <v>185</v>
      </c>
      <c r="H1112" t="s">
        <v>193</v>
      </c>
      <c r="I1112">
        <v>268.61</v>
      </c>
      <c r="J1112" s="37">
        <v>0</v>
      </c>
      <c r="K1112" s="89">
        <v>547</v>
      </c>
      <c r="L1112" s="31">
        <v>547</v>
      </c>
      <c r="M1112" s="10">
        <f t="shared" si="70"/>
        <v>49.10603290676417</v>
      </c>
    </row>
    <row r="1113" spans="1:20" ht="15" hidden="1" customHeight="1" x14ac:dyDescent="0.3">
      <c r="A1113" s="9">
        <v>6531</v>
      </c>
      <c r="B1113" t="s">
        <v>275</v>
      </c>
      <c r="C1113" s="25">
        <v>44738</v>
      </c>
      <c r="D1113" s="26">
        <v>0.47162037037037036</v>
      </c>
      <c r="E1113" t="s">
        <v>29</v>
      </c>
      <c r="F1113" t="s">
        <v>634</v>
      </c>
      <c r="G1113" t="s">
        <v>211</v>
      </c>
      <c r="H1113" t="s">
        <v>193</v>
      </c>
      <c r="I1113">
        <v>156.91</v>
      </c>
      <c r="J1113" s="32">
        <v>0</v>
      </c>
      <c r="K1113" s="89">
        <v>514</v>
      </c>
      <c r="L1113" s="7">
        <v>514</v>
      </c>
      <c r="M1113" s="10">
        <f t="shared" si="70"/>
        <v>30.527237354085599</v>
      </c>
    </row>
    <row r="1114" spans="1:20" ht="15" hidden="1" customHeight="1" x14ac:dyDescent="0.3">
      <c r="A1114" s="9">
        <v>6584</v>
      </c>
      <c r="B1114" t="s">
        <v>275</v>
      </c>
      <c r="C1114" s="25">
        <v>44739</v>
      </c>
      <c r="D1114" s="26">
        <v>0.3321412037037037</v>
      </c>
      <c r="E1114" t="s">
        <v>29</v>
      </c>
      <c r="F1114" t="s">
        <v>637</v>
      </c>
      <c r="G1114" t="s">
        <v>196</v>
      </c>
      <c r="H1114" t="s">
        <v>193</v>
      </c>
      <c r="I1114">
        <v>172.56</v>
      </c>
      <c r="J1114" s="32">
        <v>0</v>
      </c>
      <c r="K1114" s="89">
        <v>482</v>
      </c>
      <c r="L1114" s="35">
        <v>482</v>
      </c>
      <c r="M1114" s="10">
        <f t="shared" si="70"/>
        <v>35.800829875518673</v>
      </c>
    </row>
    <row r="1115" spans="1:20" ht="15" hidden="1" customHeight="1" x14ac:dyDescent="0.3">
      <c r="A1115" s="9">
        <v>6706</v>
      </c>
      <c r="B1115" t="s">
        <v>275</v>
      </c>
      <c r="C1115" s="25">
        <v>44741</v>
      </c>
      <c r="D1115" s="26">
        <v>0.33228009259259261</v>
      </c>
      <c r="E1115" t="s">
        <v>29</v>
      </c>
      <c r="F1115" t="s">
        <v>639</v>
      </c>
      <c r="G1115" t="s">
        <v>44</v>
      </c>
      <c r="H1115" t="s">
        <v>193</v>
      </c>
      <c r="I1115">
        <v>200</v>
      </c>
      <c r="J1115" s="32">
        <v>0</v>
      </c>
      <c r="K1115" s="89">
        <v>730</v>
      </c>
      <c r="L1115" s="7">
        <v>730</v>
      </c>
      <c r="M1115" s="10">
        <f t="shared" si="70"/>
        <v>27.397260273972602</v>
      </c>
    </row>
    <row r="1116" spans="1:20" ht="15" hidden="1" customHeight="1" x14ac:dyDescent="0.3">
      <c r="A1116" s="9">
        <v>6707</v>
      </c>
      <c r="B1116" t="s">
        <v>275</v>
      </c>
      <c r="C1116" s="25">
        <v>44741</v>
      </c>
      <c r="D1116" s="26">
        <v>0.83121527777777782</v>
      </c>
      <c r="E1116" t="s">
        <v>29</v>
      </c>
      <c r="F1116" t="s">
        <v>634</v>
      </c>
      <c r="G1116" t="s">
        <v>211</v>
      </c>
      <c r="H1116" t="s">
        <v>193</v>
      </c>
      <c r="I1116">
        <v>265.39999999999998</v>
      </c>
      <c r="J1116" s="41">
        <v>0</v>
      </c>
      <c r="K1116" s="89">
        <v>587</v>
      </c>
      <c r="L1116" s="28">
        <v>587</v>
      </c>
      <c r="M1116" s="10">
        <f t="shared" si="70"/>
        <v>45.2129471890971</v>
      </c>
    </row>
    <row r="1117" spans="1:20" ht="15" hidden="1" customHeight="1" x14ac:dyDescent="0.3">
      <c r="A1117" s="9">
        <v>6751</v>
      </c>
      <c r="B1117" t="s">
        <v>275</v>
      </c>
      <c r="C1117" s="25">
        <v>44742</v>
      </c>
      <c r="D1117" s="26">
        <v>0.98666666666666669</v>
      </c>
      <c r="E1117" t="s">
        <v>29</v>
      </c>
      <c r="F1117" t="s">
        <v>166</v>
      </c>
      <c r="G1117" t="s">
        <v>161</v>
      </c>
      <c r="H1117" t="s">
        <v>193</v>
      </c>
      <c r="I1117" s="148">
        <v>370.21</v>
      </c>
      <c r="J1117" s="78"/>
      <c r="K1117" s="82">
        <v>1234</v>
      </c>
      <c r="L1117" s="56">
        <f>+K1117-J1117</f>
        <v>1234</v>
      </c>
      <c r="M1117" s="10">
        <f>I1117/L1117*100</f>
        <v>30.000810372771475</v>
      </c>
    </row>
    <row r="1118" spans="1:20" ht="15" hidden="1" customHeight="1" x14ac:dyDescent="0.3">
      <c r="B1118" t="s">
        <v>254</v>
      </c>
      <c r="C1118" s="25">
        <v>44681</v>
      </c>
      <c r="D1118" s="26">
        <v>0.98966435185185186</v>
      </c>
      <c r="E1118" t="s">
        <v>580</v>
      </c>
      <c r="F1118" t="s">
        <v>210</v>
      </c>
      <c r="G1118" t="s">
        <v>211</v>
      </c>
      <c r="H1118" t="s">
        <v>581</v>
      </c>
      <c r="I1118">
        <v>544.44000000000005</v>
      </c>
      <c r="J1118" s="76"/>
      <c r="K1118" s="96" t="e">
        <f>+L1118-#REF!</f>
        <v>#REF!</v>
      </c>
      <c r="L1118" s="114">
        <v>432.88</v>
      </c>
      <c r="M1118" s="131">
        <f>I1118/L1118*100</f>
        <v>125.77157641840697</v>
      </c>
      <c r="S1118"/>
      <c r="T1118"/>
    </row>
    <row r="1119" spans="1:20" ht="15" hidden="1" customHeight="1" x14ac:dyDescent="0.3">
      <c r="B1119" t="s">
        <v>271</v>
      </c>
      <c r="C1119" s="25">
        <v>44681</v>
      </c>
      <c r="D1119" s="26">
        <v>0.33254629629629628</v>
      </c>
      <c r="E1119" t="s">
        <v>580</v>
      </c>
      <c r="F1119" t="s">
        <v>428</v>
      </c>
      <c r="G1119" t="s">
        <v>429</v>
      </c>
      <c r="H1119" t="s">
        <v>522</v>
      </c>
      <c r="I1119" s="8">
        <v>151.66999999999999</v>
      </c>
      <c r="J1119" s="7">
        <v>0</v>
      </c>
      <c r="K1119" s="90">
        <f>+L1119-J1257</f>
        <v>827.97</v>
      </c>
      <c r="L1119" s="7">
        <v>827.97</v>
      </c>
      <c r="M1119" s="91">
        <f>I1119/L1119*100</f>
        <v>18.318296556638526</v>
      </c>
      <c r="S1119"/>
      <c r="T1119"/>
    </row>
    <row r="1120" spans="1:20" ht="15" hidden="1" customHeight="1" x14ac:dyDescent="0.3">
      <c r="B1120" t="s">
        <v>271</v>
      </c>
      <c r="C1120" s="25">
        <v>44681</v>
      </c>
      <c r="D1120" s="26">
        <v>0.58432870370370371</v>
      </c>
      <c r="E1120" t="s">
        <v>580</v>
      </c>
      <c r="F1120" t="s">
        <v>512</v>
      </c>
      <c r="G1120" t="s">
        <v>513</v>
      </c>
      <c r="H1120" t="s">
        <v>522</v>
      </c>
      <c r="I1120" s="236">
        <v>250.01</v>
      </c>
      <c r="J1120" s="7">
        <v>0</v>
      </c>
      <c r="K1120" s="90">
        <f>+L1120-J1258</f>
        <v>244</v>
      </c>
      <c r="L1120" s="7">
        <v>244</v>
      </c>
      <c r="M1120" s="91">
        <f>I1120/L1120*100</f>
        <v>102.46311475409836</v>
      </c>
      <c r="S1120"/>
      <c r="T1120"/>
    </row>
    <row r="1121" spans="1:20" ht="15" hidden="1" customHeight="1" x14ac:dyDescent="0.3">
      <c r="B1121" t="s">
        <v>271</v>
      </c>
      <c r="C1121" s="25">
        <v>44681</v>
      </c>
      <c r="D1121" s="26">
        <v>0.91961805555555554</v>
      </c>
      <c r="E1121" t="s">
        <v>580</v>
      </c>
      <c r="F1121" t="s">
        <v>166</v>
      </c>
      <c r="G1121" t="s">
        <v>161</v>
      </c>
      <c r="H1121" t="s">
        <v>522</v>
      </c>
      <c r="I1121" s="236">
        <v>198.2</v>
      </c>
      <c r="J1121" s="7">
        <v>0</v>
      </c>
      <c r="K1121" s="90">
        <f>+L1121-J1259</f>
        <v>507</v>
      </c>
      <c r="L1121" s="7">
        <v>507</v>
      </c>
      <c r="M1121" s="91">
        <f t="shared" ref="M1121:M1184" si="71">I1121/K1121*100</f>
        <v>39.092702169625241</v>
      </c>
      <c r="S1121"/>
      <c r="T1121"/>
    </row>
    <row r="1122" spans="1:20" ht="15" hidden="1" customHeight="1" x14ac:dyDescent="0.3">
      <c r="B1122" t="s">
        <v>213</v>
      </c>
      <c r="C1122" s="25">
        <v>44681</v>
      </c>
      <c r="D1122" s="26">
        <v>0.32063657407407409</v>
      </c>
      <c r="E1122" t="s">
        <v>580</v>
      </c>
      <c r="F1122" t="s">
        <v>210</v>
      </c>
      <c r="G1122" t="s">
        <v>211</v>
      </c>
      <c r="H1122" t="s">
        <v>214</v>
      </c>
      <c r="I1122">
        <v>500.02</v>
      </c>
      <c r="J1122" s="40">
        <v>0</v>
      </c>
      <c r="K1122" s="92">
        <f>+L1122-J1122</f>
        <v>1120.27</v>
      </c>
      <c r="L1122" s="67">
        <v>1120.27</v>
      </c>
      <c r="M1122" s="118">
        <f t="shared" si="71"/>
        <v>44.633882903228681</v>
      </c>
      <c r="O1122" s="4" t="s">
        <v>105</v>
      </c>
      <c r="R1122" s="18" t="s">
        <v>126</v>
      </c>
      <c r="S1122"/>
      <c r="T1122"/>
    </row>
    <row r="1123" spans="1:20" ht="15" hidden="1" customHeight="1" x14ac:dyDescent="0.3">
      <c r="B1123" t="s">
        <v>507</v>
      </c>
      <c r="C1123" s="25">
        <v>44681</v>
      </c>
      <c r="D1123" s="26">
        <v>0.50009259259259264</v>
      </c>
      <c r="E1123" t="s">
        <v>580</v>
      </c>
      <c r="F1123" t="s">
        <v>210</v>
      </c>
      <c r="G1123" t="s">
        <v>211</v>
      </c>
      <c r="H1123" t="s">
        <v>251</v>
      </c>
      <c r="I1123">
        <v>190.01</v>
      </c>
      <c r="J1123" s="41">
        <v>0</v>
      </c>
      <c r="K1123" s="89">
        <f>+L1123-J1260</f>
        <v>431</v>
      </c>
      <c r="L1123" s="53">
        <v>431</v>
      </c>
      <c r="M1123" s="36">
        <f t="shared" si="71"/>
        <v>44.085846867749417</v>
      </c>
      <c r="S1123"/>
      <c r="T1123"/>
    </row>
    <row r="1124" spans="1:20" ht="15" hidden="1" customHeight="1" x14ac:dyDescent="0.3">
      <c r="B1124" t="s">
        <v>405</v>
      </c>
      <c r="C1124" s="25">
        <v>44592</v>
      </c>
      <c r="D1124" s="26">
        <v>0.78190972222222221</v>
      </c>
      <c r="E1124" t="s">
        <v>24</v>
      </c>
      <c r="F1124" t="s">
        <v>234</v>
      </c>
      <c r="G1124" t="s">
        <v>235</v>
      </c>
      <c r="H1124" t="s">
        <v>121</v>
      </c>
      <c r="I1124">
        <v>263.31</v>
      </c>
      <c r="J1124" s="39">
        <v>0</v>
      </c>
      <c r="K1124" s="11">
        <f t="shared" ref="K1124:K1167" si="72">+L1124-J1124</f>
        <v>623.16</v>
      </c>
      <c r="L1124" s="11">
        <v>623.16</v>
      </c>
      <c r="M1124" s="36">
        <f t="shared" si="71"/>
        <v>42.253995763527833</v>
      </c>
    </row>
    <row r="1125" spans="1:20" ht="15" hidden="1" customHeight="1" x14ac:dyDescent="0.3">
      <c r="A1125" s="9">
        <v>697</v>
      </c>
      <c r="B1125" t="s">
        <v>405</v>
      </c>
      <c r="C1125" s="25">
        <v>44603</v>
      </c>
      <c r="D1125" s="26">
        <v>0.4698032407407407</v>
      </c>
      <c r="E1125" t="s">
        <v>25</v>
      </c>
      <c r="F1125" t="s">
        <v>268</v>
      </c>
      <c r="G1125" t="s">
        <v>269</v>
      </c>
      <c r="H1125" t="s">
        <v>233</v>
      </c>
      <c r="I1125">
        <v>200.01</v>
      </c>
      <c r="J1125" s="7">
        <v>0</v>
      </c>
      <c r="K1125" s="11">
        <f t="shared" si="72"/>
        <v>972.24</v>
      </c>
      <c r="L1125" s="34">
        <v>972.24</v>
      </c>
      <c r="M1125" s="10">
        <f t="shared" si="71"/>
        <v>20.572080967662306</v>
      </c>
    </row>
    <row r="1126" spans="1:20" ht="15" hidden="1" customHeight="1" x14ac:dyDescent="0.3">
      <c r="A1126" s="9">
        <v>698</v>
      </c>
      <c r="B1126" t="s">
        <v>405</v>
      </c>
      <c r="C1126" s="25">
        <v>44603</v>
      </c>
      <c r="D1126" s="26">
        <v>0.82299768518518512</v>
      </c>
      <c r="E1126" t="s">
        <v>25</v>
      </c>
      <c r="F1126" t="s">
        <v>234</v>
      </c>
      <c r="G1126" t="s">
        <v>235</v>
      </c>
      <c r="H1126" t="s">
        <v>233</v>
      </c>
      <c r="I1126">
        <v>334.13</v>
      </c>
      <c r="J1126" s="7">
        <v>0</v>
      </c>
      <c r="K1126" s="11">
        <f t="shared" si="72"/>
        <v>318.70999999999998</v>
      </c>
      <c r="L1126" s="34">
        <v>318.70999999999998</v>
      </c>
      <c r="M1126" s="10">
        <f t="shared" si="71"/>
        <v>104.83825421229331</v>
      </c>
    </row>
    <row r="1127" spans="1:20" ht="15" hidden="1" customHeight="1" x14ac:dyDescent="0.3">
      <c r="A1127" s="9">
        <v>699</v>
      </c>
      <c r="B1127" t="s">
        <v>405</v>
      </c>
      <c r="C1127" s="25">
        <v>44607</v>
      </c>
      <c r="D1127" s="26">
        <v>0.52766203703703707</v>
      </c>
      <c r="E1127" t="s">
        <v>25</v>
      </c>
      <c r="F1127" t="s">
        <v>237</v>
      </c>
      <c r="G1127" t="s">
        <v>238</v>
      </c>
      <c r="H1127" t="s">
        <v>233</v>
      </c>
      <c r="I1127">
        <v>390.54</v>
      </c>
      <c r="J1127" s="7">
        <v>0</v>
      </c>
      <c r="K1127" s="11">
        <f t="shared" si="72"/>
        <v>964.14</v>
      </c>
      <c r="L1127" s="7">
        <v>964.14</v>
      </c>
      <c r="M1127" s="10">
        <f t="shared" si="71"/>
        <v>40.506565436554858</v>
      </c>
    </row>
    <row r="1128" spans="1:20" ht="15" hidden="1" customHeight="1" x14ac:dyDescent="0.3">
      <c r="A1128" s="9">
        <v>700</v>
      </c>
      <c r="B1128" t="s">
        <v>405</v>
      </c>
      <c r="C1128" s="25">
        <v>44609</v>
      </c>
      <c r="D1128" s="26">
        <v>0.6494212962962963</v>
      </c>
      <c r="E1128" t="s">
        <v>25</v>
      </c>
      <c r="F1128" t="s">
        <v>419</v>
      </c>
      <c r="G1128" t="s">
        <v>238</v>
      </c>
      <c r="H1128" t="s">
        <v>233</v>
      </c>
      <c r="I1128">
        <v>229.42</v>
      </c>
      <c r="J1128" s="7">
        <v>0</v>
      </c>
      <c r="K1128" s="11">
        <f t="shared" si="72"/>
        <v>1372.99</v>
      </c>
      <c r="L1128" s="32">
        <v>1372.99</v>
      </c>
      <c r="M1128" s="10">
        <f t="shared" si="71"/>
        <v>16.709517185121523</v>
      </c>
    </row>
    <row r="1129" spans="1:20" ht="15" hidden="1" customHeight="1" x14ac:dyDescent="0.3">
      <c r="A1129" s="9">
        <v>701</v>
      </c>
      <c r="B1129" t="s">
        <v>405</v>
      </c>
      <c r="C1129" s="25">
        <v>44610</v>
      </c>
      <c r="D1129" s="26">
        <v>0.92648148148148157</v>
      </c>
      <c r="E1129" t="s">
        <v>25</v>
      </c>
      <c r="F1129" t="s">
        <v>268</v>
      </c>
      <c r="G1129" t="s">
        <v>269</v>
      </c>
      <c r="H1129" t="s">
        <v>233</v>
      </c>
      <c r="I1129">
        <v>200</v>
      </c>
      <c r="J1129" s="39">
        <v>0</v>
      </c>
      <c r="K1129" s="11">
        <f t="shared" si="72"/>
        <v>492.93</v>
      </c>
      <c r="L1129" s="37">
        <v>492.93</v>
      </c>
      <c r="M1129" s="10">
        <f t="shared" si="71"/>
        <v>40.573712291806139</v>
      </c>
    </row>
    <row r="1130" spans="1:20" ht="15" hidden="1" customHeight="1" x14ac:dyDescent="0.3">
      <c r="A1130" s="9">
        <v>702</v>
      </c>
      <c r="B1130" t="s">
        <v>405</v>
      </c>
      <c r="C1130" s="25">
        <v>44612</v>
      </c>
      <c r="D1130" s="26">
        <v>0.60826388888888883</v>
      </c>
      <c r="E1130" t="s">
        <v>25</v>
      </c>
      <c r="F1130" t="s">
        <v>268</v>
      </c>
      <c r="G1130" t="s">
        <v>269</v>
      </c>
      <c r="H1130" t="s">
        <v>233</v>
      </c>
      <c r="I1130">
        <v>373.85</v>
      </c>
      <c r="J1130" s="31">
        <v>0</v>
      </c>
      <c r="K1130" s="11">
        <f t="shared" si="72"/>
        <v>299.20999999999998</v>
      </c>
      <c r="L1130" s="34">
        <v>299.20999999999998</v>
      </c>
      <c r="M1130" s="10">
        <f t="shared" si="71"/>
        <v>124.94569031783698</v>
      </c>
    </row>
    <row r="1131" spans="1:20" ht="15" hidden="1" customHeight="1" x14ac:dyDescent="0.3">
      <c r="A1131" s="9">
        <v>703</v>
      </c>
      <c r="B1131" t="s">
        <v>405</v>
      </c>
      <c r="C1131" s="25">
        <v>44613</v>
      </c>
      <c r="D1131" s="26">
        <v>0.89325231481481471</v>
      </c>
      <c r="E1131" t="s">
        <v>25</v>
      </c>
      <c r="F1131" t="s">
        <v>368</v>
      </c>
      <c r="G1131" t="s">
        <v>369</v>
      </c>
      <c r="H1131" t="s">
        <v>233</v>
      </c>
      <c r="I1131">
        <v>519.74</v>
      </c>
      <c r="J1131" s="7">
        <v>0</v>
      </c>
      <c r="K1131" s="11">
        <f t="shared" si="72"/>
        <v>1395.83</v>
      </c>
      <c r="L1131" s="7">
        <v>1395.83</v>
      </c>
      <c r="M1131" s="10">
        <f t="shared" si="71"/>
        <v>37.23519339747677</v>
      </c>
    </row>
    <row r="1132" spans="1:20" ht="15" hidden="1" customHeight="1" x14ac:dyDescent="0.3">
      <c r="A1132" s="9">
        <v>704</v>
      </c>
      <c r="B1132" t="s">
        <v>405</v>
      </c>
      <c r="C1132" s="25">
        <v>44615</v>
      </c>
      <c r="D1132" s="26">
        <v>0.37769675925925927</v>
      </c>
      <c r="E1132" t="s">
        <v>25</v>
      </c>
      <c r="F1132" t="s">
        <v>406</v>
      </c>
      <c r="G1132" t="s">
        <v>409</v>
      </c>
      <c r="H1132" t="s">
        <v>233</v>
      </c>
      <c r="I1132">
        <v>341.68</v>
      </c>
      <c r="J1132" s="44"/>
      <c r="K1132" s="82">
        <f t="shared" si="72"/>
        <v>12345</v>
      </c>
      <c r="L1132" s="44">
        <v>12345</v>
      </c>
      <c r="M1132" s="10">
        <f t="shared" si="71"/>
        <v>2.7677602268124746</v>
      </c>
    </row>
    <row r="1133" spans="1:20" s="110" customFormat="1" ht="15" hidden="1" customHeight="1" x14ac:dyDescent="0.3">
      <c r="A1133" s="9">
        <v>705</v>
      </c>
      <c r="B1133" t="s">
        <v>405</v>
      </c>
      <c r="C1133" s="25">
        <v>44616</v>
      </c>
      <c r="D1133" s="26">
        <v>0.77324074074074067</v>
      </c>
      <c r="E1133" t="s">
        <v>25</v>
      </c>
      <c r="F1133" t="s">
        <v>319</v>
      </c>
      <c r="G1133" t="s">
        <v>320</v>
      </c>
      <c r="H1133" t="s">
        <v>233</v>
      </c>
      <c r="I1133">
        <v>343.54</v>
      </c>
      <c r="J1133" s="8"/>
      <c r="K1133" s="82">
        <f t="shared" si="72"/>
        <v>1234</v>
      </c>
      <c r="L1133" s="8">
        <v>1234</v>
      </c>
      <c r="M1133" s="10">
        <f t="shared" si="71"/>
        <v>27.839546191247976</v>
      </c>
      <c r="N1133"/>
      <c r="O1133"/>
      <c r="P1133"/>
      <c r="Q1133"/>
      <c r="R1133"/>
      <c r="S1133" s="3"/>
      <c r="T1133" s="2"/>
    </row>
    <row r="1134" spans="1:20" ht="15" hidden="1" customHeight="1" x14ac:dyDescent="0.3">
      <c r="A1134" s="9">
        <v>706</v>
      </c>
      <c r="B1134" t="s">
        <v>405</v>
      </c>
      <c r="C1134" s="25">
        <v>44616</v>
      </c>
      <c r="D1134" s="26">
        <v>0.77324074074074067</v>
      </c>
      <c r="E1134" t="s">
        <v>25</v>
      </c>
      <c r="F1134" t="s">
        <v>319</v>
      </c>
      <c r="G1134" t="s">
        <v>320</v>
      </c>
      <c r="H1134" t="s">
        <v>233</v>
      </c>
      <c r="I1134">
        <v>343.54</v>
      </c>
      <c r="J1134" s="45"/>
      <c r="K1134" s="45">
        <f t="shared" si="72"/>
        <v>1234</v>
      </c>
      <c r="L1134" s="45">
        <v>1234</v>
      </c>
      <c r="M1134" s="10">
        <f t="shared" si="71"/>
        <v>27.839546191247976</v>
      </c>
    </row>
    <row r="1135" spans="1:20" ht="15" hidden="1" customHeight="1" x14ac:dyDescent="0.3">
      <c r="A1135" s="9">
        <v>800</v>
      </c>
      <c r="B1135" t="s">
        <v>405</v>
      </c>
      <c r="C1135" s="25">
        <v>44593</v>
      </c>
      <c r="D1135" s="26">
        <v>0.88503472222222224</v>
      </c>
      <c r="E1135" t="s">
        <v>25</v>
      </c>
      <c r="F1135" t="s">
        <v>406</v>
      </c>
      <c r="G1135" t="s">
        <v>407</v>
      </c>
      <c r="H1135" t="s">
        <v>121</v>
      </c>
      <c r="I1135">
        <v>220.76</v>
      </c>
      <c r="J1135" s="7">
        <v>0</v>
      </c>
      <c r="K1135" s="7">
        <f t="shared" si="72"/>
        <v>537.82000000000005</v>
      </c>
      <c r="L1135" s="7">
        <v>537.82000000000005</v>
      </c>
      <c r="M1135" s="10">
        <f t="shared" si="71"/>
        <v>41.047190509836</v>
      </c>
    </row>
    <row r="1136" spans="1:20" ht="15" hidden="1" customHeight="1" x14ac:dyDescent="0.3">
      <c r="A1136" s="9">
        <v>801</v>
      </c>
      <c r="B1136" t="s">
        <v>405</v>
      </c>
      <c r="C1136" s="25">
        <v>44595</v>
      </c>
      <c r="D1136" s="26">
        <v>0.59627314814814814</v>
      </c>
      <c r="E1136" t="s">
        <v>25</v>
      </c>
      <c r="F1136" t="s">
        <v>420</v>
      </c>
      <c r="G1136" t="s">
        <v>417</v>
      </c>
      <c r="H1136" t="s">
        <v>121</v>
      </c>
      <c r="I1136">
        <v>251.04</v>
      </c>
      <c r="J1136" s="34">
        <v>0</v>
      </c>
      <c r="K1136" s="35">
        <f t="shared" si="72"/>
        <v>627.70000000000005</v>
      </c>
      <c r="L1136" s="35">
        <v>627.70000000000005</v>
      </c>
      <c r="M1136" s="10">
        <f t="shared" si="71"/>
        <v>39.993627529074395</v>
      </c>
    </row>
    <row r="1137" spans="1:13" ht="15" hidden="1" customHeight="1" x14ac:dyDescent="0.3">
      <c r="A1137" s="9">
        <v>802</v>
      </c>
      <c r="B1137" t="s">
        <v>405</v>
      </c>
      <c r="C1137" s="25">
        <v>44595</v>
      </c>
      <c r="D1137" s="26">
        <v>0.84287037037037038</v>
      </c>
      <c r="E1137" t="s">
        <v>25</v>
      </c>
      <c r="F1137" t="s">
        <v>291</v>
      </c>
      <c r="G1137" t="s">
        <v>418</v>
      </c>
      <c r="H1137" t="s">
        <v>121</v>
      </c>
      <c r="I1137">
        <v>202.41</v>
      </c>
      <c r="J1137" s="34">
        <v>0</v>
      </c>
      <c r="K1137" s="34">
        <f t="shared" si="72"/>
        <v>376.72</v>
      </c>
      <c r="L1137" s="7">
        <v>376.72</v>
      </c>
      <c r="M1137" s="10">
        <f t="shared" si="71"/>
        <v>53.729560416224246</v>
      </c>
    </row>
    <row r="1138" spans="1:13" ht="15" hidden="1" customHeight="1" x14ac:dyDescent="0.3">
      <c r="A1138" s="9">
        <v>803</v>
      </c>
      <c r="B1138" t="s">
        <v>405</v>
      </c>
      <c r="C1138" s="25">
        <v>44596</v>
      </c>
      <c r="D1138" s="26">
        <v>0.73180555555555549</v>
      </c>
      <c r="E1138" t="s">
        <v>25</v>
      </c>
      <c r="F1138" t="s">
        <v>385</v>
      </c>
      <c r="G1138" t="s">
        <v>386</v>
      </c>
      <c r="H1138" t="s">
        <v>121</v>
      </c>
      <c r="I1138">
        <v>150.06</v>
      </c>
      <c r="J1138" s="7">
        <v>0</v>
      </c>
      <c r="K1138" s="34">
        <f t="shared" si="72"/>
        <v>685.45</v>
      </c>
      <c r="L1138" s="34">
        <v>685.45</v>
      </c>
      <c r="M1138" s="10">
        <f t="shared" si="71"/>
        <v>21.892187613976219</v>
      </c>
    </row>
    <row r="1139" spans="1:13" ht="15" hidden="1" customHeight="1" x14ac:dyDescent="0.3">
      <c r="A1139" s="9">
        <v>1791</v>
      </c>
      <c r="B1139" t="s">
        <v>405</v>
      </c>
      <c r="C1139" s="25">
        <v>44624</v>
      </c>
      <c r="D1139" s="26">
        <v>0.38885416666666667</v>
      </c>
      <c r="E1139" t="s">
        <v>26</v>
      </c>
      <c r="F1139" t="s">
        <v>241</v>
      </c>
      <c r="G1139" t="s">
        <v>242</v>
      </c>
      <c r="H1139" t="s">
        <v>233</v>
      </c>
      <c r="I1139">
        <v>215.18</v>
      </c>
      <c r="J1139" s="8"/>
      <c r="K1139" s="90">
        <f t="shared" si="72"/>
        <v>3556</v>
      </c>
      <c r="L1139" s="8">
        <v>3556</v>
      </c>
      <c r="M1139" s="10">
        <f t="shared" si="71"/>
        <v>6.0511811023622046</v>
      </c>
    </row>
    <row r="1140" spans="1:13" ht="15" hidden="1" customHeight="1" x14ac:dyDescent="0.3">
      <c r="A1140" s="9">
        <v>1792</v>
      </c>
      <c r="B1140" t="s">
        <v>405</v>
      </c>
      <c r="C1140" s="25">
        <v>44627</v>
      </c>
      <c r="D1140" s="26">
        <v>0.6790856481481482</v>
      </c>
      <c r="E1140" t="s">
        <v>26</v>
      </c>
      <c r="F1140" t="s">
        <v>241</v>
      </c>
      <c r="G1140" t="s">
        <v>242</v>
      </c>
      <c r="H1140" t="s">
        <v>233</v>
      </c>
      <c r="I1140">
        <v>150</v>
      </c>
      <c r="J1140" s="44"/>
      <c r="K1140" s="97">
        <f t="shared" si="72"/>
        <v>3556</v>
      </c>
      <c r="L1140" s="44">
        <v>3556</v>
      </c>
      <c r="M1140" s="10">
        <f t="shared" si="71"/>
        <v>4.2182227221597302</v>
      </c>
    </row>
    <row r="1141" spans="1:13" ht="15" hidden="1" customHeight="1" x14ac:dyDescent="0.3">
      <c r="A1141" s="9">
        <v>1793</v>
      </c>
      <c r="B1141" t="s">
        <v>405</v>
      </c>
      <c r="C1141" s="25">
        <v>44629</v>
      </c>
      <c r="D1141" s="26">
        <v>0.90112268518518512</v>
      </c>
      <c r="E1141" t="s">
        <v>26</v>
      </c>
      <c r="F1141" t="s">
        <v>241</v>
      </c>
      <c r="G1141" t="s">
        <v>242</v>
      </c>
      <c r="H1141" t="s">
        <v>233</v>
      </c>
      <c r="I1141">
        <v>61.74</v>
      </c>
      <c r="J1141" s="8"/>
      <c r="K1141" s="89">
        <f t="shared" si="72"/>
        <v>3556</v>
      </c>
      <c r="L1141" s="8">
        <v>3556</v>
      </c>
      <c r="M1141" s="10">
        <f t="shared" si="71"/>
        <v>1.7362204724409449</v>
      </c>
    </row>
    <row r="1142" spans="1:13" ht="15" hidden="1" customHeight="1" x14ac:dyDescent="0.3">
      <c r="A1142" s="9">
        <v>1794</v>
      </c>
      <c r="B1142" t="s">
        <v>405</v>
      </c>
      <c r="C1142" s="25">
        <v>44629</v>
      </c>
      <c r="D1142" s="26">
        <v>0.9105671296296296</v>
      </c>
      <c r="E1142" t="s">
        <v>26</v>
      </c>
      <c r="F1142" t="s">
        <v>241</v>
      </c>
      <c r="G1142" t="s">
        <v>242</v>
      </c>
      <c r="H1142" t="s">
        <v>233</v>
      </c>
      <c r="I1142">
        <v>342.79</v>
      </c>
      <c r="J1142" s="44"/>
      <c r="K1142" s="89">
        <f t="shared" si="72"/>
        <v>99989</v>
      </c>
      <c r="L1142" s="44">
        <v>99989</v>
      </c>
      <c r="M1142" s="10">
        <f t="shared" si="71"/>
        <v>0.34282771104821536</v>
      </c>
    </row>
    <row r="1143" spans="1:13" ht="15" hidden="1" customHeight="1" x14ac:dyDescent="0.3">
      <c r="A1143" s="9">
        <v>1795</v>
      </c>
      <c r="B1143" t="s">
        <v>405</v>
      </c>
      <c r="C1143" s="25">
        <v>44631</v>
      </c>
      <c r="D1143" s="26">
        <v>0.48914351851851851</v>
      </c>
      <c r="E1143" t="s">
        <v>26</v>
      </c>
      <c r="F1143" t="s">
        <v>478</v>
      </c>
      <c r="G1143" t="s">
        <v>479</v>
      </c>
      <c r="H1143" t="s">
        <v>233</v>
      </c>
      <c r="I1143">
        <v>181.24</v>
      </c>
      <c r="J1143" s="23"/>
      <c r="K1143" s="89">
        <f t="shared" si="72"/>
        <v>10000</v>
      </c>
      <c r="L1143" s="45">
        <v>10000</v>
      </c>
      <c r="M1143" s="10">
        <f t="shared" si="71"/>
        <v>1.8124000000000002</v>
      </c>
    </row>
    <row r="1144" spans="1:13" ht="15" hidden="1" customHeight="1" x14ac:dyDescent="0.3">
      <c r="A1144" s="9">
        <v>1796</v>
      </c>
      <c r="B1144" t="s">
        <v>405</v>
      </c>
      <c r="C1144" s="25">
        <v>44633</v>
      </c>
      <c r="D1144" s="26">
        <v>0.67682870370370374</v>
      </c>
      <c r="E1144" t="s">
        <v>26</v>
      </c>
      <c r="F1144" t="s">
        <v>480</v>
      </c>
      <c r="G1144" t="s">
        <v>481</v>
      </c>
      <c r="H1144" t="s">
        <v>233</v>
      </c>
      <c r="I1144">
        <v>343.91</v>
      </c>
      <c r="J1144" s="23"/>
      <c r="K1144" s="89">
        <f t="shared" si="72"/>
        <v>1234</v>
      </c>
      <c r="L1144" s="8">
        <v>1234</v>
      </c>
      <c r="M1144" s="10">
        <f t="shared" si="71"/>
        <v>27.869529983792546</v>
      </c>
    </row>
    <row r="1145" spans="1:13" ht="15" hidden="1" customHeight="1" x14ac:dyDescent="0.3">
      <c r="A1145" s="9">
        <v>1797</v>
      </c>
      <c r="B1145" t="s">
        <v>405</v>
      </c>
      <c r="C1145" s="25">
        <v>44634</v>
      </c>
      <c r="D1145" s="26">
        <v>0.5756134259259259</v>
      </c>
      <c r="E1145" t="s">
        <v>26</v>
      </c>
      <c r="F1145" t="s">
        <v>482</v>
      </c>
      <c r="G1145" t="s">
        <v>445</v>
      </c>
      <c r="H1145" t="s">
        <v>233</v>
      </c>
      <c r="I1145">
        <v>203.24</v>
      </c>
      <c r="J1145" s="49"/>
      <c r="K1145" s="89">
        <f t="shared" si="72"/>
        <v>10000</v>
      </c>
      <c r="L1145" s="44">
        <v>10000</v>
      </c>
      <c r="M1145" s="10">
        <f t="shared" si="71"/>
        <v>2.0324</v>
      </c>
    </row>
    <row r="1146" spans="1:13" ht="15" hidden="1" customHeight="1" x14ac:dyDescent="0.3">
      <c r="A1146" s="9">
        <v>1798</v>
      </c>
      <c r="B1146" t="s">
        <v>405</v>
      </c>
      <c r="C1146" s="25">
        <v>44635</v>
      </c>
      <c r="D1146" s="26">
        <v>0.4478125</v>
      </c>
      <c r="E1146" t="s">
        <v>26</v>
      </c>
      <c r="F1146" t="s">
        <v>483</v>
      </c>
      <c r="G1146" t="s">
        <v>484</v>
      </c>
      <c r="H1146" t="s">
        <v>233</v>
      </c>
      <c r="I1146">
        <v>300</v>
      </c>
      <c r="J1146" s="66"/>
      <c r="K1146" s="89">
        <f t="shared" si="72"/>
        <v>10000</v>
      </c>
      <c r="L1146" s="54">
        <v>10000</v>
      </c>
      <c r="M1146" s="10">
        <f t="shared" si="71"/>
        <v>3</v>
      </c>
    </row>
    <row r="1147" spans="1:13" ht="15" hidden="1" customHeight="1" x14ac:dyDescent="0.3">
      <c r="A1147" s="9">
        <v>1799</v>
      </c>
      <c r="B1147" t="s">
        <v>405</v>
      </c>
      <c r="C1147" s="25">
        <v>44636</v>
      </c>
      <c r="D1147" s="26">
        <v>0.4057986111111111</v>
      </c>
      <c r="E1147" t="s">
        <v>26</v>
      </c>
      <c r="F1147" t="s">
        <v>319</v>
      </c>
      <c r="G1147" t="s">
        <v>320</v>
      </c>
      <c r="H1147" t="s">
        <v>233</v>
      </c>
      <c r="I1147">
        <v>256.62</v>
      </c>
      <c r="J1147" s="66"/>
      <c r="K1147" s="89">
        <f t="shared" si="72"/>
        <v>1234</v>
      </c>
      <c r="L1147" s="8">
        <v>1234</v>
      </c>
      <c r="M1147" s="10">
        <f t="shared" si="71"/>
        <v>20.795786061588331</v>
      </c>
    </row>
    <row r="1148" spans="1:13" ht="15" hidden="1" customHeight="1" x14ac:dyDescent="0.3">
      <c r="A1148" s="9">
        <v>1800</v>
      </c>
      <c r="B1148" t="s">
        <v>405</v>
      </c>
      <c r="C1148" s="25">
        <v>44637</v>
      </c>
      <c r="D1148" s="26">
        <v>0.78041666666666665</v>
      </c>
      <c r="E1148" t="s">
        <v>26</v>
      </c>
      <c r="F1148" t="s">
        <v>268</v>
      </c>
      <c r="G1148" t="s">
        <v>269</v>
      </c>
      <c r="H1148" t="s">
        <v>233</v>
      </c>
      <c r="I1148">
        <f>288.54+195.25</f>
        <v>483.79</v>
      </c>
      <c r="J1148" s="32">
        <v>0</v>
      </c>
      <c r="K1148" s="89">
        <f t="shared" si="72"/>
        <v>2580</v>
      </c>
      <c r="L1148" s="106">
        <v>2580</v>
      </c>
      <c r="M1148" s="10">
        <f t="shared" si="71"/>
        <v>18.7515503875969</v>
      </c>
    </row>
    <row r="1149" spans="1:13" ht="15" hidden="1" customHeight="1" x14ac:dyDescent="0.3">
      <c r="A1149" s="9">
        <v>1801</v>
      </c>
      <c r="B1149" t="s">
        <v>405</v>
      </c>
      <c r="C1149" s="25">
        <v>44640</v>
      </c>
      <c r="D1149" s="26">
        <v>0.8329050925925926</v>
      </c>
      <c r="E1149" t="s">
        <v>26</v>
      </c>
      <c r="F1149" t="s">
        <v>319</v>
      </c>
      <c r="G1149" t="s">
        <v>320</v>
      </c>
      <c r="H1149" t="s">
        <v>233</v>
      </c>
      <c r="I1149">
        <v>245.74</v>
      </c>
      <c r="J1149" s="44"/>
      <c r="K1149" s="89">
        <f t="shared" si="72"/>
        <v>1234</v>
      </c>
      <c r="L1149" s="8">
        <v>1234</v>
      </c>
      <c r="M1149" s="10">
        <f t="shared" si="71"/>
        <v>19.914100486223663</v>
      </c>
    </row>
    <row r="1150" spans="1:13" ht="15" hidden="1" customHeight="1" x14ac:dyDescent="0.3">
      <c r="A1150" s="9">
        <v>1802</v>
      </c>
      <c r="B1150" t="s">
        <v>405</v>
      </c>
      <c r="C1150" s="25">
        <v>44642</v>
      </c>
      <c r="D1150" s="26">
        <v>0.63098379629629631</v>
      </c>
      <c r="E1150" t="s">
        <v>26</v>
      </c>
      <c r="F1150" t="s">
        <v>483</v>
      </c>
      <c r="G1150" t="s">
        <v>484</v>
      </c>
      <c r="H1150" t="s">
        <v>233</v>
      </c>
      <c r="I1150">
        <v>251.06</v>
      </c>
      <c r="J1150" s="8"/>
      <c r="K1150" s="89">
        <f t="shared" si="72"/>
        <v>123652</v>
      </c>
      <c r="L1150" s="44">
        <v>123652</v>
      </c>
      <c r="M1150" s="10">
        <f t="shared" si="71"/>
        <v>0.20303755701484816</v>
      </c>
    </row>
    <row r="1151" spans="1:13" ht="15" hidden="1" customHeight="1" x14ac:dyDescent="0.3">
      <c r="A1151" s="9">
        <v>1803</v>
      </c>
      <c r="B1151" t="s">
        <v>405</v>
      </c>
      <c r="C1151" s="25">
        <v>44642</v>
      </c>
      <c r="D1151" s="26">
        <v>0.78145833333333325</v>
      </c>
      <c r="E1151" t="s">
        <v>26</v>
      </c>
      <c r="F1151" t="s">
        <v>496</v>
      </c>
      <c r="G1151" t="s">
        <v>497</v>
      </c>
      <c r="H1151" t="s">
        <v>233</v>
      </c>
      <c r="I1151">
        <v>150.03</v>
      </c>
      <c r="J1151" s="8"/>
      <c r="K1151" s="89">
        <f t="shared" si="72"/>
        <v>10000</v>
      </c>
      <c r="L1151" s="54">
        <v>10000</v>
      </c>
      <c r="M1151" s="10">
        <f t="shared" si="71"/>
        <v>1.5003</v>
      </c>
    </row>
    <row r="1152" spans="1:13" ht="15" hidden="1" customHeight="1" x14ac:dyDescent="0.3">
      <c r="A1152" s="9">
        <v>1804</v>
      </c>
      <c r="B1152" t="s">
        <v>405</v>
      </c>
      <c r="C1152" s="25">
        <v>44644</v>
      </c>
      <c r="D1152" s="26">
        <v>0.80753472222222233</v>
      </c>
      <c r="E1152" t="s">
        <v>26</v>
      </c>
      <c r="F1152" t="s">
        <v>241</v>
      </c>
      <c r="G1152" t="s">
        <v>242</v>
      </c>
      <c r="H1152" t="s">
        <v>233</v>
      </c>
      <c r="I1152">
        <v>334.93</v>
      </c>
      <c r="J1152" s="8"/>
      <c r="K1152" s="89">
        <f t="shared" si="72"/>
        <v>25255</v>
      </c>
      <c r="L1152" s="8">
        <v>25255</v>
      </c>
      <c r="M1152" s="10">
        <f t="shared" si="71"/>
        <v>1.326192833102356</v>
      </c>
    </row>
    <row r="1153" spans="1:13" ht="15" hidden="1" customHeight="1" x14ac:dyDescent="0.3">
      <c r="A1153" s="9">
        <v>1805</v>
      </c>
      <c r="B1153" t="s">
        <v>405</v>
      </c>
      <c r="C1153" s="25">
        <v>44645</v>
      </c>
      <c r="D1153" s="26">
        <v>0.76050925925925927</v>
      </c>
      <c r="E1153" t="s">
        <v>26</v>
      </c>
      <c r="F1153" t="s">
        <v>268</v>
      </c>
      <c r="G1153" t="s">
        <v>269</v>
      </c>
      <c r="H1153" t="s">
        <v>233</v>
      </c>
      <c r="I1153">
        <v>254.66</v>
      </c>
      <c r="J1153" s="8"/>
      <c r="K1153" s="89">
        <f t="shared" si="72"/>
        <v>100</v>
      </c>
      <c r="L1153" s="44">
        <v>100</v>
      </c>
      <c r="M1153" s="10">
        <f t="shared" si="71"/>
        <v>254.65999999999997</v>
      </c>
    </row>
    <row r="1154" spans="1:13" ht="15" hidden="1" customHeight="1" x14ac:dyDescent="0.3">
      <c r="A1154" s="9">
        <v>1806</v>
      </c>
      <c r="B1154" t="s">
        <v>405</v>
      </c>
      <c r="C1154" s="25">
        <v>44648</v>
      </c>
      <c r="D1154" s="26">
        <v>0.30496527777777777</v>
      </c>
      <c r="E1154" t="s">
        <v>26</v>
      </c>
      <c r="F1154" t="s">
        <v>319</v>
      </c>
      <c r="G1154" t="s">
        <v>320</v>
      </c>
      <c r="H1154" t="s">
        <v>233</v>
      </c>
      <c r="I1154">
        <v>224.61</v>
      </c>
      <c r="J1154" s="8"/>
      <c r="K1154" s="89">
        <f t="shared" si="72"/>
        <v>12345</v>
      </c>
      <c r="L1154" s="8">
        <v>12345</v>
      </c>
      <c r="M1154" s="10">
        <f t="shared" si="71"/>
        <v>1.8194410692588092</v>
      </c>
    </row>
    <row r="1155" spans="1:13" ht="15" hidden="1" customHeight="1" x14ac:dyDescent="0.3">
      <c r="A1155" s="9">
        <v>1807</v>
      </c>
      <c r="B1155" t="s">
        <v>405</v>
      </c>
      <c r="C1155" s="25">
        <v>44648</v>
      </c>
      <c r="D1155" s="26">
        <v>0.72737268518518527</v>
      </c>
      <c r="E1155" t="s">
        <v>26</v>
      </c>
      <c r="F1155" t="s">
        <v>482</v>
      </c>
      <c r="G1155" t="s">
        <v>445</v>
      </c>
      <c r="H1155" t="s">
        <v>233</v>
      </c>
      <c r="I1155">
        <v>234.89</v>
      </c>
      <c r="J1155" s="8"/>
      <c r="K1155" s="89">
        <f t="shared" si="72"/>
        <v>100000</v>
      </c>
      <c r="L1155" s="8">
        <v>100000</v>
      </c>
      <c r="M1155" s="10">
        <f t="shared" si="71"/>
        <v>0.23488999999999996</v>
      </c>
    </row>
    <row r="1156" spans="1:13" ht="15" hidden="1" customHeight="1" x14ac:dyDescent="0.3">
      <c r="A1156" s="9">
        <v>1808</v>
      </c>
      <c r="B1156" t="s">
        <v>405</v>
      </c>
      <c r="C1156" s="25">
        <v>44650</v>
      </c>
      <c r="D1156" s="26">
        <v>0.3424537037037037</v>
      </c>
      <c r="E1156" t="s">
        <v>26</v>
      </c>
      <c r="F1156" t="s">
        <v>443</v>
      </c>
      <c r="G1156" t="s">
        <v>444</v>
      </c>
      <c r="H1156" t="s">
        <v>233</v>
      </c>
      <c r="I1156">
        <v>287.5</v>
      </c>
      <c r="J1156" s="8"/>
      <c r="K1156" s="89">
        <f t="shared" si="72"/>
        <v>362514</v>
      </c>
      <c r="L1156" s="54">
        <v>362514</v>
      </c>
      <c r="M1156" s="10">
        <f t="shared" si="71"/>
        <v>7.9307281925663567E-2</v>
      </c>
    </row>
    <row r="1157" spans="1:13" ht="15" hidden="1" customHeight="1" x14ac:dyDescent="0.3">
      <c r="A1157" s="9">
        <v>3058</v>
      </c>
      <c r="B1157" t="s">
        <v>405</v>
      </c>
      <c r="C1157" s="25">
        <v>44668</v>
      </c>
      <c r="D1157" s="26">
        <v>0.99011574074074071</v>
      </c>
      <c r="E1157" t="s">
        <v>27</v>
      </c>
      <c r="F1157" t="s">
        <v>331</v>
      </c>
      <c r="G1157" t="s">
        <v>277</v>
      </c>
      <c r="H1157" t="s">
        <v>233</v>
      </c>
      <c r="I1157" s="4">
        <v>432.46</v>
      </c>
      <c r="J1157" s="8"/>
      <c r="K1157" s="89">
        <f t="shared" si="72"/>
        <v>10000</v>
      </c>
      <c r="L1157" s="19">
        <v>10000</v>
      </c>
      <c r="M1157" s="10">
        <f t="shared" si="71"/>
        <v>4.3246000000000002</v>
      </c>
    </row>
    <row r="1158" spans="1:13" ht="15" hidden="1" customHeight="1" x14ac:dyDescent="0.3">
      <c r="A1158" s="9">
        <v>3059</v>
      </c>
      <c r="B1158" t="s">
        <v>405</v>
      </c>
      <c r="C1158" s="25">
        <v>44671</v>
      </c>
      <c r="D1158" s="26">
        <v>0.63452546296296297</v>
      </c>
      <c r="E1158" t="s">
        <v>27</v>
      </c>
      <c r="F1158" t="s">
        <v>368</v>
      </c>
      <c r="G1158" t="s">
        <v>369</v>
      </c>
      <c r="H1158" t="s">
        <v>233</v>
      </c>
      <c r="I1158" s="4">
        <v>150</v>
      </c>
      <c r="J1158" s="8"/>
      <c r="K1158" s="89">
        <f t="shared" si="72"/>
        <v>355688</v>
      </c>
      <c r="L1158" s="19">
        <v>355688</v>
      </c>
      <c r="M1158" s="10">
        <f t="shared" si="71"/>
        <v>4.2171791007849575E-2</v>
      </c>
    </row>
    <row r="1159" spans="1:13" ht="15" hidden="1" customHeight="1" x14ac:dyDescent="0.3">
      <c r="A1159" s="9">
        <v>3060</v>
      </c>
      <c r="B1159" t="s">
        <v>405</v>
      </c>
      <c r="C1159" s="25">
        <v>44671</v>
      </c>
      <c r="D1159" s="26">
        <v>0.64453703703703702</v>
      </c>
      <c r="E1159" t="s">
        <v>27</v>
      </c>
      <c r="F1159" t="s">
        <v>368</v>
      </c>
      <c r="G1159" t="s">
        <v>369</v>
      </c>
      <c r="H1159" t="s">
        <v>233</v>
      </c>
      <c r="I1159" s="4">
        <v>139.75</v>
      </c>
      <c r="J1159" s="54"/>
      <c r="K1159" s="89">
        <f t="shared" si="72"/>
        <v>3556</v>
      </c>
      <c r="L1159" s="19">
        <v>3556</v>
      </c>
      <c r="M1159" s="10">
        <f t="shared" si="71"/>
        <v>3.9299775028121484</v>
      </c>
    </row>
    <row r="1160" spans="1:13" ht="15" hidden="1" customHeight="1" x14ac:dyDescent="0.3">
      <c r="A1160" s="9">
        <v>3061</v>
      </c>
      <c r="B1160" t="s">
        <v>405</v>
      </c>
      <c r="C1160" s="25">
        <v>44672</v>
      </c>
      <c r="D1160" s="26">
        <v>0.44738425925925923</v>
      </c>
      <c r="E1160" t="s">
        <v>27</v>
      </c>
      <c r="F1160" t="s">
        <v>441</v>
      </c>
      <c r="G1160" t="s">
        <v>442</v>
      </c>
      <c r="H1160" t="s">
        <v>233</v>
      </c>
      <c r="I1160" s="4">
        <v>300</v>
      </c>
      <c r="J1160" s="8"/>
      <c r="K1160" s="89">
        <f t="shared" si="72"/>
        <v>3556</v>
      </c>
      <c r="L1160" s="19">
        <v>3556</v>
      </c>
      <c r="M1160" s="10">
        <f t="shared" si="71"/>
        <v>8.4364454443194603</v>
      </c>
    </row>
    <row r="1161" spans="1:13" ht="15" hidden="1" customHeight="1" x14ac:dyDescent="0.3">
      <c r="A1161" s="9">
        <v>3062</v>
      </c>
      <c r="B1161" t="s">
        <v>405</v>
      </c>
      <c r="C1161" s="25">
        <v>44673</v>
      </c>
      <c r="D1161" s="26">
        <v>0.65071759259259265</v>
      </c>
      <c r="E1161" t="s">
        <v>27</v>
      </c>
      <c r="F1161" t="s">
        <v>329</v>
      </c>
      <c r="G1161" t="s">
        <v>330</v>
      </c>
      <c r="H1161" t="s">
        <v>233</v>
      </c>
      <c r="I1161" s="4">
        <v>356.44</v>
      </c>
      <c r="J1161" s="44"/>
      <c r="K1161" s="89">
        <f t="shared" si="72"/>
        <v>10000</v>
      </c>
      <c r="L1161" s="48">
        <v>10000</v>
      </c>
      <c r="M1161" s="10">
        <f t="shared" si="71"/>
        <v>3.5644</v>
      </c>
    </row>
    <row r="1162" spans="1:13" ht="15" hidden="1" customHeight="1" x14ac:dyDescent="0.3">
      <c r="A1162" s="9">
        <v>3063</v>
      </c>
      <c r="B1162" t="s">
        <v>405</v>
      </c>
      <c r="C1162" s="25">
        <v>44674</v>
      </c>
      <c r="D1162" s="26">
        <v>4.0231481481481479E-2</v>
      </c>
      <c r="E1162" t="s">
        <v>27</v>
      </c>
      <c r="F1162" t="s">
        <v>566</v>
      </c>
      <c r="G1162" t="s">
        <v>567</v>
      </c>
      <c r="H1162" t="s">
        <v>233</v>
      </c>
      <c r="I1162" s="4">
        <v>50</v>
      </c>
      <c r="J1162" s="54"/>
      <c r="K1162" s="89">
        <f t="shared" si="72"/>
        <v>1500</v>
      </c>
      <c r="L1162" s="46">
        <v>1500</v>
      </c>
      <c r="M1162" s="10">
        <f t="shared" si="71"/>
        <v>3.3333333333333335</v>
      </c>
    </row>
    <row r="1163" spans="1:13" ht="15" hidden="1" customHeight="1" x14ac:dyDescent="0.3">
      <c r="A1163" s="9">
        <v>3064</v>
      </c>
      <c r="B1163" t="s">
        <v>405</v>
      </c>
      <c r="C1163" s="25">
        <v>44674</v>
      </c>
      <c r="D1163" s="26">
        <v>0.32209490740740737</v>
      </c>
      <c r="E1163" t="s">
        <v>27</v>
      </c>
      <c r="F1163" t="s">
        <v>566</v>
      </c>
      <c r="G1163" t="s">
        <v>567</v>
      </c>
      <c r="H1163" t="s">
        <v>233</v>
      </c>
      <c r="I1163" s="4">
        <v>50</v>
      </c>
      <c r="J1163" s="8"/>
      <c r="K1163" s="89">
        <f t="shared" si="72"/>
        <v>1200</v>
      </c>
      <c r="L1163" s="19">
        <v>1200</v>
      </c>
      <c r="M1163" s="10">
        <f t="shared" si="71"/>
        <v>4.1666666666666661</v>
      </c>
    </row>
    <row r="1164" spans="1:13" ht="15" hidden="1" customHeight="1" x14ac:dyDescent="0.3">
      <c r="A1164" s="9">
        <v>3065</v>
      </c>
      <c r="B1164" t="s">
        <v>405</v>
      </c>
      <c r="C1164" s="25">
        <v>44675</v>
      </c>
      <c r="D1164" s="26">
        <v>0.43141203703703707</v>
      </c>
      <c r="E1164" t="s">
        <v>27</v>
      </c>
      <c r="F1164" t="s">
        <v>298</v>
      </c>
      <c r="G1164" t="s">
        <v>299</v>
      </c>
      <c r="H1164" t="s">
        <v>233</v>
      </c>
      <c r="I1164" s="4">
        <v>409.25</v>
      </c>
      <c r="J1164" s="44"/>
      <c r="K1164" s="89">
        <f t="shared" si="72"/>
        <v>2022</v>
      </c>
      <c r="L1164" s="19">
        <v>2022</v>
      </c>
      <c r="M1164" s="10">
        <f t="shared" si="71"/>
        <v>20.239861523244311</v>
      </c>
    </row>
    <row r="1165" spans="1:13" ht="15" hidden="1" customHeight="1" x14ac:dyDescent="0.3">
      <c r="A1165" s="9">
        <v>3066</v>
      </c>
      <c r="B1165" t="s">
        <v>405</v>
      </c>
      <c r="C1165" s="25">
        <v>44676</v>
      </c>
      <c r="D1165" s="26">
        <v>0.97457175925925921</v>
      </c>
      <c r="E1165" t="s">
        <v>27</v>
      </c>
      <c r="F1165" t="s">
        <v>549</v>
      </c>
      <c r="G1165" t="s">
        <v>550</v>
      </c>
      <c r="H1165" t="s">
        <v>233</v>
      </c>
      <c r="I1165">
        <f>100.11+150</f>
        <v>250.11</v>
      </c>
      <c r="J1165" s="44"/>
      <c r="K1165" s="89">
        <f t="shared" si="72"/>
        <v>0</v>
      </c>
      <c r="L1165" s="35"/>
      <c r="M1165" s="10" t="e">
        <f t="shared" si="71"/>
        <v>#DIV/0!</v>
      </c>
    </row>
    <row r="1166" spans="1:13" ht="15" hidden="1" customHeight="1" x14ac:dyDescent="0.3">
      <c r="A1166" s="9">
        <v>3067</v>
      </c>
      <c r="B1166" t="s">
        <v>405</v>
      </c>
      <c r="C1166" s="25">
        <v>44677</v>
      </c>
      <c r="D1166" s="26">
        <v>0.79518518518518511</v>
      </c>
      <c r="E1166" t="s">
        <v>27</v>
      </c>
      <c r="F1166" t="s">
        <v>480</v>
      </c>
      <c r="G1166" t="s">
        <v>481</v>
      </c>
      <c r="H1166" t="s">
        <v>233</v>
      </c>
      <c r="I1166">
        <v>255.01</v>
      </c>
      <c r="J1166" s="8"/>
      <c r="K1166" s="89">
        <f t="shared" si="72"/>
        <v>0</v>
      </c>
      <c r="L1166" s="7"/>
      <c r="M1166" s="10" t="e">
        <f t="shared" si="71"/>
        <v>#DIV/0!</v>
      </c>
    </row>
    <row r="1167" spans="1:13" ht="15" hidden="1" customHeight="1" x14ac:dyDescent="0.3">
      <c r="A1167" s="9">
        <v>3068</v>
      </c>
      <c r="B1167" t="s">
        <v>405</v>
      </c>
      <c r="C1167" s="25">
        <v>44679</v>
      </c>
      <c r="D1167" s="26">
        <v>0.99734953703703699</v>
      </c>
      <c r="E1167" t="s">
        <v>27</v>
      </c>
      <c r="F1167" t="s">
        <v>512</v>
      </c>
      <c r="G1167" t="s">
        <v>513</v>
      </c>
      <c r="H1167" t="s">
        <v>233</v>
      </c>
      <c r="I1167">
        <v>150</v>
      </c>
      <c r="J1167" s="8"/>
      <c r="K1167" s="89">
        <f t="shared" si="72"/>
        <v>0</v>
      </c>
      <c r="L1167" s="35"/>
      <c r="M1167" s="10" t="e">
        <f t="shared" si="71"/>
        <v>#DIV/0!</v>
      </c>
    </row>
    <row r="1168" spans="1:13" ht="15" hidden="1" customHeight="1" x14ac:dyDescent="0.3">
      <c r="A1168" s="9">
        <v>3729</v>
      </c>
      <c r="B1168" t="s">
        <v>405</v>
      </c>
      <c r="C1168" s="25">
        <v>44683</v>
      </c>
      <c r="D1168" s="26">
        <v>0.47158564814814818</v>
      </c>
      <c r="E1168" t="s">
        <v>28</v>
      </c>
      <c r="F1168" t="s">
        <v>587</v>
      </c>
      <c r="G1168" t="s">
        <v>588</v>
      </c>
      <c r="H1168" t="s">
        <v>233</v>
      </c>
      <c r="I1168">
        <v>259.29000000000002</v>
      </c>
      <c r="J1168" s="49"/>
      <c r="K1168" s="89">
        <f>+L1168-J1301</f>
        <v>996526</v>
      </c>
      <c r="L1168" s="8">
        <v>996526</v>
      </c>
      <c r="M1168" s="10">
        <f t="shared" si="71"/>
        <v>2.6019391365604109E-2</v>
      </c>
    </row>
    <row r="1169" spans="1:13" ht="15" hidden="1" customHeight="1" x14ac:dyDescent="0.3">
      <c r="A1169" s="9">
        <v>3751</v>
      </c>
      <c r="B1169" t="s">
        <v>405</v>
      </c>
      <c r="C1169" s="25">
        <v>44684</v>
      </c>
      <c r="D1169" s="26">
        <v>0.39019675925925923</v>
      </c>
      <c r="E1169" t="s">
        <v>28</v>
      </c>
      <c r="F1169" t="s">
        <v>166</v>
      </c>
      <c r="G1169" t="s">
        <v>161</v>
      </c>
      <c r="H1169" t="s">
        <v>233</v>
      </c>
      <c r="I1169">
        <v>232.21</v>
      </c>
      <c r="J1169" s="32">
        <v>0</v>
      </c>
      <c r="K1169" s="82"/>
      <c r="L1169" s="8">
        <v>1234</v>
      </c>
      <c r="M1169" s="10" t="e">
        <f t="shared" si="71"/>
        <v>#DIV/0!</v>
      </c>
    </row>
    <row r="1170" spans="1:13" ht="15" hidden="1" customHeight="1" x14ac:dyDescent="0.3">
      <c r="A1170" s="9">
        <v>3771</v>
      </c>
      <c r="B1170" t="s">
        <v>405</v>
      </c>
      <c r="C1170" s="25">
        <v>44684</v>
      </c>
      <c r="D1170" s="26">
        <v>0.73942129629629638</v>
      </c>
      <c r="E1170" t="s">
        <v>28</v>
      </c>
      <c r="F1170" t="s">
        <v>197</v>
      </c>
      <c r="G1170" t="s">
        <v>44</v>
      </c>
      <c r="H1170" t="s">
        <v>233</v>
      </c>
      <c r="I1170">
        <v>203.72</v>
      </c>
      <c r="J1170" s="32">
        <v>0</v>
      </c>
      <c r="K1170" s="82"/>
      <c r="L1170" s="44">
        <v>999998</v>
      </c>
      <c r="M1170" s="10" t="e">
        <f t="shared" si="71"/>
        <v>#DIV/0!</v>
      </c>
    </row>
    <row r="1171" spans="1:13" ht="15" hidden="1" customHeight="1" x14ac:dyDescent="0.3">
      <c r="A1171" s="9">
        <v>4031</v>
      </c>
      <c r="B1171" t="s">
        <v>405</v>
      </c>
      <c r="C1171" s="25">
        <v>44689</v>
      </c>
      <c r="D1171" s="26">
        <v>0.85086805555555556</v>
      </c>
      <c r="E1171" t="s">
        <v>28</v>
      </c>
      <c r="F1171" t="s">
        <v>319</v>
      </c>
      <c r="G1171" t="s">
        <v>320</v>
      </c>
      <c r="H1171" t="s">
        <v>233</v>
      </c>
      <c r="I1171">
        <v>100</v>
      </c>
      <c r="J1171" s="8"/>
      <c r="K1171" s="89">
        <f>+L1171-J1302</f>
        <v>1234</v>
      </c>
      <c r="L1171" s="8">
        <v>1234</v>
      </c>
      <c r="M1171" s="10">
        <f t="shared" si="71"/>
        <v>8.1037277147487838</v>
      </c>
    </row>
    <row r="1172" spans="1:13" ht="15" hidden="1" customHeight="1" x14ac:dyDescent="0.3">
      <c r="A1172" s="9">
        <v>4032</v>
      </c>
      <c r="B1172" t="s">
        <v>405</v>
      </c>
      <c r="C1172" s="25">
        <v>44689</v>
      </c>
      <c r="D1172" s="26">
        <v>0.94557870370370367</v>
      </c>
      <c r="E1172" t="s">
        <v>28</v>
      </c>
      <c r="F1172" t="s">
        <v>441</v>
      </c>
      <c r="G1172" t="s">
        <v>442</v>
      </c>
      <c r="H1172" t="s">
        <v>233</v>
      </c>
      <c r="I1172">
        <v>200</v>
      </c>
      <c r="J1172" s="8"/>
      <c r="K1172" s="89" t="e">
        <f>+L1172-#REF!</f>
        <v>#REF!</v>
      </c>
      <c r="L1172" s="8">
        <v>3556</v>
      </c>
      <c r="M1172" s="10" t="e">
        <f t="shared" si="71"/>
        <v>#REF!</v>
      </c>
    </row>
    <row r="1173" spans="1:13" ht="15" hidden="1" customHeight="1" x14ac:dyDescent="0.3">
      <c r="A1173" s="9">
        <v>4122</v>
      </c>
      <c r="B1173" t="s">
        <v>405</v>
      </c>
      <c r="C1173" s="25">
        <v>44691</v>
      </c>
      <c r="D1173" s="26">
        <v>0.41395833333333337</v>
      </c>
      <c r="E1173" t="s">
        <v>28</v>
      </c>
      <c r="F1173" t="s">
        <v>319</v>
      </c>
      <c r="G1173" t="s">
        <v>320</v>
      </c>
      <c r="H1173" t="s">
        <v>233</v>
      </c>
      <c r="I1173">
        <v>100</v>
      </c>
      <c r="J1173" s="8"/>
      <c r="K1173" s="89">
        <f>+L1173-J1304</f>
        <v>100000</v>
      </c>
      <c r="L1173" s="8">
        <v>100000</v>
      </c>
      <c r="M1173" s="36">
        <f t="shared" si="71"/>
        <v>0.1</v>
      </c>
    </row>
    <row r="1174" spans="1:13" ht="15" hidden="1" customHeight="1" x14ac:dyDescent="0.3">
      <c r="A1174" s="9">
        <v>4123</v>
      </c>
      <c r="B1174" t="s">
        <v>405</v>
      </c>
      <c r="C1174" s="25">
        <v>44691</v>
      </c>
      <c r="D1174" s="26">
        <v>0.50848379629629636</v>
      </c>
      <c r="E1174" t="s">
        <v>28</v>
      </c>
      <c r="F1174" t="s">
        <v>443</v>
      </c>
      <c r="G1174" t="s">
        <v>444</v>
      </c>
      <c r="H1174" t="s">
        <v>233</v>
      </c>
      <c r="I1174">
        <v>200</v>
      </c>
      <c r="J1174" s="54"/>
      <c r="K1174" s="89">
        <f>+L1174-J1305</f>
        <v>100000</v>
      </c>
      <c r="L1174" s="8">
        <v>100000</v>
      </c>
      <c r="M1174" s="36">
        <f t="shared" si="71"/>
        <v>0.2</v>
      </c>
    </row>
    <row r="1175" spans="1:13" ht="15" hidden="1" customHeight="1" x14ac:dyDescent="0.3">
      <c r="A1175" s="9">
        <v>4124</v>
      </c>
      <c r="B1175" t="s">
        <v>405</v>
      </c>
      <c r="C1175" s="25">
        <v>44691</v>
      </c>
      <c r="D1175" s="26">
        <v>0.5934490740740741</v>
      </c>
      <c r="E1175" t="s">
        <v>28</v>
      </c>
      <c r="F1175" t="s">
        <v>480</v>
      </c>
      <c r="G1175" t="s">
        <v>481</v>
      </c>
      <c r="H1175" t="s">
        <v>233</v>
      </c>
      <c r="I1175">
        <v>300.26</v>
      </c>
      <c r="J1175" s="8"/>
      <c r="K1175" s="89">
        <f>+L1175-J1306</f>
        <v>1234</v>
      </c>
      <c r="L1175" s="8">
        <v>1234</v>
      </c>
      <c r="M1175" s="36">
        <f t="shared" si="71"/>
        <v>24.332252836304701</v>
      </c>
    </row>
    <row r="1176" spans="1:13" ht="15" hidden="1" customHeight="1" x14ac:dyDescent="0.3">
      <c r="A1176" s="9">
        <v>4173</v>
      </c>
      <c r="B1176" t="s">
        <v>405</v>
      </c>
      <c r="C1176" s="25">
        <v>44692</v>
      </c>
      <c r="D1176" s="26">
        <v>0.74138888888888888</v>
      </c>
      <c r="E1176" t="s">
        <v>28</v>
      </c>
      <c r="F1176" t="s">
        <v>241</v>
      </c>
      <c r="G1176" t="s">
        <v>242</v>
      </c>
      <c r="H1176" t="s">
        <v>233</v>
      </c>
      <c r="I1176">
        <v>257.19</v>
      </c>
      <c r="J1176" s="44"/>
      <c r="K1176" s="89">
        <f>+L1176-J1308</f>
        <v>3556</v>
      </c>
      <c r="L1176" s="8">
        <v>3556</v>
      </c>
      <c r="M1176" s="36">
        <f t="shared" si="71"/>
        <v>7.2325646794150726</v>
      </c>
    </row>
    <row r="1177" spans="1:13" ht="15" hidden="1" customHeight="1" x14ac:dyDescent="0.3">
      <c r="A1177" s="9">
        <v>4217</v>
      </c>
      <c r="B1177" t="s">
        <v>405</v>
      </c>
      <c r="C1177" s="25">
        <v>44693</v>
      </c>
      <c r="D1177" s="26">
        <v>0.79989583333333336</v>
      </c>
      <c r="E1177" t="s">
        <v>28</v>
      </c>
      <c r="F1177" t="s">
        <v>604</v>
      </c>
      <c r="G1177" t="s">
        <v>605</v>
      </c>
      <c r="H1177" t="s">
        <v>233</v>
      </c>
      <c r="I1177">
        <v>348.51</v>
      </c>
      <c r="J1177" s="8"/>
      <c r="K1177" s="89">
        <f>+L1177-J1309</f>
        <v>100000</v>
      </c>
      <c r="L1177" s="8">
        <v>100000</v>
      </c>
      <c r="M1177" s="36">
        <f t="shared" si="71"/>
        <v>0.34850999999999999</v>
      </c>
    </row>
    <row r="1178" spans="1:13" ht="15" hidden="1" customHeight="1" x14ac:dyDescent="0.3">
      <c r="A1178" s="9">
        <v>4330</v>
      </c>
      <c r="B1178" t="s">
        <v>405</v>
      </c>
      <c r="C1178" s="25">
        <v>44695</v>
      </c>
      <c r="D1178" s="26">
        <v>0.61495370370370372</v>
      </c>
      <c r="E1178" t="s">
        <v>28</v>
      </c>
      <c r="F1178" t="s">
        <v>234</v>
      </c>
      <c r="G1178" t="s">
        <v>235</v>
      </c>
      <c r="H1178" t="s">
        <v>233</v>
      </c>
      <c r="I1178">
        <v>423.53</v>
      </c>
      <c r="J1178" s="8"/>
      <c r="K1178" s="89">
        <f>+L1178-J1451</f>
        <v>125463</v>
      </c>
      <c r="L1178" s="8">
        <v>125463</v>
      </c>
      <c r="M1178" s="36">
        <f t="shared" si="71"/>
        <v>0.33757362728453805</v>
      </c>
    </row>
    <row r="1179" spans="1:13" ht="15" hidden="1" customHeight="1" x14ac:dyDescent="0.3">
      <c r="A1179" s="9">
        <v>4392</v>
      </c>
      <c r="B1179" t="s">
        <v>405</v>
      </c>
      <c r="C1179" s="25">
        <v>44696</v>
      </c>
      <c r="D1179" s="26">
        <v>0.49594907407407413</v>
      </c>
      <c r="E1179" t="s">
        <v>28</v>
      </c>
      <c r="F1179" t="s">
        <v>298</v>
      </c>
      <c r="G1179" t="s">
        <v>299</v>
      </c>
      <c r="H1179" t="s">
        <v>233</v>
      </c>
      <c r="I1179">
        <v>292.45</v>
      </c>
      <c r="J1179" s="44"/>
      <c r="K1179" s="89">
        <f>+L1179-J1452</f>
        <v>555632</v>
      </c>
      <c r="L1179" s="8">
        <v>555632</v>
      </c>
      <c r="M1179" s="36">
        <f t="shared" si="71"/>
        <v>5.2633757594954936E-2</v>
      </c>
    </row>
    <row r="1180" spans="1:13" ht="15" hidden="1" customHeight="1" x14ac:dyDescent="0.3">
      <c r="A1180" s="9">
        <v>4461</v>
      </c>
      <c r="B1180" t="s">
        <v>405</v>
      </c>
      <c r="C1180" s="25">
        <v>44697</v>
      </c>
      <c r="D1180" s="26">
        <v>0.43460648148148145</v>
      </c>
      <c r="E1180" t="s">
        <v>28</v>
      </c>
      <c r="F1180" t="s">
        <v>503</v>
      </c>
      <c r="G1180" t="s">
        <v>504</v>
      </c>
      <c r="H1180" t="s">
        <v>233</v>
      </c>
      <c r="I1180">
        <v>194.15</v>
      </c>
      <c r="J1180" s="44"/>
      <c r="K1180" s="89">
        <f>+L1180-J1453</f>
        <v>1234</v>
      </c>
      <c r="L1180" s="44">
        <v>1234</v>
      </c>
      <c r="M1180" s="10">
        <f t="shared" si="71"/>
        <v>15.733387358184766</v>
      </c>
    </row>
    <row r="1181" spans="1:13" ht="15" hidden="1" customHeight="1" x14ac:dyDescent="0.3">
      <c r="A1181" s="9">
        <v>4462</v>
      </c>
      <c r="B1181" t="s">
        <v>405</v>
      </c>
      <c r="C1181" s="25">
        <v>44697</v>
      </c>
      <c r="D1181" s="26">
        <v>0.79915509259259254</v>
      </c>
      <c r="E1181" t="s">
        <v>28</v>
      </c>
      <c r="F1181" t="s">
        <v>368</v>
      </c>
      <c r="G1181" t="s">
        <v>369</v>
      </c>
      <c r="H1181" t="s">
        <v>233</v>
      </c>
      <c r="I1181">
        <v>150</v>
      </c>
      <c r="J1181" s="8"/>
      <c r="K1181" s="89">
        <f>+L1181-J1454</f>
        <v>3556</v>
      </c>
      <c r="L1181" s="8">
        <v>3556</v>
      </c>
      <c r="M1181" s="10">
        <f t="shared" si="71"/>
        <v>4.2182227221597302</v>
      </c>
    </row>
    <row r="1182" spans="1:13" ht="15" hidden="1" customHeight="1" x14ac:dyDescent="0.3">
      <c r="A1182" s="9">
        <v>4560</v>
      </c>
      <c r="B1182" t="s">
        <v>405</v>
      </c>
      <c r="C1182" s="25">
        <v>44699</v>
      </c>
      <c r="D1182" s="26">
        <v>0.53737268518518522</v>
      </c>
      <c r="E1182" t="s">
        <v>28</v>
      </c>
      <c r="F1182" t="s">
        <v>615</v>
      </c>
      <c r="G1182" t="s">
        <v>616</v>
      </c>
      <c r="H1182" t="s">
        <v>233</v>
      </c>
      <c r="I1182">
        <v>79.239999999999995</v>
      </c>
      <c r="J1182" s="23"/>
      <c r="K1182" s="89">
        <f>+L1182-J1454</f>
        <v>50000</v>
      </c>
      <c r="L1182" s="44">
        <v>50000</v>
      </c>
      <c r="M1182" s="10">
        <f t="shared" si="71"/>
        <v>0.15847999999999998</v>
      </c>
    </row>
    <row r="1183" spans="1:13" ht="15" hidden="1" customHeight="1" x14ac:dyDescent="0.3">
      <c r="A1183" s="9">
        <v>4561</v>
      </c>
      <c r="B1183" t="s">
        <v>405</v>
      </c>
      <c r="C1183" s="25">
        <v>44699</v>
      </c>
      <c r="D1183" s="26">
        <v>0.84450231481481486</v>
      </c>
      <c r="E1183" t="s">
        <v>28</v>
      </c>
      <c r="F1183" t="s">
        <v>319</v>
      </c>
      <c r="G1183" t="s">
        <v>320</v>
      </c>
      <c r="H1183" t="s">
        <v>233</v>
      </c>
      <c r="I1183">
        <v>100</v>
      </c>
      <c r="J1183" s="23"/>
      <c r="K1183" s="89">
        <f>+L1183-J1455</f>
        <v>100000</v>
      </c>
      <c r="L1183" s="8">
        <v>100000</v>
      </c>
      <c r="M1183" s="10">
        <f t="shared" si="71"/>
        <v>0.1</v>
      </c>
    </row>
    <row r="1184" spans="1:13" ht="15" hidden="1" customHeight="1" x14ac:dyDescent="0.3">
      <c r="A1184" s="9">
        <v>4562</v>
      </c>
      <c r="B1184" t="s">
        <v>405</v>
      </c>
      <c r="C1184" s="25">
        <v>44699</v>
      </c>
      <c r="D1184" s="26">
        <v>0.93024305555555553</v>
      </c>
      <c r="E1184" t="s">
        <v>28</v>
      </c>
      <c r="F1184" t="s">
        <v>441</v>
      </c>
      <c r="G1184" t="s">
        <v>442</v>
      </c>
      <c r="H1184" t="s">
        <v>233</v>
      </c>
      <c r="I1184">
        <v>165.52</v>
      </c>
      <c r="J1184" s="23"/>
      <c r="K1184" s="89">
        <f>+L1184-J1456</f>
        <v>3556</v>
      </c>
      <c r="L1184" s="8">
        <v>3556</v>
      </c>
      <c r="M1184" s="10">
        <f t="shared" si="71"/>
        <v>4.6546681664791905</v>
      </c>
    </row>
    <row r="1185" spans="1:13" ht="15" hidden="1" customHeight="1" x14ac:dyDescent="0.3">
      <c r="A1185" s="9">
        <v>4668</v>
      </c>
      <c r="B1185" t="s">
        <v>405</v>
      </c>
      <c r="C1185" s="25">
        <v>44701</v>
      </c>
      <c r="D1185" s="26">
        <v>0.37886574074074075</v>
      </c>
      <c r="E1185" t="s">
        <v>28</v>
      </c>
      <c r="F1185" t="s">
        <v>319</v>
      </c>
      <c r="G1185" t="s">
        <v>320</v>
      </c>
      <c r="H1185" t="s">
        <v>233</v>
      </c>
      <c r="I1185">
        <v>200</v>
      </c>
      <c r="J1185" s="8"/>
      <c r="K1185" s="89">
        <f>+L1185-J1443</f>
        <v>1234</v>
      </c>
      <c r="L1185" s="8">
        <v>1234</v>
      </c>
      <c r="M1185" s="10">
        <f t="shared" ref="M1185:M1248" si="73">I1185/K1185*100</f>
        <v>16.207455429497568</v>
      </c>
    </row>
    <row r="1186" spans="1:13" ht="15" hidden="1" customHeight="1" x14ac:dyDescent="0.3">
      <c r="A1186" s="9">
        <v>4775</v>
      </c>
      <c r="B1186" t="s">
        <v>405</v>
      </c>
      <c r="C1186" s="25">
        <v>44703</v>
      </c>
      <c r="D1186" s="26">
        <v>0.68937500000000007</v>
      </c>
      <c r="E1186" t="s">
        <v>28</v>
      </c>
      <c r="F1186" t="s">
        <v>268</v>
      </c>
      <c r="G1186" t="s">
        <v>269</v>
      </c>
      <c r="H1186" t="s">
        <v>233</v>
      </c>
      <c r="I1186">
        <v>463.4</v>
      </c>
      <c r="J1186" s="8"/>
      <c r="K1186" s="89" t="e">
        <f>+L1186-#REF!</f>
        <v>#REF!</v>
      </c>
      <c r="L1186" s="8">
        <v>14500</v>
      </c>
      <c r="M1186" s="10" t="e">
        <f t="shared" si="73"/>
        <v>#REF!</v>
      </c>
    </row>
    <row r="1187" spans="1:13" ht="15" hidden="1" customHeight="1" x14ac:dyDescent="0.3">
      <c r="A1187" s="9">
        <v>4830</v>
      </c>
      <c r="B1187" t="s">
        <v>405</v>
      </c>
      <c r="C1187" s="25">
        <v>44704</v>
      </c>
      <c r="D1187" s="26">
        <v>0.46909722222222222</v>
      </c>
      <c r="E1187" t="s">
        <v>28</v>
      </c>
      <c r="F1187" t="s">
        <v>331</v>
      </c>
      <c r="G1187" t="s">
        <v>277</v>
      </c>
      <c r="H1187" t="s">
        <v>233</v>
      </c>
      <c r="I1187">
        <v>160.83000000000001</v>
      </c>
      <c r="J1187" s="8"/>
      <c r="K1187" s="89" t="e">
        <f>+L1187-#REF!</f>
        <v>#REF!</v>
      </c>
      <c r="L1187" s="8">
        <v>235623</v>
      </c>
      <c r="M1187" s="10" t="e">
        <f t="shared" si="73"/>
        <v>#REF!</v>
      </c>
    </row>
    <row r="1188" spans="1:13" ht="15" hidden="1" customHeight="1" x14ac:dyDescent="0.3">
      <c r="A1188" s="9">
        <v>5043</v>
      </c>
      <c r="B1188" t="s">
        <v>405</v>
      </c>
      <c r="C1188" s="25">
        <v>44708</v>
      </c>
      <c r="D1188" s="26">
        <v>0.47256944444444443</v>
      </c>
      <c r="E1188" t="s">
        <v>28</v>
      </c>
      <c r="F1188" t="s">
        <v>677</v>
      </c>
      <c r="G1188" t="s">
        <v>491</v>
      </c>
      <c r="H1188" t="s">
        <v>233</v>
      </c>
      <c r="I1188">
        <v>101.65</v>
      </c>
      <c r="J1188" s="23"/>
      <c r="K1188" s="89"/>
      <c r="L1188" s="23"/>
      <c r="M1188" s="10" t="e">
        <f t="shared" si="73"/>
        <v>#DIV/0!</v>
      </c>
    </row>
    <row r="1189" spans="1:13" ht="15" hidden="1" customHeight="1" x14ac:dyDescent="0.3">
      <c r="A1189" s="9">
        <v>5044</v>
      </c>
      <c r="B1189" t="s">
        <v>405</v>
      </c>
      <c r="C1189" s="25">
        <v>44708</v>
      </c>
      <c r="D1189" s="26">
        <v>0.48339120370370375</v>
      </c>
      <c r="E1189" t="s">
        <v>28</v>
      </c>
      <c r="F1189" t="s">
        <v>677</v>
      </c>
      <c r="G1189" t="s">
        <v>491</v>
      </c>
      <c r="H1189" t="s">
        <v>233</v>
      </c>
      <c r="I1189">
        <v>100.01</v>
      </c>
      <c r="J1189" s="23"/>
      <c r="K1189" s="89"/>
      <c r="L1189" s="49"/>
      <c r="M1189" s="10" t="e">
        <f t="shared" si="73"/>
        <v>#DIV/0!</v>
      </c>
    </row>
    <row r="1190" spans="1:13" ht="15" hidden="1" customHeight="1" x14ac:dyDescent="0.3">
      <c r="A1190" s="9">
        <v>5098</v>
      </c>
      <c r="B1190" t="s">
        <v>405</v>
      </c>
      <c r="C1190" s="25">
        <v>44709</v>
      </c>
      <c r="D1190" s="26">
        <v>0.45181712962962961</v>
      </c>
      <c r="E1190" t="s">
        <v>28</v>
      </c>
      <c r="F1190" t="s">
        <v>678</v>
      </c>
      <c r="G1190" t="s">
        <v>444</v>
      </c>
      <c r="H1190" t="s">
        <v>233</v>
      </c>
      <c r="I1190">
        <v>200</v>
      </c>
      <c r="J1190" s="23"/>
      <c r="K1190" s="89"/>
      <c r="L1190" s="23"/>
      <c r="M1190" s="10" t="e">
        <f t="shared" si="73"/>
        <v>#DIV/0!</v>
      </c>
    </row>
    <row r="1191" spans="1:13" ht="15" hidden="1" customHeight="1" x14ac:dyDescent="0.3">
      <c r="A1191" s="9">
        <v>5355</v>
      </c>
      <c r="B1191" t="s">
        <v>405</v>
      </c>
      <c r="C1191" s="25">
        <v>44714</v>
      </c>
      <c r="D1191" s="26">
        <v>0.7634375000000001</v>
      </c>
      <c r="E1191" t="s">
        <v>29</v>
      </c>
      <c r="F1191" t="s">
        <v>664</v>
      </c>
      <c r="G1191" t="s">
        <v>388</v>
      </c>
      <c r="H1191" t="s">
        <v>233</v>
      </c>
      <c r="I1191">
        <v>236.94</v>
      </c>
      <c r="J1191" s="23"/>
      <c r="K1191" s="89" t="e">
        <f>+L1191-#REF!</f>
        <v>#REF!</v>
      </c>
      <c r="L1191" s="23"/>
      <c r="M1191" s="10" t="e">
        <f t="shared" si="73"/>
        <v>#REF!</v>
      </c>
    </row>
    <row r="1192" spans="1:13" ht="15" hidden="1" customHeight="1" x14ac:dyDescent="0.3">
      <c r="A1192" s="9">
        <v>5417</v>
      </c>
      <c r="B1192" t="s">
        <v>405</v>
      </c>
      <c r="C1192" s="25">
        <v>44715</v>
      </c>
      <c r="D1192" s="26">
        <v>0.52131944444444445</v>
      </c>
      <c r="E1192" t="s">
        <v>29</v>
      </c>
      <c r="F1192" t="s">
        <v>711</v>
      </c>
      <c r="G1192" t="s">
        <v>712</v>
      </c>
      <c r="H1192" t="s">
        <v>233</v>
      </c>
      <c r="I1192">
        <v>245.95</v>
      </c>
      <c r="J1192" s="23"/>
      <c r="K1192" s="89"/>
      <c r="L1192" s="23"/>
      <c r="M1192" s="10" t="e">
        <f t="shared" si="73"/>
        <v>#DIV/0!</v>
      </c>
    </row>
    <row r="1193" spans="1:13" ht="15" hidden="1" customHeight="1" x14ac:dyDescent="0.3">
      <c r="A1193" s="9">
        <v>5610</v>
      </c>
      <c r="B1193" t="s">
        <v>405</v>
      </c>
      <c r="C1193" s="25">
        <v>44719</v>
      </c>
      <c r="D1193" s="26">
        <v>0.42958333333333337</v>
      </c>
      <c r="E1193" t="s">
        <v>29</v>
      </c>
      <c r="F1193" t="s">
        <v>721</v>
      </c>
      <c r="G1193" t="s">
        <v>442</v>
      </c>
      <c r="H1193" t="s">
        <v>233</v>
      </c>
      <c r="I1193">
        <v>130.01</v>
      </c>
      <c r="J1193" s="32">
        <v>0</v>
      </c>
      <c r="K1193" s="89">
        <f>+L1193-J752</f>
        <v>0</v>
      </c>
      <c r="L1193" s="7"/>
      <c r="M1193" s="10" t="e">
        <f t="shared" si="73"/>
        <v>#DIV/0!</v>
      </c>
    </row>
    <row r="1194" spans="1:13" ht="15" hidden="1" customHeight="1" x14ac:dyDescent="0.3">
      <c r="A1194" s="9">
        <v>5611</v>
      </c>
      <c r="B1194" t="s">
        <v>405</v>
      </c>
      <c r="C1194" s="25">
        <v>44719</v>
      </c>
      <c r="D1194" s="26">
        <v>0.89847222222222223</v>
      </c>
      <c r="E1194" t="s">
        <v>29</v>
      </c>
      <c r="F1194" t="s">
        <v>722</v>
      </c>
      <c r="G1194" t="s">
        <v>445</v>
      </c>
      <c r="H1194" t="s">
        <v>233</v>
      </c>
      <c r="I1194">
        <v>200.02</v>
      </c>
      <c r="J1194" s="32">
        <v>0</v>
      </c>
      <c r="K1194" s="89">
        <f>+L1194-J753</f>
        <v>0</v>
      </c>
      <c r="L1194" s="7"/>
      <c r="M1194" s="10" t="e">
        <f t="shared" si="73"/>
        <v>#DIV/0!</v>
      </c>
    </row>
    <row r="1195" spans="1:13" ht="15" hidden="1" customHeight="1" x14ac:dyDescent="0.3">
      <c r="A1195" s="9">
        <v>5672</v>
      </c>
      <c r="B1195" t="s">
        <v>405</v>
      </c>
      <c r="C1195" s="25">
        <v>44720</v>
      </c>
      <c r="D1195" s="26">
        <v>0.81465277777777778</v>
      </c>
      <c r="E1195" t="s">
        <v>29</v>
      </c>
      <c r="F1195" t="s">
        <v>728</v>
      </c>
      <c r="G1195" t="s">
        <v>320</v>
      </c>
      <c r="H1195" t="s">
        <v>233</v>
      </c>
      <c r="I1195">
        <v>100</v>
      </c>
      <c r="J1195" s="33">
        <v>0</v>
      </c>
      <c r="K1195" s="89">
        <f>+L1195-J795</f>
        <v>0</v>
      </c>
      <c r="L1195" s="7"/>
      <c r="M1195" s="10" t="e">
        <f t="shared" si="73"/>
        <v>#DIV/0!</v>
      </c>
    </row>
    <row r="1196" spans="1:13" ht="15" hidden="1" customHeight="1" x14ac:dyDescent="0.3">
      <c r="A1196" s="9">
        <v>5774</v>
      </c>
      <c r="B1196" t="s">
        <v>405</v>
      </c>
      <c r="C1196" s="25">
        <v>44722</v>
      </c>
      <c r="D1196" s="26">
        <v>0.47282407407407406</v>
      </c>
      <c r="E1196" t="s">
        <v>29</v>
      </c>
      <c r="F1196" t="s">
        <v>737</v>
      </c>
      <c r="G1196" t="s">
        <v>269</v>
      </c>
      <c r="H1196" t="s">
        <v>233</v>
      </c>
      <c r="I1196">
        <v>365.28</v>
      </c>
      <c r="J1196" s="23"/>
      <c r="K1196" s="89"/>
      <c r="L1196" s="49"/>
      <c r="M1196" s="10" t="e">
        <f t="shared" si="73"/>
        <v>#DIV/0!</v>
      </c>
    </row>
    <row r="1197" spans="1:13" ht="15" hidden="1" customHeight="1" x14ac:dyDescent="0.3">
      <c r="B1197" t="s">
        <v>272</v>
      </c>
      <c r="C1197" s="25">
        <v>44565</v>
      </c>
      <c r="D1197" s="26">
        <v>0.86379629629629628</v>
      </c>
      <c r="E1197" t="s">
        <v>24</v>
      </c>
      <c r="F1197" t="s">
        <v>210</v>
      </c>
      <c r="G1197" t="s">
        <v>211</v>
      </c>
      <c r="H1197" t="s">
        <v>114</v>
      </c>
      <c r="I1197">
        <v>676.93</v>
      </c>
      <c r="J1197" s="31">
        <v>0</v>
      </c>
      <c r="K1197" s="31">
        <f t="shared" ref="K1197:K1210" si="74">+L1197-J1197</f>
        <v>1798.33</v>
      </c>
      <c r="L1197" s="7">
        <v>1798.33</v>
      </c>
      <c r="M1197" s="10">
        <f t="shared" si="73"/>
        <v>37.642145768574174</v>
      </c>
    </row>
    <row r="1198" spans="1:13" ht="15" hidden="1" customHeight="1" x14ac:dyDescent="0.3">
      <c r="B1198" t="s">
        <v>272</v>
      </c>
      <c r="C1198" s="25">
        <v>44567</v>
      </c>
      <c r="D1198" s="26">
        <v>6.9085648148148146E-2</v>
      </c>
      <c r="E1198" t="s">
        <v>24</v>
      </c>
      <c r="F1198" t="s">
        <v>210</v>
      </c>
      <c r="G1198" t="s">
        <v>211</v>
      </c>
      <c r="H1198" t="s">
        <v>114</v>
      </c>
      <c r="I1198">
        <v>415.99</v>
      </c>
      <c r="J1198" s="7">
        <v>0</v>
      </c>
      <c r="K1198" s="7">
        <f t="shared" si="74"/>
        <v>1121.6300000000001</v>
      </c>
      <c r="L1198" s="7">
        <v>1121.6300000000001</v>
      </c>
      <c r="M1198" s="10">
        <f t="shared" si="73"/>
        <v>37.087988017438903</v>
      </c>
    </row>
    <row r="1199" spans="1:13" ht="15" hidden="1" customHeight="1" x14ac:dyDescent="0.3">
      <c r="B1199" t="s">
        <v>272</v>
      </c>
      <c r="C1199" s="25">
        <v>44569</v>
      </c>
      <c r="D1199" s="26">
        <v>0.75193287037037038</v>
      </c>
      <c r="E1199" t="s">
        <v>24</v>
      </c>
      <c r="F1199" t="s">
        <v>210</v>
      </c>
      <c r="G1199" t="s">
        <v>211</v>
      </c>
      <c r="H1199" t="s">
        <v>114</v>
      </c>
      <c r="I1199">
        <v>576.09</v>
      </c>
      <c r="J1199" s="35">
        <v>0</v>
      </c>
      <c r="K1199" s="35">
        <f t="shared" si="74"/>
        <v>1705.87</v>
      </c>
      <c r="L1199" s="35">
        <v>1705.87</v>
      </c>
      <c r="M1199" s="10">
        <f t="shared" si="73"/>
        <v>33.771037652341626</v>
      </c>
    </row>
    <row r="1200" spans="1:13" ht="15" hidden="1" customHeight="1" x14ac:dyDescent="0.3">
      <c r="B1200" t="s">
        <v>272</v>
      </c>
      <c r="C1200" s="25">
        <v>44572</v>
      </c>
      <c r="D1200" s="26">
        <v>0.17334490740740741</v>
      </c>
      <c r="E1200" t="s">
        <v>24</v>
      </c>
      <c r="F1200" t="s">
        <v>165</v>
      </c>
      <c r="G1200" t="s">
        <v>185</v>
      </c>
      <c r="H1200" t="s">
        <v>114</v>
      </c>
      <c r="I1200">
        <v>700.73</v>
      </c>
      <c r="J1200" s="31">
        <v>0</v>
      </c>
      <c r="K1200" s="31">
        <f t="shared" si="74"/>
        <v>2255.79</v>
      </c>
      <c r="L1200" s="31">
        <v>2255.79</v>
      </c>
      <c r="M1200" s="10">
        <f t="shared" si="73"/>
        <v>31.063618510588309</v>
      </c>
    </row>
    <row r="1201" spans="1:20" ht="15" hidden="1" customHeight="1" x14ac:dyDescent="0.3">
      <c r="B1201" t="s">
        <v>272</v>
      </c>
      <c r="C1201" s="25">
        <v>44573</v>
      </c>
      <c r="D1201" s="26">
        <v>0.15313657407407408</v>
      </c>
      <c r="E1201" t="s">
        <v>24</v>
      </c>
      <c r="F1201" t="s">
        <v>210</v>
      </c>
      <c r="G1201" t="s">
        <v>211</v>
      </c>
      <c r="H1201" t="s">
        <v>114</v>
      </c>
      <c r="I1201">
        <v>198.56</v>
      </c>
      <c r="J1201" s="31">
        <v>0</v>
      </c>
      <c r="K1201" s="31">
        <f t="shared" si="74"/>
        <v>573.49</v>
      </c>
      <c r="L1201" s="31">
        <v>573.49</v>
      </c>
      <c r="M1201" s="10">
        <f t="shared" si="73"/>
        <v>34.623097176934209</v>
      </c>
    </row>
    <row r="1202" spans="1:20" ht="15" hidden="1" customHeight="1" x14ac:dyDescent="0.3">
      <c r="B1202" t="s">
        <v>272</v>
      </c>
      <c r="C1202" s="25">
        <v>44575</v>
      </c>
      <c r="D1202" s="26">
        <v>0.45091435185185186</v>
      </c>
      <c r="E1202" t="s">
        <v>24</v>
      </c>
      <c r="F1202" t="s">
        <v>210</v>
      </c>
      <c r="G1202" t="s">
        <v>211</v>
      </c>
      <c r="H1202" t="s">
        <v>114</v>
      </c>
      <c r="I1202">
        <v>580.39</v>
      </c>
      <c r="J1202" s="7">
        <v>0</v>
      </c>
      <c r="K1202" s="7">
        <f t="shared" si="74"/>
        <v>1735.84</v>
      </c>
      <c r="L1202" s="7">
        <v>1735.84</v>
      </c>
      <c r="M1202" s="10">
        <f t="shared" si="73"/>
        <v>33.435685316619043</v>
      </c>
    </row>
    <row r="1203" spans="1:20" ht="15" hidden="1" customHeight="1" x14ac:dyDescent="0.3">
      <c r="B1203" t="s">
        <v>272</v>
      </c>
      <c r="C1203" s="25">
        <v>44576</v>
      </c>
      <c r="D1203" s="26">
        <v>0.88626157407407413</v>
      </c>
      <c r="E1203" t="s">
        <v>24</v>
      </c>
      <c r="F1203" t="s">
        <v>210</v>
      </c>
      <c r="G1203" t="s">
        <v>211</v>
      </c>
      <c r="H1203" t="s">
        <v>114</v>
      </c>
      <c r="I1203">
        <v>360.01</v>
      </c>
      <c r="J1203" s="7">
        <v>0</v>
      </c>
      <c r="K1203" s="7">
        <f t="shared" si="74"/>
        <v>1064.1199999999999</v>
      </c>
      <c r="L1203" s="7">
        <v>1064.1199999999999</v>
      </c>
      <c r="M1203" s="10">
        <f t="shared" si="73"/>
        <v>33.8317107093185</v>
      </c>
    </row>
    <row r="1204" spans="1:20" ht="15" hidden="1" customHeight="1" x14ac:dyDescent="0.3">
      <c r="B1204" t="s">
        <v>272</v>
      </c>
      <c r="C1204" s="25">
        <v>44579</v>
      </c>
      <c r="D1204" s="26">
        <v>0.96755787037037033</v>
      </c>
      <c r="E1204" t="s">
        <v>24</v>
      </c>
      <c r="F1204" t="s">
        <v>210</v>
      </c>
      <c r="G1204" t="s">
        <v>211</v>
      </c>
      <c r="H1204" t="s">
        <v>114</v>
      </c>
      <c r="I1204">
        <v>612.71</v>
      </c>
      <c r="J1204" s="7">
        <v>0</v>
      </c>
      <c r="K1204" s="7">
        <f t="shared" si="74"/>
        <v>1792.44</v>
      </c>
      <c r="L1204" s="7">
        <v>1792.44</v>
      </c>
      <c r="M1204" s="10">
        <f t="shared" si="73"/>
        <v>34.183013099462187</v>
      </c>
    </row>
    <row r="1205" spans="1:20" ht="15" hidden="1" customHeight="1" x14ac:dyDescent="0.3">
      <c r="B1205" t="s">
        <v>272</v>
      </c>
      <c r="C1205" s="25">
        <v>44581</v>
      </c>
      <c r="D1205" s="26">
        <v>0.25417824074074075</v>
      </c>
      <c r="E1205" t="s">
        <v>24</v>
      </c>
      <c r="F1205" t="s">
        <v>210</v>
      </c>
      <c r="G1205" t="s">
        <v>211</v>
      </c>
      <c r="H1205" t="s">
        <v>114</v>
      </c>
      <c r="I1205">
        <v>362.49</v>
      </c>
      <c r="J1205" s="34">
        <v>0</v>
      </c>
      <c r="K1205" s="35">
        <f t="shared" si="74"/>
        <v>1063.29</v>
      </c>
      <c r="L1205" s="35">
        <v>1063.29</v>
      </c>
      <c r="M1205" s="10">
        <f t="shared" si="73"/>
        <v>34.091357955026382</v>
      </c>
    </row>
    <row r="1206" spans="1:20" ht="15" hidden="1" customHeight="1" x14ac:dyDescent="0.3">
      <c r="B1206" t="s">
        <v>272</v>
      </c>
      <c r="C1206" s="25">
        <v>44583</v>
      </c>
      <c r="D1206" s="26">
        <v>0.66899305555555555</v>
      </c>
      <c r="E1206" t="s">
        <v>24</v>
      </c>
      <c r="F1206" t="s">
        <v>210</v>
      </c>
      <c r="G1206" t="s">
        <v>211</v>
      </c>
      <c r="H1206" t="s">
        <v>114</v>
      </c>
      <c r="I1206">
        <v>658.83</v>
      </c>
      <c r="J1206" s="7">
        <v>0</v>
      </c>
      <c r="K1206" s="7">
        <f t="shared" si="74"/>
        <v>1843.44</v>
      </c>
      <c r="L1206" s="7">
        <v>1843.44</v>
      </c>
      <c r="M1206" s="10">
        <f t="shared" si="73"/>
        <v>35.739161567504233</v>
      </c>
    </row>
    <row r="1207" spans="1:20" ht="15" hidden="1" customHeight="1" x14ac:dyDescent="0.3">
      <c r="B1207" t="s">
        <v>272</v>
      </c>
      <c r="C1207" s="25">
        <v>44586</v>
      </c>
      <c r="D1207" s="26">
        <v>0.10501157407407408</v>
      </c>
      <c r="E1207" t="s">
        <v>24</v>
      </c>
      <c r="F1207" t="s">
        <v>165</v>
      </c>
      <c r="G1207" t="s">
        <v>185</v>
      </c>
      <c r="H1207" t="s">
        <v>114</v>
      </c>
      <c r="I1207">
        <v>719.06</v>
      </c>
      <c r="J1207" s="7">
        <v>0</v>
      </c>
      <c r="K1207" s="7">
        <f t="shared" si="74"/>
        <v>2176.88</v>
      </c>
      <c r="L1207" s="7">
        <v>2176.88</v>
      </c>
      <c r="M1207" s="10">
        <f t="shared" si="73"/>
        <v>33.031678365366943</v>
      </c>
    </row>
    <row r="1208" spans="1:20" ht="15" hidden="1" customHeight="1" x14ac:dyDescent="0.3">
      <c r="B1208" t="s">
        <v>272</v>
      </c>
      <c r="C1208" s="25">
        <v>44588</v>
      </c>
      <c r="D1208" s="26">
        <v>0.76461805555555562</v>
      </c>
      <c r="E1208" t="s">
        <v>24</v>
      </c>
      <c r="F1208" t="s">
        <v>166</v>
      </c>
      <c r="G1208" t="s">
        <v>161</v>
      </c>
      <c r="H1208" t="s">
        <v>114</v>
      </c>
      <c r="I1208">
        <v>711.23</v>
      </c>
      <c r="J1208" s="7">
        <v>0</v>
      </c>
      <c r="K1208" s="7">
        <f t="shared" si="74"/>
        <v>2092.83</v>
      </c>
      <c r="L1208" s="7">
        <v>2092.83</v>
      </c>
      <c r="M1208" s="10">
        <f t="shared" si="73"/>
        <v>33.984126756592744</v>
      </c>
    </row>
    <row r="1209" spans="1:20" ht="15" hidden="1" customHeight="1" x14ac:dyDescent="0.3">
      <c r="A1209" s="9">
        <v>1000</v>
      </c>
      <c r="B1209" t="s">
        <v>272</v>
      </c>
      <c r="C1209" s="25">
        <v>44614</v>
      </c>
      <c r="D1209" s="26">
        <v>0.90322916666666664</v>
      </c>
      <c r="E1209" t="s">
        <v>25</v>
      </c>
      <c r="F1209" t="s">
        <v>197</v>
      </c>
      <c r="G1209" t="s">
        <v>44</v>
      </c>
      <c r="H1209" t="s">
        <v>114</v>
      </c>
      <c r="I1209">
        <v>545.95000000000005</v>
      </c>
      <c r="J1209" s="35">
        <v>0</v>
      </c>
      <c r="K1209" s="11">
        <f t="shared" si="74"/>
        <v>2049.17</v>
      </c>
      <c r="L1209" s="35">
        <v>2049.17</v>
      </c>
      <c r="M1209" s="10">
        <f t="shared" si="73"/>
        <v>26.642494278171164</v>
      </c>
    </row>
    <row r="1210" spans="1:20" ht="15" hidden="1" customHeight="1" x14ac:dyDescent="0.3">
      <c r="A1210" s="9">
        <v>1001</v>
      </c>
      <c r="B1210" t="s">
        <v>272</v>
      </c>
      <c r="C1210" s="25">
        <v>44616</v>
      </c>
      <c r="D1210" s="26">
        <v>0.7130671296296297</v>
      </c>
      <c r="E1210" t="s">
        <v>25</v>
      </c>
      <c r="F1210" t="s">
        <v>210</v>
      </c>
      <c r="G1210" t="s">
        <v>211</v>
      </c>
      <c r="H1210" t="s">
        <v>114</v>
      </c>
      <c r="I1210">
        <v>578.04</v>
      </c>
      <c r="J1210" s="7">
        <v>0</v>
      </c>
      <c r="K1210" s="11">
        <f t="shared" si="74"/>
        <v>1657.52</v>
      </c>
      <c r="L1210" s="7">
        <v>1657.52</v>
      </c>
      <c r="M1210" s="10">
        <f t="shared" si="73"/>
        <v>34.873787344949079</v>
      </c>
    </row>
    <row r="1211" spans="1:20" ht="15" hidden="1" customHeight="1" x14ac:dyDescent="0.3">
      <c r="A1211" s="9">
        <v>4514</v>
      </c>
      <c r="B1211" t="s">
        <v>617</v>
      </c>
      <c r="C1211" s="25">
        <v>44698</v>
      </c>
      <c r="D1211" s="26">
        <v>0.29538194444444443</v>
      </c>
      <c r="E1211" t="s">
        <v>28</v>
      </c>
      <c r="F1211" t="s">
        <v>338</v>
      </c>
      <c r="G1211" t="s">
        <v>388</v>
      </c>
      <c r="H1211" t="s">
        <v>618</v>
      </c>
      <c r="I1211">
        <v>53.82</v>
      </c>
      <c r="J1211" s="49"/>
      <c r="K1211" s="89">
        <f>+L1211-J1483</f>
        <v>15000</v>
      </c>
      <c r="L1211" s="44">
        <v>15000</v>
      </c>
      <c r="M1211" s="10">
        <f t="shared" si="73"/>
        <v>0.35880000000000001</v>
      </c>
    </row>
    <row r="1212" spans="1:20" ht="15" hidden="1" customHeight="1" x14ac:dyDescent="0.3">
      <c r="A1212" s="9">
        <v>5602</v>
      </c>
      <c r="B1212" t="s">
        <v>617</v>
      </c>
      <c r="C1212" s="25">
        <v>44719</v>
      </c>
      <c r="D1212" s="26">
        <v>0.88449074074074074</v>
      </c>
      <c r="E1212" t="s">
        <v>29</v>
      </c>
      <c r="F1212" t="s">
        <v>657</v>
      </c>
      <c r="G1212" t="s">
        <v>206</v>
      </c>
      <c r="H1212" t="s">
        <v>718</v>
      </c>
      <c r="I1212">
        <v>57.8</v>
      </c>
      <c r="J1212" s="32">
        <v>0</v>
      </c>
      <c r="K1212" s="89">
        <f>+L1212-J770</f>
        <v>0</v>
      </c>
      <c r="L1212" s="7"/>
      <c r="M1212" s="10" t="e">
        <f t="shared" si="73"/>
        <v>#DIV/0!</v>
      </c>
    </row>
    <row r="1213" spans="1:20" ht="15" hidden="1" customHeight="1" x14ac:dyDescent="0.3">
      <c r="A1213" s="9">
        <v>2827</v>
      </c>
      <c r="B1213" t="s">
        <v>508</v>
      </c>
      <c r="C1213" s="25">
        <v>44656</v>
      </c>
      <c r="D1213" s="26">
        <v>0.37453703703703706</v>
      </c>
      <c r="E1213" t="s">
        <v>27</v>
      </c>
      <c r="F1213" t="s">
        <v>537</v>
      </c>
      <c r="G1213" t="s">
        <v>388</v>
      </c>
      <c r="H1213" t="s">
        <v>509</v>
      </c>
      <c r="I1213" s="4">
        <v>44.49</v>
      </c>
      <c r="J1213" s="8"/>
      <c r="K1213" s="89">
        <f>+L1213-J1213</f>
        <v>12345</v>
      </c>
      <c r="L1213" s="46">
        <v>12345</v>
      </c>
      <c r="M1213" s="10">
        <f t="shared" si="73"/>
        <v>0.36038882138517625</v>
      </c>
    </row>
    <row r="1214" spans="1:20" ht="15" hidden="1" customHeight="1" x14ac:dyDescent="0.3">
      <c r="A1214" s="9">
        <v>3814</v>
      </c>
      <c r="B1214" t="s">
        <v>508</v>
      </c>
      <c r="C1214" s="25">
        <v>44685</v>
      </c>
      <c r="D1214" s="26">
        <v>0.37799768518518517</v>
      </c>
      <c r="E1214" t="s">
        <v>28</v>
      </c>
      <c r="F1214" t="s">
        <v>241</v>
      </c>
      <c r="G1214" t="s">
        <v>242</v>
      </c>
      <c r="H1214" t="s">
        <v>509</v>
      </c>
      <c r="I1214">
        <v>62.34</v>
      </c>
      <c r="J1214" s="54"/>
      <c r="K1214" s="82"/>
      <c r="L1214" s="8">
        <v>142514</v>
      </c>
      <c r="M1214" s="10" t="e">
        <f t="shared" si="73"/>
        <v>#DIV/0!</v>
      </c>
    </row>
    <row r="1215" spans="1:20" ht="15" hidden="1" customHeight="1" x14ac:dyDescent="0.3">
      <c r="A1215" s="9">
        <v>5654</v>
      </c>
      <c r="B1215" t="s">
        <v>508</v>
      </c>
      <c r="C1215" s="25">
        <v>44720</v>
      </c>
      <c r="D1215" s="26">
        <v>0.39622685185185186</v>
      </c>
      <c r="E1215" t="s">
        <v>29</v>
      </c>
      <c r="F1215" t="s">
        <v>729</v>
      </c>
      <c r="G1215" t="s">
        <v>238</v>
      </c>
      <c r="H1215" t="s">
        <v>509</v>
      </c>
      <c r="I1215">
        <v>36.51</v>
      </c>
      <c r="J1215" s="33">
        <v>0</v>
      </c>
      <c r="K1215" s="96">
        <f>+L1215-J775</f>
        <v>0</v>
      </c>
      <c r="L1215" s="29"/>
      <c r="M1215" s="131" t="e">
        <f t="shared" si="73"/>
        <v>#DIV/0!</v>
      </c>
    </row>
    <row r="1216" spans="1:20" ht="15" hidden="1" customHeight="1" x14ac:dyDescent="0.3">
      <c r="B1216" s="8" t="s">
        <v>244</v>
      </c>
      <c r="C1216" s="21">
        <v>44681</v>
      </c>
      <c r="D1216" s="22">
        <v>8.2511574074074071E-2</v>
      </c>
      <c r="E1216" s="8" t="s">
        <v>580</v>
      </c>
      <c r="F1216" s="8" t="s">
        <v>296</v>
      </c>
      <c r="G1216" s="8" t="s">
        <v>297</v>
      </c>
      <c r="H1216" s="8" t="s">
        <v>247</v>
      </c>
      <c r="I1216" s="236">
        <v>100</v>
      </c>
      <c r="J1216" s="233"/>
      <c r="K1216" s="90">
        <f>+L1216-J1353</f>
        <v>150000</v>
      </c>
      <c r="L1216" s="8">
        <v>150000</v>
      </c>
      <c r="M1216" s="91">
        <f t="shared" si="73"/>
        <v>6.6666666666666666E-2</v>
      </c>
      <c r="S1216"/>
      <c r="T1216"/>
    </row>
    <row r="1217" spans="2:20" ht="15" hidden="1" customHeight="1" x14ac:dyDescent="0.3">
      <c r="B1217" t="s">
        <v>270</v>
      </c>
      <c r="C1217" s="25">
        <v>44681</v>
      </c>
      <c r="D1217" s="26">
        <v>0.41719907407407408</v>
      </c>
      <c r="E1217" t="s">
        <v>580</v>
      </c>
      <c r="F1217" t="s">
        <v>175</v>
      </c>
      <c r="G1217" t="s">
        <v>172</v>
      </c>
      <c r="H1217" t="s">
        <v>132</v>
      </c>
      <c r="I1217">
        <v>400.78</v>
      </c>
      <c r="J1217" s="34">
        <v>0</v>
      </c>
      <c r="K1217" s="92">
        <f>+L1217-J1353</f>
        <v>1073.57</v>
      </c>
      <c r="L1217" s="67">
        <v>1073.57</v>
      </c>
      <c r="M1217" s="61">
        <f t="shared" si="73"/>
        <v>37.331520068556316</v>
      </c>
      <c r="T1217"/>
    </row>
    <row r="1218" spans="2:20" ht="15" hidden="1" customHeight="1" x14ac:dyDescent="0.3">
      <c r="B1218" t="s">
        <v>466</v>
      </c>
      <c r="C1218" s="25">
        <v>44681</v>
      </c>
      <c r="D1218" s="26">
        <v>0.76778935185185182</v>
      </c>
      <c r="E1218" t="s">
        <v>580</v>
      </c>
      <c r="F1218" t="s">
        <v>197</v>
      </c>
      <c r="G1218" t="s">
        <v>44</v>
      </c>
      <c r="H1218" t="s">
        <v>212</v>
      </c>
      <c r="I1218">
        <v>304</v>
      </c>
      <c r="J1218" s="34">
        <v>0</v>
      </c>
      <c r="K1218" s="89">
        <f t="shared" ref="K1218:K1249" si="75">+L1218-J1218</f>
        <v>1375</v>
      </c>
      <c r="L1218" s="7">
        <v>1375</v>
      </c>
      <c r="M1218" s="10">
        <f t="shared" si="73"/>
        <v>22.109090909090909</v>
      </c>
      <c r="O1218" s="4" t="s">
        <v>77</v>
      </c>
      <c r="R1218" s="18" t="s">
        <v>122</v>
      </c>
      <c r="S1218"/>
      <c r="T1218"/>
    </row>
    <row r="1219" spans="2:20" ht="15" hidden="1" customHeight="1" x14ac:dyDescent="0.3">
      <c r="B1219" t="s">
        <v>217</v>
      </c>
      <c r="C1219" s="25">
        <v>44681</v>
      </c>
      <c r="D1219" s="26">
        <v>0.36559027777777775</v>
      </c>
      <c r="E1219" t="s">
        <v>580</v>
      </c>
      <c r="F1219" t="s">
        <v>210</v>
      </c>
      <c r="G1219" t="s">
        <v>211</v>
      </c>
      <c r="H1219" t="s">
        <v>218</v>
      </c>
      <c r="I1219">
        <v>393.15</v>
      </c>
      <c r="J1219" s="35">
        <v>0</v>
      </c>
      <c r="K1219" s="89">
        <f t="shared" si="75"/>
        <v>1065.1500000000001</v>
      </c>
      <c r="L1219" s="38">
        <v>1065.1500000000001</v>
      </c>
      <c r="M1219" s="10">
        <f t="shared" si="73"/>
        <v>36.910294324742985</v>
      </c>
      <c r="O1219" s="4" t="s">
        <v>105</v>
      </c>
      <c r="R1219" s="18" t="s">
        <v>133</v>
      </c>
      <c r="S1219"/>
      <c r="T1219"/>
    </row>
    <row r="1220" spans="2:20" ht="15" hidden="1" customHeight="1" x14ac:dyDescent="0.3">
      <c r="B1220" t="s">
        <v>383</v>
      </c>
      <c r="C1220" s="25">
        <v>44681</v>
      </c>
      <c r="D1220" s="26">
        <v>7.1689814814814817E-2</v>
      </c>
      <c r="E1220" t="s">
        <v>580</v>
      </c>
      <c r="F1220" t="s">
        <v>210</v>
      </c>
      <c r="G1220" t="s">
        <v>211</v>
      </c>
      <c r="H1220" t="s">
        <v>306</v>
      </c>
      <c r="I1220">
        <v>334.8</v>
      </c>
      <c r="J1220" s="32">
        <v>0</v>
      </c>
      <c r="K1220" s="89">
        <f t="shared" si="75"/>
        <v>485</v>
      </c>
      <c r="L1220" s="32">
        <v>485</v>
      </c>
      <c r="M1220" s="10">
        <f t="shared" si="73"/>
        <v>69.030927835051543</v>
      </c>
      <c r="O1220" s="4" t="s">
        <v>97</v>
      </c>
      <c r="R1220" s="18" t="s">
        <v>114</v>
      </c>
      <c r="S1220"/>
      <c r="T1220"/>
    </row>
    <row r="1221" spans="2:20" ht="15" hidden="1" customHeight="1" x14ac:dyDescent="0.3">
      <c r="B1221" t="s">
        <v>317</v>
      </c>
      <c r="C1221" s="25">
        <v>44579</v>
      </c>
      <c r="D1221" s="26">
        <v>0.76777777777777778</v>
      </c>
      <c r="E1221" t="s">
        <v>24</v>
      </c>
      <c r="F1221" t="s">
        <v>175</v>
      </c>
      <c r="G1221" t="s">
        <v>172</v>
      </c>
      <c r="H1221" t="s">
        <v>115</v>
      </c>
      <c r="I1221">
        <v>164.63</v>
      </c>
      <c r="J1221" s="7">
        <v>0</v>
      </c>
      <c r="K1221" s="11">
        <f t="shared" si="75"/>
        <v>407.505</v>
      </c>
      <c r="L1221" s="7">
        <v>407.505</v>
      </c>
      <c r="M1221" s="10">
        <f t="shared" si="73"/>
        <v>40.399504300560729</v>
      </c>
    </row>
    <row r="1222" spans="2:20" ht="15" hidden="1" customHeight="1" x14ac:dyDescent="0.3">
      <c r="B1222" t="s">
        <v>317</v>
      </c>
      <c r="C1222" s="25">
        <v>44580</v>
      </c>
      <c r="D1222" s="26">
        <v>0.71453703703703697</v>
      </c>
      <c r="E1222" t="s">
        <v>24</v>
      </c>
      <c r="F1222" t="s">
        <v>210</v>
      </c>
      <c r="G1222" t="s">
        <v>211</v>
      </c>
      <c r="H1222" t="s">
        <v>115</v>
      </c>
      <c r="I1222">
        <v>325.2</v>
      </c>
      <c r="J1222" s="31">
        <v>0</v>
      </c>
      <c r="K1222" s="11">
        <f t="shared" si="75"/>
        <v>831.47</v>
      </c>
      <c r="L1222" s="31">
        <v>831.47</v>
      </c>
      <c r="M1222" s="10">
        <f t="shared" si="73"/>
        <v>39.111453209376165</v>
      </c>
    </row>
    <row r="1223" spans="2:20" ht="15" hidden="1" customHeight="1" x14ac:dyDescent="0.3">
      <c r="B1223" t="s">
        <v>317</v>
      </c>
      <c r="C1223" s="25">
        <v>44581</v>
      </c>
      <c r="D1223" s="26">
        <v>0.72506944444444443</v>
      </c>
      <c r="E1223" t="s">
        <v>24</v>
      </c>
      <c r="F1223" t="s">
        <v>210</v>
      </c>
      <c r="G1223" t="s">
        <v>211</v>
      </c>
      <c r="H1223" t="s">
        <v>115</v>
      </c>
      <c r="I1223">
        <v>375.35</v>
      </c>
      <c r="J1223" s="7">
        <v>0</v>
      </c>
      <c r="K1223" s="11">
        <f t="shared" si="75"/>
        <v>1062.5899999999999</v>
      </c>
      <c r="L1223" s="7">
        <v>1062.5899999999999</v>
      </c>
      <c r="M1223" s="10">
        <f t="shared" si="73"/>
        <v>35.324066667294069</v>
      </c>
    </row>
    <row r="1224" spans="2:20" ht="15" hidden="1" customHeight="1" x14ac:dyDescent="0.3">
      <c r="B1224" t="s">
        <v>317</v>
      </c>
      <c r="C1224" s="25">
        <v>44583</v>
      </c>
      <c r="D1224" s="26">
        <v>0.50589120370370366</v>
      </c>
      <c r="E1224" t="s">
        <v>24</v>
      </c>
      <c r="F1224" t="s">
        <v>175</v>
      </c>
      <c r="G1224" t="s">
        <v>172</v>
      </c>
      <c r="H1224" t="s">
        <v>115</v>
      </c>
      <c r="I1224">
        <v>354.99</v>
      </c>
      <c r="J1224" s="34">
        <v>0</v>
      </c>
      <c r="K1224" s="11">
        <f t="shared" si="75"/>
        <v>1759.54</v>
      </c>
      <c r="L1224" s="35">
        <v>1759.54</v>
      </c>
      <c r="M1224" s="10">
        <f t="shared" si="73"/>
        <v>20.175159416665718</v>
      </c>
    </row>
    <row r="1225" spans="2:20" ht="15" hidden="1" customHeight="1" x14ac:dyDescent="0.3">
      <c r="B1225" t="s">
        <v>317</v>
      </c>
      <c r="C1225" s="25">
        <v>44584</v>
      </c>
      <c r="D1225" s="26">
        <v>0.82231481481481483</v>
      </c>
      <c r="E1225" t="s">
        <v>24</v>
      </c>
      <c r="F1225" t="s">
        <v>210</v>
      </c>
      <c r="G1225" t="s">
        <v>211</v>
      </c>
      <c r="H1225" t="s">
        <v>115</v>
      </c>
      <c r="I1225">
        <v>353.71</v>
      </c>
      <c r="J1225" s="7">
        <v>0</v>
      </c>
      <c r="K1225" s="11">
        <f t="shared" si="75"/>
        <v>856.4</v>
      </c>
      <c r="L1225" s="7">
        <v>856.4</v>
      </c>
      <c r="M1225" s="10">
        <f t="shared" si="73"/>
        <v>41.301961700140119</v>
      </c>
    </row>
    <row r="1226" spans="2:20" ht="15" hidden="1" customHeight="1" x14ac:dyDescent="0.3">
      <c r="B1226" t="s">
        <v>317</v>
      </c>
      <c r="C1226" s="25">
        <v>44585</v>
      </c>
      <c r="D1226" s="26">
        <v>0.79744212962962957</v>
      </c>
      <c r="E1226" t="s">
        <v>24</v>
      </c>
      <c r="F1226" t="s">
        <v>210</v>
      </c>
      <c r="G1226" t="s">
        <v>211</v>
      </c>
      <c r="H1226" t="s">
        <v>115</v>
      </c>
      <c r="I1226">
        <v>388.03</v>
      </c>
      <c r="J1226" s="7">
        <v>0</v>
      </c>
      <c r="K1226" s="11">
        <f t="shared" si="75"/>
        <v>1063.1099999999999</v>
      </c>
      <c r="L1226" s="7">
        <v>1063.1099999999999</v>
      </c>
      <c r="M1226" s="10">
        <f t="shared" si="73"/>
        <v>36.499515572236177</v>
      </c>
    </row>
    <row r="1227" spans="2:20" ht="15" hidden="1" customHeight="1" x14ac:dyDescent="0.3">
      <c r="B1227" t="s">
        <v>317</v>
      </c>
      <c r="C1227" s="25">
        <v>44586</v>
      </c>
      <c r="D1227" s="26">
        <v>0.75684027777777774</v>
      </c>
      <c r="E1227" t="s">
        <v>24</v>
      </c>
      <c r="F1227" t="s">
        <v>175</v>
      </c>
      <c r="G1227" t="s">
        <v>172</v>
      </c>
      <c r="H1227" t="s">
        <v>115</v>
      </c>
      <c r="I1227">
        <v>290.58999999999997</v>
      </c>
      <c r="J1227" s="7">
        <v>0</v>
      </c>
      <c r="K1227" s="11">
        <f t="shared" si="75"/>
        <v>901.59</v>
      </c>
      <c r="L1227" s="34">
        <v>901.59</v>
      </c>
      <c r="M1227" s="10">
        <f t="shared" si="73"/>
        <v>32.230836633059369</v>
      </c>
    </row>
    <row r="1228" spans="2:20" ht="15" hidden="1" customHeight="1" x14ac:dyDescent="0.3">
      <c r="B1228" t="s">
        <v>317</v>
      </c>
      <c r="C1228" s="25">
        <v>44587</v>
      </c>
      <c r="D1228" s="26">
        <v>0.73506944444444444</v>
      </c>
      <c r="E1228" t="s">
        <v>24</v>
      </c>
      <c r="F1228" t="s">
        <v>210</v>
      </c>
      <c r="G1228" t="s">
        <v>211</v>
      </c>
      <c r="H1228" t="s">
        <v>115</v>
      </c>
      <c r="I1228">
        <v>336.78</v>
      </c>
      <c r="J1228" s="7">
        <v>0</v>
      </c>
      <c r="K1228" s="11">
        <f t="shared" si="75"/>
        <v>830.83</v>
      </c>
      <c r="L1228" s="7">
        <v>830.83</v>
      </c>
      <c r="M1228" s="10">
        <f t="shared" si="73"/>
        <v>40.535368246211618</v>
      </c>
    </row>
    <row r="1229" spans="2:20" ht="15" hidden="1" customHeight="1" x14ac:dyDescent="0.3">
      <c r="B1229" t="s">
        <v>317</v>
      </c>
      <c r="C1229" s="25">
        <v>44588</v>
      </c>
      <c r="D1229" s="26">
        <v>0.74649305555555545</v>
      </c>
      <c r="E1229" t="s">
        <v>24</v>
      </c>
      <c r="F1229" t="s">
        <v>210</v>
      </c>
      <c r="G1229" t="s">
        <v>211</v>
      </c>
      <c r="H1229" t="s">
        <v>115</v>
      </c>
      <c r="I1229">
        <v>398.17</v>
      </c>
      <c r="J1229" s="7">
        <v>0</v>
      </c>
      <c r="K1229" s="11">
        <f t="shared" si="75"/>
        <v>1061.94</v>
      </c>
      <c r="L1229" s="7">
        <v>1061.94</v>
      </c>
      <c r="M1229" s="10">
        <f t="shared" si="73"/>
        <v>37.494585381471644</v>
      </c>
    </row>
    <row r="1230" spans="2:20" ht="15" hidden="1" customHeight="1" x14ac:dyDescent="0.3">
      <c r="B1230" t="s">
        <v>317</v>
      </c>
      <c r="C1230" s="25">
        <v>44589</v>
      </c>
      <c r="D1230" s="26">
        <v>0.76068287037037041</v>
      </c>
      <c r="E1230" t="s">
        <v>24</v>
      </c>
      <c r="F1230" t="s">
        <v>175</v>
      </c>
      <c r="G1230" t="s">
        <v>172</v>
      </c>
      <c r="H1230" t="s">
        <v>115</v>
      </c>
      <c r="I1230">
        <v>311.27999999999997</v>
      </c>
      <c r="J1230" s="7">
        <v>0</v>
      </c>
      <c r="K1230" s="11">
        <f t="shared" si="75"/>
        <v>922.77</v>
      </c>
      <c r="L1230" s="31">
        <v>922.77</v>
      </c>
      <c r="M1230" s="10">
        <f t="shared" si="73"/>
        <v>33.733216294417886</v>
      </c>
    </row>
    <row r="1231" spans="2:20" ht="15" hidden="1" customHeight="1" x14ac:dyDescent="0.3">
      <c r="B1231" t="s">
        <v>317</v>
      </c>
      <c r="C1231" s="25">
        <v>44590</v>
      </c>
      <c r="D1231" s="26">
        <v>0.73077546296296303</v>
      </c>
      <c r="E1231" t="s">
        <v>24</v>
      </c>
      <c r="F1231" t="s">
        <v>210</v>
      </c>
      <c r="G1231" t="s">
        <v>211</v>
      </c>
      <c r="H1231" t="s">
        <v>115</v>
      </c>
      <c r="I1231">
        <v>328.66</v>
      </c>
      <c r="J1231" s="7">
        <v>0</v>
      </c>
      <c r="K1231" s="11">
        <f t="shared" si="75"/>
        <v>830.68</v>
      </c>
      <c r="L1231" s="7">
        <v>830.68</v>
      </c>
      <c r="M1231" s="10">
        <f t="shared" si="73"/>
        <v>39.56517551885203</v>
      </c>
    </row>
    <row r="1232" spans="2:20" ht="15" hidden="1" customHeight="1" x14ac:dyDescent="0.3">
      <c r="B1232" t="s">
        <v>317</v>
      </c>
      <c r="C1232" s="25">
        <v>44591</v>
      </c>
      <c r="D1232" s="26">
        <v>0.67041666666666666</v>
      </c>
      <c r="E1232" t="s">
        <v>24</v>
      </c>
      <c r="F1232" t="s">
        <v>210</v>
      </c>
      <c r="G1232" t="s">
        <v>211</v>
      </c>
      <c r="H1232" t="s">
        <v>115</v>
      </c>
      <c r="I1232">
        <v>376.48</v>
      </c>
      <c r="J1232" s="7">
        <v>0</v>
      </c>
      <c r="K1232" s="11">
        <f t="shared" si="75"/>
        <v>1062.55</v>
      </c>
      <c r="L1232" s="7">
        <v>1062.55</v>
      </c>
      <c r="M1232" s="10">
        <f t="shared" si="73"/>
        <v>35.431744388499368</v>
      </c>
    </row>
    <row r="1233" spans="1:13" ht="15" hidden="1" customHeight="1" x14ac:dyDescent="0.3">
      <c r="B1233" t="s">
        <v>317</v>
      </c>
      <c r="C1233" s="25">
        <v>44592</v>
      </c>
      <c r="D1233" s="26">
        <v>0.86490740740740746</v>
      </c>
      <c r="E1233" t="s">
        <v>24</v>
      </c>
      <c r="F1233" t="s">
        <v>175</v>
      </c>
      <c r="G1233" t="s">
        <v>172</v>
      </c>
      <c r="H1233" t="s">
        <v>115</v>
      </c>
      <c r="I1233">
        <v>355.71</v>
      </c>
      <c r="J1233" s="31">
        <v>0</v>
      </c>
      <c r="K1233" s="11">
        <f t="shared" si="75"/>
        <v>1042.54</v>
      </c>
      <c r="L1233" s="31">
        <v>1042.54</v>
      </c>
      <c r="M1233" s="10">
        <f t="shared" si="73"/>
        <v>34.119554165787406</v>
      </c>
    </row>
    <row r="1234" spans="1:13" ht="15" hidden="1" customHeight="1" x14ac:dyDescent="0.3">
      <c r="A1234" s="9">
        <v>649</v>
      </c>
      <c r="B1234" t="s">
        <v>317</v>
      </c>
      <c r="C1234" s="25">
        <v>44599</v>
      </c>
      <c r="D1234" s="26">
        <v>0.74637731481481484</v>
      </c>
      <c r="E1234" t="s">
        <v>25</v>
      </c>
      <c r="F1234" t="s">
        <v>175</v>
      </c>
      <c r="G1234" t="s">
        <v>172</v>
      </c>
      <c r="H1234" t="s">
        <v>427</v>
      </c>
      <c r="I1234">
        <v>427.85</v>
      </c>
      <c r="J1234" s="7">
        <v>0</v>
      </c>
      <c r="K1234" s="11">
        <f t="shared" si="75"/>
        <v>0</v>
      </c>
      <c r="L1234" s="7"/>
      <c r="M1234" s="10" t="e">
        <f t="shared" si="73"/>
        <v>#DIV/0!</v>
      </c>
    </row>
    <row r="1235" spans="1:13" ht="15" hidden="1" customHeight="1" x14ac:dyDescent="0.3">
      <c r="A1235" s="9">
        <v>650</v>
      </c>
      <c r="B1235" t="s">
        <v>317</v>
      </c>
      <c r="C1235" s="25">
        <v>44600</v>
      </c>
      <c r="D1235" s="26">
        <v>0.69328703703703709</v>
      </c>
      <c r="E1235" t="s">
        <v>25</v>
      </c>
      <c r="F1235" t="s">
        <v>210</v>
      </c>
      <c r="G1235" t="s">
        <v>211</v>
      </c>
      <c r="H1235" t="s">
        <v>427</v>
      </c>
      <c r="I1235">
        <v>326.02999999999997</v>
      </c>
      <c r="J1235" s="7">
        <v>0</v>
      </c>
      <c r="K1235" s="11">
        <f t="shared" si="75"/>
        <v>834.26</v>
      </c>
      <c r="L1235" s="34">
        <v>834.26</v>
      </c>
      <c r="M1235" s="10">
        <f t="shared" si="73"/>
        <v>39.080142881116195</v>
      </c>
    </row>
    <row r="1236" spans="1:13" ht="15" hidden="1" customHeight="1" x14ac:dyDescent="0.3">
      <c r="A1236" s="9">
        <v>651</v>
      </c>
      <c r="B1236" t="s">
        <v>317</v>
      </c>
      <c r="C1236" s="25">
        <v>44601</v>
      </c>
      <c r="D1236" s="26">
        <v>0.72763888888888895</v>
      </c>
      <c r="E1236" t="s">
        <v>25</v>
      </c>
      <c r="F1236" t="s">
        <v>210</v>
      </c>
      <c r="G1236" t="s">
        <v>211</v>
      </c>
      <c r="H1236" t="s">
        <v>427</v>
      </c>
      <c r="I1236">
        <v>420.02</v>
      </c>
      <c r="J1236" s="7">
        <v>0</v>
      </c>
      <c r="K1236" s="11">
        <f t="shared" si="75"/>
        <v>1065.8900000000001</v>
      </c>
      <c r="L1236" s="33">
        <v>1065.8900000000001</v>
      </c>
      <c r="M1236" s="10">
        <f t="shared" si="73"/>
        <v>39.405567178601913</v>
      </c>
    </row>
    <row r="1237" spans="1:13" ht="15" hidden="1" customHeight="1" x14ac:dyDescent="0.3">
      <c r="A1237" s="9">
        <v>652</v>
      </c>
      <c r="B1237" t="s">
        <v>317</v>
      </c>
      <c r="C1237" s="25">
        <v>44604</v>
      </c>
      <c r="D1237" s="26">
        <v>0.44241898148148145</v>
      </c>
      <c r="E1237" t="s">
        <v>25</v>
      </c>
      <c r="F1237" t="s">
        <v>175</v>
      </c>
      <c r="G1237" t="s">
        <v>172</v>
      </c>
      <c r="H1237" t="s">
        <v>427</v>
      </c>
      <c r="I1237">
        <v>343.61</v>
      </c>
      <c r="J1237" s="7">
        <v>0</v>
      </c>
      <c r="K1237" s="11">
        <f t="shared" si="75"/>
        <v>922.3</v>
      </c>
      <c r="L1237" s="32">
        <v>922.3</v>
      </c>
      <c r="M1237" s="36">
        <f t="shared" si="73"/>
        <v>37.255773609454629</v>
      </c>
    </row>
    <row r="1238" spans="1:13" ht="15" hidden="1" customHeight="1" x14ac:dyDescent="0.3">
      <c r="A1238" s="9">
        <v>653</v>
      </c>
      <c r="B1238" t="s">
        <v>317</v>
      </c>
      <c r="C1238" s="25">
        <v>44605</v>
      </c>
      <c r="D1238" s="26">
        <v>0.45356481481481481</v>
      </c>
      <c r="E1238" t="s">
        <v>25</v>
      </c>
      <c r="F1238" t="s">
        <v>210</v>
      </c>
      <c r="G1238" t="s">
        <v>211</v>
      </c>
      <c r="H1238" t="s">
        <v>427</v>
      </c>
      <c r="I1238">
        <v>340</v>
      </c>
      <c r="J1238" s="7">
        <v>0</v>
      </c>
      <c r="K1238" s="11">
        <f t="shared" si="75"/>
        <v>833.85</v>
      </c>
      <c r="L1238" s="32">
        <v>833.85</v>
      </c>
      <c r="M1238" s="36">
        <f t="shared" si="73"/>
        <v>40.774719673802238</v>
      </c>
    </row>
    <row r="1239" spans="1:13" ht="15" hidden="1" customHeight="1" x14ac:dyDescent="0.3">
      <c r="A1239" s="9">
        <v>654</v>
      </c>
      <c r="B1239" t="s">
        <v>317</v>
      </c>
      <c r="C1239" s="25">
        <v>44606</v>
      </c>
      <c r="D1239" s="26">
        <v>0.45726851851851852</v>
      </c>
      <c r="E1239" t="s">
        <v>25</v>
      </c>
      <c r="F1239" t="s">
        <v>210</v>
      </c>
      <c r="G1239" t="s">
        <v>211</v>
      </c>
      <c r="H1239" t="s">
        <v>427</v>
      </c>
      <c r="I1239">
        <v>370.93</v>
      </c>
      <c r="J1239" s="7">
        <v>0</v>
      </c>
      <c r="K1239" s="11">
        <f t="shared" si="75"/>
        <v>1065.1500000000001</v>
      </c>
      <c r="L1239" s="32">
        <v>1065.1500000000001</v>
      </c>
      <c r="M1239" s="36">
        <f t="shared" si="73"/>
        <v>34.824203163873626</v>
      </c>
    </row>
    <row r="1240" spans="1:13" ht="15" hidden="1" customHeight="1" x14ac:dyDescent="0.3">
      <c r="A1240" s="9">
        <v>655</v>
      </c>
      <c r="B1240" t="s">
        <v>317</v>
      </c>
      <c r="C1240" s="25">
        <v>44607</v>
      </c>
      <c r="D1240" s="26">
        <v>0.85929398148148151</v>
      </c>
      <c r="E1240" t="s">
        <v>25</v>
      </c>
      <c r="F1240" t="s">
        <v>175</v>
      </c>
      <c r="G1240" t="s">
        <v>172</v>
      </c>
      <c r="H1240" t="s">
        <v>427</v>
      </c>
      <c r="I1240">
        <v>323.24</v>
      </c>
      <c r="J1240" s="53">
        <v>0</v>
      </c>
      <c r="K1240" s="53">
        <f t="shared" si="75"/>
        <v>984.15</v>
      </c>
      <c r="L1240" s="32">
        <v>984.15</v>
      </c>
      <c r="M1240" s="36">
        <f t="shared" si="73"/>
        <v>32.844586699182038</v>
      </c>
    </row>
    <row r="1241" spans="1:13" ht="15" hidden="1" customHeight="1" x14ac:dyDescent="0.3">
      <c r="A1241" s="9">
        <v>656</v>
      </c>
      <c r="B1241" t="s">
        <v>317</v>
      </c>
      <c r="C1241" s="25">
        <v>44609</v>
      </c>
      <c r="D1241" s="26">
        <v>0.52521990740740743</v>
      </c>
      <c r="E1241" t="s">
        <v>25</v>
      </c>
      <c r="F1241" t="s">
        <v>210</v>
      </c>
      <c r="G1241" t="s">
        <v>211</v>
      </c>
      <c r="H1241" t="s">
        <v>427</v>
      </c>
      <c r="I1241">
        <v>349.48</v>
      </c>
      <c r="J1241" s="53">
        <v>0</v>
      </c>
      <c r="K1241" s="53">
        <f t="shared" si="75"/>
        <v>862.7</v>
      </c>
      <c r="L1241" s="32">
        <v>862.7</v>
      </c>
      <c r="M1241" s="36">
        <f t="shared" si="73"/>
        <v>40.510026660484527</v>
      </c>
    </row>
    <row r="1242" spans="1:13" ht="15" hidden="1" customHeight="1" x14ac:dyDescent="0.3">
      <c r="A1242" s="9">
        <v>657</v>
      </c>
      <c r="B1242" t="s">
        <v>317</v>
      </c>
      <c r="C1242" s="25">
        <v>44610</v>
      </c>
      <c r="D1242" s="26">
        <v>0.49517361111111113</v>
      </c>
      <c r="E1242" t="s">
        <v>25</v>
      </c>
      <c r="F1242" t="s">
        <v>210</v>
      </c>
      <c r="G1242" t="s">
        <v>211</v>
      </c>
      <c r="H1242" t="s">
        <v>427</v>
      </c>
      <c r="I1242">
        <v>384.89</v>
      </c>
      <c r="J1242" s="32">
        <v>0</v>
      </c>
      <c r="K1242" s="53">
        <f t="shared" si="75"/>
        <v>1065.57</v>
      </c>
      <c r="L1242" s="32">
        <v>1065.57</v>
      </c>
      <c r="M1242" s="36">
        <f t="shared" si="73"/>
        <v>36.12057396510788</v>
      </c>
    </row>
    <row r="1243" spans="1:13" ht="15" hidden="1" customHeight="1" x14ac:dyDescent="0.3">
      <c r="A1243" s="9">
        <v>658</v>
      </c>
      <c r="B1243" t="s">
        <v>317</v>
      </c>
      <c r="C1243" s="25">
        <v>44611</v>
      </c>
      <c r="D1243" s="26">
        <v>0.60747685185185185</v>
      </c>
      <c r="E1243" t="s">
        <v>25</v>
      </c>
      <c r="F1243" t="s">
        <v>175</v>
      </c>
      <c r="G1243" t="s">
        <v>172</v>
      </c>
      <c r="H1243" t="s">
        <v>427</v>
      </c>
      <c r="I1243">
        <v>317.88</v>
      </c>
      <c r="J1243" s="33">
        <v>0</v>
      </c>
      <c r="K1243" s="53">
        <f t="shared" si="75"/>
        <v>914.15</v>
      </c>
      <c r="L1243" s="32">
        <v>914.15</v>
      </c>
      <c r="M1243" s="36">
        <f t="shared" si="73"/>
        <v>34.773286659738559</v>
      </c>
    </row>
    <row r="1244" spans="1:13" ht="15" hidden="1" customHeight="1" x14ac:dyDescent="0.3">
      <c r="A1244" s="9">
        <v>659</v>
      </c>
      <c r="B1244" t="s">
        <v>317</v>
      </c>
      <c r="C1244" s="25">
        <v>44612</v>
      </c>
      <c r="D1244" s="26">
        <v>0.45821759259259259</v>
      </c>
      <c r="E1244" t="s">
        <v>25</v>
      </c>
      <c r="F1244" t="s">
        <v>210</v>
      </c>
      <c r="G1244" t="s">
        <v>211</v>
      </c>
      <c r="H1244" t="s">
        <v>427</v>
      </c>
      <c r="I1244">
        <v>328.47</v>
      </c>
      <c r="J1244" s="32">
        <v>0</v>
      </c>
      <c r="K1244" s="53">
        <f t="shared" si="75"/>
        <v>833.56</v>
      </c>
      <c r="L1244" s="32">
        <v>833.56</v>
      </c>
      <c r="M1244" s="36">
        <f t="shared" si="73"/>
        <v>39.405681654589955</v>
      </c>
    </row>
    <row r="1245" spans="1:13" ht="15" hidden="1" customHeight="1" x14ac:dyDescent="0.3">
      <c r="A1245" s="9">
        <v>660</v>
      </c>
      <c r="B1245" t="s">
        <v>317</v>
      </c>
      <c r="C1245" s="25">
        <v>44613</v>
      </c>
      <c r="D1245" s="26">
        <v>0.47278935185185184</v>
      </c>
      <c r="E1245" t="s">
        <v>25</v>
      </c>
      <c r="F1245" t="s">
        <v>210</v>
      </c>
      <c r="G1245" t="s">
        <v>211</v>
      </c>
      <c r="H1245" t="s">
        <v>427</v>
      </c>
      <c r="I1245">
        <v>405.75</v>
      </c>
      <c r="J1245" s="32">
        <v>0</v>
      </c>
      <c r="K1245" s="53">
        <f t="shared" si="75"/>
        <v>1056.68</v>
      </c>
      <c r="L1245" s="32">
        <v>1056.68</v>
      </c>
      <c r="M1245" s="36">
        <f t="shared" si="73"/>
        <v>38.398569103228979</v>
      </c>
    </row>
    <row r="1246" spans="1:13" ht="15" hidden="1" customHeight="1" x14ac:dyDescent="0.3">
      <c r="A1246" s="9">
        <v>661</v>
      </c>
      <c r="B1246" t="s">
        <v>317</v>
      </c>
      <c r="C1246" s="25">
        <v>44614</v>
      </c>
      <c r="D1246" s="26">
        <v>0.41604166666666664</v>
      </c>
      <c r="E1246" t="s">
        <v>25</v>
      </c>
      <c r="F1246" t="s">
        <v>175</v>
      </c>
      <c r="G1246" t="s">
        <v>172</v>
      </c>
      <c r="H1246" t="s">
        <v>427</v>
      </c>
      <c r="I1246">
        <v>317.73</v>
      </c>
      <c r="J1246" s="32">
        <v>0</v>
      </c>
      <c r="K1246" s="53">
        <f t="shared" si="75"/>
        <v>941.27</v>
      </c>
      <c r="L1246" s="37">
        <v>941.27</v>
      </c>
      <c r="M1246" s="10">
        <f t="shared" si="73"/>
        <v>33.755458051356143</v>
      </c>
    </row>
    <row r="1247" spans="1:13" ht="15" hidden="1" customHeight="1" x14ac:dyDescent="0.3">
      <c r="A1247" s="9">
        <v>1016</v>
      </c>
      <c r="B1247" t="s">
        <v>317</v>
      </c>
      <c r="C1247" s="25">
        <v>44593</v>
      </c>
      <c r="D1247" s="26">
        <v>0.82966435185185183</v>
      </c>
      <c r="E1247" t="s">
        <v>25</v>
      </c>
      <c r="F1247" t="s">
        <v>210</v>
      </c>
      <c r="G1247" t="s">
        <v>211</v>
      </c>
      <c r="H1247" t="s">
        <v>115</v>
      </c>
      <c r="I1247">
        <v>357.6</v>
      </c>
      <c r="J1247" s="7">
        <v>0</v>
      </c>
      <c r="K1247" s="11">
        <f t="shared" si="75"/>
        <v>831.61</v>
      </c>
      <c r="L1247" s="7">
        <v>831.61</v>
      </c>
      <c r="M1247" s="10">
        <f t="shared" si="73"/>
        <v>43.000925914791793</v>
      </c>
    </row>
    <row r="1248" spans="1:13" ht="15" hidden="1" customHeight="1" x14ac:dyDescent="0.3">
      <c r="A1248" s="9">
        <v>1017</v>
      </c>
      <c r="B1248" t="s">
        <v>317</v>
      </c>
      <c r="C1248" s="25">
        <v>44594</v>
      </c>
      <c r="D1248" s="26">
        <v>0.78947916666666673</v>
      </c>
      <c r="E1248" t="s">
        <v>25</v>
      </c>
      <c r="F1248" t="s">
        <v>210</v>
      </c>
      <c r="G1248" t="s">
        <v>211</v>
      </c>
      <c r="H1248" t="s">
        <v>115</v>
      </c>
      <c r="I1248">
        <v>368.59</v>
      </c>
      <c r="J1248" s="7">
        <v>0</v>
      </c>
      <c r="K1248" s="11">
        <f t="shared" si="75"/>
        <v>1062.8699999999999</v>
      </c>
      <c r="L1248" s="7">
        <v>1062.8699999999999</v>
      </c>
      <c r="M1248" s="10">
        <f t="shared" si="73"/>
        <v>34.67874716569289</v>
      </c>
    </row>
    <row r="1249" spans="1:13" ht="15" hidden="1" customHeight="1" x14ac:dyDescent="0.3">
      <c r="A1249" s="9">
        <v>1018</v>
      </c>
      <c r="B1249" t="s">
        <v>317</v>
      </c>
      <c r="C1249" s="25">
        <v>44595</v>
      </c>
      <c r="D1249" s="26">
        <v>0.8453587962962964</v>
      </c>
      <c r="E1249" t="s">
        <v>25</v>
      </c>
      <c r="F1249" t="s">
        <v>175</v>
      </c>
      <c r="G1249" t="s">
        <v>172</v>
      </c>
      <c r="H1249" t="s">
        <v>115</v>
      </c>
      <c r="I1249">
        <v>326.14</v>
      </c>
      <c r="J1249" s="31">
        <v>0</v>
      </c>
      <c r="K1249" s="7">
        <f t="shared" si="75"/>
        <v>1009.37</v>
      </c>
      <c r="L1249" s="35">
        <v>1009.37</v>
      </c>
      <c r="M1249" s="10">
        <f t="shared" ref="M1249:M1312" si="76">I1249/K1249*100</f>
        <v>32.311243647027354</v>
      </c>
    </row>
    <row r="1250" spans="1:13" ht="15" hidden="1" customHeight="1" x14ac:dyDescent="0.3">
      <c r="A1250" s="9">
        <v>1019</v>
      </c>
      <c r="B1250" t="s">
        <v>317</v>
      </c>
      <c r="C1250" s="25">
        <v>44597</v>
      </c>
      <c r="D1250" s="26">
        <v>0.43732638888888892</v>
      </c>
      <c r="E1250" t="s">
        <v>25</v>
      </c>
      <c r="F1250" t="s">
        <v>210</v>
      </c>
      <c r="G1250" t="s">
        <v>211</v>
      </c>
      <c r="H1250" t="s">
        <v>115</v>
      </c>
      <c r="I1250">
        <v>345.01</v>
      </c>
      <c r="J1250" s="7">
        <v>0</v>
      </c>
      <c r="K1250" s="7">
        <f t="shared" ref="K1250:K1281" si="77">+L1250-J1250</f>
        <v>823.93</v>
      </c>
      <c r="L1250" s="7">
        <v>823.93</v>
      </c>
      <c r="M1250" s="10">
        <f t="shared" si="76"/>
        <v>41.873702863107304</v>
      </c>
    </row>
    <row r="1251" spans="1:13" ht="15" hidden="1" customHeight="1" x14ac:dyDescent="0.3">
      <c r="A1251" s="9">
        <v>1020</v>
      </c>
      <c r="B1251" t="s">
        <v>317</v>
      </c>
      <c r="C1251" s="25">
        <v>44598</v>
      </c>
      <c r="D1251" s="26">
        <v>0.49563657407407408</v>
      </c>
      <c r="E1251" t="s">
        <v>25</v>
      </c>
      <c r="F1251" t="s">
        <v>210</v>
      </c>
      <c r="G1251" t="s">
        <v>211</v>
      </c>
      <c r="H1251" t="s">
        <v>115</v>
      </c>
      <c r="I1251">
        <v>390.01</v>
      </c>
      <c r="J1251" s="34">
        <v>0</v>
      </c>
      <c r="K1251" s="7">
        <f t="shared" si="77"/>
        <v>1063.1199999999999</v>
      </c>
      <c r="L1251" s="34">
        <v>1063.1199999999999</v>
      </c>
      <c r="M1251" s="10">
        <f t="shared" si="76"/>
        <v>36.685416509895404</v>
      </c>
    </row>
    <row r="1252" spans="1:13" ht="15" hidden="1" customHeight="1" x14ac:dyDescent="0.3">
      <c r="A1252" s="9">
        <v>1021</v>
      </c>
      <c r="B1252" t="s">
        <v>317</v>
      </c>
      <c r="C1252" s="25">
        <v>44599</v>
      </c>
      <c r="D1252" s="26">
        <v>0.63777777777777778</v>
      </c>
      <c r="E1252" t="s">
        <v>25</v>
      </c>
      <c r="F1252" t="s">
        <v>175</v>
      </c>
      <c r="G1252" t="s">
        <v>172</v>
      </c>
      <c r="H1252" t="s">
        <v>115</v>
      </c>
      <c r="I1252">
        <v>318.24</v>
      </c>
      <c r="J1252" s="7">
        <v>0</v>
      </c>
      <c r="K1252" s="7">
        <f t="shared" si="77"/>
        <v>912.99</v>
      </c>
      <c r="L1252" s="7">
        <v>912.99</v>
      </c>
      <c r="M1252" s="10">
        <f t="shared" si="76"/>
        <v>34.856898761213159</v>
      </c>
    </row>
    <row r="1253" spans="1:13" ht="15" hidden="1" customHeight="1" x14ac:dyDescent="0.3">
      <c r="A1253" s="9">
        <v>1722</v>
      </c>
      <c r="B1253" t="s">
        <v>317</v>
      </c>
      <c r="C1253" s="25">
        <v>44624</v>
      </c>
      <c r="D1253" s="26">
        <v>0.51458333333333328</v>
      </c>
      <c r="E1253" t="s">
        <v>26</v>
      </c>
      <c r="F1253" t="s">
        <v>210</v>
      </c>
      <c r="G1253" t="s">
        <v>211</v>
      </c>
      <c r="H1253" t="s">
        <v>427</v>
      </c>
      <c r="I1253">
        <v>345.79</v>
      </c>
      <c r="J1253" s="32">
        <v>0</v>
      </c>
      <c r="K1253" s="90">
        <f t="shared" si="77"/>
        <v>891.15</v>
      </c>
      <c r="L1253" s="38">
        <v>891.15</v>
      </c>
      <c r="M1253" s="10">
        <f t="shared" si="76"/>
        <v>38.802670706390622</v>
      </c>
    </row>
    <row r="1254" spans="1:13" ht="15" hidden="1" customHeight="1" x14ac:dyDescent="0.3">
      <c r="A1254" s="9">
        <v>1723</v>
      </c>
      <c r="B1254" t="s">
        <v>317</v>
      </c>
      <c r="C1254" s="25">
        <v>44625</v>
      </c>
      <c r="D1254" s="26">
        <v>0.6573148148148148</v>
      </c>
      <c r="E1254" t="s">
        <v>26</v>
      </c>
      <c r="F1254" t="s">
        <v>202</v>
      </c>
      <c r="G1254" t="s">
        <v>203</v>
      </c>
      <c r="H1254" t="s">
        <v>427</v>
      </c>
      <c r="I1254">
        <v>350.65</v>
      </c>
      <c r="J1254" s="32">
        <v>0</v>
      </c>
      <c r="K1254" s="90">
        <f t="shared" si="77"/>
        <v>1092.0999999999999</v>
      </c>
      <c r="L1254" s="32">
        <v>1092.0999999999999</v>
      </c>
      <c r="M1254" s="10">
        <f t="shared" si="76"/>
        <v>32.107865580075085</v>
      </c>
    </row>
    <row r="1255" spans="1:13" ht="15" hidden="1" customHeight="1" x14ac:dyDescent="0.3">
      <c r="A1255" s="9">
        <v>1724</v>
      </c>
      <c r="B1255" t="s">
        <v>317</v>
      </c>
      <c r="C1255" s="25">
        <v>44627</v>
      </c>
      <c r="D1255" s="26">
        <v>0.52622685185185192</v>
      </c>
      <c r="E1255" t="s">
        <v>26</v>
      </c>
      <c r="F1255" t="s">
        <v>202</v>
      </c>
      <c r="G1255" t="s">
        <v>203</v>
      </c>
      <c r="H1255" t="s">
        <v>427</v>
      </c>
      <c r="I1255">
        <v>162.1</v>
      </c>
      <c r="J1255" s="32">
        <v>0</v>
      </c>
      <c r="K1255" s="90">
        <f t="shared" si="77"/>
        <v>513.58000000000004</v>
      </c>
      <c r="L1255" s="32">
        <v>513.58000000000004</v>
      </c>
      <c r="M1255" s="10">
        <f t="shared" si="76"/>
        <v>31.562755559017091</v>
      </c>
    </row>
    <row r="1256" spans="1:13" ht="15" hidden="1" customHeight="1" x14ac:dyDescent="0.3">
      <c r="A1256" s="9">
        <v>1725</v>
      </c>
      <c r="B1256" t="s">
        <v>317</v>
      </c>
      <c r="C1256" s="25">
        <v>44628</v>
      </c>
      <c r="D1256" s="26">
        <v>0.51038194444444451</v>
      </c>
      <c r="E1256" t="s">
        <v>26</v>
      </c>
      <c r="F1256" t="s">
        <v>210</v>
      </c>
      <c r="G1256" t="s">
        <v>211</v>
      </c>
      <c r="H1256" t="s">
        <v>427</v>
      </c>
      <c r="I1256">
        <v>354</v>
      </c>
      <c r="J1256" s="33">
        <v>0</v>
      </c>
      <c r="K1256" s="90">
        <f t="shared" si="77"/>
        <v>1092.76</v>
      </c>
      <c r="L1256" s="32">
        <v>1092.76</v>
      </c>
      <c r="M1256" s="10">
        <f t="shared" si="76"/>
        <v>32.395036421538123</v>
      </c>
    </row>
    <row r="1257" spans="1:13" ht="15" hidden="1" customHeight="1" x14ac:dyDescent="0.3">
      <c r="A1257" s="9">
        <v>1726</v>
      </c>
      <c r="B1257" t="s">
        <v>317</v>
      </c>
      <c r="C1257" s="25">
        <v>44629</v>
      </c>
      <c r="D1257" s="26">
        <v>0.54570601851851852</v>
      </c>
      <c r="E1257" t="s">
        <v>26</v>
      </c>
      <c r="F1257" t="s">
        <v>205</v>
      </c>
      <c r="G1257" t="s">
        <v>206</v>
      </c>
      <c r="H1257" t="s">
        <v>427</v>
      </c>
      <c r="I1257">
        <v>342.83</v>
      </c>
      <c r="J1257" s="32">
        <v>0</v>
      </c>
      <c r="K1257" s="90">
        <f t="shared" si="77"/>
        <v>988.29</v>
      </c>
      <c r="L1257" s="37">
        <v>988.29</v>
      </c>
      <c r="M1257" s="10">
        <f t="shared" si="76"/>
        <v>34.689210656791026</v>
      </c>
    </row>
    <row r="1258" spans="1:13" ht="15" hidden="1" customHeight="1" x14ac:dyDescent="0.3">
      <c r="A1258" s="9">
        <v>1727</v>
      </c>
      <c r="B1258" t="s">
        <v>317</v>
      </c>
      <c r="C1258" s="25">
        <v>44630</v>
      </c>
      <c r="D1258" s="26">
        <v>0.3643055555555556</v>
      </c>
      <c r="E1258" t="s">
        <v>26</v>
      </c>
      <c r="F1258" t="s">
        <v>210</v>
      </c>
      <c r="G1258" t="s">
        <v>211</v>
      </c>
      <c r="H1258" t="s">
        <v>427</v>
      </c>
      <c r="I1258">
        <v>290.69</v>
      </c>
      <c r="J1258" s="32">
        <v>0</v>
      </c>
      <c r="K1258" s="90">
        <f t="shared" si="77"/>
        <v>745.23</v>
      </c>
      <c r="L1258" s="32">
        <v>745.23</v>
      </c>
      <c r="M1258" s="10">
        <f t="shared" si="76"/>
        <v>39.006749594085043</v>
      </c>
    </row>
    <row r="1259" spans="1:13" ht="15" hidden="1" customHeight="1" x14ac:dyDescent="0.3">
      <c r="A1259" s="9">
        <v>1728</v>
      </c>
      <c r="B1259" t="s">
        <v>317</v>
      </c>
      <c r="C1259" s="25">
        <v>44631</v>
      </c>
      <c r="D1259" s="26">
        <v>0.86089120370370376</v>
      </c>
      <c r="E1259" t="s">
        <v>26</v>
      </c>
      <c r="F1259" t="s">
        <v>210</v>
      </c>
      <c r="G1259" t="s">
        <v>211</v>
      </c>
      <c r="H1259" t="s">
        <v>427</v>
      </c>
      <c r="I1259">
        <v>470.76</v>
      </c>
      <c r="J1259" s="37">
        <v>0</v>
      </c>
      <c r="K1259" s="97">
        <f t="shared" si="77"/>
        <v>1124.58</v>
      </c>
      <c r="L1259" s="32">
        <v>1124.58</v>
      </c>
      <c r="M1259" s="10">
        <f t="shared" si="76"/>
        <v>41.860961425598894</v>
      </c>
    </row>
    <row r="1260" spans="1:13" ht="15" hidden="1" customHeight="1" x14ac:dyDescent="0.3">
      <c r="A1260" s="9">
        <v>1729</v>
      </c>
      <c r="B1260" t="s">
        <v>317</v>
      </c>
      <c r="C1260" s="25">
        <v>44634</v>
      </c>
      <c r="D1260" s="26">
        <v>0.42319444444444443</v>
      </c>
      <c r="E1260" t="s">
        <v>26</v>
      </c>
      <c r="F1260" t="s">
        <v>175</v>
      </c>
      <c r="G1260" t="s">
        <v>172</v>
      </c>
      <c r="H1260" t="s">
        <v>427</v>
      </c>
      <c r="I1260">
        <v>327.27999999999997</v>
      </c>
      <c r="J1260" s="32">
        <v>0</v>
      </c>
      <c r="K1260" s="90">
        <f t="shared" si="77"/>
        <v>1047.27</v>
      </c>
      <c r="L1260" s="32">
        <v>1047.27</v>
      </c>
      <c r="M1260" s="10">
        <f t="shared" si="76"/>
        <v>31.250775826673156</v>
      </c>
    </row>
    <row r="1261" spans="1:13" ht="15" hidden="1" customHeight="1" x14ac:dyDescent="0.3">
      <c r="A1261" s="9">
        <v>1730</v>
      </c>
      <c r="B1261" t="s">
        <v>317</v>
      </c>
      <c r="C1261" s="25">
        <v>44634</v>
      </c>
      <c r="D1261" s="26">
        <v>0.87900462962962955</v>
      </c>
      <c r="E1261" t="s">
        <v>26</v>
      </c>
      <c r="F1261" t="s">
        <v>175</v>
      </c>
      <c r="G1261" t="s">
        <v>172</v>
      </c>
      <c r="H1261" t="s">
        <v>427</v>
      </c>
      <c r="I1261">
        <v>123.13</v>
      </c>
      <c r="J1261" s="32">
        <v>0</v>
      </c>
      <c r="K1261" s="90">
        <f t="shared" si="77"/>
        <v>421.46</v>
      </c>
      <c r="L1261" s="32">
        <v>421.46</v>
      </c>
      <c r="M1261" s="10">
        <f t="shared" si="76"/>
        <v>29.215109381673233</v>
      </c>
    </row>
    <row r="1262" spans="1:13" ht="15" hidden="1" customHeight="1" x14ac:dyDescent="0.3">
      <c r="A1262" s="9">
        <v>1731</v>
      </c>
      <c r="B1262" t="s">
        <v>317</v>
      </c>
      <c r="C1262" s="25">
        <v>44635</v>
      </c>
      <c r="D1262" s="26">
        <v>0.89776620370370364</v>
      </c>
      <c r="E1262" t="s">
        <v>26</v>
      </c>
      <c r="F1262" t="s">
        <v>210</v>
      </c>
      <c r="G1262" t="s">
        <v>211</v>
      </c>
      <c r="H1262" t="s">
        <v>427</v>
      </c>
      <c r="I1262">
        <v>343.38</v>
      </c>
      <c r="J1262" s="32">
        <v>0</v>
      </c>
      <c r="K1262" s="90">
        <f t="shared" si="77"/>
        <v>832.97</v>
      </c>
      <c r="L1262" s="32">
        <v>832.97</v>
      </c>
      <c r="M1262" s="10">
        <f t="shared" si="76"/>
        <v>41.223573478036421</v>
      </c>
    </row>
    <row r="1263" spans="1:13" ht="15" hidden="1" customHeight="1" x14ac:dyDescent="0.3">
      <c r="A1263" s="9">
        <v>1732</v>
      </c>
      <c r="B1263" t="s">
        <v>317</v>
      </c>
      <c r="C1263" s="25">
        <v>44636</v>
      </c>
      <c r="D1263" s="26">
        <v>0.55765046296296295</v>
      </c>
      <c r="E1263" t="s">
        <v>26</v>
      </c>
      <c r="F1263" t="s">
        <v>165</v>
      </c>
      <c r="G1263" t="s">
        <v>185</v>
      </c>
      <c r="H1263" t="s">
        <v>427</v>
      </c>
      <c r="I1263">
        <v>100</v>
      </c>
      <c r="J1263" s="33">
        <v>0</v>
      </c>
      <c r="K1263" s="99">
        <f t="shared" si="77"/>
        <v>549.25</v>
      </c>
      <c r="L1263" s="32">
        <v>549.25</v>
      </c>
      <c r="M1263" s="10">
        <f t="shared" si="76"/>
        <v>18.206645425580337</v>
      </c>
    </row>
    <row r="1264" spans="1:13" ht="15" hidden="1" customHeight="1" x14ac:dyDescent="0.3">
      <c r="A1264" s="9">
        <v>1733</v>
      </c>
      <c r="B1264" t="s">
        <v>317</v>
      </c>
      <c r="C1264" s="25">
        <v>44636</v>
      </c>
      <c r="D1264" s="26">
        <v>0.95576388888888886</v>
      </c>
      <c r="E1264" t="s">
        <v>26</v>
      </c>
      <c r="F1264" t="s">
        <v>166</v>
      </c>
      <c r="G1264" t="s">
        <v>161</v>
      </c>
      <c r="H1264" t="s">
        <v>427</v>
      </c>
      <c r="I1264">
        <v>283.02</v>
      </c>
      <c r="J1264" s="32">
        <v>0</v>
      </c>
      <c r="K1264" s="90">
        <f t="shared" si="77"/>
        <v>624.94000000000005</v>
      </c>
      <c r="L1264" s="32">
        <v>624.94000000000005</v>
      </c>
      <c r="M1264" s="10">
        <f t="shared" si="76"/>
        <v>45.287547604570037</v>
      </c>
    </row>
    <row r="1265" spans="1:13" ht="15" hidden="1" customHeight="1" x14ac:dyDescent="0.3">
      <c r="A1265" s="9">
        <v>1734</v>
      </c>
      <c r="B1265" t="s">
        <v>317</v>
      </c>
      <c r="C1265" s="25">
        <v>44639</v>
      </c>
      <c r="D1265" s="26">
        <v>0.63711805555555556</v>
      </c>
      <c r="E1265" t="s">
        <v>26</v>
      </c>
      <c r="F1265" t="s">
        <v>171</v>
      </c>
      <c r="G1265" t="s">
        <v>172</v>
      </c>
      <c r="H1265" t="s">
        <v>427</v>
      </c>
      <c r="I1265">
        <v>363.85</v>
      </c>
      <c r="J1265" s="33">
        <v>0</v>
      </c>
      <c r="K1265" s="99">
        <f t="shared" si="77"/>
        <v>1081.6400000000001</v>
      </c>
      <c r="L1265" s="32">
        <v>1081.6400000000001</v>
      </c>
      <c r="M1265" s="10">
        <f t="shared" si="76"/>
        <v>33.63873377463851</v>
      </c>
    </row>
    <row r="1266" spans="1:13" ht="15" hidden="1" customHeight="1" x14ac:dyDescent="0.3">
      <c r="A1266" s="9">
        <v>1735</v>
      </c>
      <c r="B1266" t="s">
        <v>317</v>
      </c>
      <c r="C1266" s="25">
        <v>44640</v>
      </c>
      <c r="D1266" s="26">
        <v>0.2960416666666667</v>
      </c>
      <c r="E1266" t="s">
        <v>26</v>
      </c>
      <c r="F1266" t="s">
        <v>166</v>
      </c>
      <c r="G1266" t="s">
        <v>161</v>
      </c>
      <c r="H1266" t="s">
        <v>427</v>
      </c>
      <c r="I1266">
        <v>236.77</v>
      </c>
      <c r="J1266" s="32">
        <v>0</v>
      </c>
      <c r="K1266" s="90">
        <f t="shared" si="77"/>
        <v>630.74</v>
      </c>
      <c r="L1266" s="32">
        <v>630.74</v>
      </c>
      <c r="M1266" s="10">
        <f t="shared" si="76"/>
        <v>37.538446903637002</v>
      </c>
    </row>
    <row r="1267" spans="1:13" ht="15" hidden="1" customHeight="1" x14ac:dyDescent="0.3">
      <c r="A1267" s="9">
        <v>1736</v>
      </c>
      <c r="B1267" t="s">
        <v>317</v>
      </c>
      <c r="C1267" s="25">
        <v>44640</v>
      </c>
      <c r="D1267" s="26">
        <v>0.87358796296296293</v>
      </c>
      <c r="E1267" t="s">
        <v>26</v>
      </c>
      <c r="F1267" t="s">
        <v>278</v>
      </c>
      <c r="G1267" t="s">
        <v>279</v>
      </c>
      <c r="H1267" t="s">
        <v>427</v>
      </c>
      <c r="I1267">
        <v>328.3</v>
      </c>
      <c r="J1267" s="32">
        <v>0</v>
      </c>
      <c r="K1267" s="90">
        <f t="shared" si="77"/>
        <v>792.78</v>
      </c>
      <c r="L1267" s="32">
        <v>792.78</v>
      </c>
      <c r="M1267" s="10">
        <f t="shared" si="76"/>
        <v>41.411236408587506</v>
      </c>
    </row>
    <row r="1268" spans="1:13" ht="15" hidden="1" customHeight="1" x14ac:dyDescent="0.3">
      <c r="A1268" s="9">
        <v>1737</v>
      </c>
      <c r="B1268" t="s">
        <v>317</v>
      </c>
      <c r="C1268" s="25">
        <v>44642</v>
      </c>
      <c r="D1268" s="26">
        <v>0.46084490740740741</v>
      </c>
      <c r="E1268" t="s">
        <v>26</v>
      </c>
      <c r="F1268" t="s">
        <v>278</v>
      </c>
      <c r="G1268" t="s">
        <v>279</v>
      </c>
      <c r="H1268" t="s">
        <v>427</v>
      </c>
      <c r="I1268">
        <v>408.01</v>
      </c>
      <c r="J1268" s="32">
        <v>0</v>
      </c>
      <c r="K1268" s="90">
        <f t="shared" si="77"/>
        <v>1267.9000000000001</v>
      </c>
      <c r="L1268" s="32">
        <v>1267.9000000000001</v>
      </c>
      <c r="M1268" s="10">
        <f t="shared" si="76"/>
        <v>32.179982648473853</v>
      </c>
    </row>
    <row r="1269" spans="1:13" ht="15" hidden="1" customHeight="1" x14ac:dyDescent="0.3">
      <c r="A1269" s="9">
        <v>1738</v>
      </c>
      <c r="B1269" t="s">
        <v>317</v>
      </c>
      <c r="C1269" s="25">
        <v>44642</v>
      </c>
      <c r="D1269" s="26">
        <v>0.97251157407407407</v>
      </c>
      <c r="E1269" t="s">
        <v>26</v>
      </c>
      <c r="F1269" t="s">
        <v>210</v>
      </c>
      <c r="G1269" t="s">
        <v>211</v>
      </c>
      <c r="H1269" t="s">
        <v>427</v>
      </c>
      <c r="I1269">
        <v>216.5</v>
      </c>
      <c r="J1269" s="69">
        <v>0</v>
      </c>
      <c r="K1269" s="102">
        <f t="shared" si="77"/>
        <v>715.8</v>
      </c>
      <c r="L1269" s="37">
        <v>715.8</v>
      </c>
      <c r="M1269" s="10">
        <f t="shared" si="76"/>
        <v>30.245878737077398</v>
      </c>
    </row>
    <row r="1270" spans="1:13" ht="15" hidden="1" customHeight="1" x14ac:dyDescent="0.3">
      <c r="A1270" s="9">
        <v>1739</v>
      </c>
      <c r="B1270" t="s">
        <v>317</v>
      </c>
      <c r="C1270" s="25">
        <v>44651</v>
      </c>
      <c r="D1270" s="26">
        <v>0.44152777777777774</v>
      </c>
      <c r="E1270" t="s">
        <v>26</v>
      </c>
      <c r="F1270" t="s">
        <v>175</v>
      </c>
      <c r="G1270" t="s">
        <v>172</v>
      </c>
      <c r="H1270" t="s">
        <v>427</v>
      </c>
      <c r="I1270">
        <v>341.24</v>
      </c>
      <c r="J1270" s="71">
        <v>0</v>
      </c>
      <c r="K1270" s="104">
        <f t="shared" si="77"/>
        <v>1327.56</v>
      </c>
      <c r="L1270" s="32">
        <v>1327.56</v>
      </c>
      <c r="M1270" s="10">
        <f t="shared" si="76"/>
        <v>25.704299617343096</v>
      </c>
    </row>
    <row r="1271" spans="1:13" ht="15" hidden="1" customHeight="1" x14ac:dyDescent="0.3">
      <c r="A1271" s="9">
        <v>2921</v>
      </c>
      <c r="B1271" t="s">
        <v>317</v>
      </c>
      <c r="C1271" s="25">
        <v>44652</v>
      </c>
      <c r="D1271" s="26">
        <v>0.3934259259259259</v>
      </c>
      <c r="E1271" t="s">
        <v>27</v>
      </c>
      <c r="F1271" t="s">
        <v>311</v>
      </c>
      <c r="G1271" t="s">
        <v>303</v>
      </c>
      <c r="H1271" t="s">
        <v>427</v>
      </c>
      <c r="I1271" s="4">
        <v>143.76</v>
      </c>
      <c r="J1271" s="32">
        <v>0</v>
      </c>
      <c r="K1271" s="90">
        <f t="shared" si="77"/>
        <v>402.15</v>
      </c>
      <c r="L1271" s="32">
        <v>402.15</v>
      </c>
      <c r="M1271" s="10">
        <f t="shared" si="76"/>
        <v>35.747855277881385</v>
      </c>
    </row>
    <row r="1272" spans="1:13" ht="15" hidden="1" customHeight="1" x14ac:dyDescent="0.3">
      <c r="A1272" s="9">
        <v>2922</v>
      </c>
      <c r="B1272" t="s">
        <v>317</v>
      </c>
      <c r="C1272" s="25">
        <v>44652</v>
      </c>
      <c r="D1272" s="26">
        <v>0.67894675925925929</v>
      </c>
      <c r="E1272" t="s">
        <v>27</v>
      </c>
      <c r="F1272" t="s">
        <v>210</v>
      </c>
      <c r="G1272" t="s">
        <v>211</v>
      </c>
      <c r="H1272" t="s">
        <v>427</v>
      </c>
      <c r="I1272" s="4">
        <v>179.8</v>
      </c>
      <c r="J1272" s="37">
        <v>0</v>
      </c>
      <c r="K1272" s="100">
        <f t="shared" si="77"/>
        <v>833.92</v>
      </c>
      <c r="L1272" s="38">
        <v>833.92</v>
      </c>
      <c r="M1272" s="10">
        <f t="shared" si="76"/>
        <v>21.560821181887952</v>
      </c>
    </row>
    <row r="1273" spans="1:13" ht="15" hidden="1" customHeight="1" x14ac:dyDescent="0.3">
      <c r="A1273" s="9">
        <v>2923</v>
      </c>
      <c r="B1273" t="s">
        <v>317</v>
      </c>
      <c r="C1273" s="25">
        <v>44653</v>
      </c>
      <c r="D1273" s="26">
        <v>5.7013888888888892E-2</v>
      </c>
      <c r="E1273" t="s">
        <v>27</v>
      </c>
      <c r="F1273" t="s">
        <v>165</v>
      </c>
      <c r="G1273" t="s">
        <v>185</v>
      </c>
      <c r="H1273" t="s">
        <v>427</v>
      </c>
      <c r="I1273" s="4">
        <v>232.39</v>
      </c>
      <c r="J1273" s="32">
        <v>0</v>
      </c>
      <c r="K1273" s="90">
        <f t="shared" si="77"/>
        <v>981</v>
      </c>
      <c r="L1273" s="32">
        <v>981</v>
      </c>
      <c r="M1273" s="10">
        <f t="shared" si="76"/>
        <v>23.689092762487256</v>
      </c>
    </row>
    <row r="1274" spans="1:13" ht="15" hidden="1" customHeight="1" x14ac:dyDescent="0.3">
      <c r="A1274" s="9">
        <v>2924</v>
      </c>
      <c r="B1274" t="s">
        <v>317</v>
      </c>
      <c r="C1274" s="25">
        <v>44653</v>
      </c>
      <c r="D1274" s="26">
        <v>0.65107638888888886</v>
      </c>
      <c r="E1274" t="s">
        <v>27</v>
      </c>
      <c r="F1274" t="s">
        <v>210</v>
      </c>
      <c r="G1274" t="s">
        <v>211</v>
      </c>
      <c r="H1274" t="s">
        <v>427</v>
      </c>
      <c r="I1274" s="4">
        <v>127.33</v>
      </c>
      <c r="J1274" s="37">
        <v>0</v>
      </c>
      <c r="K1274" s="97">
        <f t="shared" si="77"/>
        <v>515.80999999999995</v>
      </c>
      <c r="L1274" s="37">
        <v>515.80999999999995</v>
      </c>
      <c r="M1274" s="10">
        <f t="shared" si="76"/>
        <v>24.685446191427079</v>
      </c>
    </row>
    <row r="1275" spans="1:13" ht="15" hidden="1" customHeight="1" x14ac:dyDescent="0.3">
      <c r="A1275" s="9">
        <v>2925</v>
      </c>
      <c r="B1275" t="s">
        <v>317</v>
      </c>
      <c r="C1275" s="25">
        <v>44656</v>
      </c>
      <c r="D1275" s="26">
        <v>0.32526620370370368</v>
      </c>
      <c r="E1275" t="s">
        <v>27</v>
      </c>
      <c r="F1275" t="s">
        <v>428</v>
      </c>
      <c r="G1275" t="s">
        <v>429</v>
      </c>
      <c r="H1275" t="s">
        <v>427</v>
      </c>
      <c r="I1275" s="4">
        <v>200.1</v>
      </c>
      <c r="J1275" s="32">
        <v>0</v>
      </c>
      <c r="K1275" s="99">
        <f t="shared" si="77"/>
        <v>905.77</v>
      </c>
      <c r="L1275" s="33">
        <v>905.77</v>
      </c>
      <c r="M1275" s="10">
        <f t="shared" si="76"/>
        <v>22.091700983693432</v>
      </c>
    </row>
    <row r="1276" spans="1:13" ht="15" hidden="1" customHeight="1" x14ac:dyDescent="0.3">
      <c r="A1276" s="9">
        <v>2926</v>
      </c>
      <c r="B1276" t="s">
        <v>317</v>
      </c>
      <c r="C1276" s="25">
        <v>44656</v>
      </c>
      <c r="D1276" s="26">
        <v>0.41693287037037036</v>
      </c>
      <c r="E1276" t="s">
        <v>27</v>
      </c>
      <c r="F1276" t="s">
        <v>175</v>
      </c>
      <c r="G1276" t="s">
        <v>172</v>
      </c>
      <c r="H1276" t="s">
        <v>427</v>
      </c>
      <c r="I1276" s="4">
        <v>175.85</v>
      </c>
      <c r="J1276" s="32">
        <v>0</v>
      </c>
      <c r="K1276" s="90">
        <f t="shared" si="77"/>
        <v>1051.45</v>
      </c>
      <c r="L1276" s="32">
        <v>1051.45</v>
      </c>
      <c r="M1276" s="10">
        <f t="shared" si="76"/>
        <v>16.724523277378857</v>
      </c>
    </row>
    <row r="1277" spans="1:13" ht="15" hidden="1" customHeight="1" x14ac:dyDescent="0.3">
      <c r="A1277" s="9">
        <v>2927</v>
      </c>
      <c r="B1277" t="s">
        <v>317</v>
      </c>
      <c r="C1277" s="25">
        <v>44656</v>
      </c>
      <c r="D1277" s="26">
        <v>0.88362268518518527</v>
      </c>
      <c r="E1277" t="s">
        <v>27</v>
      </c>
      <c r="F1277" t="s">
        <v>488</v>
      </c>
      <c r="G1277" t="s">
        <v>489</v>
      </c>
      <c r="H1277" t="s">
        <v>427</v>
      </c>
      <c r="I1277" s="4">
        <v>199.44</v>
      </c>
      <c r="J1277" s="32">
        <v>0</v>
      </c>
      <c r="K1277" s="97">
        <f t="shared" si="77"/>
        <v>584.71</v>
      </c>
      <c r="L1277" s="37">
        <v>584.71</v>
      </c>
      <c r="M1277" s="10">
        <f t="shared" si="76"/>
        <v>34.109216534692408</v>
      </c>
    </row>
    <row r="1278" spans="1:13" ht="15" hidden="1" customHeight="1" x14ac:dyDescent="0.3">
      <c r="A1278" s="9">
        <v>2928</v>
      </c>
      <c r="B1278" t="s">
        <v>317</v>
      </c>
      <c r="C1278" s="25">
        <v>44657</v>
      </c>
      <c r="D1278" s="26">
        <v>0.70670138888888889</v>
      </c>
      <c r="E1278" t="s">
        <v>27</v>
      </c>
      <c r="F1278" t="s">
        <v>165</v>
      </c>
      <c r="G1278" t="s">
        <v>185</v>
      </c>
      <c r="H1278" t="s">
        <v>427</v>
      </c>
      <c r="I1278" s="4">
        <v>340</v>
      </c>
      <c r="J1278" s="32">
        <v>0</v>
      </c>
      <c r="K1278" s="97">
        <f t="shared" si="77"/>
        <v>1529</v>
      </c>
      <c r="L1278" s="37">
        <v>1529</v>
      </c>
      <c r="M1278" s="10">
        <f t="shared" si="76"/>
        <v>22.23675604970569</v>
      </c>
    </row>
    <row r="1279" spans="1:13" ht="15" hidden="1" customHeight="1" x14ac:dyDescent="0.3">
      <c r="A1279" s="9">
        <v>2929</v>
      </c>
      <c r="B1279" t="s">
        <v>317</v>
      </c>
      <c r="C1279" s="25">
        <v>44658</v>
      </c>
      <c r="D1279" s="26">
        <v>0.75055555555555553</v>
      </c>
      <c r="E1279" t="s">
        <v>27</v>
      </c>
      <c r="F1279" t="s">
        <v>202</v>
      </c>
      <c r="G1279" t="s">
        <v>203</v>
      </c>
      <c r="H1279" t="s">
        <v>427</v>
      </c>
      <c r="I1279" s="4">
        <v>150</v>
      </c>
      <c r="J1279" s="32">
        <v>0</v>
      </c>
      <c r="K1279" s="89">
        <f t="shared" si="77"/>
        <v>1054.99</v>
      </c>
      <c r="L1279" s="32">
        <v>1054.99</v>
      </c>
      <c r="M1279" s="10">
        <f t="shared" si="76"/>
        <v>14.218144247812775</v>
      </c>
    </row>
    <row r="1280" spans="1:13" ht="15" hidden="1" customHeight="1" x14ac:dyDescent="0.3">
      <c r="A1280" s="9">
        <v>2930</v>
      </c>
      <c r="B1280" t="s">
        <v>317</v>
      </c>
      <c r="C1280" s="25">
        <v>44659</v>
      </c>
      <c r="D1280" s="26">
        <v>0.58682870370370377</v>
      </c>
      <c r="E1280" t="s">
        <v>27</v>
      </c>
      <c r="F1280" t="s">
        <v>165</v>
      </c>
      <c r="G1280" t="s">
        <v>185</v>
      </c>
      <c r="H1280" t="s">
        <v>427</v>
      </c>
      <c r="I1280" s="4">
        <v>351</v>
      </c>
      <c r="J1280" s="33">
        <v>0</v>
      </c>
      <c r="K1280" s="89">
        <f t="shared" si="77"/>
        <v>576.87</v>
      </c>
      <c r="L1280" s="33">
        <v>576.87</v>
      </c>
      <c r="M1280" s="10">
        <f t="shared" si="76"/>
        <v>60.84559779499714</v>
      </c>
    </row>
    <row r="1281" spans="1:13" ht="15" hidden="1" customHeight="1" x14ac:dyDescent="0.3">
      <c r="A1281" s="9">
        <v>2931</v>
      </c>
      <c r="B1281" t="s">
        <v>317</v>
      </c>
      <c r="C1281" s="25">
        <v>44660</v>
      </c>
      <c r="D1281" s="26">
        <v>0.71658564814814818</v>
      </c>
      <c r="E1281" t="s">
        <v>27</v>
      </c>
      <c r="F1281" t="s">
        <v>202</v>
      </c>
      <c r="G1281" t="s">
        <v>203</v>
      </c>
      <c r="H1281" t="s">
        <v>427</v>
      </c>
      <c r="I1281" s="4">
        <v>150</v>
      </c>
      <c r="J1281" s="32">
        <v>0</v>
      </c>
      <c r="K1281" s="89">
        <f t="shared" si="77"/>
        <v>1051.3699999999999</v>
      </c>
      <c r="L1281" s="32">
        <v>1051.3699999999999</v>
      </c>
      <c r="M1281" s="10">
        <f t="shared" si="76"/>
        <v>14.267099118293276</v>
      </c>
    </row>
    <row r="1282" spans="1:13" ht="15" hidden="1" customHeight="1" x14ac:dyDescent="0.3">
      <c r="A1282" s="9">
        <v>2932</v>
      </c>
      <c r="B1282" t="s">
        <v>317</v>
      </c>
      <c r="C1282" s="25">
        <v>44661</v>
      </c>
      <c r="D1282" s="26">
        <v>0.4548611111111111</v>
      </c>
      <c r="E1282" t="s">
        <v>27</v>
      </c>
      <c r="F1282" t="s">
        <v>165</v>
      </c>
      <c r="G1282" t="s">
        <v>185</v>
      </c>
      <c r="H1282" t="s">
        <v>427</v>
      </c>
      <c r="I1282" s="4">
        <v>374.19</v>
      </c>
      <c r="J1282" s="32">
        <v>0</v>
      </c>
      <c r="K1282" s="89">
        <f t="shared" ref="K1282:K1303" si="78">+L1282-J1282</f>
        <v>576.86</v>
      </c>
      <c r="L1282" s="32">
        <v>576.86</v>
      </c>
      <c r="M1282" s="10">
        <f t="shared" si="76"/>
        <v>64.866692091668682</v>
      </c>
    </row>
    <row r="1283" spans="1:13" ht="15" hidden="1" customHeight="1" x14ac:dyDescent="0.3">
      <c r="A1283" s="9">
        <v>2933</v>
      </c>
      <c r="B1283" t="s">
        <v>317</v>
      </c>
      <c r="C1283" s="25">
        <v>44661</v>
      </c>
      <c r="D1283" s="26">
        <v>0.76797453703703711</v>
      </c>
      <c r="E1283" t="s">
        <v>27</v>
      </c>
      <c r="F1283" t="s">
        <v>210</v>
      </c>
      <c r="G1283" t="s">
        <v>211</v>
      </c>
      <c r="H1283" t="s">
        <v>427</v>
      </c>
      <c r="I1283" s="4">
        <v>117.61</v>
      </c>
      <c r="J1283" s="32">
        <v>0</v>
      </c>
      <c r="K1283" s="89">
        <f t="shared" si="78"/>
        <v>515.51</v>
      </c>
      <c r="L1283" s="32">
        <v>515.51</v>
      </c>
      <c r="M1283" s="10">
        <f t="shared" si="76"/>
        <v>22.814300401544102</v>
      </c>
    </row>
    <row r="1284" spans="1:13" ht="15" hidden="1" customHeight="1" x14ac:dyDescent="0.3">
      <c r="A1284" s="9">
        <v>2934</v>
      </c>
      <c r="B1284" t="s">
        <v>317</v>
      </c>
      <c r="C1284" s="25">
        <v>44662</v>
      </c>
      <c r="D1284" s="26">
        <v>0.45008101851851851</v>
      </c>
      <c r="E1284" t="s">
        <v>27</v>
      </c>
      <c r="F1284" t="s">
        <v>274</v>
      </c>
      <c r="G1284" t="s">
        <v>495</v>
      </c>
      <c r="H1284" t="s">
        <v>427</v>
      </c>
      <c r="I1284" s="4">
        <v>162.66</v>
      </c>
      <c r="J1284" s="37">
        <v>0</v>
      </c>
      <c r="K1284" s="89">
        <f t="shared" si="78"/>
        <v>578.44000000000005</v>
      </c>
      <c r="L1284" s="38">
        <v>578.44000000000005</v>
      </c>
      <c r="M1284" s="10">
        <f t="shared" si="76"/>
        <v>28.12046193209321</v>
      </c>
    </row>
    <row r="1285" spans="1:13" ht="15" hidden="1" customHeight="1" x14ac:dyDescent="0.3">
      <c r="A1285" s="9">
        <v>2935</v>
      </c>
      <c r="B1285" t="s">
        <v>317</v>
      </c>
      <c r="C1285" s="25">
        <v>44662</v>
      </c>
      <c r="D1285" s="26">
        <v>0.8146296296296297</v>
      </c>
      <c r="E1285" t="s">
        <v>27</v>
      </c>
      <c r="F1285" t="s">
        <v>175</v>
      </c>
      <c r="G1285" t="s">
        <v>172</v>
      </c>
      <c r="H1285" t="s">
        <v>427</v>
      </c>
      <c r="I1285" s="4">
        <v>169.19</v>
      </c>
      <c r="J1285" s="32">
        <v>0</v>
      </c>
      <c r="K1285" s="89">
        <f t="shared" si="78"/>
        <v>471.3</v>
      </c>
      <c r="L1285" s="32">
        <v>471.3</v>
      </c>
      <c r="M1285" s="10">
        <f t="shared" si="76"/>
        <v>35.89857840016974</v>
      </c>
    </row>
    <row r="1286" spans="1:13" ht="15" hidden="1" customHeight="1" x14ac:dyDescent="0.3">
      <c r="A1286" s="9">
        <v>2936</v>
      </c>
      <c r="B1286" t="s">
        <v>317</v>
      </c>
      <c r="C1286" s="25">
        <v>44663</v>
      </c>
      <c r="D1286" s="26">
        <v>0.87747685185185187</v>
      </c>
      <c r="E1286" t="s">
        <v>27</v>
      </c>
      <c r="F1286" t="s">
        <v>488</v>
      </c>
      <c r="G1286" t="s">
        <v>489</v>
      </c>
      <c r="H1286" t="s">
        <v>427</v>
      </c>
      <c r="I1286" s="4">
        <v>219.76</v>
      </c>
      <c r="J1286" s="32">
        <v>0</v>
      </c>
      <c r="K1286" s="89">
        <f t="shared" si="78"/>
        <v>1050.6600000000001</v>
      </c>
      <c r="L1286" s="38">
        <v>1050.6600000000001</v>
      </c>
      <c r="M1286" s="10">
        <f t="shared" si="76"/>
        <v>20.916376372946527</v>
      </c>
    </row>
    <row r="1287" spans="1:13" ht="15" hidden="1" customHeight="1" x14ac:dyDescent="0.3">
      <c r="A1287" s="9">
        <v>2937</v>
      </c>
      <c r="B1287" t="s">
        <v>317</v>
      </c>
      <c r="C1287" s="25">
        <v>44664</v>
      </c>
      <c r="D1287" s="26">
        <v>0.86008101851851848</v>
      </c>
      <c r="E1287" t="s">
        <v>27</v>
      </c>
      <c r="F1287" t="s">
        <v>165</v>
      </c>
      <c r="G1287" t="s">
        <v>185</v>
      </c>
      <c r="H1287" t="s">
        <v>427</v>
      </c>
      <c r="I1287" s="4">
        <v>347.01</v>
      </c>
      <c r="J1287" s="32">
        <v>0</v>
      </c>
      <c r="K1287" s="89">
        <f t="shared" si="78"/>
        <v>798.63</v>
      </c>
      <c r="L1287" s="32">
        <v>798.63</v>
      </c>
      <c r="M1287" s="10">
        <f t="shared" si="76"/>
        <v>43.450659253972432</v>
      </c>
    </row>
    <row r="1288" spans="1:13" ht="15" hidden="1" customHeight="1" x14ac:dyDescent="0.3">
      <c r="A1288" s="9">
        <v>2938</v>
      </c>
      <c r="B1288" t="s">
        <v>317</v>
      </c>
      <c r="C1288" s="25">
        <v>44665</v>
      </c>
      <c r="D1288" s="26">
        <v>0.71489583333333329</v>
      </c>
      <c r="E1288" t="s">
        <v>27</v>
      </c>
      <c r="F1288" t="s">
        <v>210</v>
      </c>
      <c r="G1288" t="s">
        <v>211</v>
      </c>
      <c r="H1288" t="s">
        <v>427</v>
      </c>
      <c r="I1288" s="4">
        <v>202.24</v>
      </c>
      <c r="J1288" s="37">
        <v>0</v>
      </c>
      <c r="K1288" s="89">
        <f t="shared" si="78"/>
        <v>573.69000000000005</v>
      </c>
      <c r="L1288" s="37">
        <v>573.69000000000005</v>
      </c>
      <c r="M1288" s="10">
        <f t="shared" si="76"/>
        <v>35.252488277641234</v>
      </c>
    </row>
    <row r="1289" spans="1:13" ht="15" hidden="1" customHeight="1" x14ac:dyDescent="0.3">
      <c r="A1289" s="9">
        <v>2939</v>
      </c>
      <c r="B1289" t="s">
        <v>317</v>
      </c>
      <c r="C1289" s="25">
        <v>44666</v>
      </c>
      <c r="D1289" s="26">
        <v>0.74678240740740742</v>
      </c>
      <c r="E1289" t="s">
        <v>27</v>
      </c>
      <c r="F1289" t="s">
        <v>175</v>
      </c>
      <c r="G1289" t="s">
        <v>172</v>
      </c>
      <c r="H1289" t="s">
        <v>427</v>
      </c>
      <c r="I1289" s="4">
        <v>308</v>
      </c>
      <c r="J1289" s="32">
        <v>0</v>
      </c>
      <c r="K1289" s="89">
        <f t="shared" si="78"/>
        <v>915.26</v>
      </c>
      <c r="L1289" s="37">
        <v>915.26</v>
      </c>
      <c r="M1289" s="10">
        <f t="shared" si="76"/>
        <v>33.651639971155738</v>
      </c>
    </row>
    <row r="1290" spans="1:13" ht="15" hidden="1" customHeight="1" x14ac:dyDescent="0.3">
      <c r="A1290" s="9">
        <v>2940</v>
      </c>
      <c r="B1290" t="s">
        <v>317</v>
      </c>
      <c r="C1290" s="25">
        <v>44667</v>
      </c>
      <c r="D1290" s="26">
        <v>0.60105324074074074</v>
      </c>
      <c r="E1290" t="s">
        <v>27</v>
      </c>
      <c r="F1290" t="s">
        <v>488</v>
      </c>
      <c r="G1290" t="s">
        <v>489</v>
      </c>
      <c r="H1290" t="s">
        <v>427</v>
      </c>
      <c r="I1290" s="4">
        <v>208.81</v>
      </c>
      <c r="J1290" s="32">
        <v>0</v>
      </c>
      <c r="K1290" s="89">
        <f t="shared" si="78"/>
        <v>584.37</v>
      </c>
      <c r="L1290" s="32">
        <v>584.37</v>
      </c>
      <c r="M1290" s="10">
        <f t="shared" si="76"/>
        <v>35.732498245974298</v>
      </c>
    </row>
    <row r="1291" spans="1:13" ht="15" hidden="1" customHeight="1" x14ac:dyDescent="0.3">
      <c r="A1291" s="9">
        <v>2941</v>
      </c>
      <c r="B1291" t="s">
        <v>317</v>
      </c>
      <c r="C1291" s="25">
        <v>44668</v>
      </c>
      <c r="D1291" s="26">
        <v>0.45575231481481482</v>
      </c>
      <c r="E1291" t="s">
        <v>27</v>
      </c>
      <c r="F1291" t="s">
        <v>165</v>
      </c>
      <c r="G1291" t="s">
        <v>185</v>
      </c>
      <c r="H1291" t="s">
        <v>427</v>
      </c>
      <c r="I1291" s="4">
        <v>330.02</v>
      </c>
      <c r="J1291" s="32">
        <v>0</v>
      </c>
      <c r="K1291" s="89">
        <f t="shared" si="78"/>
        <v>798.93</v>
      </c>
      <c r="L1291" s="32">
        <v>798.93</v>
      </c>
      <c r="M1291" s="10">
        <f t="shared" si="76"/>
        <v>41.307749114440568</v>
      </c>
    </row>
    <row r="1292" spans="1:13" ht="15" hidden="1" customHeight="1" x14ac:dyDescent="0.3">
      <c r="A1292" s="9">
        <v>2942</v>
      </c>
      <c r="B1292" t="s">
        <v>317</v>
      </c>
      <c r="C1292" s="25">
        <v>44670</v>
      </c>
      <c r="D1292" s="26">
        <v>0.6136921296296296</v>
      </c>
      <c r="E1292" t="s">
        <v>27</v>
      </c>
      <c r="F1292" t="s">
        <v>340</v>
      </c>
      <c r="G1292" t="s">
        <v>337</v>
      </c>
      <c r="H1292" t="s">
        <v>427</v>
      </c>
      <c r="I1292" s="4">
        <v>214.02</v>
      </c>
      <c r="J1292" s="32">
        <v>0</v>
      </c>
      <c r="K1292" s="89">
        <f t="shared" si="78"/>
        <v>825.94</v>
      </c>
      <c r="L1292" s="32">
        <v>825.94</v>
      </c>
      <c r="M1292" s="10">
        <f t="shared" si="76"/>
        <v>25.912293871225511</v>
      </c>
    </row>
    <row r="1293" spans="1:13" ht="15" hidden="1" customHeight="1" x14ac:dyDescent="0.3">
      <c r="A1293" s="9">
        <v>2943</v>
      </c>
      <c r="B1293" t="s">
        <v>317</v>
      </c>
      <c r="C1293" s="25">
        <v>44671</v>
      </c>
      <c r="D1293" s="26">
        <v>0.48249999999999998</v>
      </c>
      <c r="E1293" t="s">
        <v>27</v>
      </c>
      <c r="F1293" t="s">
        <v>165</v>
      </c>
      <c r="G1293" t="s">
        <v>185</v>
      </c>
      <c r="H1293" t="s">
        <v>427</v>
      </c>
      <c r="I1293" s="4">
        <v>337.7</v>
      </c>
      <c r="J1293" s="32">
        <v>0</v>
      </c>
      <c r="K1293" s="89">
        <f t="shared" si="78"/>
        <v>805.48</v>
      </c>
      <c r="L1293" s="37">
        <v>805.48</v>
      </c>
      <c r="M1293" s="10">
        <f t="shared" si="76"/>
        <v>41.925311615434275</v>
      </c>
    </row>
    <row r="1294" spans="1:13" ht="15" hidden="1" customHeight="1" x14ac:dyDescent="0.3">
      <c r="A1294" s="9">
        <v>2944</v>
      </c>
      <c r="B1294" t="s">
        <v>317</v>
      </c>
      <c r="C1294" s="25">
        <v>44671</v>
      </c>
      <c r="D1294" s="26">
        <v>0.84578703703703706</v>
      </c>
      <c r="E1294" t="s">
        <v>27</v>
      </c>
      <c r="F1294" t="s">
        <v>166</v>
      </c>
      <c r="G1294" t="s">
        <v>161</v>
      </c>
      <c r="H1294" t="s">
        <v>427</v>
      </c>
      <c r="I1294" s="4">
        <v>150.02000000000001</v>
      </c>
      <c r="J1294" s="32">
        <v>0</v>
      </c>
      <c r="K1294" s="89">
        <f t="shared" si="78"/>
        <v>591.91999999999996</v>
      </c>
      <c r="L1294" s="32">
        <v>591.91999999999996</v>
      </c>
      <c r="M1294" s="10">
        <f t="shared" si="76"/>
        <v>25.344641167725374</v>
      </c>
    </row>
    <row r="1295" spans="1:13" ht="15" hidden="1" customHeight="1" x14ac:dyDescent="0.3">
      <c r="A1295" s="9">
        <v>2945</v>
      </c>
      <c r="B1295" t="s">
        <v>317</v>
      </c>
      <c r="C1295" s="25">
        <v>44672</v>
      </c>
      <c r="D1295" s="26">
        <v>0.53055555555555556</v>
      </c>
      <c r="E1295" t="s">
        <v>27</v>
      </c>
      <c r="F1295" t="s">
        <v>274</v>
      </c>
      <c r="G1295" t="s">
        <v>495</v>
      </c>
      <c r="H1295" t="s">
        <v>427</v>
      </c>
      <c r="I1295" s="4">
        <v>50.11</v>
      </c>
      <c r="J1295" s="32">
        <v>0</v>
      </c>
      <c r="K1295" s="89">
        <f t="shared" si="78"/>
        <v>502</v>
      </c>
      <c r="L1295" s="32">
        <v>502</v>
      </c>
      <c r="M1295" s="10">
        <f t="shared" si="76"/>
        <v>9.982071713147409</v>
      </c>
    </row>
    <row r="1296" spans="1:13" ht="15" hidden="1" customHeight="1" x14ac:dyDescent="0.3">
      <c r="A1296" s="9">
        <v>2946</v>
      </c>
      <c r="B1296" t="s">
        <v>317</v>
      </c>
      <c r="C1296" s="25">
        <v>44673</v>
      </c>
      <c r="D1296" s="26">
        <v>0.43877314814814811</v>
      </c>
      <c r="E1296" t="s">
        <v>27</v>
      </c>
      <c r="F1296" t="s">
        <v>175</v>
      </c>
      <c r="G1296" t="s">
        <v>172</v>
      </c>
      <c r="H1296" t="s">
        <v>427</v>
      </c>
      <c r="I1296" s="4">
        <v>303.57</v>
      </c>
      <c r="J1296" s="32">
        <v>0</v>
      </c>
      <c r="K1296" s="89">
        <f t="shared" si="78"/>
        <v>607.82000000000005</v>
      </c>
      <c r="L1296" s="32">
        <v>607.82000000000005</v>
      </c>
      <c r="M1296" s="10">
        <f t="shared" si="76"/>
        <v>49.944062386890856</v>
      </c>
    </row>
    <row r="1297" spans="1:13" ht="15" hidden="1" customHeight="1" x14ac:dyDescent="0.3">
      <c r="A1297" s="9">
        <v>2947</v>
      </c>
      <c r="B1297" t="s">
        <v>317</v>
      </c>
      <c r="C1297" s="25">
        <v>44674</v>
      </c>
      <c r="D1297" s="26">
        <v>0.53907407407407404</v>
      </c>
      <c r="E1297" t="s">
        <v>27</v>
      </c>
      <c r="F1297" t="s">
        <v>166</v>
      </c>
      <c r="G1297" t="s">
        <v>161</v>
      </c>
      <c r="H1297" t="s">
        <v>427</v>
      </c>
      <c r="I1297" s="4">
        <v>252.06</v>
      </c>
      <c r="J1297" s="32">
        <v>0</v>
      </c>
      <c r="K1297" s="89">
        <f t="shared" si="78"/>
        <v>549</v>
      </c>
      <c r="L1297" s="32">
        <v>549</v>
      </c>
      <c r="M1297" s="10">
        <f t="shared" si="76"/>
        <v>45.912568306010932</v>
      </c>
    </row>
    <row r="1298" spans="1:13" ht="15" hidden="1" customHeight="1" x14ac:dyDescent="0.3">
      <c r="A1298" s="9">
        <v>2948</v>
      </c>
      <c r="B1298" t="s">
        <v>317</v>
      </c>
      <c r="C1298" s="25">
        <v>44674</v>
      </c>
      <c r="D1298" s="26">
        <v>0.98805555555555558</v>
      </c>
      <c r="E1298" t="s">
        <v>27</v>
      </c>
      <c r="F1298" t="s">
        <v>165</v>
      </c>
      <c r="G1298" t="s">
        <v>185</v>
      </c>
      <c r="H1298" t="s">
        <v>427</v>
      </c>
      <c r="I1298" s="4">
        <v>288.41000000000003</v>
      </c>
      <c r="J1298" s="38">
        <v>0</v>
      </c>
      <c r="K1298" s="89">
        <f t="shared" si="78"/>
        <v>1240</v>
      </c>
      <c r="L1298" s="38">
        <v>1240</v>
      </c>
      <c r="M1298" s="10">
        <f t="shared" si="76"/>
        <v>23.258870967741938</v>
      </c>
    </row>
    <row r="1299" spans="1:13" ht="15" hidden="1" customHeight="1" x14ac:dyDescent="0.3">
      <c r="A1299" s="9">
        <v>2949</v>
      </c>
      <c r="B1299" t="s">
        <v>317</v>
      </c>
      <c r="C1299" s="25">
        <v>44676</v>
      </c>
      <c r="D1299" s="26">
        <v>0.67689814814814808</v>
      </c>
      <c r="E1299" t="s">
        <v>27</v>
      </c>
      <c r="F1299" t="s">
        <v>210</v>
      </c>
      <c r="G1299" t="s">
        <v>211</v>
      </c>
      <c r="H1299" t="s">
        <v>427</v>
      </c>
      <c r="I1299">
        <v>192.39</v>
      </c>
      <c r="J1299" s="32">
        <v>0</v>
      </c>
      <c r="K1299" s="89">
        <f t="shared" si="78"/>
        <v>1199.6600000000001</v>
      </c>
      <c r="L1299" s="31">
        <v>1199.6600000000001</v>
      </c>
      <c r="M1299" s="10">
        <f t="shared" si="76"/>
        <v>16.037043829084904</v>
      </c>
    </row>
    <row r="1300" spans="1:13" ht="15" hidden="1" customHeight="1" x14ac:dyDescent="0.3">
      <c r="A1300" s="9">
        <v>2950</v>
      </c>
      <c r="B1300" t="s">
        <v>317</v>
      </c>
      <c r="C1300" s="25">
        <v>44677</v>
      </c>
      <c r="D1300" s="26">
        <v>0.46737268518518515</v>
      </c>
      <c r="E1300" t="s">
        <v>27</v>
      </c>
      <c r="F1300" t="s">
        <v>274</v>
      </c>
      <c r="G1300" t="s">
        <v>495</v>
      </c>
      <c r="H1300" t="s">
        <v>427</v>
      </c>
      <c r="I1300">
        <v>50.02</v>
      </c>
      <c r="J1300" s="37">
        <v>0</v>
      </c>
      <c r="K1300" s="89">
        <f t="shared" si="78"/>
        <v>577.72</v>
      </c>
      <c r="L1300" s="7">
        <v>577.72</v>
      </c>
      <c r="M1300" s="10">
        <f t="shared" si="76"/>
        <v>8.6581735096586581</v>
      </c>
    </row>
    <row r="1301" spans="1:13" ht="15" hidden="1" customHeight="1" x14ac:dyDescent="0.3">
      <c r="A1301" s="9">
        <v>2951</v>
      </c>
      <c r="B1301" t="s">
        <v>317</v>
      </c>
      <c r="C1301" s="25">
        <v>44677</v>
      </c>
      <c r="D1301" s="26">
        <v>0.68570601851851853</v>
      </c>
      <c r="E1301" t="s">
        <v>27</v>
      </c>
      <c r="F1301" t="s">
        <v>428</v>
      </c>
      <c r="G1301" t="s">
        <v>429</v>
      </c>
      <c r="H1301" t="s">
        <v>427</v>
      </c>
      <c r="I1301">
        <v>200.15</v>
      </c>
      <c r="J1301" s="33">
        <v>0</v>
      </c>
      <c r="K1301" s="89">
        <f t="shared" si="78"/>
        <v>325.47000000000003</v>
      </c>
      <c r="L1301" s="35">
        <v>325.47000000000003</v>
      </c>
      <c r="M1301" s="10">
        <f t="shared" si="76"/>
        <v>61.495683165883186</v>
      </c>
    </row>
    <row r="1302" spans="1:13" ht="15" hidden="1" customHeight="1" x14ac:dyDescent="0.3">
      <c r="A1302" s="9">
        <v>2952</v>
      </c>
      <c r="B1302" t="s">
        <v>317</v>
      </c>
      <c r="C1302" s="25">
        <v>44678</v>
      </c>
      <c r="D1302" s="26">
        <v>0.55391203703703706</v>
      </c>
      <c r="E1302" t="s">
        <v>27</v>
      </c>
      <c r="F1302" t="s">
        <v>210</v>
      </c>
      <c r="G1302" t="s">
        <v>211</v>
      </c>
      <c r="H1302" t="s">
        <v>427</v>
      </c>
      <c r="I1302">
        <v>29.09</v>
      </c>
      <c r="J1302" s="32">
        <v>0</v>
      </c>
      <c r="K1302" s="89">
        <f t="shared" si="78"/>
        <v>896.78</v>
      </c>
      <c r="L1302" s="7">
        <v>896.78</v>
      </c>
      <c r="M1302" s="10">
        <f t="shared" si="76"/>
        <v>3.243827917660965</v>
      </c>
    </row>
    <row r="1303" spans="1:13" ht="15" hidden="1" customHeight="1" x14ac:dyDescent="0.3">
      <c r="A1303" s="9">
        <v>2953</v>
      </c>
      <c r="B1303" t="s">
        <v>317</v>
      </c>
      <c r="C1303" s="25">
        <v>44679</v>
      </c>
      <c r="D1303" s="26">
        <v>0.61089120370370364</v>
      </c>
      <c r="E1303" t="s">
        <v>27</v>
      </c>
      <c r="F1303" t="s">
        <v>210</v>
      </c>
      <c r="G1303" t="s">
        <v>211</v>
      </c>
      <c r="H1303" t="s">
        <v>427</v>
      </c>
      <c r="I1303">
        <v>128.28</v>
      </c>
      <c r="J1303" s="37">
        <v>0</v>
      </c>
      <c r="K1303" s="89">
        <f t="shared" si="78"/>
        <v>1066</v>
      </c>
      <c r="L1303" s="34">
        <v>1066</v>
      </c>
      <c r="M1303" s="10">
        <f t="shared" si="76"/>
        <v>12.033771106941838</v>
      </c>
    </row>
    <row r="1304" spans="1:13" ht="15" hidden="1" customHeight="1" x14ac:dyDescent="0.3">
      <c r="A1304" s="9">
        <v>3980</v>
      </c>
      <c r="B1304" t="s">
        <v>317</v>
      </c>
      <c r="C1304" s="25">
        <v>44688</v>
      </c>
      <c r="D1304" s="26">
        <v>0.68896990740740749</v>
      </c>
      <c r="E1304" t="s">
        <v>28</v>
      </c>
      <c r="F1304" t="s">
        <v>197</v>
      </c>
      <c r="G1304" t="s">
        <v>44</v>
      </c>
      <c r="H1304" t="s">
        <v>427</v>
      </c>
      <c r="I1304">
        <v>106.32</v>
      </c>
      <c r="J1304" s="32">
        <v>0</v>
      </c>
      <c r="K1304" s="89">
        <f>+L1304-J1434</f>
        <v>262</v>
      </c>
      <c r="L1304" s="33">
        <v>262</v>
      </c>
      <c r="M1304" s="10">
        <f t="shared" si="76"/>
        <v>40.580152671755719</v>
      </c>
    </row>
    <row r="1305" spans="1:13" ht="15" hidden="1" customHeight="1" x14ac:dyDescent="0.3">
      <c r="A1305" s="9">
        <v>3981</v>
      </c>
      <c r="B1305" t="s">
        <v>317</v>
      </c>
      <c r="C1305" s="25">
        <v>44688</v>
      </c>
      <c r="D1305" s="26">
        <v>0.90508101851851863</v>
      </c>
      <c r="E1305" t="s">
        <v>28</v>
      </c>
      <c r="F1305" t="s">
        <v>488</v>
      </c>
      <c r="G1305" t="s">
        <v>489</v>
      </c>
      <c r="H1305" t="s">
        <v>427</v>
      </c>
      <c r="I1305">
        <v>248.44</v>
      </c>
      <c r="J1305" s="32">
        <v>0</v>
      </c>
      <c r="K1305" s="89">
        <f>+L1305-J1435</f>
        <v>339</v>
      </c>
      <c r="L1305" s="32">
        <v>339</v>
      </c>
      <c r="M1305" s="10">
        <f t="shared" si="76"/>
        <v>73.286135693215343</v>
      </c>
    </row>
    <row r="1306" spans="1:13" ht="15" hidden="1" customHeight="1" x14ac:dyDescent="0.3">
      <c r="A1306" s="9">
        <v>4027</v>
      </c>
      <c r="B1306" t="s">
        <v>317</v>
      </c>
      <c r="C1306" s="25">
        <v>44689</v>
      </c>
      <c r="D1306" s="26">
        <v>0.98314814814814822</v>
      </c>
      <c r="E1306" t="s">
        <v>28</v>
      </c>
      <c r="F1306" t="s">
        <v>165</v>
      </c>
      <c r="G1306" t="s">
        <v>185</v>
      </c>
      <c r="H1306" t="s">
        <v>427</v>
      </c>
      <c r="I1306" s="122">
        <v>362.89</v>
      </c>
      <c r="J1306" s="32">
        <v>0</v>
      </c>
      <c r="K1306" s="89">
        <f>+L1306-J1436</f>
        <v>800</v>
      </c>
      <c r="L1306" s="37">
        <v>800</v>
      </c>
      <c r="M1306" s="10">
        <f t="shared" si="76"/>
        <v>45.361249999999998</v>
      </c>
    </row>
    <row r="1307" spans="1:13" ht="15" hidden="1" customHeight="1" x14ac:dyDescent="0.3">
      <c r="A1307" s="9">
        <v>4118</v>
      </c>
      <c r="B1307" t="s">
        <v>317</v>
      </c>
      <c r="C1307" s="25">
        <v>44691</v>
      </c>
      <c r="D1307" s="26">
        <v>0.78370370370370368</v>
      </c>
      <c r="E1307" t="s">
        <v>28</v>
      </c>
      <c r="F1307" t="s">
        <v>533</v>
      </c>
      <c r="G1307" t="s">
        <v>45</v>
      </c>
      <c r="H1307" t="s">
        <v>427</v>
      </c>
      <c r="I1307" s="122">
        <v>346.92</v>
      </c>
      <c r="J1307" s="33">
        <v>0</v>
      </c>
      <c r="K1307" s="89">
        <f>+L1307-J1439</f>
        <v>971</v>
      </c>
      <c r="L1307" s="37">
        <v>971</v>
      </c>
      <c r="M1307" s="10">
        <f t="shared" si="76"/>
        <v>35.728115345005151</v>
      </c>
    </row>
    <row r="1308" spans="1:13" ht="15" hidden="1" customHeight="1" x14ac:dyDescent="0.3">
      <c r="A1308" s="9">
        <v>4168</v>
      </c>
      <c r="B1308" t="s">
        <v>317</v>
      </c>
      <c r="C1308" s="25">
        <v>44692</v>
      </c>
      <c r="D1308" s="26">
        <v>0.74283564814814806</v>
      </c>
      <c r="E1308" t="s">
        <v>28</v>
      </c>
      <c r="F1308" t="s">
        <v>165</v>
      </c>
      <c r="G1308" t="s">
        <v>185</v>
      </c>
      <c r="H1308" t="s">
        <v>427</v>
      </c>
      <c r="I1308" s="122">
        <v>163.86</v>
      </c>
      <c r="J1308" s="33">
        <v>0</v>
      </c>
      <c r="K1308" s="89">
        <f>+L1308-J1441</f>
        <v>356</v>
      </c>
      <c r="L1308" s="32">
        <v>356</v>
      </c>
      <c r="M1308" s="36">
        <f t="shared" si="76"/>
        <v>46.028089887640455</v>
      </c>
    </row>
    <row r="1309" spans="1:13" ht="15" hidden="1" customHeight="1" x14ac:dyDescent="0.3">
      <c r="A1309" s="9">
        <v>4211</v>
      </c>
      <c r="B1309" t="s">
        <v>317</v>
      </c>
      <c r="C1309" s="25">
        <v>44693</v>
      </c>
      <c r="D1309" s="26">
        <v>0.99009259259259252</v>
      </c>
      <c r="E1309" t="s">
        <v>28</v>
      </c>
      <c r="F1309" t="s">
        <v>169</v>
      </c>
      <c r="G1309" t="s">
        <v>511</v>
      </c>
      <c r="H1309" t="s">
        <v>427</v>
      </c>
      <c r="I1309" s="122">
        <v>345.95</v>
      </c>
      <c r="J1309" s="32">
        <v>0</v>
      </c>
      <c r="K1309" s="89">
        <f>+L1309-J1442</f>
        <v>1044</v>
      </c>
      <c r="L1309" s="32">
        <v>1044</v>
      </c>
      <c r="M1309" s="36">
        <f t="shared" si="76"/>
        <v>33.13697318007663</v>
      </c>
    </row>
    <row r="1310" spans="1:13" ht="15" hidden="1" customHeight="1" x14ac:dyDescent="0.3">
      <c r="A1310" s="9">
        <v>4319</v>
      </c>
      <c r="B1310" t="s">
        <v>317</v>
      </c>
      <c r="C1310" s="25">
        <v>44695</v>
      </c>
      <c r="D1310" s="26">
        <v>0.39194444444444443</v>
      </c>
      <c r="E1310" t="s">
        <v>28</v>
      </c>
      <c r="F1310" t="s">
        <v>262</v>
      </c>
      <c r="G1310" t="s">
        <v>263</v>
      </c>
      <c r="H1310" t="s">
        <v>427</v>
      </c>
      <c r="I1310" s="122">
        <v>159.33000000000001</v>
      </c>
      <c r="J1310" s="37">
        <v>0</v>
      </c>
      <c r="K1310" s="89">
        <f>+L1310-J1583</f>
        <v>382</v>
      </c>
      <c r="L1310" s="32">
        <v>382</v>
      </c>
      <c r="M1310" s="36">
        <f t="shared" si="76"/>
        <v>41.709424083769633</v>
      </c>
    </row>
    <row r="1311" spans="1:13" ht="15" hidden="1" customHeight="1" x14ac:dyDescent="0.3">
      <c r="A1311" s="9">
        <v>4385</v>
      </c>
      <c r="B1311" t="s">
        <v>317</v>
      </c>
      <c r="C1311" s="25">
        <v>44696</v>
      </c>
      <c r="D1311" s="26">
        <v>0.39060185185185187</v>
      </c>
      <c r="E1311" t="s">
        <v>28</v>
      </c>
      <c r="F1311" t="s">
        <v>210</v>
      </c>
      <c r="G1311" t="s">
        <v>211</v>
      </c>
      <c r="H1311" t="s">
        <v>427</v>
      </c>
      <c r="I1311">
        <v>235.99</v>
      </c>
      <c r="J1311" s="33">
        <v>0</v>
      </c>
      <c r="K1311" s="89">
        <f>+L1311-J1584</f>
        <v>76</v>
      </c>
      <c r="L1311" s="32">
        <v>76</v>
      </c>
      <c r="M1311" s="36">
        <f t="shared" si="76"/>
        <v>310.51315789473682</v>
      </c>
    </row>
    <row r="1312" spans="1:13" ht="15" hidden="1" customHeight="1" x14ac:dyDescent="0.3">
      <c r="A1312" s="9">
        <v>4386</v>
      </c>
      <c r="B1312" t="s">
        <v>317</v>
      </c>
      <c r="C1312" s="25">
        <v>44696</v>
      </c>
      <c r="D1312" s="26">
        <v>0.80068287037037045</v>
      </c>
      <c r="E1312" t="s">
        <v>28</v>
      </c>
      <c r="F1312" t="s">
        <v>165</v>
      </c>
      <c r="G1312" t="s">
        <v>185</v>
      </c>
      <c r="H1312" t="s">
        <v>427</v>
      </c>
      <c r="I1312">
        <v>230.41</v>
      </c>
      <c r="J1312" s="32">
        <v>0</v>
      </c>
      <c r="K1312" s="89">
        <f>+L1312-J1585</f>
        <v>549</v>
      </c>
      <c r="L1312" s="32">
        <v>549</v>
      </c>
      <c r="M1312" s="36">
        <f t="shared" si="76"/>
        <v>41.96903460837887</v>
      </c>
    </row>
    <row r="1313" spans="1:13" ht="15" hidden="1" customHeight="1" x14ac:dyDescent="0.3">
      <c r="A1313" s="9">
        <v>4405</v>
      </c>
      <c r="B1313" t="s">
        <v>317</v>
      </c>
      <c r="C1313" s="25">
        <v>44696</v>
      </c>
      <c r="D1313" s="26">
        <v>0.340787037037037</v>
      </c>
      <c r="E1313" t="s">
        <v>28</v>
      </c>
      <c r="F1313" t="s">
        <v>166</v>
      </c>
      <c r="G1313" t="s">
        <v>161</v>
      </c>
      <c r="H1313" t="s">
        <v>427</v>
      </c>
      <c r="I1313">
        <v>100</v>
      </c>
      <c r="J1313" s="37">
        <v>0</v>
      </c>
      <c r="K1313" s="89">
        <f>+L1313-J1586</f>
        <v>812</v>
      </c>
      <c r="L1313" s="32">
        <v>812</v>
      </c>
      <c r="M1313" s="36">
        <f t="shared" ref="M1313:M1359" si="79">I1313/K1313*100</f>
        <v>12.315270935960591</v>
      </c>
    </row>
    <row r="1314" spans="1:13" ht="15" hidden="1" customHeight="1" x14ac:dyDescent="0.3">
      <c r="A1314" s="9">
        <v>4454</v>
      </c>
      <c r="B1314" t="s">
        <v>317</v>
      </c>
      <c r="C1314" s="25">
        <v>44697</v>
      </c>
      <c r="D1314" s="26">
        <v>0.85646990740740747</v>
      </c>
      <c r="E1314" t="s">
        <v>28</v>
      </c>
      <c r="F1314" t="s">
        <v>202</v>
      </c>
      <c r="G1314" t="s">
        <v>203</v>
      </c>
      <c r="H1314" t="s">
        <v>427</v>
      </c>
      <c r="I1314">
        <v>100</v>
      </c>
      <c r="J1314" s="32">
        <v>0</v>
      </c>
      <c r="K1314" s="89">
        <f>+L1314-J1587</f>
        <v>1055</v>
      </c>
      <c r="L1314" s="32">
        <v>1055</v>
      </c>
      <c r="M1314" s="36">
        <f t="shared" si="79"/>
        <v>9.4786729857819907</v>
      </c>
    </row>
    <row r="1315" spans="1:13" ht="15" hidden="1" customHeight="1" x14ac:dyDescent="0.3">
      <c r="A1315" s="9">
        <v>4551</v>
      </c>
      <c r="B1315" t="s">
        <v>317</v>
      </c>
      <c r="C1315" s="25">
        <v>44699</v>
      </c>
      <c r="D1315" s="26">
        <v>0.43767361111111108</v>
      </c>
      <c r="E1315" t="s">
        <v>28</v>
      </c>
      <c r="F1315" t="s">
        <v>165</v>
      </c>
      <c r="G1315" t="s">
        <v>185</v>
      </c>
      <c r="H1315" t="s">
        <v>427</v>
      </c>
      <c r="I1315">
        <v>434</v>
      </c>
      <c r="J1315" s="32">
        <v>0</v>
      </c>
      <c r="K1315" s="89">
        <f t="shared" ref="K1315:K1321" si="80">+L1315-J1585</f>
        <v>577</v>
      </c>
      <c r="L1315" s="32">
        <v>577</v>
      </c>
      <c r="M1315" s="36">
        <f t="shared" si="79"/>
        <v>75.216637781629117</v>
      </c>
    </row>
    <row r="1316" spans="1:13" ht="15" hidden="1" customHeight="1" x14ac:dyDescent="0.3">
      <c r="A1316" s="9">
        <v>4552</v>
      </c>
      <c r="B1316" t="s">
        <v>317</v>
      </c>
      <c r="C1316" s="25">
        <v>44699</v>
      </c>
      <c r="D1316" s="26">
        <v>0.77997685185185184</v>
      </c>
      <c r="E1316" t="s">
        <v>28</v>
      </c>
      <c r="F1316" t="s">
        <v>210</v>
      </c>
      <c r="G1316" t="s">
        <v>211</v>
      </c>
      <c r="H1316" t="s">
        <v>427</v>
      </c>
      <c r="I1316">
        <v>158.28</v>
      </c>
      <c r="J1316" s="32">
        <v>0</v>
      </c>
      <c r="K1316" s="89">
        <f t="shared" si="80"/>
        <v>515</v>
      </c>
      <c r="L1316" s="37">
        <v>515</v>
      </c>
      <c r="M1316" s="10">
        <f t="shared" si="79"/>
        <v>30.733980582524271</v>
      </c>
    </row>
    <row r="1317" spans="1:13" ht="15" hidden="1" customHeight="1" x14ac:dyDescent="0.3">
      <c r="A1317" s="9">
        <v>4614</v>
      </c>
      <c r="B1317" t="s">
        <v>317</v>
      </c>
      <c r="C1317" s="25">
        <v>44700</v>
      </c>
      <c r="D1317" s="26">
        <v>0.39435185185185184</v>
      </c>
      <c r="E1317" t="s">
        <v>28</v>
      </c>
      <c r="F1317" t="s">
        <v>274</v>
      </c>
      <c r="G1317" t="s">
        <v>495</v>
      </c>
      <c r="H1317" t="s">
        <v>427</v>
      </c>
      <c r="I1317">
        <v>50.38</v>
      </c>
      <c r="J1317" s="41">
        <v>0</v>
      </c>
      <c r="K1317" s="89">
        <f t="shared" si="80"/>
        <v>548</v>
      </c>
      <c r="L1317" s="37">
        <v>548</v>
      </c>
      <c r="M1317" s="10">
        <f t="shared" si="79"/>
        <v>9.1934306569343072</v>
      </c>
    </row>
    <row r="1318" spans="1:13" ht="15" hidden="1" customHeight="1" x14ac:dyDescent="0.3">
      <c r="A1318" s="9">
        <v>4615</v>
      </c>
      <c r="B1318" t="s">
        <v>317</v>
      </c>
      <c r="C1318" s="25">
        <v>44700</v>
      </c>
      <c r="D1318" s="26">
        <v>0.44909722222222226</v>
      </c>
      <c r="E1318" t="s">
        <v>28</v>
      </c>
      <c r="F1318" t="s">
        <v>401</v>
      </c>
      <c r="G1318" t="s">
        <v>402</v>
      </c>
      <c r="H1318" t="s">
        <v>427</v>
      </c>
      <c r="I1318">
        <v>50</v>
      </c>
      <c r="J1318" s="33">
        <v>0</v>
      </c>
      <c r="K1318" s="89">
        <f t="shared" si="80"/>
        <v>77</v>
      </c>
      <c r="L1318" s="32">
        <v>77</v>
      </c>
      <c r="M1318" s="10">
        <f t="shared" si="79"/>
        <v>64.935064935064929</v>
      </c>
    </row>
    <row r="1319" spans="1:13" ht="15" hidden="1" customHeight="1" x14ac:dyDescent="0.3">
      <c r="A1319" s="9">
        <v>4616</v>
      </c>
      <c r="B1319" t="s">
        <v>317</v>
      </c>
      <c r="C1319" s="25">
        <v>44700</v>
      </c>
      <c r="D1319" s="26">
        <v>0.67449074074074078</v>
      </c>
      <c r="E1319" t="s">
        <v>28</v>
      </c>
      <c r="F1319" t="s">
        <v>205</v>
      </c>
      <c r="G1319" t="s">
        <v>206</v>
      </c>
      <c r="H1319" t="s">
        <v>427</v>
      </c>
      <c r="I1319">
        <v>100</v>
      </c>
      <c r="J1319" s="32">
        <v>0</v>
      </c>
      <c r="K1319" s="89">
        <f t="shared" si="80"/>
        <v>259</v>
      </c>
      <c r="L1319" s="32">
        <v>259</v>
      </c>
      <c r="M1319" s="10">
        <f t="shared" si="79"/>
        <v>38.610038610038607</v>
      </c>
    </row>
    <row r="1320" spans="1:13" ht="15" hidden="1" customHeight="1" x14ac:dyDescent="0.3">
      <c r="A1320" s="9">
        <v>4653</v>
      </c>
      <c r="B1320" t="s">
        <v>317</v>
      </c>
      <c r="C1320" s="25">
        <v>44701</v>
      </c>
      <c r="D1320" s="26">
        <v>0.59424768518518511</v>
      </c>
      <c r="E1320" t="s">
        <v>28</v>
      </c>
      <c r="F1320" t="s">
        <v>166</v>
      </c>
      <c r="G1320" t="s">
        <v>161</v>
      </c>
      <c r="H1320" t="s">
        <v>427</v>
      </c>
      <c r="I1320">
        <v>377.3</v>
      </c>
      <c r="J1320" s="32">
        <v>0</v>
      </c>
      <c r="K1320" s="89">
        <f t="shared" si="80"/>
        <v>773</v>
      </c>
      <c r="L1320" s="33">
        <v>773</v>
      </c>
      <c r="M1320" s="10">
        <f t="shared" si="79"/>
        <v>48.809831824062101</v>
      </c>
    </row>
    <row r="1321" spans="1:13" ht="15" hidden="1" customHeight="1" x14ac:dyDescent="0.3">
      <c r="A1321" s="9">
        <v>4662</v>
      </c>
      <c r="B1321" t="s">
        <v>317</v>
      </c>
      <c r="C1321" s="25">
        <v>44701</v>
      </c>
      <c r="D1321" s="26">
        <v>0.86994212962962969</v>
      </c>
      <c r="E1321" t="s">
        <v>28</v>
      </c>
      <c r="F1321" t="s">
        <v>278</v>
      </c>
      <c r="G1321" t="s">
        <v>279</v>
      </c>
      <c r="H1321" t="s">
        <v>427</v>
      </c>
      <c r="I1321">
        <v>178.99</v>
      </c>
      <c r="J1321" s="37">
        <v>0</v>
      </c>
      <c r="K1321" s="97">
        <f t="shared" si="80"/>
        <v>427</v>
      </c>
      <c r="L1321" s="32">
        <v>427</v>
      </c>
      <c r="M1321" s="10">
        <f t="shared" si="79"/>
        <v>41.918032786885249</v>
      </c>
    </row>
    <row r="1322" spans="1:13" ht="15" hidden="1" customHeight="1" x14ac:dyDescent="0.3">
      <c r="A1322" s="9">
        <v>4725</v>
      </c>
      <c r="B1322" t="s">
        <v>317</v>
      </c>
      <c r="C1322" s="25">
        <v>44702</v>
      </c>
      <c r="D1322" s="26">
        <v>0.7884606481481482</v>
      </c>
      <c r="E1322" t="s">
        <v>28</v>
      </c>
      <c r="F1322" t="s">
        <v>165</v>
      </c>
      <c r="G1322" t="s">
        <v>185</v>
      </c>
      <c r="H1322" t="s">
        <v>427</v>
      </c>
      <c r="I1322">
        <v>261.24</v>
      </c>
      <c r="J1322" s="32">
        <v>0</v>
      </c>
      <c r="K1322" s="97">
        <f t="shared" ref="K1322:K1329" si="81">+L1322-J1586</f>
        <v>640</v>
      </c>
      <c r="L1322" s="37">
        <v>640</v>
      </c>
      <c r="M1322" s="10">
        <f t="shared" si="79"/>
        <v>40.818750000000001</v>
      </c>
    </row>
    <row r="1323" spans="1:13" ht="15" hidden="1" customHeight="1" x14ac:dyDescent="0.3">
      <c r="A1323" s="9">
        <v>4773</v>
      </c>
      <c r="B1323" t="s">
        <v>317</v>
      </c>
      <c r="C1323" s="25">
        <v>44703</v>
      </c>
      <c r="D1323" s="26">
        <v>0.54396990740740747</v>
      </c>
      <c r="E1323" t="s">
        <v>28</v>
      </c>
      <c r="F1323" t="s">
        <v>210</v>
      </c>
      <c r="G1323" t="s">
        <v>211</v>
      </c>
      <c r="H1323" t="s">
        <v>427</v>
      </c>
      <c r="I1323">
        <v>118.44</v>
      </c>
      <c r="J1323" s="38">
        <v>0</v>
      </c>
      <c r="K1323" s="100">
        <f t="shared" si="81"/>
        <v>515</v>
      </c>
      <c r="L1323" s="38">
        <v>515</v>
      </c>
      <c r="M1323" s="10">
        <f t="shared" si="79"/>
        <v>22.998058252427185</v>
      </c>
    </row>
    <row r="1324" spans="1:13" ht="15" hidden="1" customHeight="1" x14ac:dyDescent="0.3">
      <c r="A1324" s="9">
        <v>4825</v>
      </c>
      <c r="B1324" t="s">
        <v>317</v>
      </c>
      <c r="C1324" s="25">
        <v>44704</v>
      </c>
      <c r="D1324" s="26">
        <v>0.39064814814814813</v>
      </c>
      <c r="E1324" t="s">
        <v>28</v>
      </c>
      <c r="F1324" t="s">
        <v>169</v>
      </c>
      <c r="G1324" t="s">
        <v>196</v>
      </c>
      <c r="H1324" t="s">
        <v>427</v>
      </c>
      <c r="I1324">
        <v>164.69</v>
      </c>
      <c r="J1324" s="32">
        <v>0</v>
      </c>
      <c r="K1324" s="89">
        <f t="shared" si="81"/>
        <v>490</v>
      </c>
      <c r="L1324" s="32">
        <v>490</v>
      </c>
      <c r="M1324" s="10">
        <f t="shared" si="79"/>
        <v>33.610204081632652</v>
      </c>
    </row>
    <row r="1325" spans="1:13" ht="15" hidden="1" customHeight="1" x14ac:dyDescent="0.3">
      <c r="A1325" s="9">
        <v>4886</v>
      </c>
      <c r="B1325" t="s">
        <v>317</v>
      </c>
      <c r="C1325" s="25">
        <v>44705</v>
      </c>
      <c r="D1325" s="26">
        <v>0.35155092592592596</v>
      </c>
      <c r="E1325" t="s">
        <v>28</v>
      </c>
      <c r="F1325" t="s">
        <v>175</v>
      </c>
      <c r="G1325" t="s">
        <v>172</v>
      </c>
      <c r="H1325" t="s">
        <v>427</v>
      </c>
      <c r="I1325">
        <v>187.61</v>
      </c>
      <c r="J1325" s="32">
        <v>0</v>
      </c>
      <c r="K1325" s="88">
        <f t="shared" si="81"/>
        <v>592</v>
      </c>
      <c r="L1325" s="38">
        <v>592</v>
      </c>
      <c r="M1325" s="10">
        <f t="shared" si="79"/>
        <v>31.690878378378379</v>
      </c>
    </row>
    <row r="1326" spans="1:13" ht="15" hidden="1" customHeight="1" x14ac:dyDescent="0.3">
      <c r="A1326" s="9">
        <v>4887</v>
      </c>
      <c r="B1326" t="s">
        <v>317</v>
      </c>
      <c r="C1326" s="25">
        <v>44705</v>
      </c>
      <c r="D1326" s="26">
        <v>0.80133101851851851</v>
      </c>
      <c r="E1326" t="s">
        <v>28</v>
      </c>
      <c r="F1326" t="s">
        <v>210</v>
      </c>
      <c r="G1326" t="s">
        <v>211</v>
      </c>
      <c r="H1326" t="s">
        <v>427</v>
      </c>
      <c r="I1326">
        <v>281.49</v>
      </c>
      <c r="J1326" s="37">
        <v>0</v>
      </c>
      <c r="K1326" s="97">
        <f t="shared" si="81"/>
        <v>697</v>
      </c>
      <c r="L1326" s="32">
        <v>697</v>
      </c>
      <c r="M1326" s="10">
        <f t="shared" si="79"/>
        <v>40.385939741750363</v>
      </c>
    </row>
    <row r="1327" spans="1:13" ht="15" hidden="1" customHeight="1" x14ac:dyDescent="0.3">
      <c r="A1327" s="9">
        <v>4941</v>
      </c>
      <c r="B1327" t="s">
        <v>317</v>
      </c>
      <c r="C1327" s="25">
        <v>44706</v>
      </c>
      <c r="D1327" s="26">
        <v>0.45828703703703705</v>
      </c>
      <c r="E1327" t="s">
        <v>28</v>
      </c>
      <c r="F1327" t="s">
        <v>165</v>
      </c>
      <c r="G1327" t="s">
        <v>185</v>
      </c>
      <c r="H1327" t="s">
        <v>427</v>
      </c>
      <c r="I1327">
        <v>210.16</v>
      </c>
      <c r="J1327" s="32">
        <v>0</v>
      </c>
      <c r="K1327" s="90">
        <f t="shared" si="81"/>
        <v>515</v>
      </c>
      <c r="L1327" s="32">
        <v>515</v>
      </c>
      <c r="M1327" s="10">
        <f t="shared" si="79"/>
        <v>40.807766990291263</v>
      </c>
    </row>
    <row r="1328" spans="1:13" ht="15" hidden="1" customHeight="1" x14ac:dyDescent="0.3">
      <c r="A1328" s="9">
        <v>4942</v>
      </c>
      <c r="B1328" t="s">
        <v>317</v>
      </c>
      <c r="C1328" s="25">
        <v>44706</v>
      </c>
      <c r="D1328" s="26">
        <v>0.92060185185185184</v>
      </c>
      <c r="E1328" t="s">
        <v>28</v>
      </c>
      <c r="F1328" t="s">
        <v>202</v>
      </c>
      <c r="G1328" t="s">
        <v>203</v>
      </c>
      <c r="H1328" t="s">
        <v>427</v>
      </c>
      <c r="I1328">
        <v>100</v>
      </c>
      <c r="J1328" s="32">
        <v>0</v>
      </c>
      <c r="K1328" s="90">
        <f t="shared" si="81"/>
        <v>576</v>
      </c>
      <c r="L1328" s="32">
        <v>576</v>
      </c>
      <c r="M1328" s="10">
        <f t="shared" si="79"/>
        <v>17.361111111111111</v>
      </c>
    </row>
    <row r="1329" spans="1:13" ht="15" hidden="1" customHeight="1" x14ac:dyDescent="0.3">
      <c r="A1329" s="9">
        <v>4990</v>
      </c>
      <c r="B1329" t="s">
        <v>317</v>
      </c>
      <c r="C1329" s="25">
        <v>44707</v>
      </c>
      <c r="D1329" s="26">
        <v>0.61496527777777776</v>
      </c>
      <c r="E1329" t="s">
        <v>28</v>
      </c>
      <c r="F1329" t="s">
        <v>642</v>
      </c>
      <c r="G1329" t="s">
        <v>203</v>
      </c>
      <c r="H1329" t="s">
        <v>427</v>
      </c>
      <c r="I1329">
        <v>100</v>
      </c>
      <c r="J1329" s="32">
        <v>0</v>
      </c>
      <c r="K1329" s="90">
        <f t="shared" si="81"/>
        <v>511</v>
      </c>
      <c r="L1329" s="7">
        <v>511</v>
      </c>
      <c r="M1329" s="10">
        <f t="shared" si="79"/>
        <v>19.569471624266143</v>
      </c>
    </row>
    <row r="1330" spans="1:13" ht="15" hidden="1" customHeight="1" x14ac:dyDescent="0.3">
      <c r="A1330" s="9">
        <v>5037</v>
      </c>
      <c r="B1330" t="s">
        <v>317</v>
      </c>
      <c r="C1330" s="25">
        <v>44708</v>
      </c>
      <c r="D1330" s="26">
        <v>0.52256944444444442</v>
      </c>
      <c r="E1330" t="s">
        <v>28</v>
      </c>
      <c r="F1330" t="s">
        <v>634</v>
      </c>
      <c r="G1330" t="s">
        <v>211</v>
      </c>
      <c r="H1330" t="s">
        <v>427</v>
      </c>
      <c r="I1330">
        <v>133.38999999999999</v>
      </c>
      <c r="J1330" s="38">
        <v>0</v>
      </c>
      <c r="K1330" s="100">
        <f>+L1330-J2051</f>
        <v>1092</v>
      </c>
      <c r="L1330" s="35">
        <v>1092</v>
      </c>
      <c r="M1330" s="10">
        <f t="shared" si="79"/>
        <v>12.215201465201464</v>
      </c>
    </row>
    <row r="1331" spans="1:13" ht="15" hidden="1" customHeight="1" x14ac:dyDescent="0.3">
      <c r="A1331" s="9">
        <v>5038</v>
      </c>
      <c r="B1331" t="s">
        <v>317</v>
      </c>
      <c r="C1331" s="25">
        <v>44708</v>
      </c>
      <c r="D1331" s="26">
        <v>0.83052083333333337</v>
      </c>
      <c r="E1331" t="s">
        <v>28</v>
      </c>
      <c r="F1331" t="s">
        <v>637</v>
      </c>
      <c r="G1331" t="s">
        <v>196</v>
      </c>
      <c r="H1331" t="s">
        <v>427</v>
      </c>
      <c r="I1331">
        <v>140</v>
      </c>
      <c r="J1331" s="33">
        <v>0</v>
      </c>
      <c r="K1331" s="99">
        <f>+L1331-J1595</f>
        <v>468</v>
      </c>
      <c r="L1331" s="31">
        <v>468</v>
      </c>
      <c r="M1331" s="10">
        <f t="shared" si="79"/>
        <v>29.914529914529915</v>
      </c>
    </row>
    <row r="1332" spans="1:13" ht="15" hidden="1" customHeight="1" x14ac:dyDescent="0.3">
      <c r="A1332" s="9">
        <v>5095</v>
      </c>
      <c r="B1332" t="s">
        <v>317</v>
      </c>
      <c r="C1332" s="25">
        <v>44709</v>
      </c>
      <c r="D1332" s="26">
        <v>0.64063657407407404</v>
      </c>
      <c r="E1332" t="s">
        <v>28</v>
      </c>
      <c r="F1332" t="s">
        <v>638</v>
      </c>
      <c r="G1332" t="s">
        <v>263</v>
      </c>
      <c r="H1332" t="s">
        <v>427</v>
      </c>
      <c r="I1332">
        <v>153.25</v>
      </c>
      <c r="J1332" s="32">
        <v>0</v>
      </c>
      <c r="K1332" s="90">
        <f>+L1332-J1596</f>
        <v>416</v>
      </c>
      <c r="L1332" s="7">
        <v>416</v>
      </c>
      <c r="M1332" s="10">
        <f t="shared" si="79"/>
        <v>36.838942307692307</v>
      </c>
    </row>
    <row r="1333" spans="1:13" ht="15" hidden="1" customHeight="1" x14ac:dyDescent="0.3">
      <c r="A1333" s="9">
        <v>5463</v>
      </c>
      <c r="B1333" t="s">
        <v>317</v>
      </c>
      <c r="C1333" s="25">
        <v>44716</v>
      </c>
      <c r="D1333" s="26">
        <v>0.81686342592592587</v>
      </c>
      <c r="E1333" t="s">
        <v>29</v>
      </c>
      <c r="F1333" t="s">
        <v>654</v>
      </c>
      <c r="G1333" t="s">
        <v>303</v>
      </c>
      <c r="H1333" t="s">
        <v>427</v>
      </c>
      <c r="I1333">
        <v>150.06</v>
      </c>
      <c r="J1333" s="32">
        <v>0</v>
      </c>
      <c r="K1333" s="97">
        <f>+L1333-J1588</f>
        <v>507</v>
      </c>
      <c r="L1333" s="34">
        <v>507</v>
      </c>
      <c r="M1333" s="10">
        <f t="shared" si="79"/>
        <v>29.597633136094675</v>
      </c>
    </row>
    <row r="1334" spans="1:13" ht="15" hidden="1" customHeight="1" x14ac:dyDescent="0.3">
      <c r="A1334" s="9">
        <v>5511</v>
      </c>
      <c r="B1334" t="s">
        <v>317</v>
      </c>
      <c r="C1334" s="25">
        <v>44717</v>
      </c>
      <c r="D1334" s="26">
        <v>0.42828703703703702</v>
      </c>
      <c r="E1334" t="s">
        <v>29</v>
      </c>
      <c r="F1334" t="s">
        <v>632</v>
      </c>
      <c r="G1334" t="s">
        <v>161</v>
      </c>
      <c r="H1334" t="s">
        <v>427</v>
      </c>
      <c r="I1334" s="8">
        <v>163.75</v>
      </c>
      <c r="J1334" s="33">
        <v>0</v>
      </c>
      <c r="K1334" s="100">
        <f>+L1334-J1589</f>
        <v>710</v>
      </c>
      <c r="L1334" s="35">
        <v>710</v>
      </c>
      <c r="M1334" s="10">
        <f t="shared" si="79"/>
        <v>23.06338028169014</v>
      </c>
    </row>
    <row r="1335" spans="1:13" ht="15" hidden="1" customHeight="1" x14ac:dyDescent="0.3">
      <c r="A1335" s="9">
        <v>5512</v>
      </c>
      <c r="B1335" t="s">
        <v>317</v>
      </c>
      <c r="C1335" s="25">
        <v>44717</v>
      </c>
      <c r="D1335" s="26">
        <v>0.89153935185185185</v>
      </c>
      <c r="E1335" t="s">
        <v>29</v>
      </c>
      <c r="F1335" t="s">
        <v>707</v>
      </c>
      <c r="G1335" t="s">
        <v>45</v>
      </c>
      <c r="H1335" t="s">
        <v>427</v>
      </c>
      <c r="I1335">
        <v>237.13</v>
      </c>
      <c r="J1335" s="32">
        <v>0</v>
      </c>
      <c r="K1335" s="90">
        <f>+L1335-J1590</f>
        <v>562</v>
      </c>
      <c r="L1335" s="7">
        <v>562</v>
      </c>
      <c r="M1335" s="10">
        <f t="shared" si="79"/>
        <v>42.193950177935939</v>
      </c>
    </row>
    <row r="1336" spans="1:13" ht="15" hidden="1" customHeight="1" x14ac:dyDescent="0.3">
      <c r="A1336" s="9">
        <v>5556</v>
      </c>
      <c r="B1336" t="s">
        <v>317</v>
      </c>
      <c r="C1336" s="25">
        <v>44718</v>
      </c>
      <c r="D1336" s="26">
        <v>0.45859953703703704</v>
      </c>
      <c r="E1336" t="s">
        <v>29</v>
      </c>
      <c r="F1336" t="s">
        <v>642</v>
      </c>
      <c r="G1336" t="s">
        <v>203</v>
      </c>
      <c r="H1336" t="s">
        <v>427</v>
      </c>
      <c r="I1336">
        <v>135.09</v>
      </c>
      <c r="J1336" s="37">
        <v>0</v>
      </c>
      <c r="K1336" s="97">
        <f>+L1336-J1581</f>
        <v>489</v>
      </c>
      <c r="L1336" s="34">
        <v>489</v>
      </c>
      <c r="M1336" s="10">
        <f t="shared" si="79"/>
        <v>27.625766871165645</v>
      </c>
    </row>
    <row r="1337" spans="1:13" ht="15" hidden="1" customHeight="1" x14ac:dyDescent="0.3">
      <c r="A1337" s="9">
        <v>5603</v>
      </c>
      <c r="B1337" t="s">
        <v>317</v>
      </c>
      <c r="C1337" s="25">
        <v>44719</v>
      </c>
      <c r="D1337" s="26">
        <v>0.53041666666666665</v>
      </c>
      <c r="E1337" t="s">
        <v>29</v>
      </c>
      <c r="F1337" t="s">
        <v>635</v>
      </c>
      <c r="G1337" t="s">
        <v>185</v>
      </c>
      <c r="H1337" t="s">
        <v>427</v>
      </c>
      <c r="I1337">
        <v>360.18</v>
      </c>
      <c r="J1337" s="37">
        <v>0</v>
      </c>
      <c r="K1337" s="97">
        <f>+L1337-J895</f>
        <v>1055</v>
      </c>
      <c r="L1337" s="34">
        <v>1055</v>
      </c>
      <c r="M1337" s="10">
        <f t="shared" si="79"/>
        <v>34.140284360189575</v>
      </c>
    </row>
    <row r="1338" spans="1:13" ht="15" hidden="1" customHeight="1" x14ac:dyDescent="0.3">
      <c r="A1338" s="9">
        <v>5604</v>
      </c>
      <c r="B1338" t="s">
        <v>317</v>
      </c>
      <c r="C1338" s="25">
        <v>44719</v>
      </c>
      <c r="D1338" s="26">
        <v>0.96159722222222221</v>
      </c>
      <c r="E1338" t="s">
        <v>29</v>
      </c>
      <c r="F1338" t="s">
        <v>634</v>
      </c>
      <c r="G1338" t="s">
        <v>211</v>
      </c>
      <c r="H1338" t="s">
        <v>427</v>
      </c>
      <c r="I1338">
        <v>139.36000000000001</v>
      </c>
      <c r="J1338" s="32">
        <v>0</v>
      </c>
      <c r="K1338" s="90">
        <f>+L1338-J896</f>
        <v>549</v>
      </c>
      <c r="L1338" s="7">
        <v>549</v>
      </c>
      <c r="M1338" s="10">
        <f t="shared" si="79"/>
        <v>25.38433515482696</v>
      </c>
    </row>
    <row r="1339" spans="1:13" ht="15" hidden="1" customHeight="1" x14ac:dyDescent="0.3">
      <c r="A1339" s="9">
        <v>5665</v>
      </c>
      <c r="B1339" t="s">
        <v>317</v>
      </c>
      <c r="C1339" s="25">
        <v>44720</v>
      </c>
      <c r="D1339" s="26">
        <v>0.59932870370370372</v>
      </c>
      <c r="E1339" t="s">
        <v>29</v>
      </c>
      <c r="F1339" t="s">
        <v>656</v>
      </c>
      <c r="G1339" t="s">
        <v>495</v>
      </c>
      <c r="H1339" t="s">
        <v>427</v>
      </c>
      <c r="I1339">
        <v>50.02</v>
      </c>
      <c r="J1339" s="37">
        <v>0</v>
      </c>
      <c r="K1339" s="100">
        <f t="shared" ref="K1339:K1345" si="82">+L1339-J898</f>
        <v>570</v>
      </c>
      <c r="L1339" s="35">
        <v>570</v>
      </c>
      <c r="M1339" s="10">
        <f t="shared" si="79"/>
        <v>8.7754385964912274</v>
      </c>
    </row>
    <row r="1340" spans="1:13" ht="15" hidden="1" customHeight="1" x14ac:dyDescent="0.3">
      <c r="A1340" s="9">
        <v>5768</v>
      </c>
      <c r="B1340" t="s">
        <v>317</v>
      </c>
      <c r="C1340" s="25">
        <v>44722</v>
      </c>
      <c r="D1340" s="26">
        <v>0.36906250000000002</v>
      </c>
      <c r="E1340" t="s">
        <v>29</v>
      </c>
      <c r="F1340" t="s">
        <v>639</v>
      </c>
      <c r="G1340" t="s">
        <v>44</v>
      </c>
      <c r="H1340" t="s">
        <v>427</v>
      </c>
      <c r="I1340">
        <v>115.48</v>
      </c>
      <c r="J1340" s="37">
        <v>0</v>
      </c>
      <c r="K1340" s="97">
        <f t="shared" si="82"/>
        <v>598</v>
      </c>
      <c r="L1340" s="7">
        <v>598</v>
      </c>
      <c r="M1340" s="10">
        <f t="shared" si="79"/>
        <v>19.31103678929766</v>
      </c>
    </row>
    <row r="1341" spans="1:13" ht="15" hidden="1" customHeight="1" x14ac:dyDescent="0.3">
      <c r="A1341" s="9">
        <v>5769</v>
      </c>
      <c r="B1341" t="s">
        <v>317</v>
      </c>
      <c r="C1341" s="25">
        <v>44722</v>
      </c>
      <c r="D1341" s="26">
        <v>0.48046296296296293</v>
      </c>
      <c r="E1341" t="s">
        <v>29</v>
      </c>
      <c r="F1341" t="s">
        <v>654</v>
      </c>
      <c r="G1341" t="s">
        <v>303</v>
      </c>
      <c r="H1341" t="s">
        <v>427</v>
      </c>
      <c r="I1341">
        <v>200</v>
      </c>
      <c r="J1341" s="32">
        <v>0</v>
      </c>
      <c r="K1341" s="97">
        <f t="shared" si="82"/>
        <v>157</v>
      </c>
      <c r="L1341" s="34">
        <v>157</v>
      </c>
      <c r="M1341" s="10">
        <f t="shared" si="79"/>
        <v>127.38853503184713</v>
      </c>
    </row>
    <row r="1342" spans="1:13" ht="15" hidden="1" customHeight="1" x14ac:dyDescent="0.3">
      <c r="A1342" s="9">
        <v>5770</v>
      </c>
      <c r="B1342" t="s">
        <v>317</v>
      </c>
      <c r="C1342" s="25">
        <v>44722</v>
      </c>
      <c r="D1342" s="26">
        <v>0.73968750000000005</v>
      </c>
      <c r="E1342" t="s">
        <v>29</v>
      </c>
      <c r="F1342" t="s">
        <v>634</v>
      </c>
      <c r="G1342" t="s">
        <v>211</v>
      </c>
      <c r="H1342" t="s">
        <v>427</v>
      </c>
      <c r="I1342">
        <v>288.92</v>
      </c>
      <c r="J1342" s="32">
        <v>0</v>
      </c>
      <c r="K1342" s="99">
        <f t="shared" si="82"/>
        <v>431</v>
      </c>
      <c r="L1342" s="31">
        <v>431</v>
      </c>
      <c r="M1342" s="10">
        <f t="shared" si="79"/>
        <v>67.034802784222748</v>
      </c>
    </row>
    <row r="1343" spans="1:13" ht="15" hidden="1" customHeight="1" x14ac:dyDescent="0.3">
      <c r="A1343" s="9">
        <v>5771</v>
      </c>
      <c r="B1343" t="s">
        <v>317</v>
      </c>
      <c r="C1343" s="25">
        <v>44722</v>
      </c>
      <c r="D1343" s="26">
        <v>0.9599537037037037</v>
      </c>
      <c r="E1343" t="s">
        <v>29</v>
      </c>
      <c r="F1343" t="s">
        <v>645</v>
      </c>
      <c r="G1343" t="s">
        <v>279</v>
      </c>
      <c r="H1343" t="s">
        <v>427</v>
      </c>
      <c r="I1343">
        <v>134.03</v>
      </c>
      <c r="J1343" s="32">
        <v>0</v>
      </c>
      <c r="K1343" s="90">
        <f t="shared" si="82"/>
        <v>350</v>
      </c>
      <c r="L1343" s="7">
        <v>350</v>
      </c>
      <c r="M1343" s="10">
        <f t="shared" si="79"/>
        <v>38.294285714285714</v>
      </c>
    </row>
    <row r="1344" spans="1:13" ht="15" hidden="1" customHeight="1" x14ac:dyDescent="0.3">
      <c r="A1344" s="9">
        <v>5817</v>
      </c>
      <c r="B1344" t="s">
        <v>317</v>
      </c>
      <c r="C1344" s="25">
        <v>44723</v>
      </c>
      <c r="D1344" s="26">
        <v>0.8551157407407407</v>
      </c>
      <c r="E1344" t="s">
        <v>29</v>
      </c>
      <c r="F1344" t="s">
        <v>642</v>
      </c>
      <c r="G1344" t="s">
        <v>203</v>
      </c>
      <c r="H1344" t="s">
        <v>427</v>
      </c>
      <c r="I1344">
        <v>340.81</v>
      </c>
      <c r="J1344" s="32">
        <v>0</v>
      </c>
      <c r="K1344" s="100">
        <f t="shared" si="82"/>
        <v>1102</v>
      </c>
      <c r="L1344" s="35">
        <v>1102</v>
      </c>
      <c r="M1344" s="10">
        <f t="shared" si="79"/>
        <v>30.926497277676951</v>
      </c>
    </row>
    <row r="1345" spans="1:20" ht="15" hidden="1" customHeight="1" x14ac:dyDescent="0.3">
      <c r="A1345" s="9">
        <v>5880</v>
      </c>
      <c r="B1345" t="s">
        <v>317</v>
      </c>
      <c r="C1345" s="25">
        <v>44724</v>
      </c>
      <c r="D1345" s="26">
        <v>0.7018402777777778</v>
      </c>
      <c r="E1345" t="s">
        <v>29</v>
      </c>
      <c r="F1345" t="s">
        <v>635</v>
      </c>
      <c r="G1345" t="s">
        <v>185</v>
      </c>
      <c r="H1345" t="s">
        <v>427</v>
      </c>
      <c r="I1345">
        <v>227.54</v>
      </c>
      <c r="J1345" s="33">
        <v>0</v>
      </c>
      <c r="K1345" s="99">
        <f t="shared" si="82"/>
        <v>576</v>
      </c>
      <c r="L1345" s="7">
        <v>576</v>
      </c>
      <c r="M1345" s="10">
        <f t="shared" si="79"/>
        <v>39.503472222222221</v>
      </c>
    </row>
    <row r="1346" spans="1:20" ht="15" hidden="1" customHeight="1" x14ac:dyDescent="0.3">
      <c r="A1346" s="9">
        <v>5938</v>
      </c>
      <c r="B1346" t="s">
        <v>317</v>
      </c>
      <c r="C1346" s="25">
        <v>44725</v>
      </c>
      <c r="D1346" s="26">
        <v>3.170138888888889E-2</v>
      </c>
      <c r="E1346" t="s">
        <v>29</v>
      </c>
      <c r="F1346" t="s">
        <v>634</v>
      </c>
      <c r="G1346" t="s">
        <v>211</v>
      </c>
      <c r="H1346" t="s">
        <v>427</v>
      </c>
      <c r="I1346">
        <v>117</v>
      </c>
      <c r="J1346" s="32">
        <v>0</v>
      </c>
      <c r="K1346" s="89">
        <f>+L1346-J909</f>
        <v>515</v>
      </c>
      <c r="L1346" s="7">
        <v>515</v>
      </c>
      <c r="M1346" s="10">
        <f t="shared" si="79"/>
        <v>22.718446601941746</v>
      </c>
      <c r="N1346" s="2"/>
      <c r="O1346" s="2"/>
      <c r="P1346" s="2"/>
      <c r="Q1346" s="2"/>
      <c r="R1346" s="2"/>
      <c r="S1346" s="2"/>
    </row>
    <row r="1347" spans="1:20" ht="15" hidden="1" customHeight="1" x14ac:dyDescent="0.3">
      <c r="A1347" s="9">
        <v>5939</v>
      </c>
      <c r="B1347" t="s">
        <v>317</v>
      </c>
      <c r="C1347" s="25">
        <v>44725</v>
      </c>
      <c r="D1347" s="26">
        <v>0.65714120370370377</v>
      </c>
      <c r="E1347" t="s">
        <v>29</v>
      </c>
      <c r="F1347" t="s">
        <v>637</v>
      </c>
      <c r="G1347" t="s">
        <v>196</v>
      </c>
      <c r="H1347" t="s">
        <v>427</v>
      </c>
      <c r="I1347">
        <v>158</v>
      </c>
      <c r="J1347" s="37">
        <v>0</v>
      </c>
      <c r="K1347" s="89">
        <f>+L1347-J910</f>
        <v>482</v>
      </c>
      <c r="L1347" s="34">
        <v>482</v>
      </c>
      <c r="M1347" s="10">
        <f t="shared" si="79"/>
        <v>32.780082987551864</v>
      </c>
      <c r="N1347" s="2"/>
      <c r="O1347" s="2"/>
      <c r="P1347" s="2"/>
      <c r="Q1347" s="2"/>
      <c r="R1347" s="2"/>
      <c r="S1347" s="2"/>
    </row>
    <row r="1348" spans="1:20" ht="15" hidden="1" customHeight="1" x14ac:dyDescent="0.3">
      <c r="A1348" s="9">
        <v>5983</v>
      </c>
      <c r="B1348" t="s">
        <v>317</v>
      </c>
      <c r="C1348" s="25">
        <v>44726</v>
      </c>
      <c r="D1348" s="26">
        <v>0.53981481481481486</v>
      </c>
      <c r="E1348" t="s">
        <v>29</v>
      </c>
      <c r="F1348" t="s">
        <v>651</v>
      </c>
      <c r="G1348" t="s">
        <v>172</v>
      </c>
      <c r="H1348" t="s">
        <v>427</v>
      </c>
      <c r="I1348">
        <v>170.52</v>
      </c>
      <c r="J1348" s="32">
        <v>0</v>
      </c>
      <c r="K1348" s="89">
        <v>476</v>
      </c>
      <c r="L1348" s="34">
        <v>476</v>
      </c>
      <c r="M1348" s="10">
        <f t="shared" si="79"/>
        <v>35.82352941176471</v>
      </c>
    </row>
    <row r="1349" spans="1:20" ht="15" hidden="1" customHeight="1" x14ac:dyDescent="0.3">
      <c r="A1349" s="9">
        <v>6104</v>
      </c>
      <c r="B1349" t="s">
        <v>317</v>
      </c>
      <c r="C1349" s="25">
        <v>44728</v>
      </c>
      <c r="D1349" s="26">
        <v>0.32601851851851854</v>
      </c>
      <c r="E1349" t="s">
        <v>29</v>
      </c>
      <c r="F1349" t="s">
        <v>634</v>
      </c>
      <c r="G1349" t="s">
        <v>211</v>
      </c>
      <c r="H1349" t="s">
        <v>427</v>
      </c>
      <c r="I1349" s="125">
        <v>320.01</v>
      </c>
      <c r="J1349" s="32">
        <v>0</v>
      </c>
      <c r="K1349" s="89">
        <v>856</v>
      </c>
      <c r="L1349" s="7">
        <v>856</v>
      </c>
      <c r="M1349" s="10">
        <f t="shared" si="79"/>
        <v>37.384345794392523</v>
      </c>
    </row>
    <row r="1350" spans="1:20" ht="15" hidden="1" customHeight="1" x14ac:dyDescent="0.3">
      <c r="A1350" s="9">
        <v>6105</v>
      </c>
      <c r="B1350" t="s">
        <v>317</v>
      </c>
      <c r="C1350" s="25">
        <v>44728</v>
      </c>
      <c r="D1350" s="26">
        <v>0.88865740740740751</v>
      </c>
      <c r="E1350" t="s">
        <v>29</v>
      </c>
      <c r="F1350" t="s">
        <v>635</v>
      </c>
      <c r="G1350" t="s">
        <v>185</v>
      </c>
      <c r="H1350" t="s">
        <v>427</v>
      </c>
      <c r="I1350" s="125">
        <v>228.87</v>
      </c>
      <c r="J1350" s="32">
        <v>0</v>
      </c>
      <c r="K1350" s="89">
        <v>515</v>
      </c>
      <c r="L1350" s="34">
        <v>515</v>
      </c>
      <c r="M1350" s="10">
        <f t="shared" si="79"/>
        <v>44.440776699029129</v>
      </c>
    </row>
    <row r="1351" spans="1:20" ht="15" hidden="1" customHeight="1" x14ac:dyDescent="0.3">
      <c r="A1351" s="9">
        <v>6161</v>
      </c>
      <c r="B1351" t="s">
        <v>317</v>
      </c>
      <c r="C1351" s="25">
        <v>44729</v>
      </c>
      <c r="D1351" s="26">
        <v>0.7640162037037036</v>
      </c>
      <c r="E1351" t="s">
        <v>29</v>
      </c>
      <c r="F1351" t="s">
        <v>634</v>
      </c>
      <c r="G1351" t="s">
        <v>211</v>
      </c>
      <c r="H1351" t="s">
        <v>427</v>
      </c>
      <c r="I1351" s="125">
        <v>195.92</v>
      </c>
      <c r="J1351" s="37">
        <v>0</v>
      </c>
      <c r="K1351" s="89">
        <v>607</v>
      </c>
      <c r="L1351" s="7">
        <v>607</v>
      </c>
      <c r="M1351" s="10">
        <f t="shared" si="79"/>
        <v>32.27677100494234</v>
      </c>
    </row>
    <row r="1352" spans="1:20" ht="15" hidden="1" customHeight="1" x14ac:dyDescent="0.3">
      <c r="A1352" s="9">
        <v>6241</v>
      </c>
      <c r="B1352" t="s">
        <v>317</v>
      </c>
      <c r="C1352" s="25">
        <v>44731</v>
      </c>
      <c r="D1352" s="26">
        <v>0.44556712962962958</v>
      </c>
      <c r="E1352" t="s">
        <v>29</v>
      </c>
      <c r="F1352" t="s">
        <v>637</v>
      </c>
      <c r="G1352" t="s">
        <v>196</v>
      </c>
      <c r="H1352" t="s">
        <v>427</v>
      </c>
      <c r="I1352" s="125">
        <v>130.54</v>
      </c>
      <c r="J1352" s="53">
        <v>0</v>
      </c>
      <c r="K1352" s="89">
        <v>468</v>
      </c>
      <c r="L1352" s="7">
        <v>468</v>
      </c>
      <c r="M1352" s="10">
        <f t="shared" si="79"/>
        <v>27.893162393162392</v>
      </c>
    </row>
    <row r="1353" spans="1:20" ht="15" hidden="1" customHeight="1" x14ac:dyDescent="0.3">
      <c r="A1353" s="9">
        <v>6337</v>
      </c>
      <c r="B1353" t="s">
        <v>317</v>
      </c>
      <c r="C1353" s="25">
        <v>44734</v>
      </c>
      <c r="D1353" s="26">
        <v>0.31589120370370372</v>
      </c>
      <c r="E1353" t="s">
        <v>29</v>
      </c>
      <c r="F1353" t="s">
        <v>651</v>
      </c>
      <c r="G1353" t="s">
        <v>172</v>
      </c>
      <c r="H1353" t="s">
        <v>427</v>
      </c>
      <c r="I1353" s="125">
        <v>243.71</v>
      </c>
      <c r="J1353" s="33">
        <v>0</v>
      </c>
      <c r="K1353" s="89">
        <v>595</v>
      </c>
      <c r="L1353" s="31">
        <v>595</v>
      </c>
      <c r="M1353" s="10">
        <f t="shared" si="79"/>
        <v>40.959663865546219</v>
      </c>
    </row>
    <row r="1354" spans="1:20" ht="15" hidden="1" customHeight="1" x14ac:dyDescent="0.3">
      <c r="A1354" s="9">
        <v>6338</v>
      </c>
      <c r="B1354" t="s">
        <v>317</v>
      </c>
      <c r="C1354" s="25">
        <v>44734</v>
      </c>
      <c r="D1354" s="26">
        <v>0.7406018518518519</v>
      </c>
      <c r="E1354" t="s">
        <v>29</v>
      </c>
      <c r="F1354" t="s">
        <v>634</v>
      </c>
      <c r="G1354" t="s">
        <v>211</v>
      </c>
      <c r="H1354" t="s">
        <v>427</v>
      </c>
      <c r="I1354" s="148">
        <v>286.89999999999998</v>
      </c>
      <c r="J1354" s="33">
        <v>0</v>
      </c>
      <c r="K1354" s="89">
        <v>697</v>
      </c>
      <c r="L1354" s="7">
        <v>697</v>
      </c>
      <c r="M1354" s="10">
        <f t="shared" si="79"/>
        <v>41.162123385939736</v>
      </c>
    </row>
    <row r="1355" spans="1:20" ht="15" hidden="1" customHeight="1" x14ac:dyDescent="0.3">
      <c r="A1355" s="9">
        <v>6387</v>
      </c>
      <c r="B1355" t="s">
        <v>317</v>
      </c>
      <c r="C1355" s="25">
        <v>44735</v>
      </c>
      <c r="D1355" s="26">
        <v>0.40512731481481484</v>
      </c>
      <c r="E1355" t="s">
        <v>29</v>
      </c>
      <c r="F1355" t="s">
        <v>645</v>
      </c>
      <c r="G1355" t="s">
        <v>279</v>
      </c>
      <c r="H1355" t="s">
        <v>427</v>
      </c>
      <c r="I1355" s="148">
        <v>217</v>
      </c>
      <c r="J1355" s="32">
        <v>0</v>
      </c>
      <c r="K1355" s="89">
        <v>561</v>
      </c>
      <c r="L1355" s="34">
        <v>561</v>
      </c>
      <c r="M1355" s="10">
        <f t="shared" si="79"/>
        <v>38.680926916221033</v>
      </c>
    </row>
    <row r="1356" spans="1:20" ht="15" hidden="1" customHeight="1" x14ac:dyDescent="0.3">
      <c r="A1356" s="9">
        <v>6388</v>
      </c>
      <c r="B1356" t="s">
        <v>317</v>
      </c>
      <c r="C1356" s="25">
        <v>44735</v>
      </c>
      <c r="D1356" s="26">
        <v>0.63856481481481475</v>
      </c>
      <c r="E1356" t="s">
        <v>29</v>
      </c>
      <c r="F1356" t="s">
        <v>634</v>
      </c>
      <c r="G1356" t="s">
        <v>211</v>
      </c>
      <c r="H1356" t="s">
        <v>427</v>
      </c>
      <c r="I1356" s="148">
        <v>94.36</v>
      </c>
      <c r="J1356" s="38">
        <v>0</v>
      </c>
      <c r="K1356" s="89">
        <v>350</v>
      </c>
      <c r="L1356" s="7">
        <v>350</v>
      </c>
      <c r="M1356" s="10">
        <f t="shared" si="79"/>
        <v>26.96</v>
      </c>
    </row>
    <row r="1357" spans="1:20" ht="15" hidden="1" customHeight="1" x14ac:dyDescent="0.3">
      <c r="A1357" s="9">
        <v>6433</v>
      </c>
      <c r="B1357" t="s">
        <v>317</v>
      </c>
      <c r="C1357" s="25">
        <v>44736</v>
      </c>
      <c r="D1357" s="26">
        <v>0.40984953703703703</v>
      </c>
      <c r="E1357" t="s">
        <v>29</v>
      </c>
      <c r="F1357" t="s">
        <v>656</v>
      </c>
      <c r="G1357" t="s">
        <v>495</v>
      </c>
      <c r="H1357" t="s">
        <v>427</v>
      </c>
      <c r="I1357" s="148">
        <v>100.16</v>
      </c>
      <c r="J1357" s="32">
        <v>0</v>
      </c>
      <c r="K1357" s="89">
        <v>570</v>
      </c>
      <c r="L1357" s="7">
        <v>570</v>
      </c>
      <c r="M1357" s="10">
        <f t="shared" si="79"/>
        <v>17.571929824561401</v>
      </c>
    </row>
    <row r="1358" spans="1:20" ht="15" hidden="1" customHeight="1" x14ac:dyDescent="0.3">
      <c r="B1358" t="s">
        <v>570</v>
      </c>
      <c r="C1358" s="25">
        <v>44681</v>
      </c>
      <c r="D1358" s="26">
        <v>0.74302083333333335</v>
      </c>
      <c r="E1358" t="s">
        <v>580</v>
      </c>
      <c r="F1358" t="s">
        <v>166</v>
      </c>
      <c r="G1358" t="s">
        <v>161</v>
      </c>
      <c r="H1358" t="s">
        <v>250</v>
      </c>
      <c r="I1358">
        <v>383.83</v>
      </c>
      <c r="J1358" s="34">
        <v>0</v>
      </c>
      <c r="K1358" s="89">
        <f>+L1358-J1495</f>
        <v>934.98</v>
      </c>
      <c r="L1358" s="7">
        <v>934.98</v>
      </c>
      <c r="M1358" s="10">
        <f t="shared" si="79"/>
        <v>41.052215020642151</v>
      </c>
      <c r="S1358"/>
      <c r="T1358"/>
    </row>
    <row r="1359" spans="1:20" ht="15" hidden="1" customHeight="1" x14ac:dyDescent="0.3">
      <c r="B1359" t="s">
        <v>264</v>
      </c>
      <c r="C1359" s="25">
        <v>44681</v>
      </c>
      <c r="D1359" s="26">
        <v>0.64567129629629627</v>
      </c>
      <c r="E1359" t="s">
        <v>580</v>
      </c>
      <c r="F1359" t="s">
        <v>586</v>
      </c>
      <c r="G1359" t="s">
        <v>521</v>
      </c>
      <c r="H1359" t="s">
        <v>134</v>
      </c>
      <c r="I1359">
        <v>312</v>
      </c>
      <c r="J1359" s="38">
        <v>0</v>
      </c>
      <c r="K1359" s="96">
        <f>+L1359-J1496</f>
        <v>872.76</v>
      </c>
      <c r="L1359" s="35">
        <v>872.76</v>
      </c>
      <c r="M1359" s="131">
        <f t="shared" si="79"/>
        <v>35.748659425271548</v>
      </c>
      <c r="S1359"/>
      <c r="T1359"/>
    </row>
    <row r="1360" spans="1:20" ht="15" hidden="1" customHeight="1" x14ac:dyDescent="0.3">
      <c r="B1360" t="s">
        <v>215</v>
      </c>
      <c r="C1360" s="25">
        <v>44681</v>
      </c>
      <c r="D1360" s="26">
        <v>0.71390046296296295</v>
      </c>
      <c r="E1360" t="s">
        <v>580</v>
      </c>
      <c r="F1360" t="s">
        <v>165</v>
      </c>
      <c r="G1360" t="s">
        <v>185</v>
      </c>
      <c r="H1360" t="s">
        <v>540</v>
      </c>
      <c r="I1360" s="8">
        <v>300</v>
      </c>
      <c r="J1360" s="32">
        <v>0</v>
      </c>
      <c r="K1360" s="90">
        <f>+L1360-J1498</f>
        <v>1596</v>
      </c>
      <c r="L1360" s="32">
        <v>1596</v>
      </c>
      <c r="M1360" s="91">
        <f>I1360/L1360*100</f>
        <v>18.796992481203006</v>
      </c>
      <c r="S1360"/>
      <c r="T1360"/>
    </row>
    <row r="1361" spans="1:20" ht="15" hidden="1" customHeight="1" x14ac:dyDescent="0.3">
      <c r="B1361" t="s">
        <v>258</v>
      </c>
      <c r="C1361" s="25">
        <v>44681</v>
      </c>
      <c r="D1361" s="26">
        <v>0.58559027777777783</v>
      </c>
      <c r="E1361" t="s">
        <v>580</v>
      </c>
      <c r="F1361" t="s">
        <v>210</v>
      </c>
      <c r="G1361" t="s">
        <v>211</v>
      </c>
      <c r="H1361" t="s">
        <v>259</v>
      </c>
      <c r="I1361">
        <v>334.63</v>
      </c>
      <c r="J1361" s="38">
        <v>0</v>
      </c>
      <c r="K1361" s="92">
        <f>+L1361-J1498</f>
        <v>815</v>
      </c>
      <c r="L1361" s="35">
        <v>815</v>
      </c>
      <c r="M1361" s="61">
        <f>I1361/K1361*100</f>
        <v>41.058895705521472</v>
      </c>
      <c r="S1361"/>
      <c r="T1361"/>
    </row>
    <row r="1362" spans="1:20" ht="15" hidden="1" customHeight="1" x14ac:dyDescent="0.3">
      <c r="B1362" t="s">
        <v>249</v>
      </c>
      <c r="C1362" s="25">
        <v>44681</v>
      </c>
      <c r="D1362" s="26">
        <v>0.56418981481481478</v>
      </c>
      <c r="E1362" t="s">
        <v>580</v>
      </c>
      <c r="F1362" t="s">
        <v>210</v>
      </c>
      <c r="G1362" t="s">
        <v>211</v>
      </c>
      <c r="H1362" t="s">
        <v>440</v>
      </c>
      <c r="I1362">
        <v>160.01</v>
      </c>
      <c r="J1362" s="7">
        <v>0</v>
      </c>
      <c r="K1362" s="89">
        <f>+L1362-J1362</f>
        <v>431</v>
      </c>
      <c r="L1362" s="32">
        <v>431</v>
      </c>
      <c r="M1362" s="10">
        <f>I1362/L1362*100</f>
        <v>37.125290023201856</v>
      </c>
      <c r="O1362" s="4" t="s">
        <v>100</v>
      </c>
      <c r="R1362" s="18" t="s">
        <v>123</v>
      </c>
      <c r="S1362"/>
      <c r="T1362"/>
    </row>
    <row r="1363" spans="1:20" ht="15" hidden="1" customHeight="1" x14ac:dyDescent="0.3">
      <c r="B1363" t="s">
        <v>359</v>
      </c>
      <c r="C1363" s="25">
        <v>44681</v>
      </c>
      <c r="D1363" s="26">
        <v>0.45917824074074076</v>
      </c>
      <c r="E1363" t="s">
        <v>580</v>
      </c>
      <c r="F1363" t="s">
        <v>175</v>
      </c>
      <c r="G1363" t="s">
        <v>172</v>
      </c>
      <c r="H1363" t="s">
        <v>167</v>
      </c>
      <c r="I1363">
        <v>300</v>
      </c>
      <c r="J1363" s="34">
        <v>0</v>
      </c>
      <c r="K1363" s="89">
        <f>+L1363-J1363</f>
        <v>1158</v>
      </c>
      <c r="L1363" s="34">
        <v>1158</v>
      </c>
      <c r="M1363" s="10">
        <f>I1363/L1363*100</f>
        <v>25.906735751295333</v>
      </c>
      <c r="O1363" s="4" t="s">
        <v>102</v>
      </c>
      <c r="R1363" s="18" t="s">
        <v>116</v>
      </c>
      <c r="S1363" s="2"/>
      <c r="T1363"/>
    </row>
    <row r="1364" spans="1:20" ht="15" hidden="1" customHeight="1" x14ac:dyDescent="0.3">
      <c r="B1364" t="s">
        <v>359</v>
      </c>
      <c r="C1364" s="25">
        <v>44681</v>
      </c>
      <c r="D1364" s="26">
        <v>0.9196875000000001</v>
      </c>
      <c r="E1364" t="s">
        <v>580</v>
      </c>
      <c r="F1364" t="s">
        <v>210</v>
      </c>
      <c r="G1364" t="s">
        <v>211</v>
      </c>
      <c r="H1364" t="s">
        <v>167</v>
      </c>
      <c r="I1364">
        <v>395.37</v>
      </c>
      <c r="J1364" s="7">
        <v>0</v>
      </c>
      <c r="K1364" s="89">
        <f>+L1364-J1501</f>
        <v>691.24</v>
      </c>
      <c r="L1364" s="31">
        <v>691.24</v>
      </c>
      <c r="M1364" s="10">
        <f>I1364/L1364*100</f>
        <v>57.197210809559628</v>
      </c>
      <c r="O1364" s="4" t="s">
        <v>103</v>
      </c>
      <c r="R1364" s="18" t="s">
        <v>108</v>
      </c>
      <c r="S1364" s="2"/>
      <c r="T1364"/>
    </row>
    <row r="1365" spans="1:20" ht="15" hidden="1" customHeight="1" x14ac:dyDescent="0.3">
      <c r="B1365" t="s">
        <v>221</v>
      </c>
      <c r="C1365" s="25">
        <v>44681</v>
      </c>
      <c r="D1365" s="26">
        <v>0.8517824074074074</v>
      </c>
      <c r="E1365" t="s">
        <v>580</v>
      </c>
      <c r="F1365" t="s">
        <v>166</v>
      </c>
      <c r="G1365" t="s">
        <v>161</v>
      </c>
      <c r="H1365" t="s">
        <v>222</v>
      </c>
      <c r="I1365" s="4">
        <v>200</v>
      </c>
      <c r="J1365" s="34">
        <v>0</v>
      </c>
      <c r="K1365" s="89">
        <f>+L1365-J1365</f>
        <v>1739</v>
      </c>
      <c r="L1365" s="32">
        <v>1739</v>
      </c>
      <c r="M1365" s="10">
        <f>I1365/K1365*100</f>
        <v>11.500862564692351</v>
      </c>
      <c r="S1365"/>
      <c r="T1365"/>
    </row>
    <row r="1366" spans="1:20" ht="15" hidden="1" customHeight="1" x14ac:dyDescent="0.3">
      <c r="B1366" t="s">
        <v>221</v>
      </c>
      <c r="C1366" s="25">
        <v>44681</v>
      </c>
      <c r="D1366" s="26">
        <v>0.92104166666666665</v>
      </c>
      <c r="E1366" t="s">
        <v>580</v>
      </c>
      <c r="F1366" t="s">
        <v>210</v>
      </c>
      <c r="G1366" t="s">
        <v>211</v>
      </c>
      <c r="H1366" t="s">
        <v>222</v>
      </c>
      <c r="I1366" s="4">
        <v>567.47</v>
      </c>
      <c r="J1366" s="39">
        <v>0</v>
      </c>
      <c r="K1366" s="89">
        <f>+L1366-J1366</f>
        <v>75</v>
      </c>
      <c r="L1366" s="37">
        <v>75</v>
      </c>
      <c r="M1366" s="10">
        <f>I1366/L1366*100</f>
        <v>756.62666666666678</v>
      </c>
      <c r="O1366" s="4" t="s">
        <v>62</v>
      </c>
      <c r="R1366" s="18" t="s">
        <v>135</v>
      </c>
      <c r="S1366"/>
      <c r="T1366"/>
    </row>
    <row r="1367" spans="1:20" ht="15" hidden="1" customHeight="1" x14ac:dyDescent="0.3">
      <c r="B1367" t="s">
        <v>312</v>
      </c>
      <c r="C1367" s="25">
        <v>44681</v>
      </c>
      <c r="D1367" s="26">
        <v>0.31069444444444444</v>
      </c>
      <c r="E1367" t="s">
        <v>580</v>
      </c>
      <c r="F1367" t="s">
        <v>175</v>
      </c>
      <c r="G1367" t="s">
        <v>172</v>
      </c>
      <c r="H1367" t="s">
        <v>313</v>
      </c>
      <c r="I1367">
        <v>410.22</v>
      </c>
      <c r="J1367" s="37">
        <v>0</v>
      </c>
      <c r="K1367" s="89">
        <f>+L1367-J1367</f>
        <v>1079</v>
      </c>
      <c r="L1367" s="37">
        <v>1079</v>
      </c>
      <c r="M1367" s="10">
        <f>I1367/K1367*100</f>
        <v>38.018535681186286</v>
      </c>
      <c r="O1367" s="4" t="s">
        <v>104</v>
      </c>
      <c r="R1367" s="18" t="s">
        <v>120</v>
      </c>
      <c r="S1367"/>
      <c r="T1367"/>
    </row>
    <row r="1368" spans="1:20" ht="15" hidden="1" customHeight="1" x14ac:dyDescent="0.3">
      <c r="B1368" t="s">
        <v>312</v>
      </c>
      <c r="C1368" s="25">
        <v>44681</v>
      </c>
      <c r="D1368" s="26">
        <v>0.92731481481481481</v>
      </c>
      <c r="E1368" t="s">
        <v>580</v>
      </c>
      <c r="F1368" t="s">
        <v>210</v>
      </c>
      <c r="G1368" t="s">
        <v>211</v>
      </c>
      <c r="H1368" t="s">
        <v>313</v>
      </c>
      <c r="I1368">
        <v>344.43</v>
      </c>
      <c r="J1368" s="32">
        <v>0</v>
      </c>
      <c r="K1368" s="89">
        <f>+L1368-J1368</f>
        <v>845</v>
      </c>
      <c r="L1368" s="32">
        <v>845</v>
      </c>
      <c r="M1368" s="10">
        <f>I1368/K1368*100</f>
        <v>40.76094674556213</v>
      </c>
      <c r="O1368" s="4" t="s">
        <v>65</v>
      </c>
      <c r="R1368" s="18" t="s">
        <v>115</v>
      </c>
      <c r="S1368"/>
      <c r="T1368"/>
    </row>
    <row r="1369" spans="1:20" ht="15" hidden="1" customHeight="1" x14ac:dyDescent="0.3">
      <c r="B1369" t="s">
        <v>421</v>
      </c>
      <c r="C1369" s="25">
        <v>44681</v>
      </c>
      <c r="D1369" s="26">
        <v>0.63453703703703701</v>
      </c>
      <c r="E1369" t="s">
        <v>580</v>
      </c>
      <c r="F1369" t="s">
        <v>293</v>
      </c>
      <c r="G1369" t="s">
        <v>196</v>
      </c>
      <c r="H1369" t="s">
        <v>422</v>
      </c>
      <c r="I1369">
        <v>286.39999999999998</v>
      </c>
      <c r="J1369" s="32">
        <v>0</v>
      </c>
      <c r="K1369" s="89">
        <f>+L1369-J1507</f>
        <v>1000</v>
      </c>
      <c r="L1369" s="7">
        <v>1000</v>
      </c>
      <c r="M1369" s="10">
        <f>I1369/L1369*100</f>
        <v>28.64</v>
      </c>
      <c r="O1369" s="4" t="s">
        <v>57</v>
      </c>
      <c r="R1369" s="18" t="s">
        <v>139</v>
      </c>
      <c r="S1369"/>
      <c r="T1369"/>
    </row>
    <row r="1370" spans="1:20" ht="15" hidden="1" customHeight="1" x14ac:dyDescent="0.3">
      <c r="B1370" t="s">
        <v>416</v>
      </c>
      <c r="C1370" s="25">
        <v>44681</v>
      </c>
      <c r="D1370" s="26">
        <v>0.66621527777777778</v>
      </c>
      <c r="E1370" t="s">
        <v>580</v>
      </c>
      <c r="F1370" t="s">
        <v>210</v>
      </c>
      <c r="G1370" t="s">
        <v>211</v>
      </c>
      <c r="H1370" t="s">
        <v>282</v>
      </c>
      <c r="I1370">
        <v>409.94</v>
      </c>
      <c r="J1370" s="32">
        <v>0</v>
      </c>
      <c r="K1370" s="89">
        <f>+L1370-J1505</f>
        <v>1063.71</v>
      </c>
      <c r="L1370" s="32">
        <v>1063.71</v>
      </c>
      <c r="M1370" s="10">
        <f>I1370/L1370*100</f>
        <v>38.53869945755892</v>
      </c>
      <c r="S1370"/>
      <c r="T1370"/>
    </row>
    <row r="1371" spans="1:20" ht="15" hidden="1" customHeight="1" x14ac:dyDescent="0.3">
      <c r="A1371" s="9">
        <v>5294</v>
      </c>
      <c r="B1371" t="s">
        <v>551</v>
      </c>
      <c r="C1371" s="25">
        <v>44713</v>
      </c>
      <c r="D1371" s="26">
        <v>0.3845601851851852</v>
      </c>
      <c r="E1371" t="s">
        <v>29</v>
      </c>
      <c r="F1371" t="s">
        <v>651</v>
      </c>
      <c r="G1371" t="s">
        <v>172</v>
      </c>
      <c r="H1371" t="s">
        <v>140</v>
      </c>
      <c r="I1371">
        <v>401.34</v>
      </c>
      <c r="J1371" s="33">
        <v>0</v>
      </c>
      <c r="K1371" s="96">
        <f>+L1371-J1600</f>
        <v>1087</v>
      </c>
      <c r="L1371" s="31">
        <v>1087</v>
      </c>
      <c r="M1371" s="131">
        <f>I1371/K1371*100</f>
        <v>36.921803127874881</v>
      </c>
    </row>
    <row r="1372" spans="1:20" ht="15" hidden="1" customHeight="1" x14ac:dyDescent="0.3">
      <c r="B1372" t="s">
        <v>188</v>
      </c>
      <c r="C1372" s="25">
        <v>44681</v>
      </c>
      <c r="D1372" s="26">
        <v>0.14842592592592593</v>
      </c>
      <c r="E1372" t="s">
        <v>580</v>
      </c>
      <c r="F1372" t="s">
        <v>428</v>
      </c>
      <c r="G1372" t="s">
        <v>429</v>
      </c>
      <c r="H1372" t="s">
        <v>189</v>
      </c>
      <c r="I1372" s="8">
        <v>150</v>
      </c>
      <c r="J1372" s="32">
        <v>0</v>
      </c>
      <c r="K1372" s="90">
        <f>+L1372-J1372</f>
        <v>901</v>
      </c>
      <c r="L1372" s="7">
        <v>901</v>
      </c>
      <c r="M1372" s="91">
        <f>I1372/L1372*100</f>
        <v>16.648168701442842</v>
      </c>
      <c r="O1372" s="4" t="s">
        <v>90</v>
      </c>
      <c r="R1372" s="18" t="s">
        <v>110</v>
      </c>
      <c r="S1372" s="2"/>
      <c r="T1372"/>
    </row>
    <row r="1373" spans="1:20" ht="15" hidden="1" customHeight="1" x14ac:dyDescent="0.3">
      <c r="B1373" t="s">
        <v>188</v>
      </c>
      <c r="C1373" s="25">
        <v>44681</v>
      </c>
      <c r="D1373" s="26">
        <v>0.7970949074074074</v>
      </c>
      <c r="E1373" t="s">
        <v>580</v>
      </c>
      <c r="F1373" t="s">
        <v>459</v>
      </c>
      <c r="G1373" t="s">
        <v>303</v>
      </c>
      <c r="H1373" t="s">
        <v>189</v>
      </c>
      <c r="I1373" s="8">
        <v>250.06</v>
      </c>
      <c r="J1373" s="32">
        <v>0</v>
      </c>
      <c r="K1373" s="90">
        <f>+L1373-J1373</f>
        <v>437.62</v>
      </c>
      <c r="L1373" s="7">
        <v>437.62</v>
      </c>
      <c r="M1373" s="91">
        <f>I1373/L1373*100</f>
        <v>57.140898496412419</v>
      </c>
      <c r="O1373" s="4" t="s">
        <v>87</v>
      </c>
      <c r="R1373" s="18" t="s">
        <v>119</v>
      </c>
      <c r="S1373" s="2"/>
      <c r="T1373"/>
    </row>
    <row r="1374" spans="1:20" ht="15" hidden="1" customHeight="1" x14ac:dyDescent="0.3">
      <c r="B1374" t="s">
        <v>355</v>
      </c>
      <c r="C1374" s="25">
        <v>44681</v>
      </c>
      <c r="D1374" s="26">
        <v>0.74072916666666666</v>
      </c>
      <c r="E1374" t="s">
        <v>580</v>
      </c>
      <c r="F1374" t="s">
        <v>165</v>
      </c>
      <c r="G1374" t="s">
        <v>185</v>
      </c>
      <c r="H1374" t="s">
        <v>119</v>
      </c>
      <c r="I1374">
        <v>375.06</v>
      </c>
      <c r="J1374" s="35">
        <v>0</v>
      </c>
      <c r="K1374" s="92">
        <f>+L1374-J1510</f>
        <v>880.6</v>
      </c>
      <c r="L1374" s="37">
        <v>880.6</v>
      </c>
      <c r="M1374" s="118">
        <f t="shared" ref="M1374:M1421" si="83">I1374/K1374*100</f>
        <v>42.591414944356117</v>
      </c>
      <c r="S1374"/>
      <c r="T1374"/>
    </row>
    <row r="1375" spans="1:20" ht="15" hidden="1" customHeight="1" x14ac:dyDescent="0.3">
      <c r="A1375" s="9">
        <v>2581</v>
      </c>
      <c r="B1375" t="s">
        <v>551</v>
      </c>
      <c r="C1375" s="25">
        <v>44665</v>
      </c>
      <c r="D1375" s="26">
        <v>0.93788194444444439</v>
      </c>
      <c r="E1375" t="s">
        <v>27</v>
      </c>
      <c r="F1375" t="s">
        <v>175</v>
      </c>
      <c r="G1375" t="s">
        <v>172</v>
      </c>
      <c r="H1375" t="s">
        <v>193</v>
      </c>
      <c r="I1375" s="4">
        <v>470.09</v>
      </c>
      <c r="J1375" s="7">
        <v>0</v>
      </c>
      <c r="K1375" s="89">
        <f t="shared" ref="K1375:K1380" si="84">+L1375-J1375</f>
        <v>615.75</v>
      </c>
      <c r="L1375" s="32">
        <v>615.75</v>
      </c>
      <c r="M1375" s="36">
        <f t="shared" si="83"/>
        <v>76.344295574502624</v>
      </c>
    </row>
    <row r="1376" spans="1:20" ht="15" hidden="1" customHeight="1" x14ac:dyDescent="0.3">
      <c r="A1376" s="9">
        <v>2582</v>
      </c>
      <c r="B1376" t="s">
        <v>551</v>
      </c>
      <c r="C1376" s="25">
        <v>44666</v>
      </c>
      <c r="D1376" s="26">
        <v>0.59535879629629629</v>
      </c>
      <c r="E1376" t="s">
        <v>27</v>
      </c>
      <c r="F1376" t="s">
        <v>210</v>
      </c>
      <c r="G1376" t="s">
        <v>211</v>
      </c>
      <c r="H1376" t="s">
        <v>193</v>
      </c>
      <c r="I1376" s="4">
        <v>289.13</v>
      </c>
      <c r="J1376" s="7">
        <v>0</v>
      </c>
      <c r="K1376" s="89">
        <f t="shared" si="84"/>
        <v>710.44</v>
      </c>
      <c r="L1376" s="32">
        <v>710.44</v>
      </c>
      <c r="M1376" s="36">
        <f t="shared" si="83"/>
        <v>40.697314340408759</v>
      </c>
    </row>
    <row r="1377" spans="1:13" ht="15" hidden="1" customHeight="1" x14ac:dyDescent="0.3">
      <c r="A1377" s="9">
        <v>2583</v>
      </c>
      <c r="B1377" t="s">
        <v>551</v>
      </c>
      <c r="C1377" s="25">
        <v>44667</v>
      </c>
      <c r="D1377" s="26">
        <v>0.78024305555555562</v>
      </c>
      <c r="E1377" t="s">
        <v>27</v>
      </c>
      <c r="F1377" t="s">
        <v>210</v>
      </c>
      <c r="G1377" t="s">
        <v>211</v>
      </c>
      <c r="H1377" t="s">
        <v>193</v>
      </c>
      <c r="I1377" s="4">
        <v>364.21</v>
      </c>
      <c r="J1377" s="7">
        <v>0</v>
      </c>
      <c r="K1377" s="89">
        <f t="shared" si="84"/>
        <v>1062.78</v>
      </c>
      <c r="L1377" s="32">
        <v>1062.78</v>
      </c>
      <c r="M1377" s="36">
        <f t="shared" si="83"/>
        <v>34.269557199044016</v>
      </c>
    </row>
    <row r="1378" spans="1:13" ht="15" hidden="1" customHeight="1" x14ac:dyDescent="0.3">
      <c r="A1378" s="9">
        <v>3248</v>
      </c>
      <c r="B1378" t="s">
        <v>551</v>
      </c>
      <c r="C1378" s="25">
        <v>44672</v>
      </c>
      <c r="D1378" s="26">
        <v>0.78749999999999998</v>
      </c>
      <c r="E1378" t="s">
        <v>27</v>
      </c>
      <c r="F1378" t="s">
        <v>210</v>
      </c>
      <c r="G1378" t="s">
        <v>211</v>
      </c>
      <c r="H1378" t="s">
        <v>140</v>
      </c>
      <c r="I1378" s="4">
        <v>383.2</v>
      </c>
      <c r="J1378" s="32">
        <v>0</v>
      </c>
      <c r="K1378" s="89">
        <f t="shared" si="84"/>
        <v>917.77</v>
      </c>
      <c r="L1378" s="37">
        <v>917.77</v>
      </c>
      <c r="M1378" s="10">
        <f t="shared" si="83"/>
        <v>41.753380476589996</v>
      </c>
    </row>
    <row r="1379" spans="1:13" ht="15" hidden="1" customHeight="1" x14ac:dyDescent="0.3">
      <c r="A1379" s="9">
        <v>3249</v>
      </c>
      <c r="B1379" t="s">
        <v>551</v>
      </c>
      <c r="C1379" s="25">
        <v>44673</v>
      </c>
      <c r="D1379" s="26">
        <v>0.89285879629629628</v>
      </c>
      <c r="E1379" t="s">
        <v>27</v>
      </c>
      <c r="F1379" t="s">
        <v>210</v>
      </c>
      <c r="G1379" t="s">
        <v>211</v>
      </c>
      <c r="H1379" t="s">
        <v>140</v>
      </c>
      <c r="I1379" s="4">
        <v>421.2</v>
      </c>
      <c r="J1379" s="32">
        <v>0</v>
      </c>
      <c r="K1379" s="89">
        <f t="shared" si="84"/>
        <v>1063.8800000000001</v>
      </c>
      <c r="L1379" s="33">
        <v>1063.8800000000001</v>
      </c>
      <c r="M1379" s="10">
        <f t="shared" si="83"/>
        <v>39.590931308042258</v>
      </c>
    </row>
    <row r="1380" spans="1:13" ht="15" hidden="1" customHeight="1" x14ac:dyDescent="0.3">
      <c r="A1380" s="9">
        <v>3250</v>
      </c>
      <c r="B1380" t="s">
        <v>551</v>
      </c>
      <c r="C1380" s="25">
        <v>44675</v>
      </c>
      <c r="D1380" s="26">
        <v>0.54899305555555555</v>
      </c>
      <c r="E1380" t="s">
        <v>27</v>
      </c>
      <c r="F1380" t="s">
        <v>175</v>
      </c>
      <c r="G1380" t="s">
        <v>172</v>
      </c>
      <c r="H1380" t="s">
        <v>140</v>
      </c>
      <c r="I1380" s="4">
        <v>379</v>
      </c>
      <c r="J1380" s="33">
        <v>0</v>
      </c>
      <c r="K1380" s="89">
        <f t="shared" si="84"/>
        <v>1049.3699999999999</v>
      </c>
      <c r="L1380" s="32">
        <v>1049.3699999999999</v>
      </c>
      <c r="M1380" s="10">
        <f t="shared" si="83"/>
        <v>36.116908240182212</v>
      </c>
    </row>
    <row r="1381" spans="1:13" ht="15" hidden="1" customHeight="1" x14ac:dyDescent="0.3">
      <c r="A1381" s="9">
        <v>3997</v>
      </c>
      <c r="B1381" t="s">
        <v>551</v>
      </c>
      <c r="C1381" s="25">
        <v>44688</v>
      </c>
      <c r="D1381" s="26">
        <v>0.5411921296296297</v>
      </c>
      <c r="E1381" t="s">
        <v>28</v>
      </c>
      <c r="F1381" t="s">
        <v>210</v>
      </c>
      <c r="G1381" t="s">
        <v>211</v>
      </c>
      <c r="H1381" t="s">
        <v>140</v>
      </c>
      <c r="I1381">
        <v>343.88</v>
      </c>
      <c r="J1381" s="32">
        <v>0</v>
      </c>
      <c r="K1381" s="89">
        <f>+L1381-J1510</f>
        <v>1897</v>
      </c>
      <c r="L1381" s="32">
        <v>1897</v>
      </c>
      <c r="M1381" s="10">
        <f t="shared" si="83"/>
        <v>18.127569847127042</v>
      </c>
    </row>
    <row r="1382" spans="1:13" ht="15" hidden="1" customHeight="1" x14ac:dyDescent="0.3">
      <c r="A1382" s="9">
        <v>4089</v>
      </c>
      <c r="B1382" t="s">
        <v>551</v>
      </c>
      <c r="C1382" s="25">
        <v>44690</v>
      </c>
      <c r="D1382" s="26">
        <v>0.83278935185185177</v>
      </c>
      <c r="E1382" t="s">
        <v>28</v>
      </c>
      <c r="F1382" t="s">
        <v>210</v>
      </c>
      <c r="G1382" t="s">
        <v>211</v>
      </c>
      <c r="H1382" t="s">
        <v>140</v>
      </c>
      <c r="I1382">
        <v>467.71</v>
      </c>
      <c r="J1382" s="37">
        <v>0</v>
      </c>
      <c r="K1382" s="89">
        <f>+L1382-J1511</f>
        <v>1122</v>
      </c>
      <c r="L1382" s="38">
        <v>1122</v>
      </c>
      <c r="M1382" s="10">
        <f t="shared" si="83"/>
        <v>41.685383244206768</v>
      </c>
    </row>
    <row r="1383" spans="1:13" ht="15" hidden="1" customHeight="1" x14ac:dyDescent="0.3">
      <c r="A1383" s="9">
        <v>4466</v>
      </c>
      <c r="B1383" t="s">
        <v>551</v>
      </c>
      <c r="C1383" s="25">
        <v>44697</v>
      </c>
      <c r="D1383" s="26">
        <v>0.40060185185185188</v>
      </c>
      <c r="E1383" t="s">
        <v>28</v>
      </c>
      <c r="F1383" t="s">
        <v>175</v>
      </c>
      <c r="G1383" t="s">
        <v>172</v>
      </c>
      <c r="H1383" t="s">
        <v>140</v>
      </c>
      <c r="I1383">
        <v>320.95</v>
      </c>
      <c r="J1383" s="37">
        <v>0</v>
      </c>
      <c r="K1383" s="89">
        <f>+L1383-J1654</f>
        <v>940</v>
      </c>
      <c r="L1383" s="32">
        <v>940</v>
      </c>
      <c r="M1383" s="10">
        <f t="shared" si="83"/>
        <v>34.143617021276597</v>
      </c>
    </row>
    <row r="1384" spans="1:13" ht="15" hidden="1" customHeight="1" x14ac:dyDescent="0.3">
      <c r="A1384" s="9">
        <v>4519</v>
      </c>
      <c r="B1384" t="s">
        <v>551</v>
      </c>
      <c r="C1384" s="25">
        <v>44698</v>
      </c>
      <c r="D1384" s="26">
        <v>0.50491898148148151</v>
      </c>
      <c r="E1384" t="s">
        <v>28</v>
      </c>
      <c r="F1384" t="s">
        <v>210</v>
      </c>
      <c r="G1384" t="s">
        <v>211</v>
      </c>
      <c r="H1384" t="s">
        <v>140</v>
      </c>
      <c r="I1384">
        <v>397.53</v>
      </c>
      <c r="J1384" s="32">
        <v>0</v>
      </c>
      <c r="K1384" s="89">
        <f>+L1384-J1656</f>
        <v>825</v>
      </c>
      <c r="L1384" s="32">
        <v>825</v>
      </c>
      <c r="M1384" s="10">
        <f t="shared" si="83"/>
        <v>48.18545454545454</v>
      </c>
    </row>
    <row r="1385" spans="1:13" ht="15" hidden="1" customHeight="1" x14ac:dyDescent="0.3">
      <c r="A1385" s="9">
        <v>4569</v>
      </c>
      <c r="B1385" t="s">
        <v>551</v>
      </c>
      <c r="C1385" s="25">
        <v>44699</v>
      </c>
      <c r="D1385" s="26">
        <v>0.64359953703703698</v>
      </c>
      <c r="E1385" t="s">
        <v>28</v>
      </c>
      <c r="F1385" t="s">
        <v>210</v>
      </c>
      <c r="G1385" t="s">
        <v>211</v>
      </c>
      <c r="H1385" t="s">
        <v>140</v>
      </c>
      <c r="I1385">
        <v>460.42</v>
      </c>
      <c r="J1385" s="33">
        <v>0</v>
      </c>
      <c r="K1385" s="89">
        <f>+L1385-J1657</f>
        <v>1063</v>
      </c>
      <c r="L1385" s="32">
        <v>1063</v>
      </c>
      <c r="M1385" s="10">
        <f t="shared" si="83"/>
        <v>43.313264346190024</v>
      </c>
    </row>
    <row r="1386" spans="1:13" ht="15" hidden="1" customHeight="1" x14ac:dyDescent="0.3">
      <c r="A1386" s="9">
        <v>4677</v>
      </c>
      <c r="B1386" t="s">
        <v>551</v>
      </c>
      <c r="C1386" s="25">
        <v>44701</v>
      </c>
      <c r="D1386" s="26">
        <v>0.55730324074074067</v>
      </c>
      <c r="E1386" t="s">
        <v>28</v>
      </c>
      <c r="F1386" t="s">
        <v>262</v>
      </c>
      <c r="G1386" t="s">
        <v>263</v>
      </c>
      <c r="H1386" t="s">
        <v>140</v>
      </c>
      <c r="I1386">
        <v>202</v>
      </c>
      <c r="J1386" s="32">
        <v>0</v>
      </c>
      <c r="K1386" s="89">
        <f>+L1386-J1645</f>
        <v>1157</v>
      </c>
      <c r="L1386" s="32">
        <v>1157</v>
      </c>
      <c r="M1386" s="10">
        <f t="shared" si="83"/>
        <v>17.458945548833189</v>
      </c>
    </row>
    <row r="1387" spans="1:13" ht="15" hidden="1" customHeight="1" x14ac:dyDescent="0.3">
      <c r="A1387" s="9">
        <v>4678</v>
      </c>
      <c r="B1387" t="s">
        <v>551</v>
      </c>
      <c r="C1387" s="25">
        <v>44701</v>
      </c>
      <c r="D1387" s="26">
        <v>0.78037037037037038</v>
      </c>
      <c r="E1387" t="s">
        <v>28</v>
      </c>
      <c r="F1387" t="s">
        <v>456</v>
      </c>
      <c r="G1387" t="s">
        <v>457</v>
      </c>
      <c r="H1387" t="s">
        <v>140</v>
      </c>
      <c r="I1387">
        <v>100</v>
      </c>
      <c r="J1387" s="37">
        <v>0</v>
      </c>
      <c r="K1387" s="89">
        <f>+L1387-J1646</f>
        <v>323</v>
      </c>
      <c r="L1387" s="32">
        <v>323</v>
      </c>
      <c r="M1387" s="10">
        <f t="shared" si="83"/>
        <v>30.959752321981426</v>
      </c>
    </row>
    <row r="1388" spans="1:13" ht="15" hidden="1" customHeight="1" x14ac:dyDescent="0.3">
      <c r="A1388" s="9">
        <v>4679</v>
      </c>
      <c r="B1388" t="s">
        <v>551</v>
      </c>
      <c r="C1388" s="25">
        <v>44701</v>
      </c>
      <c r="D1388" s="26">
        <v>0.87679398148148147</v>
      </c>
      <c r="E1388" t="s">
        <v>28</v>
      </c>
      <c r="F1388" t="s">
        <v>366</v>
      </c>
      <c r="G1388" t="s">
        <v>367</v>
      </c>
      <c r="H1388" t="s">
        <v>140</v>
      </c>
      <c r="I1388">
        <v>100</v>
      </c>
      <c r="J1388" s="55">
        <v>0</v>
      </c>
      <c r="K1388" s="89">
        <f>+L1388-J1647</f>
        <v>112</v>
      </c>
      <c r="L1388" s="33">
        <v>112</v>
      </c>
      <c r="M1388" s="10">
        <f t="shared" si="83"/>
        <v>89.285714285714292</v>
      </c>
    </row>
    <row r="1389" spans="1:13" ht="15" hidden="1" customHeight="1" x14ac:dyDescent="0.3">
      <c r="A1389" s="9">
        <v>4716</v>
      </c>
      <c r="B1389" t="s">
        <v>551</v>
      </c>
      <c r="C1389" s="25">
        <v>44702</v>
      </c>
      <c r="D1389" s="26">
        <v>0.43643518518518515</v>
      </c>
      <c r="E1389" t="s">
        <v>28</v>
      </c>
      <c r="F1389" t="s">
        <v>166</v>
      </c>
      <c r="G1389" t="s">
        <v>161</v>
      </c>
      <c r="H1389" t="s">
        <v>140</v>
      </c>
      <c r="I1389">
        <v>220</v>
      </c>
      <c r="J1389" s="33">
        <v>0</v>
      </c>
      <c r="K1389" s="89">
        <f>+L1389-J1657</f>
        <v>123</v>
      </c>
      <c r="L1389" s="32">
        <v>123</v>
      </c>
      <c r="M1389" s="10">
        <f t="shared" si="83"/>
        <v>178.86178861788616</v>
      </c>
    </row>
    <row r="1390" spans="1:13" ht="15" hidden="1" customHeight="1" x14ac:dyDescent="0.3">
      <c r="A1390" s="9">
        <v>4734</v>
      </c>
      <c r="B1390" t="s">
        <v>551</v>
      </c>
      <c r="C1390" s="25">
        <v>44702</v>
      </c>
      <c r="D1390" s="26">
        <v>0.51151620370370365</v>
      </c>
      <c r="E1390" t="s">
        <v>28</v>
      </c>
      <c r="F1390" t="s">
        <v>210</v>
      </c>
      <c r="G1390" t="s">
        <v>211</v>
      </c>
      <c r="H1390" t="s">
        <v>140</v>
      </c>
      <c r="I1390">
        <v>134.87</v>
      </c>
      <c r="J1390" s="32">
        <v>0</v>
      </c>
      <c r="K1390" s="89">
        <f>+L1390-J1649</f>
        <v>76</v>
      </c>
      <c r="L1390" s="37">
        <v>76</v>
      </c>
      <c r="M1390" s="10">
        <f t="shared" si="83"/>
        <v>177.46052631578948</v>
      </c>
    </row>
    <row r="1391" spans="1:13" ht="15" hidden="1" customHeight="1" x14ac:dyDescent="0.3">
      <c r="A1391" s="9">
        <v>4784</v>
      </c>
      <c r="B1391" t="s">
        <v>551</v>
      </c>
      <c r="C1391" s="25">
        <v>44703</v>
      </c>
      <c r="D1391" s="26">
        <v>0.61550925925925926</v>
      </c>
      <c r="E1391" t="s">
        <v>28</v>
      </c>
      <c r="F1391" t="s">
        <v>210</v>
      </c>
      <c r="G1391" t="s">
        <v>211</v>
      </c>
      <c r="H1391" t="s">
        <v>140</v>
      </c>
      <c r="I1391">
        <v>439.15</v>
      </c>
      <c r="J1391" s="38">
        <v>0</v>
      </c>
      <c r="K1391" s="89">
        <f t="shared" ref="K1391:K1397" si="85">+L1391-J1646</f>
        <v>1062</v>
      </c>
      <c r="L1391" s="32">
        <v>1062</v>
      </c>
      <c r="M1391" s="10">
        <f t="shared" si="83"/>
        <v>41.351224105461391</v>
      </c>
    </row>
    <row r="1392" spans="1:13" ht="15" hidden="1" customHeight="1" x14ac:dyDescent="0.3">
      <c r="A1392" s="9">
        <v>4891</v>
      </c>
      <c r="B1392" t="s">
        <v>551</v>
      </c>
      <c r="C1392" s="25">
        <v>44705</v>
      </c>
      <c r="D1392" s="26">
        <v>8.2824074074074064E-2</v>
      </c>
      <c r="E1392" t="s">
        <v>28</v>
      </c>
      <c r="F1392" t="s">
        <v>262</v>
      </c>
      <c r="G1392" t="s">
        <v>263</v>
      </c>
      <c r="H1392" t="s">
        <v>140</v>
      </c>
      <c r="I1392">
        <v>200</v>
      </c>
      <c r="J1392" s="32">
        <v>0</v>
      </c>
      <c r="K1392" s="89">
        <f t="shared" si="85"/>
        <v>1156</v>
      </c>
      <c r="L1392" s="32">
        <v>1156</v>
      </c>
      <c r="M1392" s="10">
        <f t="shared" si="83"/>
        <v>17.301038062283737</v>
      </c>
    </row>
    <row r="1393" spans="1:13" ht="15" hidden="1" customHeight="1" x14ac:dyDescent="0.3">
      <c r="A1393" s="9">
        <v>4892</v>
      </c>
      <c r="B1393" t="s">
        <v>551</v>
      </c>
      <c r="C1393" s="25">
        <v>44705</v>
      </c>
      <c r="D1393" s="26">
        <v>0.1540162037037037</v>
      </c>
      <c r="E1393" t="s">
        <v>28</v>
      </c>
      <c r="F1393" t="s">
        <v>541</v>
      </c>
      <c r="G1393" t="s">
        <v>542</v>
      </c>
      <c r="H1393" t="s">
        <v>140</v>
      </c>
      <c r="I1393">
        <v>50.74</v>
      </c>
      <c r="J1393" s="32">
        <v>0</v>
      </c>
      <c r="K1393" s="89">
        <f t="shared" si="85"/>
        <v>95</v>
      </c>
      <c r="L1393" s="32">
        <v>95</v>
      </c>
      <c r="M1393" s="10">
        <f t="shared" si="83"/>
        <v>53.410526315789475</v>
      </c>
    </row>
    <row r="1394" spans="1:13" ht="15" hidden="1" customHeight="1" x14ac:dyDescent="0.3">
      <c r="A1394" s="9">
        <v>4893</v>
      </c>
      <c r="B1394" t="s">
        <v>551</v>
      </c>
      <c r="C1394" s="25">
        <v>44705</v>
      </c>
      <c r="D1394" s="26">
        <v>0.18027777777777779</v>
      </c>
      <c r="E1394" t="s">
        <v>28</v>
      </c>
      <c r="F1394" t="s">
        <v>343</v>
      </c>
      <c r="G1394" t="s">
        <v>344</v>
      </c>
      <c r="H1394" t="s">
        <v>140</v>
      </c>
      <c r="I1394">
        <v>227.73</v>
      </c>
      <c r="J1394" s="32">
        <v>0</v>
      </c>
      <c r="K1394" s="89">
        <f t="shared" si="85"/>
        <v>30</v>
      </c>
      <c r="L1394" s="37">
        <v>30</v>
      </c>
      <c r="M1394" s="10">
        <f t="shared" si="83"/>
        <v>759.09999999999991</v>
      </c>
    </row>
    <row r="1395" spans="1:13" ht="15" hidden="1" customHeight="1" x14ac:dyDescent="0.3">
      <c r="A1395" s="9">
        <v>4894</v>
      </c>
      <c r="B1395" t="s">
        <v>551</v>
      </c>
      <c r="C1395" s="25">
        <v>44705</v>
      </c>
      <c r="D1395" s="26">
        <v>0.69896990740740739</v>
      </c>
      <c r="E1395" t="s">
        <v>28</v>
      </c>
      <c r="F1395" t="s">
        <v>210</v>
      </c>
      <c r="G1395" t="s">
        <v>211</v>
      </c>
      <c r="H1395" t="s">
        <v>140</v>
      </c>
      <c r="I1395">
        <v>234.05</v>
      </c>
      <c r="J1395" s="32">
        <v>0</v>
      </c>
      <c r="K1395" s="89">
        <f t="shared" si="85"/>
        <v>505</v>
      </c>
      <c r="L1395" s="32">
        <v>505</v>
      </c>
      <c r="M1395" s="10">
        <f t="shared" si="83"/>
        <v>46.346534653465348</v>
      </c>
    </row>
    <row r="1396" spans="1:13" ht="15" hidden="1" customHeight="1" x14ac:dyDescent="0.3">
      <c r="A1396" s="9">
        <v>4997</v>
      </c>
      <c r="B1396" t="s">
        <v>551</v>
      </c>
      <c r="C1396" s="25">
        <v>44707</v>
      </c>
      <c r="D1396" s="26">
        <v>0.75034722222222217</v>
      </c>
      <c r="E1396" t="s">
        <v>28</v>
      </c>
      <c r="F1396" t="s">
        <v>633</v>
      </c>
      <c r="G1396" t="s">
        <v>322</v>
      </c>
      <c r="H1396" t="s">
        <v>140</v>
      </c>
      <c r="I1396">
        <v>250.1</v>
      </c>
      <c r="J1396" s="32">
        <v>0</v>
      </c>
      <c r="K1396" s="89">
        <f t="shared" si="85"/>
        <v>1094</v>
      </c>
      <c r="L1396" s="7">
        <v>1094</v>
      </c>
      <c r="M1396" s="10">
        <f t="shared" si="83"/>
        <v>22.861060329067641</v>
      </c>
    </row>
    <row r="1397" spans="1:13" ht="15" hidden="1" customHeight="1" x14ac:dyDescent="0.3">
      <c r="A1397" s="9">
        <v>4998</v>
      </c>
      <c r="B1397" t="s">
        <v>551</v>
      </c>
      <c r="C1397" s="25">
        <v>44707</v>
      </c>
      <c r="D1397" s="26">
        <v>0.78364583333333337</v>
      </c>
      <c r="E1397" t="s">
        <v>28</v>
      </c>
      <c r="F1397" t="s">
        <v>634</v>
      </c>
      <c r="G1397" t="s">
        <v>211</v>
      </c>
      <c r="H1397" t="s">
        <v>140</v>
      </c>
      <c r="I1397">
        <v>244.06</v>
      </c>
      <c r="J1397" s="37">
        <v>0</v>
      </c>
      <c r="K1397" s="97">
        <f t="shared" si="85"/>
        <v>29</v>
      </c>
      <c r="L1397" s="34">
        <v>29</v>
      </c>
      <c r="M1397" s="10">
        <f t="shared" si="83"/>
        <v>841.58620689655163</v>
      </c>
    </row>
    <row r="1398" spans="1:13" ht="15" hidden="1" customHeight="1" x14ac:dyDescent="0.3">
      <c r="A1398" s="9">
        <v>5295</v>
      </c>
      <c r="B1398" t="s">
        <v>551</v>
      </c>
      <c r="C1398" s="25">
        <v>44713</v>
      </c>
      <c r="D1398" s="26">
        <v>0.87030092592592589</v>
      </c>
      <c r="E1398" t="s">
        <v>29</v>
      </c>
      <c r="F1398" t="s">
        <v>634</v>
      </c>
      <c r="G1398" t="s">
        <v>211</v>
      </c>
      <c r="H1398" t="s">
        <v>140</v>
      </c>
      <c r="I1398">
        <v>311.08999999999997</v>
      </c>
      <c r="J1398" s="33">
        <v>0</v>
      </c>
      <c r="K1398" s="99">
        <f>+L1398-J1627</f>
        <v>696</v>
      </c>
      <c r="L1398" s="31">
        <v>696</v>
      </c>
      <c r="M1398" s="10">
        <f t="shared" si="83"/>
        <v>44.696839080459768</v>
      </c>
    </row>
    <row r="1399" spans="1:13" ht="15" hidden="1" customHeight="1" x14ac:dyDescent="0.3">
      <c r="A1399" s="9">
        <v>5361</v>
      </c>
      <c r="B1399" t="s">
        <v>551</v>
      </c>
      <c r="C1399" s="25">
        <v>44714</v>
      </c>
      <c r="D1399" s="26">
        <v>0.45708333333333334</v>
      </c>
      <c r="E1399" t="s">
        <v>29</v>
      </c>
      <c r="F1399" t="s">
        <v>645</v>
      </c>
      <c r="G1399" t="s">
        <v>279</v>
      </c>
      <c r="H1399" t="s">
        <v>140</v>
      </c>
      <c r="I1399">
        <v>176.4</v>
      </c>
      <c r="J1399" s="32">
        <v>0</v>
      </c>
      <c r="K1399" s="99">
        <f>+L1399-J1628</f>
        <v>350</v>
      </c>
      <c r="L1399" s="31">
        <v>350</v>
      </c>
      <c r="M1399" s="10">
        <f t="shared" si="83"/>
        <v>50.4</v>
      </c>
    </row>
    <row r="1400" spans="1:13" ht="15" hidden="1" customHeight="1" x14ac:dyDescent="0.3">
      <c r="A1400" s="9">
        <v>5420</v>
      </c>
      <c r="B1400" t="s">
        <v>551</v>
      </c>
      <c r="C1400" s="25">
        <v>44715</v>
      </c>
      <c r="D1400" s="26">
        <v>0.29768518518518522</v>
      </c>
      <c r="E1400" t="s">
        <v>29</v>
      </c>
      <c r="F1400" t="s">
        <v>632</v>
      </c>
      <c r="G1400" t="s">
        <v>161</v>
      </c>
      <c r="H1400" t="s">
        <v>140</v>
      </c>
      <c r="I1400">
        <v>300.83</v>
      </c>
      <c r="J1400" s="37">
        <v>0</v>
      </c>
      <c r="K1400" s="97">
        <f>+L1400-J1628</f>
        <v>792</v>
      </c>
      <c r="L1400" s="7">
        <v>792</v>
      </c>
      <c r="M1400" s="10">
        <f t="shared" si="83"/>
        <v>37.983585858585855</v>
      </c>
    </row>
    <row r="1401" spans="1:13" ht="15" hidden="1" customHeight="1" x14ac:dyDescent="0.3">
      <c r="A1401" s="9">
        <v>5473</v>
      </c>
      <c r="B1401" t="s">
        <v>551</v>
      </c>
      <c r="C1401" s="25">
        <v>44716</v>
      </c>
      <c r="D1401" s="26">
        <v>0.47033564814814816</v>
      </c>
      <c r="E1401" t="s">
        <v>29</v>
      </c>
      <c r="F1401" t="s">
        <v>708</v>
      </c>
      <c r="G1401" t="s">
        <v>277</v>
      </c>
      <c r="H1401" t="s">
        <v>140</v>
      </c>
      <c r="I1401">
        <v>285.14</v>
      </c>
      <c r="J1401" s="37">
        <v>0</v>
      </c>
      <c r="K1401" s="97">
        <f>+L1401-J1629</f>
        <v>617</v>
      </c>
      <c r="L1401" s="34">
        <v>617</v>
      </c>
      <c r="M1401" s="10">
        <f t="shared" si="83"/>
        <v>46.213938411669361</v>
      </c>
    </row>
    <row r="1402" spans="1:13" ht="15" hidden="1" customHeight="1" x14ac:dyDescent="0.3">
      <c r="A1402" s="9">
        <v>5560</v>
      </c>
      <c r="B1402" t="s">
        <v>551</v>
      </c>
      <c r="C1402" s="25">
        <v>44718</v>
      </c>
      <c r="D1402" s="26">
        <v>0.69202546296296286</v>
      </c>
      <c r="E1402" t="s">
        <v>29</v>
      </c>
      <c r="F1402" t="s">
        <v>672</v>
      </c>
      <c r="G1402" t="s">
        <v>367</v>
      </c>
      <c r="H1402" t="s">
        <v>140</v>
      </c>
      <c r="I1402">
        <v>100</v>
      </c>
      <c r="J1402" s="32">
        <v>0</v>
      </c>
      <c r="K1402" s="97">
        <f>+L1402-J964</f>
        <v>649</v>
      </c>
      <c r="L1402" s="34">
        <v>649</v>
      </c>
      <c r="M1402" s="10">
        <f t="shared" si="83"/>
        <v>15.408320493066254</v>
      </c>
    </row>
    <row r="1403" spans="1:13" ht="15" hidden="1" customHeight="1" x14ac:dyDescent="0.3">
      <c r="A1403" s="9">
        <v>5561</v>
      </c>
      <c r="B1403" t="s">
        <v>551</v>
      </c>
      <c r="C1403" s="25">
        <v>44718</v>
      </c>
      <c r="D1403" s="26">
        <v>0.81879629629629624</v>
      </c>
      <c r="E1403" t="s">
        <v>29</v>
      </c>
      <c r="F1403" t="s">
        <v>634</v>
      </c>
      <c r="G1403" t="s">
        <v>211</v>
      </c>
      <c r="H1403" t="s">
        <v>140</v>
      </c>
      <c r="I1403">
        <v>254.81</v>
      </c>
      <c r="J1403" s="32">
        <v>0</v>
      </c>
      <c r="K1403" s="90">
        <f>+L1403-J965</f>
        <v>199</v>
      </c>
      <c r="L1403" s="7">
        <v>199</v>
      </c>
      <c r="M1403" s="10">
        <f t="shared" si="83"/>
        <v>128.04522613065328</v>
      </c>
    </row>
    <row r="1404" spans="1:13" ht="15" hidden="1" customHeight="1" x14ac:dyDescent="0.3">
      <c r="A1404" s="9">
        <v>5621</v>
      </c>
      <c r="B1404" t="s">
        <v>551</v>
      </c>
      <c r="C1404" s="25">
        <v>44719</v>
      </c>
      <c r="D1404" s="26">
        <v>0.96869212962962958</v>
      </c>
      <c r="E1404" t="s">
        <v>29</v>
      </c>
      <c r="F1404" t="s">
        <v>634</v>
      </c>
      <c r="G1404" t="s">
        <v>211</v>
      </c>
      <c r="H1404" t="s">
        <v>140</v>
      </c>
      <c r="I1404">
        <v>390.85</v>
      </c>
      <c r="J1404" s="32">
        <v>0</v>
      </c>
      <c r="K1404" s="90">
        <f>+L1404-J967</f>
        <v>1035</v>
      </c>
      <c r="L1404" s="7">
        <v>1035</v>
      </c>
      <c r="M1404" s="10">
        <f t="shared" si="83"/>
        <v>37.763285024154591</v>
      </c>
    </row>
    <row r="1405" spans="1:13" ht="15" hidden="1" customHeight="1" x14ac:dyDescent="0.3">
      <c r="A1405" s="9">
        <v>5730</v>
      </c>
      <c r="B1405" t="s">
        <v>551</v>
      </c>
      <c r="C1405" s="25">
        <v>44721</v>
      </c>
      <c r="D1405" s="26">
        <v>0.96281250000000007</v>
      </c>
      <c r="E1405" t="s">
        <v>29</v>
      </c>
      <c r="F1405" t="s">
        <v>651</v>
      </c>
      <c r="G1405" t="s">
        <v>172</v>
      </c>
      <c r="H1405" t="s">
        <v>140</v>
      </c>
      <c r="I1405">
        <v>388.12</v>
      </c>
      <c r="J1405" s="32">
        <v>0</v>
      </c>
      <c r="K1405" s="97">
        <f>+L1405-J968</f>
        <v>1045</v>
      </c>
      <c r="L1405" s="34">
        <v>1045</v>
      </c>
      <c r="M1405" s="10">
        <f t="shared" si="83"/>
        <v>37.140669856459333</v>
      </c>
    </row>
    <row r="1406" spans="1:13" ht="15" hidden="1" customHeight="1" x14ac:dyDescent="0.3">
      <c r="A1406" s="9">
        <v>5775</v>
      </c>
      <c r="B1406" t="s">
        <v>551</v>
      </c>
      <c r="C1406" s="25">
        <v>44722</v>
      </c>
      <c r="D1406" s="26">
        <v>0.86695601851851845</v>
      </c>
      <c r="E1406" t="s">
        <v>29</v>
      </c>
      <c r="F1406" t="s">
        <v>632</v>
      </c>
      <c r="G1406" t="s">
        <v>161</v>
      </c>
      <c r="H1406" t="s">
        <v>140</v>
      </c>
      <c r="I1406" s="122">
        <v>288.31</v>
      </c>
      <c r="J1406" s="37">
        <v>0</v>
      </c>
      <c r="K1406" s="97">
        <f>+L1406-J969</f>
        <v>620</v>
      </c>
      <c r="L1406" s="7">
        <v>620</v>
      </c>
      <c r="M1406" s="10">
        <f t="shared" si="83"/>
        <v>46.501612903225805</v>
      </c>
    </row>
    <row r="1407" spans="1:13" ht="15" hidden="1" customHeight="1" x14ac:dyDescent="0.3">
      <c r="A1407" s="9">
        <v>5829</v>
      </c>
      <c r="B1407" t="s">
        <v>551</v>
      </c>
      <c r="C1407" s="25">
        <v>44723</v>
      </c>
      <c r="D1407" s="26">
        <v>0.73956018518518529</v>
      </c>
      <c r="E1407" t="s">
        <v>29</v>
      </c>
      <c r="F1407" t="s">
        <v>645</v>
      </c>
      <c r="G1407" t="s">
        <v>279</v>
      </c>
      <c r="H1407" t="s">
        <v>140</v>
      </c>
      <c r="I1407" s="122">
        <v>311.74</v>
      </c>
      <c r="J1407" s="32">
        <v>0</v>
      </c>
      <c r="K1407" s="90">
        <f>+L1407-J970</f>
        <v>636</v>
      </c>
      <c r="L1407" s="7">
        <v>636</v>
      </c>
      <c r="M1407" s="10">
        <f t="shared" si="83"/>
        <v>49.015723270440255</v>
      </c>
    </row>
    <row r="1408" spans="1:13" ht="15" hidden="1" customHeight="1" x14ac:dyDescent="0.3">
      <c r="A1408" s="9">
        <v>5830</v>
      </c>
      <c r="B1408" t="s">
        <v>551</v>
      </c>
      <c r="C1408" s="25">
        <v>44723</v>
      </c>
      <c r="D1408" s="26">
        <v>0.97288194444444442</v>
      </c>
      <c r="E1408" t="s">
        <v>29</v>
      </c>
      <c r="F1408" t="s">
        <v>632</v>
      </c>
      <c r="G1408" t="s">
        <v>161</v>
      </c>
      <c r="H1408" t="s">
        <v>140</v>
      </c>
      <c r="I1408" s="122">
        <v>138.69999999999999</v>
      </c>
      <c r="J1408" s="32">
        <v>0</v>
      </c>
      <c r="K1408" s="90">
        <f>+L1408-J971</f>
        <v>425</v>
      </c>
      <c r="L1408" s="7">
        <v>425</v>
      </c>
      <c r="M1408" s="10">
        <f t="shared" si="83"/>
        <v>32.635294117647057</v>
      </c>
    </row>
    <row r="1409" spans="1:19" ht="15" hidden="1" customHeight="1" x14ac:dyDescent="0.3">
      <c r="A1409" s="9">
        <v>5946</v>
      </c>
      <c r="B1409" t="s">
        <v>551</v>
      </c>
      <c r="C1409" s="25">
        <v>44725</v>
      </c>
      <c r="D1409" s="26">
        <v>0.37344907407407407</v>
      </c>
      <c r="E1409" t="s">
        <v>29</v>
      </c>
      <c r="F1409" t="s">
        <v>637</v>
      </c>
      <c r="G1409" t="s">
        <v>196</v>
      </c>
      <c r="H1409" t="s">
        <v>140</v>
      </c>
      <c r="I1409" s="122">
        <v>150</v>
      </c>
      <c r="J1409" s="32">
        <v>0</v>
      </c>
      <c r="K1409" s="90">
        <v>406</v>
      </c>
      <c r="L1409" s="7">
        <v>406</v>
      </c>
      <c r="M1409" s="10">
        <f t="shared" si="83"/>
        <v>36.945812807881772</v>
      </c>
      <c r="N1409" s="2"/>
      <c r="O1409" s="2"/>
      <c r="P1409" s="2"/>
      <c r="Q1409" s="2"/>
      <c r="R1409" s="2"/>
      <c r="S1409" s="2"/>
    </row>
    <row r="1410" spans="1:19" ht="15" hidden="1" customHeight="1" x14ac:dyDescent="0.3">
      <c r="A1410" s="9">
        <v>6170</v>
      </c>
      <c r="B1410" t="s">
        <v>551</v>
      </c>
      <c r="C1410" s="25">
        <v>44729</v>
      </c>
      <c r="D1410" s="26">
        <v>0.5901157407407408</v>
      </c>
      <c r="E1410" t="s">
        <v>29</v>
      </c>
      <c r="F1410" t="s">
        <v>651</v>
      </c>
      <c r="G1410" t="s">
        <v>172</v>
      </c>
      <c r="H1410" t="s">
        <v>140</v>
      </c>
      <c r="I1410" s="122">
        <v>202.57</v>
      </c>
      <c r="J1410" s="32">
        <v>0</v>
      </c>
      <c r="K1410" s="100">
        <v>485</v>
      </c>
      <c r="L1410" s="35">
        <v>485</v>
      </c>
      <c r="M1410" s="10">
        <f t="shared" si="83"/>
        <v>41.767010309278355</v>
      </c>
    </row>
    <row r="1411" spans="1:19" ht="15" hidden="1" customHeight="1" x14ac:dyDescent="0.3">
      <c r="A1411" s="9">
        <v>6221</v>
      </c>
      <c r="B1411" t="s">
        <v>551</v>
      </c>
      <c r="C1411" s="25">
        <v>44730</v>
      </c>
      <c r="D1411" s="26">
        <v>0.88937499999999992</v>
      </c>
      <c r="E1411" t="s">
        <v>29</v>
      </c>
      <c r="F1411" t="s">
        <v>632</v>
      </c>
      <c r="G1411" t="s">
        <v>161</v>
      </c>
      <c r="H1411" t="s">
        <v>140</v>
      </c>
      <c r="I1411" s="125">
        <v>345.98</v>
      </c>
      <c r="J1411" s="37">
        <v>0</v>
      </c>
      <c r="K1411" s="97">
        <v>753</v>
      </c>
      <c r="L1411" s="7">
        <v>753</v>
      </c>
      <c r="M1411" s="10">
        <f t="shared" si="83"/>
        <v>45.946879150066408</v>
      </c>
    </row>
    <row r="1412" spans="1:19" ht="15" hidden="1" customHeight="1" x14ac:dyDescent="0.3">
      <c r="A1412" s="9">
        <v>6247</v>
      </c>
      <c r="B1412" t="s">
        <v>551</v>
      </c>
      <c r="C1412" s="25">
        <v>44731</v>
      </c>
      <c r="D1412" s="26">
        <v>0.52824074074074068</v>
      </c>
      <c r="E1412" t="s">
        <v>29</v>
      </c>
      <c r="F1412" t="s">
        <v>645</v>
      </c>
      <c r="G1412" t="s">
        <v>279</v>
      </c>
      <c r="H1412" t="s">
        <v>140</v>
      </c>
      <c r="I1412" s="191">
        <v>208.25</v>
      </c>
      <c r="J1412" s="32">
        <v>0</v>
      </c>
      <c r="K1412" s="89">
        <v>429</v>
      </c>
      <c r="L1412" s="35">
        <v>429</v>
      </c>
      <c r="M1412" s="10">
        <f t="shared" si="83"/>
        <v>48.543123543123542</v>
      </c>
    </row>
    <row r="1413" spans="1:19" ht="15" hidden="1" customHeight="1" x14ac:dyDescent="0.3">
      <c r="A1413" s="9">
        <v>6270</v>
      </c>
      <c r="B1413" t="s">
        <v>551</v>
      </c>
      <c r="C1413" s="25">
        <v>44732</v>
      </c>
      <c r="D1413" s="26">
        <v>0.93059027777777781</v>
      </c>
      <c r="E1413" t="s">
        <v>29</v>
      </c>
      <c r="F1413" t="s">
        <v>634</v>
      </c>
      <c r="G1413" t="s">
        <v>211</v>
      </c>
      <c r="H1413" t="s">
        <v>140</v>
      </c>
      <c r="I1413" s="125">
        <v>333.93</v>
      </c>
      <c r="J1413" s="38">
        <v>0</v>
      </c>
      <c r="K1413" s="89">
        <v>771</v>
      </c>
      <c r="L1413" s="31">
        <v>771</v>
      </c>
      <c r="M1413" s="10">
        <f t="shared" si="83"/>
        <v>43.311284046692606</v>
      </c>
    </row>
    <row r="1414" spans="1:19" ht="15" hidden="1" customHeight="1" x14ac:dyDescent="0.3">
      <c r="A1414" s="9">
        <v>6304</v>
      </c>
      <c r="B1414" t="s">
        <v>551</v>
      </c>
      <c r="C1414" s="25">
        <v>44733</v>
      </c>
      <c r="D1414" s="26">
        <v>0.62542824074074077</v>
      </c>
      <c r="E1414" t="s">
        <v>29</v>
      </c>
      <c r="F1414" t="s">
        <v>684</v>
      </c>
      <c r="G1414" t="s">
        <v>620</v>
      </c>
      <c r="H1414" t="s">
        <v>140</v>
      </c>
      <c r="I1414" s="125">
        <v>213.12</v>
      </c>
      <c r="J1414" s="32">
        <v>0</v>
      </c>
      <c r="K1414" s="89">
        <v>524</v>
      </c>
      <c r="L1414" s="7">
        <v>524</v>
      </c>
      <c r="M1414" s="10">
        <f t="shared" si="83"/>
        <v>40.671755725190842</v>
      </c>
    </row>
    <row r="1415" spans="1:19" ht="15" hidden="1" customHeight="1" x14ac:dyDescent="0.3">
      <c r="A1415" s="9">
        <v>6347</v>
      </c>
      <c r="B1415" t="s">
        <v>551</v>
      </c>
      <c r="C1415" s="25">
        <v>44734</v>
      </c>
      <c r="D1415" s="26">
        <v>0.51116898148148149</v>
      </c>
      <c r="E1415" t="s">
        <v>29</v>
      </c>
      <c r="F1415" t="s">
        <v>651</v>
      </c>
      <c r="G1415" t="s">
        <v>172</v>
      </c>
      <c r="H1415" t="s">
        <v>140</v>
      </c>
      <c r="I1415" s="125">
        <v>177.35</v>
      </c>
      <c r="J1415" s="32">
        <v>0</v>
      </c>
      <c r="K1415" s="89">
        <v>419</v>
      </c>
      <c r="L1415" s="7">
        <v>419</v>
      </c>
      <c r="M1415" s="10">
        <f t="shared" si="83"/>
        <v>42.326968973747015</v>
      </c>
    </row>
    <row r="1416" spans="1:19" ht="15" hidden="1" customHeight="1" x14ac:dyDescent="0.3">
      <c r="A1416" s="9">
        <v>6395</v>
      </c>
      <c r="B1416" t="s">
        <v>551</v>
      </c>
      <c r="C1416" s="25">
        <v>44735</v>
      </c>
      <c r="D1416" s="26">
        <v>0.37980324074074073</v>
      </c>
      <c r="E1416" t="s">
        <v>29</v>
      </c>
      <c r="F1416" t="s">
        <v>663</v>
      </c>
      <c r="G1416" t="s">
        <v>344</v>
      </c>
      <c r="H1416" t="s">
        <v>140</v>
      </c>
      <c r="I1416" s="125">
        <v>100</v>
      </c>
      <c r="J1416" s="32">
        <v>0</v>
      </c>
      <c r="K1416" s="89">
        <v>323</v>
      </c>
      <c r="L1416" s="7">
        <v>323</v>
      </c>
      <c r="M1416" s="10">
        <f t="shared" si="83"/>
        <v>30.959752321981426</v>
      </c>
    </row>
    <row r="1417" spans="1:19" ht="15" hidden="1" customHeight="1" x14ac:dyDescent="0.3">
      <c r="A1417" s="9">
        <v>6396</v>
      </c>
      <c r="B1417" t="s">
        <v>551</v>
      </c>
      <c r="C1417" s="25">
        <v>44735</v>
      </c>
      <c r="D1417" s="26">
        <v>0.81723379629629633</v>
      </c>
      <c r="E1417" t="s">
        <v>29</v>
      </c>
      <c r="F1417" t="s">
        <v>634</v>
      </c>
      <c r="G1417" t="s">
        <v>211</v>
      </c>
      <c r="H1417" t="s">
        <v>140</v>
      </c>
      <c r="I1417">
        <v>258.27</v>
      </c>
      <c r="J1417" s="37">
        <v>0</v>
      </c>
      <c r="K1417" s="89">
        <v>505</v>
      </c>
      <c r="L1417" s="34">
        <v>505</v>
      </c>
      <c r="M1417" s="10">
        <f t="shared" si="83"/>
        <v>51.142574257425743</v>
      </c>
    </row>
    <row r="1418" spans="1:19" ht="15" hidden="1" customHeight="1" x14ac:dyDescent="0.3">
      <c r="A1418" s="9">
        <v>6445</v>
      </c>
      <c r="B1418" t="s">
        <v>551</v>
      </c>
      <c r="C1418" s="25">
        <v>44736</v>
      </c>
      <c r="D1418" s="26">
        <v>0.70755787037037043</v>
      </c>
      <c r="E1418" t="s">
        <v>29</v>
      </c>
      <c r="F1418" t="s">
        <v>645</v>
      </c>
      <c r="G1418" t="s">
        <v>279</v>
      </c>
      <c r="H1418" t="s">
        <v>140</v>
      </c>
      <c r="I1418">
        <v>331.37</v>
      </c>
      <c r="J1418" s="37">
        <v>0</v>
      </c>
      <c r="K1418" s="89">
        <v>712</v>
      </c>
      <c r="L1418" s="34">
        <v>712</v>
      </c>
      <c r="M1418" s="10">
        <f t="shared" si="83"/>
        <v>46.540730337078649</v>
      </c>
    </row>
    <row r="1419" spans="1:19" ht="15" hidden="1" customHeight="1" x14ac:dyDescent="0.3">
      <c r="A1419" s="9">
        <v>6446</v>
      </c>
      <c r="B1419" t="s">
        <v>551</v>
      </c>
      <c r="C1419" s="25">
        <v>44736</v>
      </c>
      <c r="D1419" s="26">
        <v>0.95193287037037033</v>
      </c>
      <c r="E1419" t="s">
        <v>29</v>
      </c>
      <c r="F1419" t="s">
        <v>632</v>
      </c>
      <c r="G1419" t="s">
        <v>161</v>
      </c>
      <c r="H1419" t="s">
        <v>140</v>
      </c>
      <c r="I1419" s="148">
        <v>151.91</v>
      </c>
      <c r="J1419" s="32">
        <v>0</v>
      </c>
      <c r="K1419" s="89">
        <v>425</v>
      </c>
      <c r="L1419" s="31">
        <v>425</v>
      </c>
      <c r="M1419" s="10">
        <f t="shared" si="83"/>
        <v>35.743529411764705</v>
      </c>
    </row>
    <row r="1420" spans="1:19" ht="15" hidden="1" customHeight="1" x14ac:dyDescent="0.3">
      <c r="A1420" s="9">
        <v>6505</v>
      </c>
      <c r="B1420" t="s">
        <v>551</v>
      </c>
      <c r="C1420" s="25">
        <v>44737</v>
      </c>
      <c r="D1420" s="26">
        <v>0.64353009259259253</v>
      </c>
      <c r="E1420" t="s">
        <v>29</v>
      </c>
      <c r="F1420" t="s">
        <v>637</v>
      </c>
      <c r="G1420" t="s">
        <v>196</v>
      </c>
      <c r="H1420" t="s">
        <v>140</v>
      </c>
      <c r="I1420" s="148">
        <v>161</v>
      </c>
      <c r="J1420" s="33">
        <v>0</v>
      </c>
      <c r="K1420" s="89">
        <v>405</v>
      </c>
      <c r="L1420" s="7">
        <v>405</v>
      </c>
      <c r="M1420" s="10">
        <f t="shared" si="83"/>
        <v>39.753086419753089</v>
      </c>
    </row>
    <row r="1421" spans="1:19" ht="15" hidden="1" customHeight="1" x14ac:dyDescent="0.3">
      <c r="A1421" s="9">
        <v>6610</v>
      </c>
      <c r="B1421" t="s">
        <v>551</v>
      </c>
      <c r="C1421" s="25">
        <v>44739</v>
      </c>
      <c r="D1421" s="26">
        <v>0.53076388888888892</v>
      </c>
      <c r="E1421" t="s">
        <v>29</v>
      </c>
      <c r="F1421" t="s">
        <v>651</v>
      </c>
      <c r="G1421" t="s">
        <v>172</v>
      </c>
      <c r="H1421" t="s">
        <v>140</v>
      </c>
      <c r="I1421" s="148">
        <v>169.25</v>
      </c>
      <c r="J1421" s="32">
        <v>0</v>
      </c>
      <c r="K1421" s="89">
        <v>429</v>
      </c>
      <c r="L1421" s="7">
        <v>429</v>
      </c>
      <c r="M1421" s="10">
        <f t="shared" si="83"/>
        <v>39.452214452214449</v>
      </c>
    </row>
    <row r="1422" spans="1:19" ht="15" hidden="1" customHeight="1" x14ac:dyDescent="0.3">
      <c r="A1422" s="9">
        <v>6671</v>
      </c>
      <c r="B1422" t="s">
        <v>551</v>
      </c>
      <c r="C1422" s="25">
        <v>44740</v>
      </c>
      <c r="D1422" s="26">
        <v>0.65104166666666663</v>
      </c>
      <c r="E1422" t="s">
        <v>29</v>
      </c>
      <c r="F1422" t="s">
        <v>632</v>
      </c>
      <c r="G1422" t="s">
        <v>161</v>
      </c>
      <c r="H1422" t="s">
        <v>140</v>
      </c>
      <c r="I1422" s="148">
        <v>333.33</v>
      </c>
      <c r="J1422" s="152">
        <f>333+170+161+152</f>
        <v>816</v>
      </c>
      <c r="K1422" s="156">
        <v>753</v>
      </c>
      <c r="L1422" s="153">
        <v>2014</v>
      </c>
      <c r="M1422" s="155">
        <f>+J1422/L1422*100</f>
        <v>40.51638530287984</v>
      </c>
    </row>
    <row r="1423" spans="1:19" ht="15" hidden="1" customHeight="1" x14ac:dyDescent="0.3">
      <c r="A1423" s="9">
        <v>6751</v>
      </c>
      <c r="B1423" t="s">
        <v>551</v>
      </c>
      <c r="C1423" s="25">
        <v>44742</v>
      </c>
      <c r="D1423" s="26">
        <v>0.97460648148148143</v>
      </c>
      <c r="E1423" t="s">
        <v>29</v>
      </c>
      <c r="F1423" t="s">
        <v>165</v>
      </c>
      <c r="G1423" t="s">
        <v>185</v>
      </c>
      <c r="H1423" t="s">
        <v>140</v>
      </c>
      <c r="I1423" s="148">
        <v>358.637</v>
      </c>
      <c r="J1423" s="45"/>
      <c r="K1423" s="82">
        <v>0</v>
      </c>
      <c r="L1423" s="44">
        <f>+K1423-J1423</f>
        <v>0</v>
      </c>
      <c r="M1423" s="10" t="e">
        <f>I1423/L1423*100</f>
        <v>#DIV/0!</v>
      </c>
    </row>
    <row r="1424" spans="1:19" ht="15" hidden="1" customHeight="1" x14ac:dyDescent="0.3">
      <c r="A1424" s="9">
        <v>6751</v>
      </c>
      <c r="B1424" t="s">
        <v>551</v>
      </c>
      <c r="C1424" s="25">
        <v>44742</v>
      </c>
      <c r="D1424" s="26">
        <v>0.97876157407407405</v>
      </c>
      <c r="E1424" t="s">
        <v>29</v>
      </c>
      <c r="F1424" t="s">
        <v>165</v>
      </c>
      <c r="G1424" t="s">
        <v>185</v>
      </c>
      <c r="H1424" t="s">
        <v>140</v>
      </c>
      <c r="I1424" s="148">
        <v>110.97</v>
      </c>
      <c r="J1424" s="8"/>
      <c r="K1424" s="82">
        <v>2345</v>
      </c>
      <c r="L1424" s="44">
        <f>+K1424-J1424</f>
        <v>2345</v>
      </c>
      <c r="M1424" s="10">
        <f>I1424/L1424*100</f>
        <v>4.7321961620469084</v>
      </c>
    </row>
    <row r="1425" spans="1:20" ht="15" hidden="1" customHeight="1" x14ac:dyDescent="0.3">
      <c r="B1425" t="s">
        <v>219</v>
      </c>
      <c r="C1425" s="25">
        <v>44682</v>
      </c>
      <c r="D1425" s="26">
        <v>0.35003472222222221</v>
      </c>
      <c r="E1425" t="s">
        <v>580</v>
      </c>
      <c r="F1425" t="s">
        <v>311</v>
      </c>
      <c r="G1425" t="s">
        <v>303</v>
      </c>
      <c r="H1425" t="s">
        <v>17</v>
      </c>
      <c r="I1425">
        <v>250</v>
      </c>
      <c r="J1425" s="34">
        <v>0</v>
      </c>
      <c r="K1425" s="89">
        <f>+L1425-J1425</f>
        <v>586</v>
      </c>
      <c r="L1425" s="34">
        <v>586</v>
      </c>
      <c r="M1425" s="10">
        <f>I1425/K1425*100</f>
        <v>42.662116040955631</v>
      </c>
      <c r="S1425"/>
      <c r="T1425"/>
    </row>
    <row r="1426" spans="1:20" ht="15" hidden="1" customHeight="1" x14ac:dyDescent="0.3">
      <c r="B1426" t="s">
        <v>219</v>
      </c>
      <c r="C1426" s="25">
        <v>44682</v>
      </c>
      <c r="D1426" s="26">
        <v>0.62484953703703705</v>
      </c>
      <c r="E1426" t="s">
        <v>580</v>
      </c>
      <c r="F1426" t="s">
        <v>210</v>
      </c>
      <c r="G1426" t="s">
        <v>211</v>
      </c>
      <c r="H1426" t="s">
        <v>17</v>
      </c>
      <c r="I1426">
        <v>307.37</v>
      </c>
      <c r="J1426" s="7">
        <v>0</v>
      </c>
      <c r="K1426" s="89">
        <f>+L1426-J1426</f>
        <v>430.89</v>
      </c>
      <c r="L1426" s="7">
        <v>430.89</v>
      </c>
      <c r="M1426" s="10">
        <f>I1426/K1426*100</f>
        <v>71.333751073359792</v>
      </c>
      <c r="S1426"/>
      <c r="T1426"/>
    </row>
    <row r="1427" spans="1:20" ht="15" hidden="1" customHeight="1" x14ac:dyDescent="0.3">
      <c r="B1427" t="s">
        <v>356</v>
      </c>
      <c r="C1427" s="25">
        <v>44682</v>
      </c>
      <c r="D1427" s="26">
        <v>0.65104166666666663</v>
      </c>
      <c r="E1427" t="s">
        <v>580</v>
      </c>
      <c r="F1427" t="s">
        <v>210</v>
      </c>
      <c r="G1427" t="s">
        <v>211</v>
      </c>
      <c r="H1427" t="s">
        <v>302</v>
      </c>
      <c r="I1427">
        <v>451.4</v>
      </c>
      <c r="J1427" s="33">
        <v>0</v>
      </c>
      <c r="K1427" s="89">
        <f>+L1427-J1427</f>
        <v>1147</v>
      </c>
      <c r="L1427" s="7">
        <v>1147</v>
      </c>
      <c r="M1427" s="10">
        <f>I1427/L1427*100</f>
        <v>39.354838709677423</v>
      </c>
      <c r="S1427"/>
      <c r="T1427"/>
    </row>
    <row r="1428" spans="1:20" ht="15" hidden="1" customHeight="1" x14ac:dyDescent="0.3">
      <c r="B1428" t="s">
        <v>300</v>
      </c>
      <c r="C1428" s="25">
        <v>44682</v>
      </c>
      <c r="D1428" s="26">
        <v>0.49244212962962958</v>
      </c>
      <c r="E1428" t="s">
        <v>580</v>
      </c>
      <c r="F1428" t="s">
        <v>210</v>
      </c>
      <c r="G1428" t="s">
        <v>211</v>
      </c>
      <c r="H1428" t="s">
        <v>111</v>
      </c>
      <c r="I1428">
        <v>431.56</v>
      </c>
      <c r="J1428" s="7">
        <v>0</v>
      </c>
      <c r="K1428" s="89">
        <f>+L1428-J1564</f>
        <v>588</v>
      </c>
      <c r="L1428" s="34">
        <v>588</v>
      </c>
      <c r="M1428" s="10">
        <f>I1428/K1428*100</f>
        <v>73.394557823129247</v>
      </c>
      <c r="S1428"/>
      <c r="T1428"/>
    </row>
    <row r="1429" spans="1:20" ht="15" hidden="1" customHeight="1" x14ac:dyDescent="0.3">
      <c r="B1429" t="s">
        <v>248</v>
      </c>
      <c r="C1429" s="25">
        <v>44682</v>
      </c>
      <c r="D1429" s="26">
        <v>0.26143518518518521</v>
      </c>
      <c r="E1429" t="s">
        <v>580</v>
      </c>
      <c r="F1429" t="s">
        <v>210</v>
      </c>
      <c r="G1429" t="s">
        <v>211</v>
      </c>
      <c r="H1429" t="s">
        <v>109</v>
      </c>
      <c r="I1429">
        <v>292.82</v>
      </c>
      <c r="J1429" s="35">
        <v>0</v>
      </c>
      <c r="K1429" s="96">
        <f>+L1429-J1566</f>
        <v>696</v>
      </c>
      <c r="L1429" s="33">
        <v>696</v>
      </c>
      <c r="M1429" s="131">
        <f>I1429/K1429*100</f>
        <v>42.071839080459768</v>
      </c>
      <c r="S1429"/>
      <c r="T1429"/>
    </row>
    <row r="1430" spans="1:20" ht="15" hidden="1" customHeight="1" x14ac:dyDescent="0.3">
      <c r="B1430" t="s">
        <v>275</v>
      </c>
      <c r="C1430" s="25">
        <v>44682</v>
      </c>
      <c r="D1430" s="26">
        <v>0.49562499999999998</v>
      </c>
      <c r="E1430" t="s">
        <v>580</v>
      </c>
      <c r="F1430" t="s">
        <v>210</v>
      </c>
      <c r="G1430" t="s">
        <v>211</v>
      </c>
      <c r="H1430" t="s">
        <v>193</v>
      </c>
      <c r="I1430" s="8">
        <v>329.41</v>
      </c>
      <c r="J1430" s="7">
        <v>0</v>
      </c>
      <c r="K1430" s="90">
        <f>+L1430-J1430</f>
        <v>843</v>
      </c>
      <c r="L1430" s="7">
        <v>843</v>
      </c>
      <c r="M1430" s="91">
        <f>I1430/K1430*100</f>
        <v>39.075919335705819</v>
      </c>
      <c r="S1430"/>
      <c r="T1430"/>
    </row>
    <row r="1431" spans="1:20" ht="15" hidden="1" customHeight="1" x14ac:dyDescent="0.3">
      <c r="B1431" t="s">
        <v>236</v>
      </c>
      <c r="C1431" s="25">
        <v>44682</v>
      </c>
      <c r="D1431" s="26">
        <v>0.22337962962962962</v>
      </c>
      <c r="E1431" t="s">
        <v>580</v>
      </c>
      <c r="F1431" t="s">
        <v>582</v>
      </c>
      <c r="G1431" t="s">
        <v>347</v>
      </c>
      <c r="H1431" t="s">
        <v>243</v>
      </c>
      <c r="I1431" s="128">
        <v>319.39999999999998</v>
      </c>
      <c r="J1431" s="120"/>
      <c r="K1431" s="92">
        <f>+L1431-J1569</f>
        <v>1112</v>
      </c>
      <c r="L1431" s="44">
        <v>1112</v>
      </c>
      <c r="M1431" s="61">
        <f>I1431/K1431*100</f>
        <v>28.723021582733811</v>
      </c>
      <c r="S1431"/>
      <c r="T1431"/>
    </row>
    <row r="1432" spans="1:20" ht="15" hidden="1" customHeight="1" x14ac:dyDescent="0.3">
      <c r="B1432" t="s">
        <v>328</v>
      </c>
      <c r="C1432" s="25">
        <v>44682</v>
      </c>
      <c r="D1432" s="26">
        <v>0.48812499999999998</v>
      </c>
      <c r="E1432" t="s">
        <v>580</v>
      </c>
      <c r="F1432" t="s">
        <v>210</v>
      </c>
      <c r="G1432" t="s">
        <v>211</v>
      </c>
      <c r="H1432" t="s">
        <v>138</v>
      </c>
      <c r="I1432">
        <v>445.34</v>
      </c>
      <c r="J1432" s="32">
        <v>0</v>
      </c>
      <c r="K1432" s="89">
        <f>+L1432-J1568</f>
        <v>585.91999999999996</v>
      </c>
      <c r="L1432" s="34">
        <v>585.91999999999996</v>
      </c>
      <c r="M1432" s="10">
        <f>I1432/L1432*100</f>
        <v>76.006963407973785</v>
      </c>
      <c r="S1432"/>
      <c r="T1432"/>
    </row>
    <row r="1433" spans="1:20" ht="15" hidden="1" customHeight="1" x14ac:dyDescent="0.3">
      <c r="A1433" s="9">
        <v>6677</v>
      </c>
      <c r="B1433" t="s">
        <v>260</v>
      </c>
      <c r="C1433" s="25">
        <v>44740</v>
      </c>
      <c r="D1433" s="26">
        <v>0.58736111111111111</v>
      </c>
      <c r="E1433" t="s">
        <v>29</v>
      </c>
      <c r="F1433" t="s">
        <v>634</v>
      </c>
      <c r="G1433" t="s">
        <v>211</v>
      </c>
      <c r="H1433" t="s">
        <v>261</v>
      </c>
      <c r="I1433" s="148">
        <v>678.46</v>
      </c>
      <c r="J1433" s="202">
        <f>678+360+629+420+704+713</f>
        <v>3504</v>
      </c>
      <c r="K1433" s="156">
        <v>1736</v>
      </c>
      <c r="L1433" s="153">
        <v>8140</v>
      </c>
      <c r="M1433" s="155">
        <f>+J1433/L1433*100</f>
        <v>43.04668304668305</v>
      </c>
    </row>
    <row r="1434" spans="1:20" ht="15" hidden="1" customHeight="1" x14ac:dyDescent="0.3">
      <c r="B1434" t="s">
        <v>328</v>
      </c>
      <c r="C1434" s="25">
        <v>44682</v>
      </c>
      <c r="D1434" s="26">
        <v>0.8693749999999999</v>
      </c>
      <c r="E1434" t="s">
        <v>580</v>
      </c>
      <c r="F1434" t="s">
        <v>165</v>
      </c>
      <c r="G1434" t="s">
        <v>185</v>
      </c>
      <c r="H1434" t="s">
        <v>138</v>
      </c>
      <c r="I1434">
        <v>100</v>
      </c>
      <c r="J1434" s="33">
        <v>0</v>
      </c>
      <c r="K1434" s="89">
        <f>+L1434-J1569</f>
        <v>514</v>
      </c>
      <c r="L1434" s="34">
        <v>514</v>
      </c>
      <c r="M1434" s="10">
        <f>I1434/L1434*100</f>
        <v>19.45525291828794</v>
      </c>
      <c r="S1434"/>
      <c r="T1434"/>
    </row>
    <row r="1435" spans="1:20" ht="15" hidden="1" customHeight="1" x14ac:dyDescent="0.3">
      <c r="B1435" t="s">
        <v>260</v>
      </c>
      <c r="C1435" s="25">
        <v>44567</v>
      </c>
      <c r="D1435" s="26">
        <v>0.14993055555555554</v>
      </c>
      <c r="E1435" t="s">
        <v>24</v>
      </c>
      <c r="F1435" t="s">
        <v>210</v>
      </c>
      <c r="G1435" t="s">
        <v>211</v>
      </c>
      <c r="H1435" t="s">
        <v>261</v>
      </c>
      <c r="I1435">
        <v>559.87</v>
      </c>
      <c r="J1435" s="7">
        <v>0</v>
      </c>
      <c r="K1435" s="11">
        <f t="shared" ref="K1435:K1479" si="86">+L1435-J1435</f>
        <v>1428.29</v>
      </c>
      <c r="L1435" s="7">
        <v>1428.29</v>
      </c>
      <c r="M1435" s="10">
        <f t="shared" ref="M1435:M1466" si="87">I1435/K1435*100</f>
        <v>39.198622128559329</v>
      </c>
    </row>
    <row r="1436" spans="1:20" ht="15" hidden="1" customHeight="1" x14ac:dyDescent="0.3">
      <c r="B1436" t="s">
        <v>260</v>
      </c>
      <c r="C1436" s="25">
        <v>44569</v>
      </c>
      <c r="D1436" s="26">
        <v>0.53530092592592593</v>
      </c>
      <c r="E1436" t="s">
        <v>24</v>
      </c>
      <c r="F1436" t="s">
        <v>205</v>
      </c>
      <c r="G1436" t="s">
        <v>206</v>
      </c>
      <c r="H1436" t="s">
        <v>261</v>
      </c>
      <c r="I1436">
        <v>324.25</v>
      </c>
      <c r="J1436" s="34">
        <v>0</v>
      </c>
      <c r="K1436" s="11">
        <f t="shared" si="86"/>
        <v>2043.44</v>
      </c>
      <c r="L1436" s="7">
        <v>2043.44</v>
      </c>
      <c r="M1436" s="10">
        <f t="shared" si="87"/>
        <v>15.867850291665034</v>
      </c>
    </row>
    <row r="1437" spans="1:20" ht="15" hidden="1" customHeight="1" x14ac:dyDescent="0.3">
      <c r="B1437" t="s">
        <v>260</v>
      </c>
      <c r="C1437" s="25">
        <v>44570</v>
      </c>
      <c r="D1437" s="26">
        <v>0.29319444444444448</v>
      </c>
      <c r="E1437" t="s">
        <v>24</v>
      </c>
      <c r="F1437" t="s">
        <v>210</v>
      </c>
      <c r="G1437" t="s">
        <v>211</v>
      </c>
      <c r="H1437" t="s">
        <v>261</v>
      </c>
      <c r="I1437">
        <v>778.95</v>
      </c>
      <c r="J1437" s="34">
        <v>0</v>
      </c>
      <c r="K1437" s="11">
        <f t="shared" si="86"/>
        <v>613.44000000000005</v>
      </c>
      <c r="L1437" s="7">
        <v>613.44000000000005</v>
      </c>
      <c r="M1437" s="36">
        <f t="shared" si="87"/>
        <v>126.9806338028169</v>
      </c>
    </row>
    <row r="1438" spans="1:20" ht="15" hidden="1" customHeight="1" x14ac:dyDescent="0.3">
      <c r="B1438" t="s">
        <v>260</v>
      </c>
      <c r="C1438" s="25">
        <v>44571</v>
      </c>
      <c r="D1438" s="26">
        <v>0.90824074074074079</v>
      </c>
      <c r="E1438" t="s">
        <v>24</v>
      </c>
      <c r="F1438" t="s">
        <v>210</v>
      </c>
      <c r="G1438" t="s">
        <v>211</v>
      </c>
      <c r="H1438" t="s">
        <v>261</v>
      </c>
      <c r="I1438">
        <v>477.26</v>
      </c>
      <c r="J1438" s="11">
        <v>0</v>
      </c>
      <c r="K1438" s="11">
        <f t="shared" si="86"/>
        <v>1122.83</v>
      </c>
      <c r="L1438" s="7">
        <v>1122.83</v>
      </c>
      <c r="M1438" s="36">
        <f t="shared" si="87"/>
        <v>42.505098723760497</v>
      </c>
    </row>
    <row r="1439" spans="1:20" ht="15" hidden="1" customHeight="1" x14ac:dyDescent="0.3">
      <c r="B1439" t="s">
        <v>260</v>
      </c>
      <c r="C1439" s="25">
        <v>44589</v>
      </c>
      <c r="D1439" s="26">
        <v>0.19916666666666669</v>
      </c>
      <c r="E1439" t="s">
        <v>24</v>
      </c>
      <c r="F1439" t="s">
        <v>210</v>
      </c>
      <c r="G1439" t="s">
        <v>211</v>
      </c>
      <c r="H1439" t="s">
        <v>261</v>
      </c>
      <c r="I1439">
        <v>691.23</v>
      </c>
      <c r="J1439" s="7">
        <v>0</v>
      </c>
      <c r="K1439" s="11">
        <f t="shared" si="86"/>
        <v>1020.18</v>
      </c>
      <c r="L1439" s="7">
        <v>1020.18</v>
      </c>
      <c r="M1439" s="36">
        <f t="shared" si="87"/>
        <v>67.755690172322531</v>
      </c>
    </row>
    <row r="1440" spans="1:20" ht="15" hidden="1" customHeight="1" x14ac:dyDescent="0.3">
      <c r="A1440" s="9">
        <v>861</v>
      </c>
      <c r="B1440" t="s">
        <v>260</v>
      </c>
      <c r="C1440" s="25">
        <v>44593</v>
      </c>
      <c r="D1440" s="26">
        <v>3.2210648148148148E-2</v>
      </c>
      <c r="E1440" t="s">
        <v>25</v>
      </c>
      <c r="F1440" t="s">
        <v>210</v>
      </c>
      <c r="G1440" t="s">
        <v>211</v>
      </c>
      <c r="H1440" t="s">
        <v>261</v>
      </c>
      <c r="I1440">
        <v>560.52</v>
      </c>
      <c r="J1440" s="7">
        <v>0</v>
      </c>
      <c r="K1440" s="11">
        <f t="shared" si="86"/>
        <v>1109.32</v>
      </c>
      <c r="L1440" s="7">
        <v>1109.32</v>
      </c>
      <c r="M1440" s="36">
        <f t="shared" si="87"/>
        <v>50.52825154148487</v>
      </c>
    </row>
    <row r="1441" spans="1:13" ht="15" hidden="1" customHeight="1" x14ac:dyDescent="0.3">
      <c r="A1441" s="9">
        <v>862</v>
      </c>
      <c r="B1441" t="s">
        <v>260</v>
      </c>
      <c r="C1441" s="25">
        <v>44596</v>
      </c>
      <c r="D1441" s="26">
        <v>0.70325231481481476</v>
      </c>
      <c r="E1441" t="s">
        <v>25</v>
      </c>
      <c r="F1441" t="s">
        <v>210</v>
      </c>
      <c r="G1441" t="s">
        <v>211</v>
      </c>
      <c r="H1441" t="s">
        <v>261</v>
      </c>
      <c r="I1441">
        <v>743.48</v>
      </c>
      <c r="J1441" s="7">
        <v>0</v>
      </c>
      <c r="K1441" s="11">
        <f t="shared" si="86"/>
        <v>1817.72</v>
      </c>
      <c r="L1441" s="31">
        <v>1817.72</v>
      </c>
      <c r="M1441" s="36">
        <f t="shared" si="87"/>
        <v>40.901789054419822</v>
      </c>
    </row>
    <row r="1442" spans="1:13" ht="15" hidden="1" customHeight="1" x14ac:dyDescent="0.3">
      <c r="A1442" s="9">
        <v>863</v>
      </c>
      <c r="B1442" t="s">
        <v>260</v>
      </c>
      <c r="C1442" s="25">
        <v>44598</v>
      </c>
      <c r="D1442" s="26">
        <v>0.19598379629629628</v>
      </c>
      <c r="E1442" t="s">
        <v>25</v>
      </c>
      <c r="F1442" t="s">
        <v>210</v>
      </c>
      <c r="G1442" t="s">
        <v>211</v>
      </c>
      <c r="H1442" t="s">
        <v>261</v>
      </c>
      <c r="I1442">
        <v>427.48</v>
      </c>
      <c r="J1442" s="34">
        <v>0</v>
      </c>
      <c r="K1442" s="11">
        <f t="shared" si="86"/>
        <v>1042.3800000000001</v>
      </c>
      <c r="L1442" s="7">
        <v>1042.3800000000001</v>
      </c>
      <c r="M1442" s="36">
        <f t="shared" si="87"/>
        <v>41.009996354496437</v>
      </c>
    </row>
    <row r="1443" spans="1:13" ht="15" hidden="1" customHeight="1" x14ac:dyDescent="0.3">
      <c r="A1443" s="9">
        <v>864</v>
      </c>
      <c r="B1443" t="s">
        <v>260</v>
      </c>
      <c r="C1443" s="25">
        <v>44600</v>
      </c>
      <c r="D1443" s="26">
        <v>0.89091435185185175</v>
      </c>
      <c r="E1443" t="s">
        <v>25</v>
      </c>
      <c r="F1443" t="s">
        <v>210</v>
      </c>
      <c r="G1443" t="s">
        <v>211</v>
      </c>
      <c r="H1443" t="s">
        <v>261</v>
      </c>
      <c r="I1443">
        <v>697.41</v>
      </c>
      <c r="J1443" s="34">
        <v>0</v>
      </c>
      <c r="K1443" s="11">
        <f t="shared" si="86"/>
        <v>1780.73</v>
      </c>
      <c r="L1443" s="7">
        <v>1780.73</v>
      </c>
      <c r="M1443" s="36">
        <f t="shared" si="87"/>
        <v>39.164275325287939</v>
      </c>
    </row>
    <row r="1444" spans="1:13" ht="15" hidden="1" customHeight="1" x14ac:dyDescent="0.3">
      <c r="A1444" s="9">
        <v>865</v>
      </c>
      <c r="B1444" t="s">
        <v>260</v>
      </c>
      <c r="C1444" s="25">
        <v>44602</v>
      </c>
      <c r="D1444" s="26">
        <v>0.40364583333333331</v>
      </c>
      <c r="E1444" t="s">
        <v>25</v>
      </c>
      <c r="F1444" t="s">
        <v>210</v>
      </c>
      <c r="G1444" t="s">
        <v>211</v>
      </c>
      <c r="H1444" t="s">
        <v>261</v>
      </c>
      <c r="I1444">
        <v>415.42</v>
      </c>
      <c r="J1444" s="7">
        <v>0</v>
      </c>
      <c r="K1444" s="7">
        <f t="shared" si="86"/>
        <v>1064.3399999999999</v>
      </c>
      <c r="L1444" s="37">
        <v>1064.3399999999999</v>
      </c>
      <c r="M1444" s="10">
        <f t="shared" si="87"/>
        <v>39.030760847097731</v>
      </c>
    </row>
    <row r="1445" spans="1:13" ht="15" hidden="1" customHeight="1" x14ac:dyDescent="0.3">
      <c r="A1445" s="9">
        <v>866</v>
      </c>
      <c r="B1445" t="s">
        <v>260</v>
      </c>
      <c r="C1445" s="25">
        <v>44604</v>
      </c>
      <c r="D1445" s="26">
        <v>0.37187500000000001</v>
      </c>
      <c r="E1445" t="s">
        <v>25</v>
      </c>
      <c r="F1445" t="s">
        <v>210</v>
      </c>
      <c r="G1445" t="s">
        <v>211</v>
      </c>
      <c r="H1445" t="s">
        <v>261</v>
      </c>
      <c r="I1445">
        <v>791.66</v>
      </c>
      <c r="J1445" s="7">
        <v>0</v>
      </c>
      <c r="K1445" s="34">
        <f t="shared" si="86"/>
        <v>1860.94</v>
      </c>
      <c r="L1445" s="37">
        <v>1860.94</v>
      </c>
      <c r="M1445" s="10">
        <f t="shared" si="87"/>
        <v>42.540866443840208</v>
      </c>
    </row>
    <row r="1446" spans="1:13" ht="15" hidden="1" customHeight="1" x14ac:dyDescent="0.3">
      <c r="A1446" s="9">
        <v>867</v>
      </c>
      <c r="B1446" t="s">
        <v>260</v>
      </c>
      <c r="C1446" s="25">
        <v>44606</v>
      </c>
      <c r="D1446" s="26">
        <v>0.60614583333333327</v>
      </c>
      <c r="E1446" t="s">
        <v>25</v>
      </c>
      <c r="F1446" t="s">
        <v>340</v>
      </c>
      <c r="G1446" t="s">
        <v>337</v>
      </c>
      <c r="H1446" t="s">
        <v>261</v>
      </c>
      <c r="I1446">
        <v>525.42999999999995</v>
      </c>
      <c r="J1446" s="34">
        <v>0</v>
      </c>
      <c r="K1446" s="34">
        <f t="shared" si="86"/>
        <v>1370.44</v>
      </c>
      <c r="L1446" s="7">
        <v>1370.44</v>
      </c>
      <c r="M1446" s="10">
        <f t="shared" si="87"/>
        <v>38.3402410904527</v>
      </c>
    </row>
    <row r="1447" spans="1:13" ht="15" hidden="1" customHeight="1" x14ac:dyDescent="0.3">
      <c r="A1447" s="9">
        <v>868</v>
      </c>
      <c r="B1447" t="s">
        <v>260</v>
      </c>
      <c r="C1447" s="25">
        <v>44608</v>
      </c>
      <c r="D1447" s="26">
        <v>4.7673611111111104E-2</v>
      </c>
      <c r="E1447" t="s">
        <v>25</v>
      </c>
      <c r="F1447" t="s">
        <v>210</v>
      </c>
      <c r="G1447" t="s">
        <v>211</v>
      </c>
      <c r="H1447" t="s">
        <v>261</v>
      </c>
      <c r="I1447">
        <v>533.09</v>
      </c>
      <c r="J1447" s="35">
        <v>0</v>
      </c>
      <c r="K1447" s="11">
        <f t="shared" si="86"/>
        <v>1318.33</v>
      </c>
      <c r="L1447" s="33">
        <v>1318.33</v>
      </c>
      <c r="M1447" s="10">
        <f t="shared" si="87"/>
        <v>40.436764694727422</v>
      </c>
    </row>
    <row r="1448" spans="1:13" ht="15" hidden="1" customHeight="1" x14ac:dyDescent="0.3">
      <c r="A1448" s="9">
        <v>869</v>
      </c>
      <c r="B1448" t="s">
        <v>260</v>
      </c>
      <c r="C1448" s="25">
        <v>44609</v>
      </c>
      <c r="D1448" s="26">
        <v>0.88583333333333336</v>
      </c>
      <c r="E1448" t="s">
        <v>25</v>
      </c>
      <c r="F1448" t="s">
        <v>210</v>
      </c>
      <c r="G1448" t="s">
        <v>211</v>
      </c>
      <c r="H1448" t="s">
        <v>261</v>
      </c>
      <c r="I1448">
        <v>724.68</v>
      </c>
      <c r="J1448" s="7">
        <v>0</v>
      </c>
      <c r="K1448" s="11">
        <f t="shared" si="86"/>
        <v>1725.1</v>
      </c>
      <c r="L1448" s="32">
        <v>1725.1</v>
      </c>
      <c r="M1448" s="10">
        <f t="shared" si="87"/>
        <v>42.007999536258765</v>
      </c>
    </row>
    <row r="1449" spans="1:13" ht="15" hidden="1" customHeight="1" x14ac:dyDescent="0.3">
      <c r="A1449" s="9">
        <v>870</v>
      </c>
      <c r="B1449" t="s">
        <v>260</v>
      </c>
      <c r="C1449" s="25">
        <v>44613</v>
      </c>
      <c r="D1449" s="26">
        <v>0.82203703703703701</v>
      </c>
      <c r="E1449" t="s">
        <v>25</v>
      </c>
      <c r="F1449" t="s">
        <v>210</v>
      </c>
      <c r="G1449" t="s">
        <v>211</v>
      </c>
      <c r="H1449" t="s">
        <v>261</v>
      </c>
      <c r="I1449">
        <v>461.34</v>
      </c>
      <c r="J1449" s="7">
        <v>0</v>
      </c>
      <c r="K1449" s="11">
        <f t="shared" si="86"/>
        <v>1104.29</v>
      </c>
      <c r="L1449" s="32">
        <v>1104.29</v>
      </c>
      <c r="M1449" s="10">
        <f t="shared" si="87"/>
        <v>41.777069429226017</v>
      </c>
    </row>
    <row r="1450" spans="1:13" ht="15" hidden="1" customHeight="1" x14ac:dyDescent="0.3">
      <c r="A1450" s="9">
        <v>2011</v>
      </c>
      <c r="B1450" t="s">
        <v>260</v>
      </c>
      <c r="C1450" s="25">
        <v>44625</v>
      </c>
      <c r="D1450" s="26">
        <v>2.1562499999999998E-2</v>
      </c>
      <c r="E1450" t="s">
        <v>26</v>
      </c>
      <c r="F1450" t="s">
        <v>210</v>
      </c>
      <c r="G1450" t="s">
        <v>211</v>
      </c>
      <c r="H1450" t="s">
        <v>261</v>
      </c>
      <c r="I1450">
        <v>889.1</v>
      </c>
      <c r="J1450" s="34">
        <v>0</v>
      </c>
      <c r="K1450" s="89">
        <f t="shared" si="86"/>
        <v>2167.6999999999998</v>
      </c>
      <c r="L1450" s="37">
        <v>2167.6999999999998</v>
      </c>
      <c r="M1450" s="10">
        <f t="shared" si="87"/>
        <v>41.015823222770678</v>
      </c>
    </row>
    <row r="1451" spans="1:13" ht="15" hidden="1" customHeight="1" x14ac:dyDescent="0.3">
      <c r="A1451" s="9">
        <v>2012</v>
      </c>
      <c r="B1451" t="s">
        <v>260</v>
      </c>
      <c r="C1451" s="25">
        <v>44627</v>
      </c>
      <c r="D1451" s="26">
        <v>0.78763888888888889</v>
      </c>
      <c r="E1451" t="s">
        <v>26</v>
      </c>
      <c r="F1451" t="s">
        <v>202</v>
      </c>
      <c r="G1451" t="s">
        <v>203</v>
      </c>
      <c r="H1451" t="s">
        <v>261</v>
      </c>
      <c r="I1451">
        <v>603.9</v>
      </c>
      <c r="J1451" s="7">
        <v>0</v>
      </c>
      <c r="K1451" s="89">
        <f t="shared" si="86"/>
        <v>1600.94</v>
      </c>
      <c r="L1451" s="32">
        <v>1600.94</v>
      </c>
      <c r="M1451" s="10">
        <f t="shared" si="87"/>
        <v>37.721588566717053</v>
      </c>
    </row>
    <row r="1452" spans="1:13" ht="15" hidden="1" customHeight="1" x14ac:dyDescent="0.3">
      <c r="A1452" s="9">
        <v>2013</v>
      </c>
      <c r="B1452" t="s">
        <v>260</v>
      </c>
      <c r="C1452" s="25">
        <v>44628</v>
      </c>
      <c r="D1452" s="26">
        <v>0.99428240740740748</v>
      </c>
      <c r="E1452" t="s">
        <v>26</v>
      </c>
      <c r="F1452" t="s">
        <v>210</v>
      </c>
      <c r="G1452" t="s">
        <v>211</v>
      </c>
      <c r="H1452" t="s">
        <v>261</v>
      </c>
      <c r="I1452">
        <v>421.45</v>
      </c>
      <c r="J1452" s="7">
        <v>0</v>
      </c>
      <c r="K1452" s="89">
        <f t="shared" si="86"/>
        <v>1090.7</v>
      </c>
      <c r="L1452" s="37">
        <v>1090.7</v>
      </c>
      <c r="M1452" s="10">
        <f t="shared" si="87"/>
        <v>38.64032272852296</v>
      </c>
    </row>
    <row r="1453" spans="1:13" ht="15" hidden="1" customHeight="1" x14ac:dyDescent="0.3">
      <c r="A1453" s="9">
        <v>2014</v>
      </c>
      <c r="B1453" t="s">
        <v>260</v>
      </c>
      <c r="C1453" s="25">
        <v>44631</v>
      </c>
      <c r="D1453" s="26">
        <v>0.96114583333333325</v>
      </c>
      <c r="E1453" t="s">
        <v>26</v>
      </c>
      <c r="F1453" t="s">
        <v>210</v>
      </c>
      <c r="G1453" t="s">
        <v>211</v>
      </c>
      <c r="H1453" t="s">
        <v>261</v>
      </c>
      <c r="I1453">
        <v>761.07</v>
      </c>
      <c r="J1453" s="7">
        <v>0</v>
      </c>
      <c r="K1453" s="89">
        <f t="shared" si="86"/>
        <v>1940.88</v>
      </c>
      <c r="L1453" s="32">
        <v>1940.88</v>
      </c>
      <c r="M1453" s="10">
        <f t="shared" si="87"/>
        <v>39.212625200939783</v>
      </c>
    </row>
    <row r="1454" spans="1:13" ht="15" hidden="1" customHeight="1" x14ac:dyDescent="0.3">
      <c r="A1454" s="9">
        <v>2015</v>
      </c>
      <c r="B1454" t="s">
        <v>260</v>
      </c>
      <c r="C1454" s="25">
        <v>44633</v>
      </c>
      <c r="D1454" s="26">
        <v>0.76971064814814805</v>
      </c>
      <c r="E1454" t="s">
        <v>26</v>
      </c>
      <c r="F1454" t="s">
        <v>210</v>
      </c>
      <c r="G1454" t="s">
        <v>211</v>
      </c>
      <c r="H1454" t="s">
        <v>261</v>
      </c>
      <c r="I1454">
        <v>355.01</v>
      </c>
      <c r="J1454" s="7">
        <v>0</v>
      </c>
      <c r="K1454" s="89">
        <f t="shared" si="86"/>
        <v>886.3</v>
      </c>
      <c r="L1454" s="33">
        <v>886.3</v>
      </c>
      <c r="M1454" s="10">
        <f t="shared" si="87"/>
        <v>40.055286020534808</v>
      </c>
    </row>
    <row r="1455" spans="1:13" ht="15" hidden="1" customHeight="1" x14ac:dyDescent="0.3">
      <c r="A1455" s="9">
        <v>2016</v>
      </c>
      <c r="B1455" t="s">
        <v>260</v>
      </c>
      <c r="C1455" s="25">
        <v>44635</v>
      </c>
      <c r="D1455" s="26">
        <v>0.72883101851851861</v>
      </c>
      <c r="E1455" t="s">
        <v>26</v>
      </c>
      <c r="F1455" t="s">
        <v>210</v>
      </c>
      <c r="G1455" t="s">
        <v>211</v>
      </c>
      <c r="H1455" t="s">
        <v>261</v>
      </c>
      <c r="I1455">
        <v>661</v>
      </c>
      <c r="J1455" s="7">
        <v>0</v>
      </c>
      <c r="K1455" s="89">
        <f t="shared" si="86"/>
        <v>1730.95</v>
      </c>
      <c r="L1455" s="32">
        <v>1730.95</v>
      </c>
      <c r="M1455" s="10">
        <f t="shared" si="87"/>
        <v>38.187122678298039</v>
      </c>
    </row>
    <row r="1456" spans="1:13" ht="15" hidden="1" customHeight="1" x14ac:dyDescent="0.3">
      <c r="A1456" s="9">
        <v>2017</v>
      </c>
      <c r="B1456" t="s">
        <v>260</v>
      </c>
      <c r="C1456" s="25">
        <v>44637</v>
      </c>
      <c r="D1456" s="26">
        <v>3.201388888888889E-2</v>
      </c>
      <c r="E1456" t="s">
        <v>26</v>
      </c>
      <c r="F1456" t="s">
        <v>210</v>
      </c>
      <c r="G1456" t="s">
        <v>211</v>
      </c>
      <c r="H1456" t="s">
        <v>261</v>
      </c>
      <c r="I1456">
        <v>446.43</v>
      </c>
      <c r="J1456" s="7">
        <v>0</v>
      </c>
      <c r="K1456" s="89">
        <f t="shared" si="86"/>
        <v>1116.93</v>
      </c>
      <c r="L1456" s="32">
        <v>1116.93</v>
      </c>
      <c r="M1456" s="10">
        <f t="shared" si="87"/>
        <v>39.969380355080439</v>
      </c>
    </row>
    <row r="1457" spans="1:13" ht="15" hidden="1" customHeight="1" x14ac:dyDescent="0.3">
      <c r="A1457" s="9">
        <v>2018</v>
      </c>
      <c r="B1457" t="s">
        <v>260</v>
      </c>
      <c r="C1457" s="25">
        <v>44639</v>
      </c>
      <c r="D1457" s="26">
        <v>0.46506944444444448</v>
      </c>
      <c r="E1457" t="s">
        <v>26</v>
      </c>
      <c r="F1457" t="s">
        <v>175</v>
      </c>
      <c r="G1457" t="s">
        <v>172</v>
      </c>
      <c r="H1457" t="s">
        <v>261</v>
      </c>
      <c r="I1457">
        <v>242.3</v>
      </c>
      <c r="J1457" s="7">
        <v>0</v>
      </c>
      <c r="K1457" s="89">
        <f t="shared" si="86"/>
        <v>1342.82</v>
      </c>
      <c r="L1457" s="32">
        <v>1342.82</v>
      </c>
      <c r="M1457" s="10">
        <f t="shared" si="87"/>
        <v>18.04411611384996</v>
      </c>
    </row>
    <row r="1458" spans="1:13" ht="15" hidden="1" customHeight="1" x14ac:dyDescent="0.3">
      <c r="A1458" s="9">
        <v>2019</v>
      </c>
      <c r="B1458" t="s">
        <v>260</v>
      </c>
      <c r="C1458" s="25">
        <v>44641</v>
      </c>
      <c r="D1458" s="26">
        <v>0.77957175925925926</v>
      </c>
      <c r="E1458" t="s">
        <v>26</v>
      </c>
      <c r="F1458" t="s">
        <v>210</v>
      </c>
      <c r="G1458" t="s">
        <v>211</v>
      </c>
      <c r="H1458" t="s">
        <v>261</v>
      </c>
      <c r="I1458">
        <v>513.36</v>
      </c>
      <c r="J1458" s="39">
        <v>0</v>
      </c>
      <c r="K1458" s="89">
        <f t="shared" si="86"/>
        <v>813.75</v>
      </c>
      <c r="L1458" s="37">
        <v>813.75</v>
      </c>
      <c r="M1458" s="10">
        <f t="shared" si="87"/>
        <v>63.085714285714289</v>
      </c>
    </row>
    <row r="1459" spans="1:13" ht="15" hidden="1" customHeight="1" x14ac:dyDescent="0.3">
      <c r="A1459" s="9">
        <v>2020</v>
      </c>
      <c r="B1459" t="s">
        <v>260</v>
      </c>
      <c r="C1459" s="25">
        <v>44643</v>
      </c>
      <c r="D1459" s="26">
        <v>0.71969907407407396</v>
      </c>
      <c r="E1459" t="s">
        <v>26</v>
      </c>
      <c r="F1459" t="s">
        <v>210</v>
      </c>
      <c r="G1459" t="s">
        <v>211</v>
      </c>
      <c r="H1459" t="s">
        <v>261</v>
      </c>
      <c r="I1459">
        <v>640.79</v>
      </c>
      <c r="J1459" s="7">
        <v>0</v>
      </c>
      <c r="K1459" s="89">
        <f t="shared" si="86"/>
        <v>1121.24</v>
      </c>
      <c r="L1459" s="33">
        <v>1121.24</v>
      </c>
      <c r="M1459" s="10">
        <f t="shared" si="87"/>
        <v>57.150119510541899</v>
      </c>
    </row>
    <row r="1460" spans="1:13" ht="15" hidden="1" customHeight="1" x14ac:dyDescent="0.3">
      <c r="A1460" s="9">
        <v>2152</v>
      </c>
      <c r="B1460" t="s">
        <v>260</v>
      </c>
      <c r="C1460" s="25">
        <v>44630</v>
      </c>
      <c r="D1460" s="26">
        <v>0.70234953703703706</v>
      </c>
      <c r="E1460" t="s">
        <v>26</v>
      </c>
      <c r="F1460" t="s">
        <v>175</v>
      </c>
      <c r="G1460" t="s">
        <v>172</v>
      </c>
      <c r="H1460" t="s">
        <v>131</v>
      </c>
      <c r="I1460">
        <v>72.989999999999995</v>
      </c>
      <c r="J1460" s="34">
        <v>0</v>
      </c>
      <c r="K1460" s="89">
        <f t="shared" si="86"/>
        <v>245.57</v>
      </c>
      <c r="L1460" s="32">
        <v>245.57</v>
      </c>
      <c r="M1460" s="10">
        <f t="shared" si="87"/>
        <v>29.722685995846398</v>
      </c>
    </row>
    <row r="1461" spans="1:13" ht="15" hidden="1" customHeight="1" x14ac:dyDescent="0.3">
      <c r="A1461" s="9">
        <v>3302</v>
      </c>
      <c r="B1461" t="s">
        <v>260</v>
      </c>
      <c r="C1461" s="25">
        <v>44653</v>
      </c>
      <c r="D1461" s="26">
        <v>8.3125000000000004E-2</v>
      </c>
      <c r="E1461" t="s">
        <v>27</v>
      </c>
      <c r="F1461" t="s">
        <v>197</v>
      </c>
      <c r="G1461" t="s">
        <v>44</v>
      </c>
      <c r="H1461" t="s">
        <v>261</v>
      </c>
      <c r="I1461" s="4">
        <v>150.58000000000001</v>
      </c>
      <c r="J1461" s="7">
        <v>0</v>
      </c>
      <c r="K1461" s="89">
        <f t="shared" si="86"/>
        <v>1710.46</v>
      </c>
      <c r="L1461" s="32">
        <v>1710.46</v>
      </c>
      <c r="M1461" s="10">
        <f t="shared" si="87"/>
        <v>8.8034797656770714</v>
      </c>
    </row>
    <row r="1462" spans="1:13" ht="15" hidden="1" customHeight="1" x14ac:dyDescent="0.3">
      <c r="A1462" s="9">
        <v>3303</v>
      </c>
      <c r="B1462" t="s">
        <v>260</v>
      </c>
      <c r="C1462" s="25">
        <v>44653</v>
      </c>
      <c r="D1462" s="26">
        <v>0.64288194444444446</v>
      </c>
      <c r="E1462" t="s">
        <v>27</v>
      </c>
      <c r="F1462" t="s">
        <v>166</v>
      </c>
      <c r="G1462" t="s">
        <v>161</v>
      </c>
      <c r="H1462" t="s">
        <v>261</v>
      </c>
      <c r="I1462" s="4">
        <v>729.51</v>
      </c>
      <c r="J1462" s="7">
        <v>0</v>
      </c>
      <c r="K1462" s="89">
        <f t="shared" si="86"/>
        <v>511.14</v>
      </c>
      <c r="L1462" s="32">
        <v>511.14</v>
      </c>
      <c r="M1462" s="10">
        <f t="shared" si="87"/>
        <v>142.72215048714639</v>
      </c>
    </row>
    <row r="1463" spans="1:13" ht="15" hidden="1" customHeight="1" x14ac:dyDescent="0.3">
      <c r="A1463" s="9">
        <v>3304</v>
      </c>
      <c r="B1463" t="s">
        <v>260</v>
      </c>
      <c r="C1463" s="25">
        <v>44656</v>
      </c>
      <c r="D1463" s="26">
        <v>0.73386574074074085</v>
      </c>
      <c r="E1463" t="s">
        <v>27</v>
      </c>
      <c r="F1463" t="s">
        <v>210</v>
      </c>
      <c r="G1463" t="s">
        <v>211</v>
      </c>
      <c r="H1463" t="s">
        <v>261</v>
      </c>
      <c r="I1463" s="4">
        <v>542.37</v>
      </c>
      <c r="J1463" s="34">
        <v>0</v>
      </c>
      <c r="K1463" s="89">
        <f t="shared" si="86"/>
        <v>1264.9100000000001</v>
      </c>
      <c r="L1463" s="32">
        <v>1264.9100000000001</v>
      </c>
      <c r="M1463" s="10">
        <f t="shared" si="87"/>
        <v>42.878149433556537</v>
      </c>
    </row>
    <row r="1464" spans="1:13" ht="15" hidden="1" customHeight="1" x14ac:dyDescent="0.3">
      <c r="A1464" s="9">
        <v>3305</v>
      </c>
      <c r="B1464" t="s">
        <v>260</v>
      </c>
      <c r="C1464" s="25">
        <v>44657</v>
      </c>
      <c r="D1464" s="26">
        <v>0.96395833333333336</v>
      </c>
      <c r="E1464" t="s">
        <v>27</v>
      </c>
      <c r="F1464" t="s">
        <v>541</v>
      </c>
      <c r="G1464" t="s">
        <v>542</v>
      </c>
      <c r="H1464" t="s">
        <v>261</v>
      </c>
      <c r="I1464" s="4">
        <v>70.180000000000007</v>
      </c>
      <c r="J1464" s="34">
        <v>0</v>
      </c>
      <c r="K1464" s="89">
        <f t="shared" si="86"/>
        <v>1247.27</v>
      </c>
      <c r="L1464" s="32">
        <v>1247.27</v>
      </c>
      <c r="M1464" s="10">
        <f t="shared" si="87"/>
        <v>5.6266886880947995</v>
      </c>
    </row>
    <row r="1465" spans="1:13" ht="15" hidden="1" customHeight="1" x14ac:dyDescent="0.3">
      <c r="A1465" s="9">
        <v>3306</v>
      </c>
      <c r="B1465" t="s">
        <v>260</v>
      </c>
      <c r="C1465" s="25">
        <v>44658</v>
      </c>
      <c r="D1465" s="26">
        <v>0.56650462962962966</v>
      </c>
      <c r="E1465" t="s">
        <v>27</v>
      </c>
      <c r="F1465" t="s">
        <v>210</v>
      </c>
      <c r="G1465" t="s">
        <v>211</v>
      </c>
      <c r="H1465" t="s">
        <v>261</v>
      </c>
      <c r="I1465" s="4">
        <v>602.15</v>
      </c>
      <c r="J1465" s="7">
        <v>0</v>
      </c>
      <c r="K1465" s="89">
        <f t="shared" si="86"/>
        <v>534.74</v>
      </c>
      <c r="L1465" s="37">
        <v>534.74</v>
      </c>
      <c r="M1465" s="10">
        <f t="shared" si="87"/>
        <v>112.60612634177356</v>
      </c>
    </row>
    <row r="1466" spans="1:13" ht="15" hidden="1" customHeight="1" x14ac:dyDescent="0.3">
      <c r="A1466" s="9">
        <v>3307</v>
      </c>
      <c r="B1466" t="s">
        <v>260</v>
      </c>
      <c r="C1466" s="25">
        <v>44659</v>
      </c>
      <c r="D1466" s="26">
        <v>0.21856481481481482</v>
      </c>
      <c r="E1466" t="s">
        <v>27</v>
      </c>
      <c r="F1466" t="s">
        <v>210</v>
      </c>
      <c r="G1466" t="s">
        <v>211</v>
      </c>
      <c r="H1466" t="s">
        <v>261</v>
      </c>
      <c r="I1466" s="4">
        <v>412.9</v>
      </c>
      <c r="J1466" s="7">
        <v>0</v>
      </c>
      <c r="K1466" s="89">
        <f t="shared" si="86"/>
        <v>1417.74</v>
      </c>
      <c r="L1466" s="32">
        <v>1417.74</v>
      </c>
      <c r="M1466" s="10">
        <f t="shared" si="87"/>
        <v>29.123816778816991</v>
      </c>
    </row>
    <row r="1467" spans="1:13" ht="15" hidden="1" customHeight="1" x14ac:dyDescent="0.3">
      <c r="A1467" s="9">
        <v>3308</v>
      </c>
      <c r="B1467" t="s">
        <v>260</v>
      </c>
      <c r="C1467" s="25">
        <v>44660</v>
      </c>
      <c r="D1467" s="26">
        <v>0.60843749999999996</v>
      </c>
      <c r="E1467" t="s">
        <v>27</v>
      </c>
      <c r="F1467" t="s">
        <v>197</v>
      </c>
      <c r="G1467" t="s">
        <v>44</v>
      </c>
      <c r="H1467" t="s">
        <v>261</v>
      </c>
      <c r="I1467" s="4">
        <v>150</v>
      </c>
      <c r="J1467" s="7">
        <v>0</v>
      </c>
      <c r="K1467" s="89">
        <f t="shared" si="86"/>
        <v>1209.76</v>
      </c>
      <c r="L1467" s="32">
        <v>1209.76</v>
      </c>
      <c r="M1467" s="10">
        <f t="shared" ref="M1467:M1498" si="88">I1467/K1467*100</f>
        <v>12.399153551117577</v>
      </c>
    </row>
    <row r="1468" spans="1:13" ht="15" hidden="1" customHeight="1" x14ac:dyDescent="0.3">
      <c r="A1468" s="9">
        <v>3309</v>
      </c>
      <c r="B1468" t="s">
        <v>260</v>
      </c>
      <c r="C1468" s="25">
        <v>44660</v>
      </c>
      <c r="D1468" s="26">
        <v>0.9356712962962962</v>
      </c>
      <c r="E1468" t="s">
        <v>27</v>
      </c>
      <c r="F1468" t="s">
        <v>210</v>
      </c>
      <c r="G1468" t="s">
        <v>211</v>
      </c>
      <c r="H1468" t="s">
        <v>261</v>
      </c>
      <c r="I1468" s="4">
        <v>513.27</v>
      </c>
      <c r="J1468" s="7">
        <v>0</v>
      </c>
      <c r="K1468" s="89">
        <f t="shared" si="86"/>
        <v>1796</v>
      </c>
      <c r="L1468" s="37">
        <v>1796</v>
      </c>
      <c r="M1468" s="10">
        <f t="shared" si="88"/>
        <v>28.578507795100222</v>
      </c>
    </row>
    <row r="1469" spans="1:13" ht="15" hidden="1" customHeight="1" x14ac:dyDescent="0.3">
      <c r="A1469" s="9">
        <v>3310</v>
      </c>
      <c r="B1469" t="s">
        <v>260</v>
      </c>
      <c r="C1469" s="25">
        <v>44661</v>
      </c>
      <c r="D1469" s="26">
        <v>0.81289351851851854</v>
      </c>
      <c r="E1469" t="s">
        <v>27</v>
      </c>
      <c r="F1469" t="s">
        <v>210</v>
      </c>
      <c r="G1469" t="s">
        <v>211</v>
      </c>
      <c r="H1469" t="s">
        <v>261</v>
      </c>
      <c r="I1469" s="4">
        <v>323.38</v>
      </c>
      <c r="J1469" s="7">
        <v>0</v>
      </c>
      <c r="K1469" s="89">
        <f t="shared" si="86"/>
        <v>885.62</v>
      </c>
      <c r="L1469" s="32">
        <v>885.62</v>
      </c>
      <c r="M1469" s="10">
        <f t="shared" si="88"/>
        <v>36.514532192136585</v>
      </c>
    </row>
    <row r="1470" spans="1:13" ht="15" hidden="1" customHeight="1" x14ac:dyDescent="0.3">
      <c r="A1470" s="9">
        <v>3311</v>
      </c>
      <c r="B1470" t="s">
        <v>260</v>
      </c>
      <c r="C1470" s="25">
        <v>44663</v>
      </c>
      <c r="D1470" s="26">
        <v>0.34715277777777781</v>
      </c>
      <c r="E1470" t="s">
        <v>27</v>
      </c>
      <c r="F1470" t="s">
        <v>197</v>
      </c>
      <c r="G1470" t="s">
        <v>44</v>
      </c>
      <c r="H1470" t="s">
        <v>261</v>
      </c>
      <c r="I1470" s="4">
        <f>100.09+100.1</f>
        <v>200.19</v>
      </c>
      <c r="J1470" s="7">
        <v>0</v>
      </c>
      <c r="K1470" s="89">
        <f t="shared" si="86"/>
        <v>1162.82</v>
      </c>
      <c r="L1470" s="33">
        <v>1162.82</v>
      </c>
      <c r="M1470" s="10">
        <f t="shared" si="88"/>
        <v>17.215906159164788</v>
      </c>
    </row>
    <row r="1471" spans="1:13" ht="15" hidden="1" customHeight="1" x14ac:dyDescent="0.3">
      <c r="A1471" s="9">
        <v>3312</v>
      </c>
      <c r="B1471" t="s">
        <v>260</v>
      </c>
      <c r="C1471" s="25">
        <v>44663</v>
      </c>
      <c r="D1471" s="26">
        <v>0.6728587962962963</v>
      </c>
      <c r="E1471" t="s">
        <v>27</v>
      </c>
      <c r="F1471" t="s">
        <v>210</v>
      </c>
      <c r="G1471" t="s">
        <v>211</v>
      </c>
      <c r="H1471" t="s">
        <v>261</v>
      </c>
      <c r="I1471" s="4">
        <v>514.86</v>
      </c>
      <c r="J1471" s="7">
        <v>0</v>
      </c>
      <c r="K1471" s="89">
        <f t="shared" si="86"/>
        <v>1749</v>
      </c>
      <c r="L1471" s="32">
        <v>1749</v>
      </c>
      <c r="M1471" s="10">
        <f t="shared" si="88"/>
        <v>29.437392795883362</v>
      </c>
    </row>
    <row r="1472" spans="1:13" ht="15" hidden="1" customHeight="1" x14ac:dyDescent="0.3">
      <c r="A1472" s="9">
        <v>3313</v>
      </c>
      <c r="B1472" t="s">
        <v>260</v>
      </c>
      <c r="C1472" s="25">
        <v>44664</v>
      </c>
      <c r="D1472" s="26">
        <v>0.77531250000000007</v>
      </c>
      <c r="E1472" t="s">
        <v>27</v>
      </c>
      <c r="F1472" t="s">
        <v>210</v>
      </c>
      <c r="G1472" t="s">
        <v>211</v>
      </c>
      <c r="H1472" t="s">
        <v>261</v>
      </c>
      <c r="I1472" s="4">
        <v>473.97</v>
      </c>
      <c r="J1472" s="7">
        <v>0</v>
      </c>
      <c r="K1472" s="89">
        <f t="shared" si="86"/>
        <v>1707</v>
      </c>
      <c r="L1472" s="32">
        <v>1707</v>
      </c>
      <c r="M1472" s="10">
        <f t="shared" si="88"/>
        <v>27.76625659050967</v>
      </c>
    </row>
    <row r="1473" spans="1:13" ht="15" hidden="1" customHeight="1" x14ac:dyDescent="0.3">
      <c r="A1473" s="9">
        <v>3314</v>
      </c>
      <c r="B1473" t="s">
        <v>260</v>
      </c>
      <c r="C1473" s="25">
        <v>44665</v>
      </c>
      <c r="D1473" s="26">
        <v>0.70976851851851841</v>
      </c>
      <c r="E1473" t="s">
        <v>27</v>
      </c>
      <c r="F1473" t="s">
        <v>428</v>
      </c>
      <c r="G1473" t="s">
        <v>429</v>
      </c>
      <c r="H1473" t="s">
        <v>261</v>
      </c>
      <c r="I1473" s="4">
        <v>100.27</v>
      </c>
      <c r="J1473" s="7">
        <v>0</v>
      </c>
      <c r="K1473" s="89">
        <f t="shared" si="86"/>
        <v>923.83</v>
      </c>
      <c r="L1473" s="32">
        <v>923.83</v>
      </c>
      <c r="M1473" s="10">
        <f t="shared" si="88"/>
        <v>10.853728499832219</v>
      </c>
    </row>
    <row r="1474" spans="1:13" ht="15" hidden="1" customHeight="1" x14ac:dyDescent="0.3">
      <c r="A1474" s="9">
        <v>3315</v>
      </c>
      <c r="B1474" t="s">
        <v>260</v>
      </c>
      <c r="C1474" s="25">
        <v>44666</v>
      </c>
      <c r="D1474" s="26">
        <v>0.54290509259259256</v>
      </c>
      <c r="E1474" t="s">
        <v>27</v>
      </c>
      <c r="F1474" t="s">
        <v>210</v>
      </c>
      <c r="G1474" t="s">
        <v>211</v>
      </c>
      <c r="H1474" t="s">
        <v>261</v>
      </c>
      <c r="I1474" s="4">
        <v>606.47</v>
      </c>
      <c r="J1474" s="7">
        <v>0</v>
      </c>
      <c r="K1474" s="89">
        <f t="shared" si="86"/>
        <v>971.51</v>
      </c>
      <c r="L1474" s="32">
        <v>971.51</v>
      </c>
      <c r="M1474" s="10">
        <f t="shared" si="88"/>
        <v>62.425502568167076</v>
      </c>
    </row>
    <row r="1475" spans="1:13" ht="15" hidden="1" customHeight="1" x14ac:dyDescent="0.3">
      <c r="A1475" s="9">
        <v>3316</v>
      </c>
      <c r="B1475" t="s">
        <v>260</v>
      </c>
      <c r="C1475" s="25">
        <v>44669</v>
      </c>
      <c r="D1475" s="26">
        <v>0.8941782407407407</v>
      </c>
      <c r="E1475" t="s">
        <v>27</v>
      </c>
      <c r="F1475" t="s">
        <v>165</v>
      </c>
      <c r="G1475" t="s">
        <v>185</v>
      </c>
      <c r="H1475" t="s">
        <v>261</v>
      </c>
      <c r="I1475" s="4">
        <v>460</v>
      </c>
      <c r="J1475" s="7">
        <v>0</v>
      </c>
      <c r="K1475" s="89">
        <f t="shared" si="86"/>
        <v>1061</v>
      </c>
      <c r="L1475" s="38">
        <v>1061</v>
      </c>
      <c r="M1475" s="10">
        <f t="shared" si="88"/>
        <v>43.355325164938733</v>
      </c>
    </row>
    <row r="1476" spans="1:13" ht="15" hidden="1" customHeight="1" x14ac:dyDescent="0.3">
      <c r="A1476" s="9">
        <v>3317</v>
      </c>
      <c r="B1476" t="s">
        <v>260</v>
      </c>
      <c r="C1476" s="25">
        <v>44672</v>
      </c>
      <c r="D1476" s="26">
        <v>0.73440972222222223</v>
      </c>
      <c r="E1476" t="s">
        <v>27</v>
      </c>
      <c r="F1476" t="s">
        <v>210</v>
      </c>
      <c r="G1476" t="s">
        <v>211</v>
      </c>
      <c r="H1476" t="s">
        <v>261</v>
      </c>
      <c r="I1476" s="4">
        <v>623.21</v>
      </c>
      <c r="J1476" s="7">
        <v>0</v>
      </c>
      <c r="K1476" s="89">
        <f t="shared" si="86"/>
        <v>1453.84</v>
      </c>
      <c r="L1476" s="32">
        <v>1453.84</v>
      </c>
      <c r="M1476" s="10">
        <f t="shared" si="88"/>
        <v>42.866477741704735</v>
      </c>
    </row>
    <row r="1477" spans="1:13" ht="15" hidden="1" customHeight="1" x14ac:dyDescent="0.3">
      <c r="A1477" s="9">
        <v>3318</v>
      </c>
      <c r="B1477" t="s">
        <v>260</v>
      </c>
      <c r="C1477" s="25">
        <v>44674</v>
      </c>
      <c r="D1477" s="26">
        <v>0.69893518518518516</v>
      </c>
      <c r="E1477" t="s">
        <v>27</v>
      </c>
      <c r="F1477" t="s">
        <v>210</v>
      </c>
      <c r="G1477" t="s">
        <v>211</v>
      </c>
      <c r="H1477" t="s">
        <v>261</v>
      </c>
      <c r="I1477" s="4">
        <v>730.52</v>
      </c>
      <c r="J1477" s="7">
        <v>0</v>
      </c>
      <c r="K1477" s="89">
        <f t="shared" si="86"/>
        <v>1749.45</v>
      </c>
      <c r="L1477" s="32">
        <v>1749.45</v>
      </c>
      <c r="M1477" s="10">
        <f t="shared" si="88"/>
        <v>41.757123667438336</v>
      </c>
    </row>
    <row r="1478" spans="1:13" ht="15" hidden="1" customHeight="1" x14ac:dyDescent="0.3">
      <c r="A1478" s="9">
        <v>3319</v>
      </c>
      <c r="B1478" t="s">
        <v>260</v>
      </c>
      <c r="C1478" s="25">
        <v>44675</v>
      </c>
      <c r="D1478" s="26">
        <v>0.70901620370370377</v>
      </c>
      <c r="E1478" t="s">
        <v>27</v>
      </c>
      <c r="F1478" t="s">
        <v>210</v>
      </c>
      <c r="G1478" t="s">
        <v>211</v>
      </c>
      <c r="H1478" t="s">
        <v>261</v>
      </c>
      <c r="I1478" s="4">
        <v>398.2</v>
      </c>
      <c r="J1478" s="7">
        <v>0</v>
      </c>
      <c r="K1478" s="89">
        <f t="shared" si="86"/>
        <v>1062.4000000000001</v>
      </c>
      <c r="L1478" s="32">
        <v>1062.4000000000001</v>
      </c>
      <c r="M1478" s="10">
        <f t="shared" si="88"/>
        <v>37.481174698795179</v>
      </c>
    </row>
    <row r="1479" spans="1:13" ht="15" hidden="1" customHeight="1" x14ac:dyDescent="0.3">
      <c r="A1479" s="9">
        <v>3876</v>
      </c>
      <c r="B1479" t="s">
        <v>260</v>
      </c>
      <c r="C1479" s="25">
        <v>44686</v>
      </c>
      <c r="D1479" s="26">
        <v>0.42776620370370372</v>
      </c>
      <c r="E1479" t="s">
        <v>28</v>
      </c>
      <c r="F1479" t="s">
        <v>166</v>
      </c>
      <c r="G1479" t="s">
        <v>161</v>
      </c>
      <c r="H1479" t="s">
        <v>261</v>
      </c>
      <c r="I1479">
        <f>44.29+617.69</f>
        <v>661.98</v>
      </c>
      <c r="J1479" s="34">
        <v>0</v>
      </c>
      <c r="K1479" s="97">
        <f t="shared" si="86"/>
        <v>1611</v>
      </c>
      <c r="L1479" s="32">
        <v>1611</v>
      </c>
      <c r="M1479" s="10">
        <f t="shared" si="88"/>
        <v>41.09124767225326</v>
      </c>
    </row>
    <row r="1480" spans="1:13" ht="15" hidden="1" customHeight="1" x14ac:dyDescent="0.3">
      <c r="A1480" s="9">
        <v>3999</v>
      </c>
      <c r="B1480" t="s">
        <v>260</v>
      </c>
      <c r="C1480" s="25">
        <v>44688</v>
      </c>
      <c r="D1480" s="26">
        <v>0.80932870370370369</v>
      </c>
      <c r="E1480" t="s">
        <v>28</v>
      </c>
      <c r="F1480" t="s">
        <v>202</v>
      </c>
      <c r="G1480" t="s">
        <v>203</v>
      </c>
      <c r="H1480" t="s">
        <v>261</v>
      </c>
      <c r="I1480">
        <v>150</v>
      </c>
      <c r="J1480" s="34">
        <v>0</v>
      </c>
      <c r="K1480" s="97">
        <f>+L1480-J1610</f>
        <v>1620</v>
      </c>
      <c r="L1480" s="32">
        <v>1620</v>
      </c>
      <c r="M1480" s="10">
        <f t="shared" si="88"/>
        <v>9.2592592592592595</v>
      </c>
    </row>
    <row r="1481" spans="1:13" ht="15" hidden="1" customHeight="1" x14ac:dyDescent="0.3">
      <c r="A1481" s="9">
        <v>4046</v>
      </c>
      <c r="B1481" t="s">
        <v>260</v>
      </c>
      <c r="C1481" s="25">
        <v>44689</v>
      </c>
      <c r="D1481" s="26">
        <v>0.97260416666666671</v>
      </c>
      <c r="E1481" t="s">
        <v>28</v>
      </c>
      <c r="F1481" t="s">
        <v>165</v>
      </c>
      <c r="G1481" t="s">
        <v>185</v>
      </c>
      <c r="H1481" t="s">
        <v>261</v>
      </c>
      <c r="I1481">
        <v>373.66</v>
      </c>
      <c r="J1481" s="7">
        <v>0</v>
      </c>
      <c r="K1481" s="90">
        <f>+L1481-J1611</f>
        <v>573</v>
      </c>
      <c r="L1481" s="32">
        <v>573</v>
      </c>
      <c r="M1481" s="10">
        <f t="shared" si="88"/>
        <v>65.211169284467715</v>
      </c>
    </row>
    <row r="1482" spans="1:13" ht="15" hidden="1" customHeight="1" x14ac:dyDescent="0.3">
      <c r="A1482" s="9">
        <v>4133</v>
      </c>
      <c r="B1482" t="s">
        <v>260</v>
      </c>
      <c r="C1482" s="25">
        <v>44691</v>
      </c>
      <c r="D1482" s="26">
        <v>0.70435185185185178</v>
      </c>
      <c r="E1482" t="s">
        <v>28</v>
      </c>
      <c r="F1482" t="s">
        <v>210</v>
      </c>
      <c r="G1482" t="s">
        <v>211</v>
      </c>
      <c r="H1482" t="s">
        <v>261</v>
      </c>
      <c r="I1482">
        <v>600.02</v>
      </c>
      <c r="J1482" s="7">
        <v>0</v>
      </c>
      <c r="K1482" s="90">
        <f>+L1482-J1614</f>
        <v>576</v>
      </c>
      <c r="L1482" s="32">
        <v>576</v>
      </c>
      <c r="M1482" s="10">
        <f t="shared" si="88"/>
        <v>104.17013888888889</v>
      </c>
    </row>
    <row r="1483" spans="1:13" ht="15" hidden="1" customHeight="1" x14ac:dyDescent="0.3">
      <c r="A1483" s="9">
        <v>4227</v>
      </c>
      <c r="B1483" t="s">
        <v>260</v>
      </c>
      <c r="C1483" s="25">
        <v>44693</v>
      </c>
      <c r="D1483" s="26">
        <v>0.81798611111111119</v>
      </c>
      <c r="E1483" t="s">
        <v>28</v>
      </c>
      <c r="F1483" t="s">
        <v>396</v>
      </c>
      <c r="G1483" t="s">
        <v>397</v>
      </c>
      <c r="H1483" t="s">
        <v>261</v>
      </c>
      <c r="I1483">
        <v>713.08</v>
      </c>
      <c r="J1483" s="7">
        <v>0</v>
      </c>
      <c r="K1483" s="89">
        <f>+L1483-J1616</f>
        <v>2080</v>
      </c>
      <c r="L1483" s="32">
        <v>2080</v>
      </c>
      <c r="M1483" s="10">
        <f t="shared" si="88"/>
        <v>34.282692307692308</v>
      </c>
    </row>
    <row r="1484" spans="1:13" ht="15" hidden="1" customHeight="1" x14ac:dyDescent="0.3">
      <c r="A1484" s="9">
        <v>4344</v>
      </c>
      <c r="B1484" t="s">
        <v>260</v>
      </c>
      <c r="C1484" s="25">
        <v>44695</v>
      </c>
      <c r="D1484" s="26">
        <v>0.4535763888888889</v>
      </c>
      <c r="E1484" t="s">
        <v>28</v>
      </c>
      <c r="F1484" t="s">
        <v>262</v>
      </c>
      <c r="G1484" t="s">
        <v>263</v>
      </c>
      <c r="H1484" t="s">
        <v>261</v>
      </c>
      <c r="I1484">
        <v>200</v>
      </c>
      <c r="J1484" s="31">
        <v>0</v>
      </c>
      <c r="K1484" s="89">
        <f>+L1484-J1755</f>
        <v>1589</v>
      </c>
      <c r="L1484" s="32">
        <v>1589</v>
      </c>
      <c r="M1484" s="10">
        <f t="shared" si="88"/>
        <v>12.586532410320956</v>
      </c>
    </row>
    <row r="1485" spans="1:13" ht="15" hidden="1" customHeight="1" x14ac:dyDescent="0.3">
      <c r="A1485" s="9">
        <v>4411</v>
      </c>
      <c r="B1485" t="s">
        <v>260</v>
      </c>
      <c r="C1485" s="25">
        <v>44696</v>
      </c>
      <c r="D1485" s="26">
        <v>7.407407407407407E-2</v>
      </c>
      <c r="E1485" t="s">
        <v>28</v>
      </c>
      <c r="F1485" t="s">
        <v>366</v>
      </c>
      <c r="G1485" t="s">
        <v>367</v>
      </c>
      <c r="H1485" t="s">
        <v>261</v>
      </c>
      <c r="I1485">
        <v>100.08</v>
      </c>
      <c r="J1485" s="31">
        <v>0</v>
      </c>
      <c r="K1485" s="89">
        <f>+L1485-J1756</f>
        <v>692</v>
      </c>
      <c r="L1485" s="32">
        <v>692</v>
      </c>
      <c r="M1485" s="10">
        <f t="shared" si="88"/>
        <v>14.462427745664741</v>
      </c>
    </row>
    <row r="1486" spans="1:13" ht="15" hidden="1" customHeight="1" x14ac:dyDescent="0.3">
      <c r="A1486" s="9">
        <v>4413</v>
      </c>
      <c r="B1486" t="s">
        <v>260</v>
      </c>
      <c r="C1486" s="25">
        <v>44696</v>
      </c>
      <c r="D1486" s="26">
        <v>0.69190972222222225</v>
      </c>
      <c r="E1486" t="s">
        <v>28</v>
      </c>
      <c r="F1486" t="s">
        <v>396</v>
      </c>
      <c r="G1486" t="s">
        <v>397</v>
      </c>
      <c r="H1486" t="s">
        <v>261</v>
      </c>
      <c r="I1486">
        <v>712.77</v>
      </c>
      <c r="J1486" s="7">
        <v>0</v>
      </c>
      <c r="K1486" s="89">
        <f>+L1486-J1757</f>
        <v>408</v>
      </c>
      <c r="L1486" s="37">
        <v>408</v>
      </c>
      <c r="M1486" s="10">
        <f t="shared" si="88"/>
        <v>174.6985294117647</v>
      </c>
    </row>
    <row r="1487" spans="1:13" ht="15" hidden="1" customHeight="1" x14ac:dyDescent="0.3">
      <c r="A1487" s="9">
        <v>4414</v>
      </c>
      <c r="B1487" t="s">
        <v>260</v>
      </c>
      <c r="C1487" s="25">
        <v>44696</v>
      </c>
      <c r="D1487" s="26">
        <v>0.91460648148148149</v>
      </c>
      <c r="E1487" t="s">
        <v>28</v>
      </c>
      <c r="F1487" t="s">
        <v>165</v>
      </c>
      <c r="G1487" t="s">
        <v>185</v>
      </c>
      <c r="H1487" t="s">
        <v>261</v>
      </c>
      <c r="I1487">
        <v>265.97000000000003</v>
      </c>
      <c r="J1487" s="7">
        <v>0</v>
      </c>
      <c r="K1487" s="89">
        <f>+L1487-J1758</f>
        <v>223</v>
      </c>
      <c r="L1487" s="33">
        <v>223</v>
      </c>
      <c r="M1487" s="10">
        <f t="shared" si="88"/>
        <v>119.26905829596414</v>
      </c>
    </row>
    <row r="1488" spans="1:13" ht="15" hidden="1" customHeight="1" x14ac:dyDescent="0.3">
      <c r="A1488" s="9">
        <v>4422</v>
      </c>
      <c r="B1488" t="s">
        <v>260</v>
      </c>
      <c r="C1488" s="25">
        <v>44696</v>
      </c>
      <c r="D1488" s="26">
        <v>0.14509259259259258</v>
      </c>
      <c r="E1488" t="s">
        <v>28</v>
      </c>
      <c r="F1488" t="s">
        <v>166</v>
      </c>
      <c r="G1488" t="s">
        <v>161</v>
      </c>
      <c r="H1488" t="s">
        <v>261</v>
      </c>
      <c r="I1488">
        <v>100</v>
      </c>
      <c r="J1488" s="34">
        <v>0</v>
      </c>
      <c r="K1488" s="89">
        <f>+L1488-J1759</f>
        <v>123</v>
      </c>
      <c r="L1488" s="33">
        <v>123</v>
      </c>
      <c r="M1488" s="10">
        <f t="shared" si="88"/>
        <v>81.300813008130078</v>
      </c>
    </row>
    <row r="1489" spans="1:13" ht="15" hidden="1" customHeight="1" x14ac:dyDescent="0.3">
      <c r="A1489" s="9">
        <v>4573</v>
      </c>
      <c r="B1489" t="s">
        <v>260</v>
      </c>
      <c r="C1489" s="25">
        <v>44699</v>
      </c>
      <c r="D1489" s="26">
        <v>0.41679398148148145</v>
      </c>
      <c r="E1489" t="s">
        <v>28</v>
      </c>
      <c r="F1489" t="s">
        <v>488</v>
      </c>
      <c r="G1489" t="s">
        <v>489</v>
      </c>
      <c r="H1489" t="s">
        <v>261</v>
      </c>
      <c r="I1489">
        <f>493.29+336.45</f>
        <v>829.74</v>
      </c>
      <c r="J1489" s="7">
        <v>0</v>
      </c>
      <c r="K1489" s="89">
        <f>+L1489-J1761</f>
        <v>2051</v>
      </c>
      <c r="L1489" s="32">
        <v>2051</v>
      </c>
      <c r="M1489" s="10">
        <f t="shared" si="88"/>
        <v>40.455387615797171</v>
      </c>
    </row>
    <row r="1490" spans="1:13" ht="15" hidden="1" customHeight="1" x14ac:dyDescent="0.3">
      <c r="A1490" s="9">
        <v>4574</v>
      </c>
      <c r="B1490" t="s">
        <v>260</v>
      </c>
      <c r="C1490" s="25">
        <v>44699</v>
      </c>
      <c r="D1490" s="26">
        <v>0.96135416666666673</v>
      </c>
      <c r="E1490" t="s">
        <v>28</v>
      </c>
      <c r="F1490" t="s">
        <v>165</v>
      </c>
      <c r="G1490" t="s">
        <v>185</v>
      </c>
      <c r="H1490" t="s">
        <v>261</v>
      </c>
      <c r="I1490">
        <v>382.2</v>
      </c>
      <c r="J1490" s="7">
        <v>0</v>
      </c>
      <c r="K1490" s="89">
        <f>+L1490-J1762</f>
        <v>804</v>
      </c>
      <c r="L1490" s="32">
        <v>804</v>
      </c>
      <c r="M1490" s="10">
        <f t="shared" si="88"/>
        <v>47.537313432835823</v>
      </c>
    </row>
    <row r="1491" spans="1:13" ht="15" hidden="1" customHeight="1" x14ac:dyDescent="0.3">
      <c r="A1491" s="9">
        <v>4627</v>
      </c>
      <c r="B1491" t="s">
        <v>260</v>
      </c>
      <c r="C1491" s="25">
        <v>44700</v>
      </c>
      <c r="D1491" s="26">
        <v>0.55820601851851859</v>
      </c>
      <c r="E1491" t="s">
        <v>28</v>
      </c>
      <c r="F1491" t="s">
        <v>210</v>
      </c>
      <c r="G1491" t="s">
        <v>211</v>
      </c>
      <c r="H1491" t="s">
        <v>261</v>
      </c>
      <c r="I1491" s="8">
        <v>177.65</v>
      </c>
      <c r="J1491" s="7">
        <v>0</v>
      </c>
      <c r="K1491" s="89">
        <f>+L1491-J1762</f>
        <v>515</v>
      </c>
      <c r="L1491" s="37">
        <v>515</v>
      </c>
      <c r="M1491" s="10">
        <f t="shared" si="88"/>
        <v>34.495145631067963</v>
      </c>
    </row>
    <row r="1492" spans="1:13" ht="15" hidden="1" customHeight="1" x14ac:dyDescent="0.3">
      <c r="A1492" s="9">
        <v>4680</v>
      </c>
      <c r="B1492" t="s">
        <v>260</v>
      </c>
      <c r="C1492" s="25">
        <v>44701</v>
      </c>
      <c r="D1492" s="26">
        <v>0.66587962962962965</v>
      </c>
      <c r="E1492" t="s">
        <v>28</v>
      </c>
      <c r="F1492" t="s">
        <v>262</v>
      </c>
      <c r="G1492" t="s">
        <v>263</v>
      </c>
      <c r="H1492" t="s">
        <v>261</v>
      </c>
      <c r="I1492" s="8">
        <v>198.7</v>
      </c>
      <c r="J1492" s="7">
        <v>0</v>
      </c>
      <c r="K1492" s="89">
        <f>+L1492-J1746</f>
        <v>853</v>
      </c>
      <c r="L1492" s="32">
        <v>853</v>
      </c>
      <c r="M1492" s="10">
        <f t="shared" si="88"/>
        <v>23.294255568581477</v>
      </c>
    </row>
    <row r="1493" spans="1:13" ht="15" hidden="1" customHeight="1" x14ac:dyDescent="0.3">
      <c r="A1493" s="9">
        <v>4720</v>
      </c>
      <c r="B1493" t="s">
        <v>260</v>
      </c>
      <c r="C1493" s="25">
        <v>44702</v>
      </c>
      <c r="D1493" s="26">
        <v>0.77461805555555552</v>
      </c>
      <c r="E1493" t="s">
        <v>28</v>
      </c>
      <c r="F1493" t="s">
        <v>166</v>
      </c>
      <c r="G1493" t="s">
        <v>161</v>
      </c>
      <c r="H1493" t="s">
        <v>261</v>
      </c>
      <c r="I1493" s="8">
        <v>235.31</v>
      </c>
      <c r="J1493" s="7">
        <v>0</v>
      </c>
      <c r="K1493" s="89">
        <f>+L1493-J1761</f>
        <v>511</v>
      </c>
      <c r="L1493" s="32">
        <v>511</v>
      </c>
      <c r="M1493" s="10">
        <f t="shared" si="88"/>
        <v>46.048923679060664</v>
      </c>
    </row>
    <row r="1494" spans="1:13" ht="15" hidden="1" customHeight="1" x14ac:dyDescent="0.3">
      <c r="A1494" s="9">
        <v>4737</v>
      </c>
      <c r="B1494" t="s">
        <v>260</v>
      </c>
      <c r="C1494" s="25">
        <v>44702</v>
      </c>
      <c r="D1494" s="26">
        <v>0.48018518518518521</v>
      </c>
      <c r="E1494" t="s">
        <v>28</v>
      </c>
      <c r="F1494" t="s">
        <v>197</v>
      </c>
      <c r="G1494" t="s">
        <v>44</v>
      </c>
      <c r="H1494" t="s">
        <v>261</v>
      </c>
      <c r="I1494">
        <v>206.16</v>
      </c>
      <c r="J1494" s="31">
        <v>0</v>
      </c>
      <c r="K1494" s="89">
        <f>+L1494-J1748</f>
        <v>307</v>
      </c>
      <c r="L1494" s="33">
        <v>307</v>
      </c>
      <c r="M1494" s="10">
        <f t="shared" si="88"/>
        <v>67.153094462540722</v>
      </c>
    </row>
    <row r="1495" spans="1:13" ht="15" hidden="1" customHeight="1" x14ac:dyDescent="0.3">
      <c r="A1495" s="9">
        <v>4788</v>
      </c>
      <c r="B1495" t="s">
        <v>260</v>
      </c>
      <c r="C1495" s="25">
        <v>44703</v>
      </c>
      <c r="D1495" s="26">
        <v>0.71538194444444436</v>
      </c>
      <c r="E1495" t="s">
        <v>28</v>
      </c>
      <c r="F1495" t="s">
        <v>210</v>
      </c>
      <c r="G1495" t="s">
        <v>211</v>
      </c>
      <c r="H1495" t="s">
        <v>261</v>
      </c>
      <c r="I1495" s="122">
        <v>458.4</v>
      </c>
      <c r="J1495" s="31">
        <v>0</v>
      </c>
      <c r="K1495" s="89">
        <f>+L1495-J1749</f>
        <v>1144</v>
      </c>
      <c r="L1495" s="33">
        <v>1144</v>
      </c>
      <c r="M1495" s="10">
        <f t="shared" si="88"/>
        <v>40.069930069930066</v>
      </c>
    </row>
    <row r="1496" spans="1:13" ht="15" hidden="1" customHeight="1" x14ac:dyDescent="0.3">
      <c r="A1496" s="9">
        <v>4896</v>
      </c>
      <c r="B1496" t="s">
        <v>260</v>
      </c>
      <c r="C1496" s="25">
        <v>44705</v>
      </c>
      <c r="D1496" s="26">
        <v>0.63081018518518517</v>
      </c>
      <c r="E1496" t="s">
        <v>28</v>
      </c>
      <c r="F1496" t="s">
        <v>396</v>
      </c>
      <c r="G1496" t="s">
        <v>397</v>
      </c>
      <c r="H1496" t="s">
        <v>261</v>
      </c>
      <c r="I1496" s="122">
        <v>418.73</v>
      </c>
      <c r="J1496" s="7">
        <v>0</v>
      </c>
      <c r="K1496" s="89">
        <f>+L1496-J1750</f>
        <v>1026</v>
      </c>
      <c r="L1496" s="32">
        <v>1026</v>
      </c>
      <c r="M1496" s="10">
        <f t="shared" si="88"/>
        <v>40.811890838206629</v>
      </c>
    </row>
    <row r="1497" spans="1:13" ht="15" hidden="1" customHeight="1" x14ac:dyDescent="0.3">
      <c r="A1497" s="9">
        <v>4897</v>
      </c>
      <c r="B1497" t="s">
        <v>260</v>
      </c>
      <c r="C1497" s="25">
        <v>44705</v>
      </c>
      <c r="D1497" s="26">
        <v>0.84474537037037034</v>
      </c>
      <c r="E1497" t="s">
        <v>28</v>
      </c>
      <c r="F1497" t="s">
        <v>165</v>
      </c>
      <c r="G1497" t="s">
        <v>185</v>
      </c>
      <c r="H1497" t="s">
        <v>261</v>
      </c>
      <c r="I1497" s="122">
        <v>398.02</v>
      </c>
      <c r="J1497" s="7">
        <v>0</v>
      </c>
      <c r="K1497" s="89">
        <f>+L1497-J1751</f>
        <v>560</v>
      </c>
      <c r="L1497" s="32">
        <v>560</v>
      </c>
      <c r="M1497" s="10">
        <f t="shared" si="88"/>
        <v>71.075000000000003</v>
      </c>
    </row>
    <row r="1498" spans="1:13" ht="15" hidden="1" customHeight="1" x14ac:dyDescent="0.3">
      <c r="A1498" s="9">
        <v>4956</v>
      </c>
      <c r="B1498" t="s">
        <v>260</v>
      </c>
      <c r="C1498" s="25">
        <v>44706</v>
      </c>
      <c r="D1498" s="26">
        <v>0.79011574074074076</v>
      </c>
      <c r="E1498" t="s">
        <v>28</v>
      </c>
      <c r="F1498" t="s">
        <v>210</v>
      </c>
      <c r="G1498" t="s">
        <v>211</v>
      </c>
      <c r="H1498" t="s">
        <v>261</v>
      </c>
      <c r="I1498" s="122">
        <v>258.79000000000002</v>
      </c>
      <c r="J1498" s="35">
        <v>0</v>
      </c>
      <c r="K1498" s="89">
        <f>+L1498-J1752</f>
        <v>1100</v>
      </c>
      <c r="L1498" s="32">
        <v>1100</v>
      </c>
      <c r="M1498" s="10">
        <f t="shared" si="88"/>
        <v>23.526363636363637</v>
      </c>
    </row>
    <row r="1499" spans="1:13" ht="15" hidden="1" customHeight="1" x14ac:dyDescent="0.3">
      <c r="A1499" s="9">
        <v>5055</v>
      </c>
      <c r="B1499" t="s">
        <v>260</v>
      </c>
      <c r="C1499" s="25">
        <v>44708</v>
      </c>
      <c r="D1499" s="26">
        <v>0.99706018518518524</v>
      </c>
      <c r="E1499" t="s">
        <v>28</v>
      </c>
      <c r="F1499" t="s">
        <v>639</v>
      </c>
      <c r="G1499" t="s">
        <v>44</v>
      </c>
      <c r="H1499" t="s">
        <v>261</v>
      </c>
      <c r="I1499" s="122">
        <v>77</v>
      </c>
      <c r="J1499" s="31">
        <v>0</v>
      </c>
      <c r="K1499" s="89">
        <f>+L1499-J1752</f>
        <v>1155</v>
      </c>
      <c r="L1499" s="31">
        <v>1155</v>
      </c>
      <c r="M1499" s="10">
        <f t="shared" ref="M1499:M1514" si="89">I1499/K1499*100</f>
        <v>6.666666666666667</v>
      </c>
    </row>
    <row r="1500" spans="1:13" ht="15" hidden="1" customHeight="1" x14ac:dyDescent="0.3">
      <c r="A1500" s="9">
        <v>5104</v>
      </c>
      <c r="B1500" t="s">
        <v>260</v>
      </c>
      <c r="C1500" s="25">
        <v>44709</v>
      </c>
      <c r="D1500" s="26">
        <v>0.50462962962962965</v>
      </c>
      <c r="E1500" t="s">
        <v>28</v>
      </c>
      <c r="F1500" t="s">
        <v>661</v>
      </c>
      <c r="G1500" t="s">
        <v>457</v>
      </c>
      <c r="H1500" t="s">
        <v>261</v>
      </c>
      <c r="I1500" s="122">
        <v>22.9</v>
      </c>
      <c r="J1500" s="7">
        <v>0</v>
      </c>
      <c r="K1500" s="89">
        <f>+L1500-J1730</f>
        <v>287</v>
      </c>
      <c r="L1500" s="7">
        <v>287</v>
      </c>
      <c r="M1500" s="10">
        <f t="shared" si="89"/>
        <v>7.979094076655052</v>
      </c>
    </row>
    <row r="1501" spans="1:13" ht="15" hidden="1" customHeight="1" x14ac:dyDescent="0.3">
      <c r="A1501" s="9">
        <v>5105</v>
      </c>
      <c r="B1501" t="s">
        <v>260</v>
      </c>
      <c r="C1501" s="25">
        <v>44709</v>
      </c>
      <c r="D1501" s="26">
        <v>0.63278935185185181</v>
      </c>
      <c r="E1501" t="s">
        <v>28</v>
      </c>
      <c r="F1501" t="s">
        <v>632</v>
      </c>
      <c r="G1501" t="s">
        <v>161</v>
      </c>
      <c r="H1501" t="s">
        <v>261</v>
      </c>
      <c r="I1501" s="122">
        <v>626.58000000000004</v>
      </c>
      <c r="J1501" s="7">
        <v>0</v>
      </c>
      <c r="K1501" s="89">
        <f>+L1501-J1731</f>
        <v>239</v>
      </c>
      <c r="L1501" s="7">
        <v>239</v>
      </c>
      <c r="M1501" s="10">
        <f t="shared" si="89"/>
        <v>262.16736401673643</v>
      </c>
    </row>
    <row r="1502" spans="1:13" ht="15" hidden="1" customHeight="1" x14ac:dyDescent="0.3">
      <c r="A1502" s="9">
        <v>5167</v>
      </c>
      <c r="B1502" t="s">
        <v>260</v>
      </c>
      <c r="C1502" s="25">
        <v>44710</v>
      </c>
      <c r="D1502" s="26">
        <v>0.64042824074074078</v>
      </c>
      <c r="E1502" t="s">
        <v>28</v>
      </c>
      <c r="F1502" t="s">
        <v>634</v>
      </c>
      <c r="G1502" t="s">
        <v>211</v>
      </c>
      <c r="H1502" t="s">
        <v>261</v>
      </c>
      <c r="I1502">
        <v>620.4</v>
      </c>
      <c r="J1502" s="7">
        <v>0</v>
      </c>
      <c r="K1502" s="89">
        <f>+L1502-J1732</f>
        <v>1076</v>
      </c>
      <c r="L1502" s="7">
        <v>1076</v>
      </c>
      <c r="M1502" s="10">
        <f t="shared" si="89"/>
        <v>57.657992565055757</v>
      </c>
    </row>
    <row r="1503" spans="1:13" ht="15" hidden="1" customHeight="1" x14ac:dyDescent="0.3">
      <c r="A1503" s="9">
        <v>5677</v>
      </c>
      <c r="B1503" t="s">
        <v>260</v>
      </c>
      <c r="C1503" s="25">
        <v>44720</v>
      </c>
      <c r="D1503" s="26">
        <v>0.37172453703703701</v>
      </c>
      <c r="E1503" t="s">
        <v>29</v>
      </c>
      <c r="F1503" t="s">
        <v>662</v>
      </c>
      <c r="G1503" t="s">
        <v>542</v>
      </c>
      <c r="H1503" t="s">
        <v>261</v>
      </c>
      <c r="I1503">
        <v>200</v>
      </c>
      <c r="J1503" s="32">
        <v>0</v>
      </c>
      <c r="K1503" s="89">
        <f>+L1503-J1716</f>
        <v>412</v>
      </c>
      <c r="L1503" s="7">
        <v>412</v>
      </c>
      <c r="M1503" s="10">
        <f t="shared" si="89"/>
        <v>48.543689320388353</v>
      </c>
    </row>
    <row r="1504" spans="1:13" ht="15" hidden="1" customHeight="1" x14ac:dyDescent="0.3">
      <c r="A1504" s="9">
        <v>5678</v>
      </c>
      <c r="B1504" t="s">
        <v>260</v>
      </c>
      <c r="C1504" s="25">
        <v>44720</v>
      </c>
      <c r="D1504" s="26">
        <v>0.72478009259259257</v>
      </c>
      <c r="E1504" t="s">
        <v>29</v>
      </c>
      <c r="F1504" t="s">
        <v>632</v>
      </c>
      <c r="G1504" t="s">
        <v>161</v>
      </c>
      <c r="H1504" t="s">
        <v>261</v>
      </c>
      <c r="I1504">
        <v>462.9</v>
      </c>
      <c r="J1504" s="32">
        <v>0</v>
      </c>
      <c r="K1504" s="89">
        <f>+L1504-J1101</f>
        <v>459</v>
      </c>
      <c r="L1504" s="7">
        <v>459</v>
      </c>
      <c r="M1504" s="10">
        <f t="shared" si="89"/>
        <v>100.84967320261438</v>
      </c>
    </row>
    <row r="1505" spans="1:20" ht="15" hidden="1" customHeight="1" x14ac:dyDescent="0.3">
      <c r="A1505" s="9">
        <v>5733</v>
      </c>
      <c r="B1505" t="s">
        <v>260</v>
      </c>
      <c r="C1505" s="25">
        <v>44721</v>
      </c>
      <c r="D1505" s="26">
        <v>0.86146990740740748</v>
      </c>
      <c r="E1505" t="s">
        <v>29</v>
      </c>
      <c r="F1505" t="s">
        <v>634</v>
      </c>
      <c r="G1505" t="s">
        <v>211</v>
      </c>
      <c r="H1505" t="s">
        <v>261</v>
      </c>
      <c r="I1505">
        <v>457.18</v>
      </c>
      <c r="J1505" s="37">
        <v>0</v>
      </c>
      <c r="K1505" s="89">
        <f>+L1505-J1102</f>
        <v>1162</v>
      </c>
      <c r="L1505" s="34">
        <v>1162</v>
      </c>
      <c r="M1505" s="10">
        <f t="shared" si="89"/>
        <v>39.344234079173837</v>
      </c>
    </row>
    <row r="1506" spans="1:20" ht="15" hidden="1" customHeight="1" x14ac:dyDescent="0.3">
      <c r="A1506" s="9">
        <v>5887</v>
      </c>
      <c r="B1506" t="s">
        <v>260</v>
      </c>
      <c r="C1506" s="25">
        <v>44724</v>
      </c>
      <c r="D1506" s="26">
        <v>0.53662037037037036</v>
      </c>
      <c r="E1506" t="s">
        <v>29</v>
      </c>
      <c r="F1506" t="s">
        <v>634</v>
      </c>
      <c r="G1506" t="s">
        <v>211</v>
      </c>
      <c r="H1506" t="s">
        <v>261</v>
      </c>
      <c r="I1506">
        <v>690.46</v>
      </c>
      <c r="J1506" s="32">
        <v>0</v>
      </c>
      <c r="K1506" s="89">
        <f>+L1506-J1103</f>
        <v>1797</v>
      </c>
      <c r="L1506" s="35">
        <v>1797</v>
      </c>
      <c r="M1506" s="10">
        <f t="shared" si="89"/>
        <v>38.422927100723427</v>
      </c>
    </row>
    <row r="1507" spans="1:20" ht="15" hidden="1" customHeight="1" x14ac:dyDescent="0.3">
      <c r="A1507" s="9">
        <v>6115</v>
      </c>
      <c r="B1507" t="s">
        <v>260</v>
      </c>
      <c r="C1507" s="25">
        <v>44728</v>
      </c>
      <c r="D1507" s="26">
        <v>0.80532407407407414</v>
      </c>
      <c r="E1507" t="s">
        <v>29</v>
      </c>
      <c r="F1507" t="s">
        <v>635</v>
      </c>
      <c r="G1507" t="s">
        <v>185</v>
      </c>
      <c r="H1507" t="s">
        <v>261</v>
      </c>
      <c r="I1507">
        <v>523.80999999999995</v>
      </c>
      <c r="J1507" s="33">
        <v>0</v>
      </c>
      <c r="K1507" s="89">
        <v>2152</v>
      </c>
      <c r="L1507" s="31">
        <v>2152</v>
      </c>
      <c r="M1507" s="10">
        <f t="shared" si="89"/>
        <v>24.340613382899626</v>
      </c>
    </row>
    <row r="1508" spans="1:20" ht="15" hidden="1" customHeight="1" x14ac:dyDescent="0.3">
      <c r="A1508" s="9">
        <v>6223</v>
      </c>
      <c r="B1508" t="s">
        <v>260</v>
      </c>
      <c r="C1508" s="25">
        <v>44730</v>
      </c>
      <c r="D1508" s="26">
        <v>0.99547453703703714</v>
      </c>
      <c r="E1508" t="s">
        <v>29</v>
      </c>
      <c r="F1508" t="s">
        <v>634</v>
      </c>
      <c r="G1508" t="s">
        <v>211</v>
      </c>
      <c r="H1508" t="s">
        <v>261</v>
      </c>
      <c r="I1508" s="148">
        <v>713.12</v>
      </c>
      <c r="J1508" s="32">
        <v>0</v>
      </c>
      <c r="K1508" s="89">
        <v>954</v>
      </c>
      <c r="L1508" s="7">
        <v>954</v>
      </c>
      <c r="M1508" s="10">
        <f t="shared" si="89"/>
        <v>74.750524109014677</v>
      </c>
    </row>
    <row r="1509" spans="1:20" ht="15" hidden="1" customHeight="1" x14ac:dyDescent="0.3">
      <c r="A1509" s="9">
        <v>6350</v>
      </c>
      <c r="B1509" t="s">
        <v>260</v>
      </c>
      <c r="C1509" s="25">
        <v>44734</v>
      </c>
      <c r="D1509" s="26">
        <v>0.50518518518518518</v>
      </c>
      <c r="E1509" t="s">
        <v>29</v>
      </c>
      <c r="F1509" t="s">
        <v>634</v>
      </c>
      <c r="G1509" t="s">
        <v>211</v>
      </c>
      <c r="H1509" t="s">
        <v>261</v>
      </c>
      <c r="I1509" s="148">
        <v>704</v>
      </c>
      <c r="J1509" s="37">
        <v>0</v>
      </c>
      <c r="K1509" s="89">
        <v>1740</v>
      </c>
      <c r="L1509" s="34">
        <v>1740</v>
      </c>
      <c r="M1509" s="10">
        <f t="shared" si="89"/>
        <v>40.459770114942529</v>
      </c>
    </row>
    <row r="1510" spans="1:20" ht="15" hidden="1" customHeight="1" x14ac:dyDescent="0.3">
      <c r="A1510" s="9">
        <v>6398</v>
      </c>
      <c r="B1510" t="s">
        <v>260</v>
      </c>
      <c r="C1510" s="25">
        <v>44735</v>
      </c>
      <c r="D1510" s="26">
        <v>0.68412037037037043</v>
      </c>
      <c r="E1510" t="s">
        <v>29</v>
      </c>
      <c r="F1510" t="s">
        <v>634</v>
      </c>
      <c r="G1510" t="s">
        <v>211</v>
      </c>
      <c r="H1510" t="s">
        <v>261</v>
      </c>
      <c r="I1510" s="148">
        <v>420.49</v>
      </c>
      <c r="J1510" s="32">
        <v>0</v>
      </c>
      <c r="K1510" s="89">
        <v>1062</v>
      </c>
      <c r="L1510" s="7">
        <v>1062</v>
      </c>
      <c r="M1510" s="36">
        <f t="shared" si="89"/>
        <v>39.594161958568741</v>
      </c>
    </row>
    <row r="1511" spans="1:20" ht="15" hidden="1" customHeight="1" x14ac:dyDescent="0.3">
      <c r="A1511" s="9">
        <v>6509</v>
      </c>
      <c r="B1511" t="s">
        <v>260</v>
      </c>
      <c r="C1511" s="25">
        <v>44737</v>
      </c>
      <c r="D1511" s="26">
        <v>0.66425925925925922</v>
      </c>
      <c r="E1511" t="s">
        <v>29</v>
      </c>
      <c r="F1511" t="s">
        <v>634</v>
      </c>
      <c r="G1511" t="s">
        <v>211</v>
      </c>
      <c r="H1511" t="s">
        <v>261</v>
      </c>
      <c r="I1511" s="148">
        <v>629.30999999999995</v>
      </c>
      <c r="J1511" s="32">
        <v>0</v>
      </c>
      <c r="K1511" s="89">
        <v>1734</v>
      </c>
      <c r="L1511" s="7">
        <v>1734</v>
      </c>
      <c r="M1511" s="36">
        <f t="shared" si="89"/>
        <v>36.292387543252588</v>
      </c>
    </row>
    <row r="1512" spans="1:20" ht="15" hidden="1" customHeight="1" x14ac:dyDescent="0.3">
      <c r="A1512" s="9">
        <v>6561</v>
      </c>
      <c r="B1512" t="s">
        <v>260</v>
      </c>
      <c r="C1512" s="25">
        <v>44738</v>
      </c>
      <c r="D1512" s="26">
        <v>0.46591435185185182</v>
      </c>
      <c r="E1512" t="s">
        <v>29</v>
      </c>
      <c r="F1512" t="s">
        <v>634</v>
      </c>
      <c r="G1512" t="s">
        <v>211</v>
      </c>
      <c r="H1512" t="s">
        <v>261</v>
      </c>
      <c r="I1512" s="148">
        <v>358.9</v>
      </c>
      <c r="J1512" s="32">
        <v>0</v>
      </c>
      <c r="K1512" s="90">
        <v>910</v>
      </c>
      <c r="L1512" s="34">
        <v>910</v>
      </c>
      <c r="M1512" s="10">
        <f t="shared" si="89"/>
        <v>39.439560439560438</v>
      </c>
    </row>
    <row r="1513" spans="1:20" ht="15" hidden="1" customHeight="1" x14ac:dyDescent="0.3">
      <c r="A1513" s="9">
        <v>6732</v>
      </c>
      <c r="B1513" t="s">
        <v>260</v>
      </c>
      <c r="C1513" s="25">
        <v>44741</v>
      </c>
      <c r="D1513" s="26">
        <v>0.72744212962962962</v>
      </c>
      <c r="E1513" t="s">
        <v>29</v>
      </c>
      <c r="F1513" t="s">
        <v>634</v>
      </c>
      <c r="G1513" t="s">
        <v>211</v>
      </c>
      <c r="H1513" t="s">
        <v>261</v>
      </c>
      <c r="I1513" s="159">
        <v>145.12</v>
      </c>
      <c r="J1513" s="32">
        <v>0</v>
      </c>
      <c r="K1513" s="99">
        <v>968</v>
      </c>
      <c r="L1513" s="31">
        <v>968</v>
      </c>
      <c r="M1513" s="10">
        <f t="shared" si="89"/>
        <v>14.991735537190081</v>
      </c>
    </row>
    <row r="1514" spans="1:20" ht="15" hidden="1" customHeight="1" x14ac:dyDescent="0.3">
      <c r="B1514" t="s">
        <v>373</v>
      </c>
      <c r="C1514" s="25">
        <v>44682</v>
      </c>
      <c r="D1514" s="26">
        <v>0.73023148148148154</v>
      </c>
      <c r="E1514" t="s">
        <v>580</v>
      </c>
      <c r="F1514" t="s">
        <v>262</v>
      </c>
      <c r="G1514" t="s">
        <v>263</v>
      </c>
      <c r="H1514" t="s">
        <v>239</v>
      </c>
      <c r="I1514" s="128">
        <v>200.9</v>
      </c>
      <c r="J1514" s="23"/>
      <c r="K1514" s="90">
        <f>+L1514-J1652</f>
        <v>12345</v>
      </c>
      <c r="L1514" s="8">
        <v>12345</v>
      </c>
      <c r="M1514" s="10">
        <f t="shared" si="89"/>
        <v>1.6273795058728231</v>
      </c>
      <c r="S1514"/>
      <c r="T1514"/>
    </row>
    <row r="1515" spans="1:20" ht="15" hidden="1" customHeight="1" x14ac:dyDescent="0.3">
      <c r="A1515" s="9">
        <v>6691</v>
      </c>
      <c r="B1515" t="s">
        <v>276</v>
      </c>
      <c r="C1515" s="25">
        <v>44740</v>
      </c>
      <c r="D1515" s="26">
        <v>0.520625</v>
      </c>
      <c r="E1515" t="s">
        <v>29</v>
      </c>
      <c r="F1515" t="s">
        <v>634</v>
      </c>
      <c r="G1515" t="s">
        <v>211</v>
      </c>
      <c r="H1515" t="s">
        <v>135</v>
      </c>
      <c r="I1515" s="148">
        <v>266.85000000000002</v>
      </c>
      <c r="J1515" s="150">
        <f>266+100+100+153+433+296+248+100</f>
        <v>1696</v>
      </c>
      <c r="K1515" s="151">
        <v>188</v>
      </c>
      <c r="L1515" s="151">
        <v>4582</v>
      </c>
      <c r="M1515" s="155">
        <f>+J1515/L1515*100</f>
        <v>37.014404190309911</v>
      </c>
    </row>
    <row r="1516" spans="1:20" ht="15" hidden="1" customHeight="1" x14ac:dyDescent="0.3">
      <c r="B1516" t="s">
        <v>432</v>
      </c>
      <c r="C1516" s="25">
        <v>44682</v>
      </c>
      <c r="D1516" s="26">
        <v>0.5646296296296297</v>
      </c>
      <c r="E1516" t="s">
        <v>580</v>
      </c>
      <c r="F1516" t="s">
        <v>210</v>
      </c>
      <c r="G1516" t="s">
        <v>211</v>
      </c>
      <c r="H1516" t="s">
        <v>433</v>
      </c>
      <c r="I1516">
        <v>380.4</v>
      </c>
      <c r="J1516" s="31">
        <v>0</v>
      </c>
      <c r="K1516" s="100">
        <f>+L1516-J1654</f>
        <v>550</v>
      </c>
      <c r="L1516" s="37">
        <v>550</v>
      </c>
      <c r="M1516" s="10">
        <f>I1516/L1516*100</f>
        <v>69.163636363636357</v>
      </c>
      <c r="S1516"/>
      <c r="T1516"/>
    </row>
    <row r="1517" spans="1:20" ht="15" hidden="1" customHeight="1" x14ac:dyDescent="0.3">
      <c r="B1517" t="s">
        <v>276</v>
      </c>
      <c r="C1517" s="25">
        <v>44586</v>
      </c>
      <c r="D1517" s="26">
        <v>0.5834259259259259</v>
      </c>
      <c r="E1517" t="s">
        <v>24</v>
      </c>
      <c r="F1517" t="s">
        <v>175</v>
      </c>
      <c r="G1517" t="s">
        <v>172</v>
      </c>
      <c r="H1517" t="s">
        <v>117</v>
      </c>
      <c r="I1517">
        <v>175.76</v>
      </c>
      <c r="J1517" s="31">
        <v>0</v>
      </c>
      <c r="K1517" s="31">
        <f t="shared" ref="K1517:K1548" si="90">+L1517-J1517</f>
        <v>466.71</v>
      </c>
      <c r="L1517" s="7">
        <v>466.71</v>
      </c>
      <c r="M1517" s="10">
        <f t="shared" ref="M1517:M1580" si="91">I1517/K1517*100</f>
        <v>37.659360202266932</v>
      </c>
    </row>
    <row r="1518" spans="1:20" ht="15" hidden="1" customHeight="1" x14ac:dyDescent="0.3">
      <c r="B1518" t="s">
        <v>276</v>
      </c>
      <c r="C1518" s="25">
        <v>44587</v>
      </c>
      <c r="D1518" s="26">
        <v>0.52796296296296297</v>
      </c>
      <c r="E1518" t="s">
        <v>24</v>
      </c>
      <c r="F1518" t="s">
        <v>210</v>
      </c>
      <c r="G1518" t="s">
        <v>211</v>
      </c>
      <c r="H1518" t="s">
        <v>117</v>
      </c>
      <c r="I1518">
        <v>355.01</v>
      </c>
      <c r="J1518" s="31">
        <v>0</v>
      </c>
      <c r="K1518" s="31">
        <f t="shared" si="90"/>
        <v>796.91</v>
      </c>
      <c r="L1518" s="31">
        <v>796.91</v>
      </c>
      <c r="M1518" s="10">
        <f t="shared" si="91"/>
        <v>44.548317877803015</v>
      </c>
    </row>
    <row r="1519" spans="1:20" ht="15" hidden="1" customHeight="1" x14ac:dyDescent="0.3">
      <c r="B1519" t="s">
        <v>276</v>
      </c>
      <c r="C1519" s="25">
        <v>44588</v>
      </c>
      <c r="D1519" s="26">
        <v>0.90423611111111113</v>
      </c>
      <c r="E1519" t="s">
        <v>24</v>
      </c>
      <c r="F1519" t="s">
        <v>210</v>
      </c>
      <c r="G1519" t="s">
        <v>211</v>
      </c>
      <c r="H1519" t="s">
        <v>117</v>
      </c>
      <c r="I1519">
        <v>401.97</v>
      </c>
      <c r="J1519" s="7">
        <v>0</v>
      </c>
      <c r="K1519" s="7">
        <f t="shared" si="90"/>
        <v>1055.81</v>
      </c>
      <c r="L1519" s="7">
        <v>1055.81</v>
      </c>
      <c r="M1519" s="10">
        <f t="shared" si="91"/>
        <v>38.072191019217478</v>
      </c>
    </row>
    <row r="1520" spans="1:20" ht="15" hidden="1" customHeight="1" x14ac:dyDescent="0.3">
      <c r="B1520" t="s">
        <v>276</v>
      </c>
      <c r="C1520" s="25">
        <v>44590</v>
      </c>
      <c r="D1520" s="26">
        <v>0.42896990740740737</v>
      </c>
      <c r="E1520" t="s">
        <v>24</v>
      </c>
      <c r="F1520" t="s">
        <v>175</v>
      </c>
      <c r="G1520" t="s">
        <v>172</v>
      </c>
      <c r="H1520" t="s">
        <v>117</v>
      </c>
      <c r="I1520">
        <v>304.51</v>
      </c>
      <c r="J1520" s="34">
        <v>0</v>
      </c>
      <c r="K1520" s="34">
        <f t="shared" si="90"/>
        <v>975.15</v>
      </c>
      <c r="L1520" s="34">
        <v>975.15</v>
      </c>
      <c r="M1520" s="10">
        <f t="shared" si="91"/>
        <v>31.226990719376506</v>
      </c>
    </row>
    <row r="1521" spans="1:13" ht="15" hidden="1" customHeight="1" x14ac:dyDescent="0.3">
      <c r="B1521" t="s">
        <v>276</v>
      </c>
      <c r="C1521" s="25">
        <v>44591</v>
      </c>
      <c r="D1521" s="26">
        <v>0.41343749999999996</v>
      </c>
      <c r="E1521" t="s">
        <v>24</v>
      </c>
      <c r="F1521" t="s">
        <v>210</v>
      </c>
      <c r="G1521" t="s">
        <v>211</v>
      </c>
      <c r="H1521" t="s">
        <v>117</v>
      </c>
      <c r="I1521">
        <v>389.62</v>
      </c>
      <c r="J1521" s="31">
        <v>0</v>
      </c>
      <c r="K1521" s="31">
        <f t="shared" si="90"/>
        <v>817.24</v>
      </c>
      <c r="L1521" s="7">
        <v>817.24</v>
      </c>
      <c r="M1521" s="10">
        <f t="shared" si="91"/>
        <v>47.675101561352847</v>
      </c>
    </row>
    <row r="1522" spans="1:13" ht="15" hidden="1" customHeight="1" x14ac:dyDescent="0.3">
      <c r="B1522" t="s">
        <v>276</v>
      </c>
      <c r="C1522" s="25">
        <v>44566</v>
      </c>
      <c r="D1522" s="26">
        <v>0.52543981481481483</v>
      </c>
      <c r="E1522" t="s">
        <v>24</v>
      </c>
      <c r="F1522" t="s">
        <v>175</v>
      </c>
      <c r="G1522" t="s">
        <v>172</v>
      </c>
      <c r="H1522" t="s">
        <v>122</v>
      </c>
      <c r="I1522">
        <v>174.57</v>
      </c>
      <c r="J1522" s="7">
        <v>0</v>
      </c>
      <c r="K1522" s="7">
        <f t="shared" si="90"/>
        <v>418.28</v>
      </c>
      <c r="L1522" s="7">
        <v>418.28</v>
      </c>
      <c r="M1522" s="10">
        <f t="shared" si="91"/>
        <v>41.735201300564221</v>
      </c>
    </row>
    <row r="1523" spans="1:13" ht="15" hidden="1" customHeight="1" x14ac:dyDescent="0.3">
      <c r="B1523" t="s">
        <v>276</v>
      </c>
      <c r="C1523" s="25">
        <v>44567</v>
      </c>
      <c r="D1523" s="26">
        <v>0.13967592592592593</v>
      </c>
      <c r="E1523" t="s">
        <v>24</v>
      </c>
      <c r="F1523" t="s">
        <v>210</v>
      </c>
      <c r="G1523" t="s">
        <v>211</v>
      </c>
      <c r="H1523" t="s">
        <v>122</v>
      </c>
      <c r="I1523">
        <v>347.9</v>
      </c>
      <c r="J1523" s="34">
        <v>0</v>
      </c>
      <c r="K1523" s="34">
        <f t="shared" si="90"/>
        <v>806.74</v>
      </c>
      <c r="L1523" s="34">
        <v>806.74</v>
      </c>
      <c r="M1523" s="10">
        <f t="shared" si="91"/>
        <v>43.124178793663383</v>
      </c>
    </row>
    <row r="1524" spans="1:13" ht="15" hidden="1" customHeight="1" x14ac:dyDescent="0.3">
      <c r="B1524" t="s">
        <v>276</v>
      </c>
      <c r="C1524" s="25">
        <v>44568</v>
      </c>
      <c r="D1524" s="26">
        <v>0.38842592592592595</v>
      </c>
      <c r="E1524" t="s">
        <v>24</v>
      </c>
      <c r="F1524" t="s">
        <v>166</v>
      </c>
      <c r="G1524" t="s">
        <v>161</v>
      </c>
      <c r="H1524" t="s">
        <v>122</v>
      </c>
      <c r="I1524">
        <v>447.54</v>
      </c>
      <c r="J1524" s="7">
        <v>0</v>
      </c>
      <c r="K1524" s="7">
        <f t="shared" si="90"/>
        <v>1145.78</v>
      </c>
      <c r="L1524" s="7">
        <v>1145.78</v>
      </c>
      <c r="M1524" s="10">
        <f t="shared" si="91"/>
        <v>39.059854422314935</v>
      </c>
    </row>
    <row r="1525" spans="1:13" ht="15" hidden="1" customHeight="1" x14ac:dyDescent="0.3">
      <c r="B1525" t="s">
        <v>276</v>
      </c>
      <c r="C1525" s="25">
        <v>44569</v>
      </c>
      <c r="D1525" s="26">
        <v>0.53638888888888892</v>
      </c>
      <c r="E1525" t="s">
        <v>24</v>
      </c>
      <c r="F1525" t="s">
        <v>205</v>
      </c>
      <c r="G1525" t="s">
        <v>206</v>
      </c>
      <c r="H1525" t="s">
        <v>122</v>
      </c>
      <c r="I1525">
        <v>327.04000000000002</v>
      </c>
      <c r="J1525" s="34">
        <v>0</v>
      </c>
      <c r="K1525" s="11">
        <f t="shared" si="90"/>
        <v>892.59</v>
      </c>
      <c r="L1525" s="34">
        <v>892.59</v>
      </c>
      <c r="M1525" s="10">
        <f t="shared" si="91"/>
        <v>36.639442521202341</v>
      </c>
    </row>
    <row r="1526" spans="1:13" ht="15" hidden="1" customHeight="1" x14ac:dyDescent="0.3">
      <c r="B1526" t="s">
        <v>276</v>
      </c>
      <c r="C1526" s="25">
        <v>44570</v>
      </c>
      <c r="D1526" s="26">
        <v>0.29745370370370372</v>
      </c>
      <c r="E1526" t="s">
        <v>24</v>
      </c>
      <c r="F1526" t="s">
        <v>210</v>
      </c>
      <c r="G1526" t="s">
        <v>211</v>
      </c>
      <c r="H1526" t="s">
        <v>122</v>
      </c>
      <c r="I1526">
        <v>324.77</v>
      </c>
      <c r="J1526" s="7">
        <v>0</v>
      </c>
      <c r="K1526" s="11">
        <f t="shared" si="90"/>
        <v>714.59</v>
      </c>
      <c r="L1526" s="7">
        <v>714.59</v>
      </c>
      <c r="M1526" s="10">
        <f t="shared" si="91"/>
        <v>45.448438965000904</v>
      </c>
    </row>
    <row r="1527" spans="1:13" ht="15" hidden="1" customHeight="1" x14ac:dyDescent="0.3">
      <c r="B1527" t="s">
        <v>276</v>
      </c>
      <c r="C1527" s="25">
        <v>44571</v>
      </c>
      <c r="D1527" s="26">
        <v>0.48468749999999999</v>
      </c>
      <c r="E1527" t="s">
        <v>24</v>
      </c>
      <c r="F1527" t="s">
        <v>210</v>
      </c>
      <c r="G1527" t="s">
        <v>211</v>
      </c>
      <c r="H1527" t="s">
        <v>122</v>
      </c>
      <c r="I1527">
        <f>290.73+106.45</f>
        <v>397.18</v>
      </c>
      <c r="J1527" s="34">
        <v>0</v>
      </c>
      <c r="K1527" s="11">
        <f t="shared" si="90"/>
        <v>1064.1300000000001</v>
      </c>
      <c r="L1527" s="34">
        <v>1064.1300000000001</v>
      </c>
      <c r="M1527" s="10">
        <f t="shared" si="91"/>
        <v>37.324387057972238</v>
      </c>
    </row>
    <row r="1528" spans="1:13" ht="15" hidden="1" customHeight="1" x14ac:dyDescent="0.3">
      <c r="B1528" t="s">
        <v>276</v>
      </c>
      <c r="C1528" s="25">
        <v>44572</v>
      </c>
      <c r="D1528" s="26">
        <v>0.69668981481481485</v>
      </c>
      <c r="E1528" t="s">
        <v>24</v>
      </c>
      <c r="F1528" t="s">
        <v>205</v>
      </c>
      <c r="G1528" t="s">
        <v>206</v>
      </c>
      <c r="H1528" t="s">
        <v>122</v>
      </c>
      <c r="I1528">
        <v>380.05</v>
      </c>
      <c r="J1528" s="34">
        <v>0</v>
      </c>
      <c r="K1528" s="11">
        <f t="shared" si="90"/>
        <v>1033.8599999999999</v>
      </c>
      <c r="L1528" s="7">
        <v>1033.8599999999999</v>
      </c>
      <c r="M1528" s="10">
        <f t="shared" si="91"/>
        <v>36.760296365078446</v>
      </c>
    </row>
    <row r="1529" spans="1:13" ht="15" hidden="1" customHeight="1" x14ac:dyDescent="0.3">
      <c r="B1529" t="s">
        <v>276</v>
      </c>
      <c r="C1529" s="25">
        <v>44573</v>
      </c>
      <c r="D1529" s="26">
        <v>0.54387731481481483</v>
      </c>
      <c r="E1529" t="s">
        <v>24</v>
      </c>
      <c r="F1529" t="s">
        <v>210</v>
      </c>
      <c r="G1529" t="s">
        <v>211</v>
      </c>
      <c r="H1529" t="s">
        <v>122</v>
      </c>
      <c r="I1529">
        <v>325.39999999999998</v>
      </c>
      <c r="J1529" s="34">
        <v>0</v>
      </c>
      <c r="K1529" s="11">
        <f t="shared" si="90"/>
        <v>713.82</v>
      </c>
      <c r="L1529" s="7">
        <v>713.82</v>
      </c>
      <c r="M1529" s="10">
        <f t="shared" si="91"/>
        <v>45.585721890672716</v>
      </c>
    </row>
    <row r="1530" spans="1:13" ht="15" hidden="1" customHeight="1" x14ac:dyDescent="0.3">
      <c r="B1530" t="s">
        <v>276</v>
      </c>
      <c r="C1530" s="25">
        <v>44574</v>
      </c>
      <c r="D1530" s="26">
        <v>0.5881481481481482</v>
      </c>
      <c r="E1530" t="s">
        <v>24</v>
      </c>
      <c r="F1530" t="s">
        <v>210</v>
      </c>
      <c r="G1530" t="s">
        <v>211</v>
      </c>
      <c r="H1530" t="s">
        <v>122</v>
      </c>
      <c r="I1530">
        <v>402.85</v>
      </c>
      <c r="J1530" s="7">
        <v>0</v>
      </c>
      <c r="K1530" s="11">
        <f t="shared" si="90"/>
        <v>1063.2</v>
      </c>
      <c r="L1530" s="7">
        <v>1063.2</v>
      </c>
      <c r="M1530" s="10">
        <f t="shared" si="91"/>
        <v>37.89033107599699</v>
      </c>
    </row>
    <row r="1531" spans="1:13" ht="15" hidden="1" customHeight="1" x14ac:dyDescent="0.3">
      <c r="B1531" t="s">
        <v>276</v>
      </c>
      <c r="C1531" s="25">
        <v>44575</v>
      </c>
      <c r="D1531" s="26">
        <v>0.55121527777777779</v>
      </c>
      <c r="E1531" t="s">
        <v>24</v>
      </c>
      <c r="F1531" t="s">
        <v>175</v>
      </c>
      <c r="G1531" t="s">
        <v>172</v>
      </c>
      <c r="H1531" t="s">
        <v>122</v>
      </c>
      <c r="I1531">
        <v>340.04</v>
      </c>
      <c r="J1531" s="7">
        <v>0</v>
      </c>
      <c r="K1531" s="11">
        <f t="shared" si="90"/>
        <v>917.67</v>
      </c>
      <c r="L1531" s="7">
        <v>917.67</v>
      </c>
      <c r="M1531" s="10">
        <f t="shared" si="91"/>
        <v>37.054714657774582</v>
      </c>
    </row>
    <row r="1532" spans="1:13" ht="15" hidden="1" customHeight="1" x14ac:dyDescent="0.3">
      <c r="A1532" s="9">
        <v>1055</v>
      </c>
      <c r="B1532" t="s">
        <v>276</v>
      </c>
      <c r="C1532" s="25">
        <v>44593</v>
      </c>
      <c r="D1532" s="26">
        <v>3.006944444444444E-2</v>
      </c>
      <c r="E1532" t="s">
        <v>25</v>
      </c>
      <c r="F1532" t="s">
        <v>210</v>
      </c>
      <c r="G1532" t="s">
        <v>211</v>
      </c>
      <c r="H1532" t="s">
        <v>117</v>
      </c>
      <c r="I1532">
        <v>476.73</v>
      </c>
      <c r="J1532" s="7">
        <v>0</v>
      </c>
      <c r="K1532" s="11">
        <f t="shared" si="90"/>
        <v>1112.27</v>
      </c>
      <c r="L1532" s="7">
        <v>1112.27</v>
      </c>
      <c r="M1532" s="10">
        <f t="shared" si="91"/>
        <v>42.860995981191621</v>
      </c>
    </row>
    <row r="1533" spans="1:13" ht="15" hidden="1" customHeight="1" x14ac:dyDescent="0.3">
      <c r="A1533" s="9">
        <v>1056</v>
      </c>
      <c r="B1533" t="s">
        <v>276</v>
      </c>
      <c r="C1533" s="25">
        <v>44594</v>
      </c>
      <c r="D1533" s="26">
        <v>0.61819444444444438</v>
      </c>
      <c r="E1533" t="s">
        <v>25</v>
      </c>
      <c r="F1533" t="s">
        <v>175</v>
      </c>
      <c r="G1533" t="s">
        <v>172</v>
      </c>
      <c r="H1533" t="s">
        <v>117</v>
      </c>
      <c r="I1533">
        <v>305.91000000000003</v>
      </c>
      <c r="J1533" s="7">
        <v>0</v>
      </c>
      <c r="K1533" s="11">
        <f t="shared" si="90"/>
        <v>911.65</v>
      </c>
      <c r="L1533" s="7">
        <v>911.65</v>
      </c>
      <c r="M1533" s="10">
        <f t="shared" si="91"/>
        <v>33.555640870948281</v>
      </c>
    </row>
    <row r="1534" spans="1:13" ht="15" hidden="1" customHeight="1" x14ac:dyDescent="0.3">
      <c r="A1534" s="9">
        <v>1057</v>
      </c>
      <c r="B1534" t="s">
        <v>276</v>
      </c>
      <c r="C1534" s="25">
        <v>44595</v>
      </c>
      <c r="D1534" s="26">
        <v>0.67096064814814815</v>
      </c>
      <c r="E1534" t="s">
        <v>25</v>
      </c>
      <c r="F1534" t="s">
        <v>210</v>
      </c>
      <c r="G1534" t="s">
        <v>211</v>
      </c>
      <c r="H1534" t="s">
        <v>117</v>
      </c>
      <c r="I1534">
        <v>378.34</v>
      </c>
      <c r="J1534" s="7">
        <v>0</v>
      </c>
      <c r="K1534" s="11">
        <f t="shared" si="90"/>
        <v>817.13</v>
      </c>
      <c r="L1534" s="7">
        <v>817.13</v>
      </c>
      <c r="M1534" s="10">
        <f t="shared" si="91"/>
        <v>46.301078163817259</v>
      </c>
    </row>
    <row r="1535" spans="1:13" ht="15" hidden="1" customHeight="1" x14ac:dyDescent="0.3">
      <c r="A1535" s="9">
        <v>1058</v>
      </c>
      <c r="B1535" t="s">
        <v>276</v>
      </c>
      <c r="C1535" s="25">
        <v>44596</v>
      </c>
      <c r="D1535" s="26">
        <v>0.67317129629629635</v>
      </c>
      <c r="E1535" t="s">
        <v>25</v>
      </c>
      <c r="F1535" t="s">
        <v>210</v>
      </c>
      <c r="G1535" t="s">
        <v>211</v>
      </c>
      <c r="H1535" t="s">
        <v>117</v>
      </c>
      <c r="I1535">
        <v>390.56</v>
      </c>
      <c r="J1535" s="31">
        <v>0</v>
      </c>
      <c r="K1535" s="11">
        <f t="shared" si="90"/>
        <v>1055.68</v>
      </c>
      <c r="L1535" s="7">
        <v>1055.68</v>
      </c>
      <c r="M1535" s="10">
        <f t="shared" si="91"/>
        <v>36.996059411943008</v>
      </c>
    </row>
    <row r="1536" spans="1:13" ht="15" hidden="1" customHeight="1" x14ac:dyDescent="0.3">
      <c r="A1536" s="9">
        <v>1059</v>
      </c>
      <c r="B1536" t="s">
        <v>276</v>
      </c>
      <c r="C1536" s="25">
        <v>44597</v>
      </c>
      <c r="D1536" s="26">
        <v>0.64653935185185185</v>
      </c>
      <c r="E1536" t="s">
        <v>25</v>
      </c>
      <c r="F1536" t="s">
        <v>175</v>
      </c>
      <c r="G1536" t="s">
        <v>172</v>
      </c>
      <c r="H1536" t="s">
        <v>117</v>
      </c>
      <c r="I1536">
        <v>323.97000000000003</v>
      </c>
      <c r="J1536" s="7">
        <v>0</v>
      </c>
      <c r="K1536" s="11">
        <f t="shared" si="90"/>
        <v>1022.95</v>
      </c>
      <c r="L1536" s="34">
        <v>1022.95</v>
      </c>
      <c r="M1536" s="10">
        <f t="shared" si="91"/>
        <v>31.670169607507699</v>
      </c>
    </row>
    <row r="1537" spans="1:13" ht="15" hidden="1" customHeight="1" x14ac:dyDescent="0.3">
      <c r="A1537" s="9">
        <v>1060</v>
      </c>
      <c r="B1537" t="s">
        <v>276</v>
      </c>
      <c r="C1537" s="25">
        <v>44598</v>
      </c>
      <c r="D1537" s="26">
        <v>0.73649305555555555</v>
      </c>
      <c r="E1537" t="s">
        <v>25</v>
      </c>
      <c r="F1537" t="s">
        <v>210</v>
      </c>
      <c r="G1537" t="s">
        <v>211</v>
      </c>
      <c r="H1537" t="s">
        <v>117</v>
      </c>
      <c r="I1537">
        <v>402.2</v>
      </c>
      <c r="J1537" s="7">
        <v>0</v>
      </c>
      <c r="K1537" s="11">
        <f t="shared" si="90"/>
        <v>817.21</v>
      </c>
      <c r="L1537" s="7">
        <v>817.21</v>
      </c>
      <c r="M1537" s="10">
        <f t="shared" si="91"/>
        <v>49.21623572888241</v>
      </c>
    </row>
    <row r="1538" spans="1:13" ht="15" hidden="1" customHeight="1" x14ac:dyDescent="0.3">
      <c r="A1538" s="9">
        <v>1061</v>
      </c>
      <c r="B1538" t="s">
        <v>276</v>
      </c>
      <c r="C1538" s="25">
        <v>44600</v>
      </c>
      <c r="D1538" s="26">
        <v>6.3298611111111111E-2</v>
      </c>
      <c r="E1538" t="s">
        <v>25</v>
      </c>
      <c r="F1538" t="s">
        <v>210</v>
      </c>
      <c r="G1538" t="s">
        <v>211</v>
      </c>
      <c r="H1538" t="s">
        <v>117</v>
      </c>
      <c r="I1538">
        <v>384.73</v>
      </c>
      <c r="J1538" s="35">
        <v>0</v>
      </c>
      <c r="K1538" s="11">
        <f t="shared" si="90"/>
        <v>1056.31</v>
      </c>
      <c r="L1538" s="7">
        <v>1056.31</v>
      </c>
      <c r="M1538" s="10">
        <f t="shared" si="91"/>
        <v>36.422073065672009</v>
      </c>
    </row>
    <row r="1539" spans="1:13" ht="15" hidden="1" customHeight="1" x14ac:dyDescent="0.3">
      <c r="A1539" s="9">
        <v>1062</v>
      </c>
      <c r="B1539" t="s">
        <v>276</v>
      </c>
      <c r="C1539" s="25">
        <v>44601</v>
      </c>
      <c r="D1539" s="26">
        <v>0.35835648148148147</v>
      </c>
      <c r="E1539" t="s">
        <v>25</v>
      </c>
      <c r="F1539" t="s">
        <v>428</v>
      </c>
      <c r="G1539" t="s">
        <v>429</v>
      </c>
      <c r="H1539" t="s">
        <v>117</v>
      </c>
      <c r="I1539">
        <v>301</v>
      </c>
      <c r="J1539" s="31">
        <v>0</v>
      </c>
      <c r="K1539" s="11">
        <f t="shared" si="90"/>
        <v>889.8</v>
      </c>
      <c r="L1539" s="7">
        <v>889.8</v>
      </c>
      <c r="M1539" s="10">
        <f t="shared" si="91"/>
        <v>33.827826477860192</v>
      </c>
    </row>
    <row r="1540" spans="1:13" ht="15" hidden="1" customHeight="1" x14ac:dyDescent="0.3">
      <c r="A1540" s="9">
        <v>1063</v>
      </c>
      <c r="B1540" t="s">
        <v>276</v>
      </c>
      <c r="C1540" s="25">
        <v>44602</v>
      </c>
      <c r="D1540" s="26">
        <v>0.2353587962962963</v>
      </c>
      <c r="E1540" t="s">
        <v>25</v>
      </c>
      <c r="F1540" t="s">
        <v>210</v>
      </c>
      <c r="G1540" t="s">
        <v>211</v>
      </c>
      <c r="H1540" t="s">
        <v>117</v>
      </c>
      <c r="I1540">
        <v>353.99</v>
      </c>
      <c r="J1540" s="31">
        <v>0</v>
      </c>
      <c r="K1540" s="11">
        <f t="shared" si="90"/>
        <v>806.22</v>
      </c>
      <c r="L1540" s="33">
        <v>806.22</v>
      </c>
      <c r="M1540" s="10">
        <f t="shared" si="91"/>
        <v>43.9073701967205</v>
      </c>
    </row>
    <row r="1541" spans="1:13" ht="15" hidden="1" customHeight="1" x14ac:dyDescent="0.3">
      <c r="A1541" s="9">
        <v>1064</v>
      </c>
      <c r="B1541" t="s">
        <v>276</v>
      </c>
      <c r="C1541" s="25">
        <v>44604</v>
      </c>
      <c r="D1541" s="26">
        <v>0.7462037037037037</v>
      </c>
      <c r="E1541" t="s">
        <v>25</v>
      </c>
      <c r="F1541" t="s">
        <v>210</v>
      </c>
      <c r="G1541" t="s">
        <v>211</v>
      </c>
      <c r="H1541" t="s">
        <v>117</v>
      </c>
      <c r="I1541">
        <v>400.11</v>
      </c>
      <c r="J1541" s="28">
        <v>0</v>
      </c>
      <c r="K1541" s="11">
        <f t="shared" si="90"/>
        <v>1058.51</v>
      </c>
      <c r="L1541" s="7">
        <v>1058.51</v>
      </c>
      <c r="M1541" s="10">
        <f t="shared" si="91"/>
        <v>37.799359477000692</v>
      </c>
    </row>
    <row r="1542" spans="1:13" ht="15" hidden="1" customHeight="1" x14ac:dyDescent="0.3">
      <c r="A1542" s="9">
        <v>1065</v>
      </c>
      <c r="B1542" t="s">
        <v>276</v>
      </c>
      <c r="C1542" s="25">
        <v>44606</v>
      </c>
      <c r="D1542" s="26">
        <v>0.80652777777777773</v>
      </c>
      <c r="E1542" t="s">
        <v>25</v>
      </c>
      <c r="F1542" t="s">
        <v>175</v>
      </c>
      <c r="G1542" t="s">
        <v>172</v>
      </c>
      <c r="H1542" t="s">
        <v>117</v>
      </c>
      <c r="I1542">
        <v>322.33</v>
      </c>
      <c r="J1542" s="28">
        <v>0</v>
      </c>
      <c r="K1542" s="11">
        <f t="shared" si="90"/>
        <v>902.68</v>
      </c>
      <c r="L1542" s="7">
        <v>902.68</v>
      </c>
      <c r="M1542" s="10">
        <f t="shared" si="91"/>
        <v>35.708113617228697</v>
      </c>
    </row>
    <row r="1543" spans="1:13" ht="15" hidden="1" customHeight="1" x14ac:dyDescent="0.3">
      <c r="A1543" s="9">
        <v>2228</v>
      </c>
      <c r="B1543" t="s">
        <v>276</v>
      </c>
      <c r="C1543" s="25">
        <v>44621</v>
      </c>
      <c r="D1543" s="26">
        <v>0.37157407407407406</v>
      </c>
      <c r="E1543" t="s">
        <v>26</v>
      </c>
      <c r="F1543" t="s">
        <v>210</v>
      </c>
      <c r="G1543" t="s">
        <v>211</v>
      </c>
      <c r="H1543" t="s">
        <v>117</v>
      </c>
      <c r="I1543">
        <v>343.24</v>
      </c>
      <c r="J1543" s="31">
        <v>0</v>
      </c>
      <c r="K1543" s="89">
        <f t="shared" si="90"/>
        <v>813.27</v>
      </c>
      <c r="L1543" s="35">
        <v>813.27</v>
      </c>
      <c r="M1543" s="10">
        <f t="shared" si="91"/>
        <v>42.204925793401948</v>
      </c>
    </row>
    <row r="1544" spans="1:13" ht="15" hidden="1" customHeight="1" x14ac:dyDescent="0.3">
      <c r="A1544" s="9">
        <v>2229</v>
      </c>
      <c r="B1544" t="s">
        <v>276</v>
      </c>
      <c r="C1544" s="25">
        <v>44626</v>
      </c>
      <c r="D1544" s="26">
        <v>1.5208333333333332E-2</v>
      </c>
      <c r="E1544" t="s">
        <v>26</v>
      </c>
      <c r="F1544" t="s">
        <v>210</v>
      </c>
      <c r="G1544" t="s">
        <v>211</v>
      </c>
      <c r="H1544" t="s">
        <v>117</v>
      </c>
      <c r="I1544">
        <v>411.76</v>
      </c>
      <c r="J1544" s="7">
        <v>0</v>
      </c>
      <c r="K1544" s="89">
        <f t="shared" si="90"/>
        <v>1113.24</v>
      </c>
      <c r="L1544" s="7">
        <v>1113.24</v>
      </c>
      <c r="M1544" s="10">
        <f t="shared" si="91"/>
        <v>36.987531888900868</v>
      </c>
    </row>
    <row r="1545" spans="1:13" ht="15" hidden="1" customHeight="1" x14ac:dyDescent="0.3">
      <c r="A1545" s="9">
        <v>2230</v>
      </c>
      <c r="B1545" t="s">
        <v>276</v>
      </c>
      <c r="C1545" s="25">
        <v>44627</v>
      </c>
      <c r="D1545" s="26">
        <v>0.92055555555555557</v>
      </c>
      <c r="E1545" t="s">
        <v>26</v>
      </c>
      <c r="F1545" t="s">
        <v>175</v>
      </c>
      <c r="G1545" t="s">
        <v>172</v>
      </c>
      <c r="H1545" t="s">
        <v>117</v>
      </c>
      <c r="I1545">
        <v>300.01</v>
      </c>
      <c r="J1545" s="39">
        <v>0</v>
      </c>
      <c r="K1545" s="89">
        <f t="shared" si="90"/>
        <v>936.52</v>
      </c>
      <c r="L1545" s="35">
        <v>936.52</v>
      </c>
      <c r="M1545" s="10">
        <f t="shared" si="91"/>
        <v>32.03455345320976</v>
      </c>
    </row>
    <row r="1546" spans="1:13" ht="15" hidden="1" customHeight="1" x14ac:dyDescent="0.3">
      <c r="A1546" s="9">
        <v>2231</v>
      </c>
      <c r="B1546" t="s">
        <v>276</v>
      </c>
      <c r="C1546" s="25">
        <v>44628</v>
      </c>
      <c r="D1546" s="26">
        <v>0.89710648148148142</v>
      </c>
      <c r="E1546" t="s">
        <v>26</v>
      </c>
      <c r="F1546" t="s">
        <v>210</v>
      </c>
      <c r="G1546" t="s">
        <v>211</v>
      </c>
      <c r="H1546" t="s">
        <v>117</v>
      </c>
      <c r="I1546">
        <v>339.32</v>
      </c>
      <c r="J1546" s="39">
        <v>0</v>
      </c>
      <c r="K1546" s="89">
        <f t="shared" si="90"/>
        <v>797.46</v>
      </c>
      <c r="L1546" s="7">
        <v>797.46</v>
      </c>
      <c r="M1546" s="10">
        <f t="shared" si="91"/>
        <v>42.550096556567098</v>
      </c>
    </row>
    <row r="1547" spans="1:13" ht="15" hidden="1" customHeight="1" x14ac:dyDescent="0.3">
      <c r="A1547" s="9">
        <v>2232</v>
      </c>
      <c r="B1547" t="s">
        <v>276</v>
      </c>
      <c r="C1547" s="25">
        <v>44630</v>
      </c>
      <c r="D1547" s="26">
        <v>0.70554398148148145</v>
      </c>
      <c r="E1547" t="s">
        <v>26</v>
      </c>
      <c r="F1547" t="s">
        <v>210</v>
      </c>
      <c r="G1547" t="s">
        <v>211</v>
      </c>
      <c r="H1547" t="s">
        <v>117</v>
      </c>
      <c r="I1547">
        <v>399.59</v>
      </c>
      <c r="J1547" s="7">
        <v>0</v>
      </c>
      <c r="K1547" s="89">
        <f t="shared" si="90"/>
        <v>1109.42</v>
      </c>
      <c r="L1547" s="34">
        <v>1109.42</v>
      </c>
      <c r="M1547" s="10">
        <f t="shared" si="91"/>
        <v>36.0179192731337</v>
      </c>
    </row>
    <row r="1548" spans="1:13" ht="15" hidden="1" customHeight="1" x14ac:dyDescent="0.3">
      <c r="A1548" s="9">
        <v>2233</v>
      </c>
      <c r="B1548" t="s">
        <v>276</v>
      </c>
      <c r="C1548" s="25">
        <v>44634</v>
      </c>
      <c r="D1548" s="26">
        <v>0.49915509259259255</v>
      </c>
      <c r="E1548" t="s">
        <v>26</v>
      </c>
      <c r="F1548" t="s">
        <v>175</v>
      </c>
      <c r="G1548" t="s">
        <v>172</v>
      </c>
      <c r="H1548" t="s">
        <v>117</v>
      </c>
      <c r="I1548">
        <v>437.36</v>
      </c>
      <c r="J1548" s="7">
        <v>0</v>
      </c>
      <c r="K1548" s="89">
        <f t="shared" si="90"/>
        <v>1125.71</v>
      </c>
      <c r="L1548" s="31">
        <v>1125.71</v>
      </c>
      <c r="M1548" s="10">
        <f t="shared" si="91"/>
        <v>38.85192456316458</v>
      </c>
    </row>
    <row r="1549" spans="1:13" ht="15" hidden="1" customHeight="1" x14ac:dyDescent="0.3">
      <c r="A1549" s="9">
        <v>2234</v>
      </c>
      <c r="B1549" t="s">
        <v>276</v>
      </c>
      <c r="C1549" s="25">
        <v>44634</v>
      </c>
      <c r="D1549" s="26">
        <v>0.90148148148148144</v>
      </c>
      <c r="E1549" t="s">
        <v>26</v>
      </c>
      <c r="F1549" t="s">
        <v>210</v>
      </c>
      <c r="G1549" t="s">
        <v>211</v>
      </c>
      <c r="H1549" t="s">
        <v>117</v>
      </c>
      <c r="I1549">
        <v>298.56</v>
      </c>
      <c r="J1549" s="34">
        <v>0</v>
      </c>
      <c r="K1549" s="89">
        <f t="shared" ref="K1549:K1580" si="92">+L1549-J1549</f>
        <v>690.4</v>
      </c>
      <c r="L1549" s="7">
        <v>690.4</v>
      </c>
      <c r="M1549" s="10">
        <f t="shared" si="91"/>
        <v>43.244495944380077</v>
      </c>
    </row>
    <row r="1550" spans="1:13" ht="15" hidden="1" customHeight="1" x14ac:dyDescent="0.3">
      <c r="A1550" s="9">
        <v>2235</v>
      </c>
      <c r="B1550" t="s">
        <v>276</v>
      </c>
      <c r="C1550" s="25">
        <v>44635</v>
      </c>
      <c r="D1550" s="26">
        <v>0.8482291666666667</v>
      </c>
      <c r="E1550" t="s">
        <v>26</v>
      </c>
      <c r="F1550" t="s">
        <v>210</v>
      </c>
      <c r="G1550" t="s">
        <v>211</v>
      </c>
      <c r="H1550" t="s">
        <v>117</v>
      </c>
      <c r="I1550">
        <v>309</v>
      </c>
      <c r="J1550" s="34">
        <v>0</v>
      </c>
      <c r="K1550" s="89">
        <f t="shared" si="92"/>
        <v>876.34</v>
      </c>
      <c r="L1550" s="7">
        <v>876.34</v>
      </c>
      <c r="M1550" s="10">
        <f t="shared" si="91"/>
        <v>35.260287103179131</v>
      </c>
    </row>
    <row r="1551" spans="1:13" ht="15" hidden="1" customHeight="1" x14ac:dyDescent="0.3">
      <c r="A1551" s="9">
        <v>2236</v>
      </c>
      <c r="B1551" t="s">
        <v>276</v>
      </c>
      <c r="C1551" s="25">
        <v>44636</v>
      </c>
      <c r="D1551" s="26">
        <v>0.76394675925925926</v>
      </c>
      <c r="E1551" t="s">
        <v>26</v>
      </c>
      <c r="F1551" t="s">
        <v>428</v>
      </c>
      <c r="G1551" t="s">
        <v>429</v>
      </c>
      <c r="H1551" t="s">
        <v>117</v>
      </c>
      <c r="I1551">
        <v>347</v>
      </c>
      <c r="J1551" s="34">
        <v>0</v>
      </c>
      <c r="K1551" s="89">
        <f t="shared" si="92"/>
        <v>915.45</v>
      </c>
      <c r="L1551" s="35">
        <v>915.45</v>
      </c>
      <c r="M1551" s="10">
        <f t="shared" si="91"/>
        <v>37.904855535528974</v>
      </c>
    </row>
    <row r="1552" spans="1:13" ht="15" hidden="1" customHeight="1" x14ac:dyDescent="0.3">
      <c r="A1552" s="9">
        <v>2237</v>
      </c>
      <c r="B1552" t="s">
        <v>276</v>
      </c>
      <c r="C1552" s="25">
        <v>44637</v>
      </c>
      <c r="D1552" s="26">
        <v>0.59737268518518516</v>
      </c>
      <c r="E1552" t="s">
        <v>26</v>
      </c>
      <c r="F1552" t="s">
        <v>490</v>
      </c>
      <c r="G1552" t="s">
        <v>487</v>
      </c>
      <c r="H1552" t="s">
        <v>117</v>
      </c>
      <c r="I1552">
        <v>303.31</v>
      </c>
      <c r="J1552" s="34">
        <v>0</v>
      </c>
      <c r="K1552" s="89">
        <f t="shared" si="92"/>
        <v>737.86</v>
      </c>
      <c r="L1552" s="7">
        <v>737.86</v>
      </c>
      <c r="M1552" s="10">
        <f t="shared" si="91"/>
        <v>41.106714010787954</v>
      </c>
    </row>
    <row r="1553" spans="1:13" ht="15" hidden="1" customHeight="1" x14ac:dyDescent="0.3">
      <c r="A1553" s="9">
        <v>2238</v>
      </c>
      <c r="B1553" t="s">
        <v>276</v>
      </c>
      <c r="C1553" s="25">
        <v>44638</v>
      </c>
      <c r="D1553" s="26">
        <v>0.74837962962962967</v>
      </c>
      <c r="E1553" t="s">
        <v>26</v>
      </c>
      <c r="F1553" t="s">
        <v>166</v>
      </c>
      <c r="G1553" t="s">
        <v>161</v>
      </c>
      <c r="H1553" t="s">
        <v>117</v>
      </c>
      <c r="I1553">
        <v>461.98</v>
      </c>
      <c r="J1553" s="11">
        <v>0</v>
      </c>
      <c r="K1553" s="89">
        <f t="shared" si="92"/>
        <v>1216.3900000000001</v>
      </c>
      <c r="L1553" s="35">
        <v>1216.3900000000001</v>
      </c>
      <c r="M1553" s="10">
        <f t="shared" si="91"/>
        <v>37.979595360040776</v>
      </c>
    </row>
    <row r="1554" spans="1:13" ht="15" hidden="1" customHeight="1" x14ac:dyDescent="0.3">
      <c r="A1554" s="9">
        <v>2239</v>
      </c>
      <c r="B1554" t="s">
        <v>276</v>
      </c>
      <c r="C1554" s="25">
        <v>44641</v>
      </c>
      <c r="D1554" s="26">
        <v>0.51495370370370364</v>
      </c>
      <c r="E1554" t="s">
        <v>26</v>
      </c>
      <c r="F1554" t="s">
        <v>171</v>
      </c>
      <c r="G1554" t="s">
        <v>172</v>
      </c>
      <c r="H1554" t="s">
        <v>117</v>
      </c>
      <c r="I1554">
        <v>205.73</v>
      </c>
      <c r="J1554" s="11">
        <v>0</v>
      </c>
      <c r="K1554" s="89">
        <f t="shared" si="92"/>
        <v>1121.26</v>
      </c>
      <c r="L1554" s="31">
        <v>1121.26</v>
      </c>
      <c r="M1554" s="10">
        <f t="shared" si="91"/>
        <v>18.348108378074667</v>
      </c>
    </row>
    <row r="1555" spans="1:13" ht="15" hidden="1" customHeight="1" x14ac:dyDescent="0.3">
      <c r="A1555" s="9">
        <v>2240</v>
      </c>
      <c r="B1555" t="s">
        <v>276</v>
      </c>
      <c r="C1555" s="25">
        <v>44641</v>
      </c>
      <c r="D1555" s="26">
        <v>0.59487268518518521</v>
      </c>
      <c r="E1555" t="s">
        <v>26</v>
      </c>
      <c r="F1555" t="s">
        <v>197</v>
      </c>
      <c r="G1555" t="s">
        <v>44</v>
      </c>
      <c r="H1555" t="s">
        <v>117</v>
      </c>
      <c r="I1555">
        <v>150.02000000000001</v>
      </c>
      <c r="J1555" s="7">
        <v>0</v>
      </c>
      <c r="K1555" s="89">
        <f t="shared" si="92"/>
        <v>98.78</v>
      </c>
      <c r="L1555" s="7">
        <v>98.78</v>
      </c>
      <c r="M1555" s="10">
        <f t="shared" si="91"/>
        <v>151.87284875480867</v>
      </c>
    </row>
    <row r="1556" spans="1:13" ht="15" hidden="1" customHeight="1" x14ac:dyDescent="0.3">
      <c r="A1556" s="9">
        <v>2241</v>
      </c>
      <c r="B1556" t="s">
        <v>276</v>
      </c>
      <c r="C1556" s="25">
        <v>44641</v>
      </c>
      <c r="D1556" s="26">
        <v>0.89185185185185178</v>
      </c>
      <c r="E1556" t="s">
        <v>26</v>
      </c>
      <c r="F1556" t="s">
        <v>166</v>
      </c>
      <c r="G1556" t="s">
        <v>161</v>
      </c>
      <c r="H1556" t="s">
        <v>117</v>
      </c>
      <c r="I1556">
        <v>306.45999999999998</v>
      </c>
      <c r="J1556" s="7">
        <v>0</v>
      </c>
      <c r="K1556" s="89">
        <f t="shared" si="92"/>
        <v>509.75</v>
      </c>
      <c r="L1556" s="7">
        <v>509.75</v>
      </c>
      <c r="M1556" s="10">
        <f t="shared" si="91"/>
        <v>60.11966650318783</v>
      </c>
    </row>
    <row r="1557" spans="1:13" ht="15" hidden="1" customHeight="1" x14ac:dyDescent="0.3">
      <c r="A1557" s="9">
        <v>2242</v>
      </c>
      <c r="B1557" t="s">
        <v>276</v>
      </c>
      <c r="C1557" s="25">
        <v>44643</v>
      </c>
      <c r="D1557" s="26">
        <v>0.71675925925925921</v>
      </c>
      <c r="E1557" t="s">
        <v>26</v>
      </c>
      <c r="F1557" t="s">
        <v>210</v>
      </c>
      <c r="G1557" t="s">
        <v>211</v>
      </c>
      <c r="H1557" t="s">
        <v>117</v>
      </c>
      <c r="I1557">
        <v>432.75</v>
      </c>
      <c r="J1557" s="7">
        <v>0</v>
      </c>
      <c r="K1557" s="89">
        <f t="shared" si="92"/>
        <v>979.97</v>
      </c>
      <c r="L1557" s="34">
        <v>979.97</v>
      </c>
      <c r="M1557" s="10">
        <f t="shared" si="91"/>
        <v>44.159515087196546</v>
      </c>
    </row>
    <row r="1558" spans="1:13" ht="15" hidden="1" customHeight="1" x14ac:dyDescent="0.3">
      <c r="A1558" s="9">
        <v>2243</v>
      </c>
      <c r="B1558" t="s">
        <v>276</v>
      </c>
      <c r="C1558" s="25">
        <v>44645</v>
      </c>
      <c r="D1558" s="26">
        <v>0.46322916666666664</v>
      </c>
      <c r="E1558" t="s">
        <v>26</v>
      </c>
      <c r="F1558" t="s">
        <v>262</v>
      </c>
      <c r="G1558" t="s">
        <v>263</v>
      </c>
      <c r="H1558" t="s">
        <v>117</v>
      </c>
      <c r="I1558">
        <v>385.97</v>
      </c>
      <c r="J1558" s="7">
        <v>0</v>
      </c>
      <c r="K1558" s="89">
        <f t="shared" si="92"/>
        <v>978.93</v>
      </c>
      <c r="L1558" s="31">
        <v>978.93</v>
      </c>
      <c r="M1558" s="10">
        <f t="shared" si="91"/>
        <v>39.427742535217028</v>
      </c>
    </row>
    <row r="1559" spans="1:13" ht="15" hidden="1" customHeight="1" x14ac:dyDescent="0.3">
      <c r="A1559" s="9">
        <v>2993</v>
      </c>
      <c r="B1559" t="s">
        <v>276</v>
      </c>
      <c r="C1559" s="25">
        <v>44657</v>
      </c>
      <c r="D1559" s="26">
        <v>0.72422453703703704</v>
      </c>
      <c r="E1559" t="s">
        <v>27</v>
      </c>
      <c r="F1559" t="s">
        <v>538</v>
      </c>
      <c r="G1559" t="s">
        <v>539</v>
      </c>
      <c r="H1559" t="s">
        <v>522</v>
      </c>
      <c r="I1559" s="4">
        <v>99.74</v>
      </c>
      <c r="J1559" s="31">
        <v>0</v>
      </c>
      <c r="K1559" s="89">
        <f t="shared" si="92"/>
        <v>95</v>
      </c>
      <c r="L1559" s="32">
        <v>95</v>
      </c>
      <c r="M1559" s="10">
        <f t="shared" si="91"/>
        <v>104.98947368421052</v>
      </c>
    </row>
    <row r="1560" spans="1:13" ht="15" hidden="1" customHeight="1" x14ac:dyDescent="0.3">
      <c r="A1560" s="9">
        <v>3499</v>
      </c>
      <c r="B1560" t="s">
        <v>276</v>
      </c>
      <c r="C1560" s="25">
        <v>44653</v>
      </c>
      <c r="D1560" s="26">
        <v>7.2812500000000002E-2</v>
      </c>
      <c r="E1560" t="s">
        <v>27</v>
      </c>
      <c r="F1560" t="s">
        <v>197</v>
      </c>
      <c r="G1560" t="s">
        <v>44</v>
      </c>
      <c r="H1560" t="s">
        <v>117</v>
      </c>
      <c r="I1560" s="4">
        <f>15+150.58</f>
        <v>165.58</v>
      </c>
      <c r="J1560" s="7">
        <v>0</v>
      </c>
      <c r="K1560" s="89">
        <f t="shared" si="92"/>
        <v>300</v>
      </c>
      <c r="L1560" s="34">
        <v>300</v>
      </c>
      <c r="M1560" s="10">
        <f t="shared" si="91"/>
        <v>55.193333333333342</v>
      </c>
    </row>
    <row r="1561" spans="1:13" ht="15" hidden="1" customHeight="1" x14ac:dyDescent="0.3">
      <c r="A1561" s="9">
        <v>3500</v>
      </c>
      <c r="B1561" t="s">
        <v>276</v>
      </c>
      <c r="C1561" s="25">
        <v>44653</v>
      </c>
      <c r="D1561" s="26">
        <v>0.64137731481481486</v>
      </c>
      <c r="E1561" t="s">
        <v>27</v>
      </c>
      <c r="F1561" t="s">
        <v>166</v>
      </c>
      <c r="G1561" t="s">
        <v>161</v>
      </c>
      <c r="H1561" t="s">
        <v>117</v>
      </c>
      <c r="I1561" s="4">
        <v>244.21</v>
      </c>
      <c r="J1561" s="34">
        <v>0</v>
      </c>
      <c r="K1561" s="89">
        <f t="shared" si="92"/>
        <v>508.93</v>
      </c>
      <c r="L1561" s="34">
        <v>508.93</v>
      </c>
      <c r="M1561" s="10">
        <f t="shared" si="91"/>
        <v>47.98498811231407</v>
      </c>
    </row>
    <row r="1562" spans="1:13" ht="15" hidden="1" customHeight="1" x14ac:dyDescent="0.3">
      <c r="A1562" s="9">
        <v>3501</v>
      </c>
      <c r="B1562" t="s">
        <v>276</v>
      </c>
      <c r="C1562" s="25">
        <v>44656</v>
      </c>
      <c r="D1562" s="26">
        <v>0.19600694444444444</v>
      </c>
      <c r="E1562" t="s">
        <v>27</v>
      </c>
      <c r="F1562" t="s">
        <v>210</v>
      </c>
      <c r="G1562" t="s">
        <v>211</v>
      </c>
      <c r="H1562" t="s">
        <v>117</v>
      </c>
      <c r="I1562" s="4">
        <v>434.01</v>
      </c>
      <c r="J1562" s="7">
        <v>0</v>
      </c>
      <c r="K1562" s="89">
        <f t="shared" si="92"/>
        <v>1156.1099999999999</v>
      </c>
      <c r="L1562" s="32">
        <v>1156.1099999999999</v>
      </c>
      <c r="M1562" s="10">
        <f t="shared" si="91"/>
        <v>37.540545449827441</v>
      </c>
    </row>
    <row r="1563" spans="1:13" ht="15" hidden="1" customHeight="1" x14ac:dyDescent="0.3">
      <c r="A1563" s="9">
        <v>3502</v>
      </c>
      <c r="B1563" t="s">
        <v>276</v>
      </c>
      <c r="C1563" s="25">
        <v>44657</v>
      </c>
      <c r="D1563" s="26">
        <v>0.44047453703703704</v>
      </c>
      <c r="E1563" t="s">
        <v>27</v>
      </c>
      <c r="F1563" t="s">
        <v>391</v>
      </c>
      <c r="G1563" t="s">
        <v>392</v>
      </c>
      <c r="H1563" t="s">
        <v>117</v>
      </c>
      <c r="I1563" s="4">
        <v>319.52999999999997</v>
      </c>
      <c r="J1563" s="7">
        <v>0</v>
      </c>
      <c r="K1563" s="89">
        <f t="shared" si="92"/>
        <v>886.11</v>
      </c>
      <c r="L1563" s="35">
        <v>886.11</v>
      </c>
      <c r="M1563" s="10">
        <f t="shared" si="91"/>
        <v>36.059857128347495</v>
      </c>
    </row>
    <row r="1564" spans="1:13" ht="15" hidden="1" customHeight="1" x14ac:dyDescent="0.3">
      <c r="A1564" s="9">
        <v>3503</v>
      </c>
      <c r="B1564" t="s">
        <v>276</v>
      </c>
      <c r="C1564" s="25">
        <v>44658</v>
      </c>
      <c r="D1564" s="26">
        <v>0.79429398148148145</v>
      </c>
      <c r="E1564" t="s">
        <v>27</v>
      </c>
      <c r="F1564" t="s">
        <v>166</v>
      </c>
      <c r="G1564" t="s">
        <v>161</v>
      </c>
      <c r="H1564" t="s">
        <v>117</v>
      </c>
      <c r="I1564" s="4">
        <v>312.70999999999998</v>
      </c>
      <c r="J1564" s="7">
        <v>0</v>
      </c>
      <c r="K1564" s="89">
        <f t="shared" si="92"/>
        <v>907</v>
      </c>
      <c r="L1564" s="32">
        <v>907</v>
      </c>
      <c r="M1564" s="10">
        <f t="shared" si="91"/>
        <v>34.477398015435497</v>
      </c>
    </row>
    <row r="1565" spans="1:13" ht="15" hidden="1" customHeight="1" x14ac:dyDescent="0.3">
      <c r="A1565" s="9">
        <v>3504</v>
      </c>
      <c r="B1565" t="s">
        <v>276</v>
      </c>
      <c r="C1565" s="25">
        <v>44659</v>
      </c>
      <c r="D1565" s="26">
        <v>0.45321759259259259</v>
      </c>
      <c r="E1565" t="s">
        <v>27</v>
      </c>
      <c r="F1565" t="s">
        <v>165</v>
      </c>
      <c r="G1565" t="s">
        <v>185</v>
      </c>
      <c r="H1565" t="s">
        <v>117</v>
      </c>
      <c r="I1565" s="4">
        <v>261.87</v>
      </c>
      <c r="J1565" s="31">
        <v>0</v>
      </c>
      <c r="K1565" s="89">
        <f t="shared" si="92"/>
        <v>620</v>
      </c>
      <c r="L1565" s="31">
        <v>620</v>
      </c>
      <c r="M1565" s="10">
        <f t="shared" si="91"/>
        <v>42.237096774193553</v>
      </c>
    </row>
    <row r="1566" spans="1:13" ht="15" hidden="1" customHeight="1" x14ac:dyDescent="0.3">
      <c r="A1566" s="9">
        <v>3505</v>
      </c>
      <c r="B1566" t="s">
        <v>276</v>
      </c>
      <c r="C1566" s="25">
        <v>44660</v>
      </c>
      <c r="D1566" s="26">
        <v>0.29471064814814812</v>
      </c>
      <c r="E1566" t="s">
        <v>27</v>
      </c>
      <c r="F1566" t="s">
        <v>169</v>
      </c>
      <c r="G1566" t="s">
        <v>196</v>
      </c>
      <c r="H1566" t="s">
        <v>117</v>
      </c>
      <c r="I1566" s="4">
        <v>150</v>
      </c>
      <c r="J1566" s="7">
        <v>0</v>
      </c>
      <c r="K1566" s="89">
        <f t="shared" si="92"/>
        <v>969</v>
      </c>
      <c r="L1566" s="32">
        <v>969</v>
      </c>
      <c r="M1566" s="10">
        <f t="shared" si="91"/>
        <v>15.479876160990713</v>
      </c>
    </row>
    <row r="1567" spans="1:13" ht="15" hidden="1" customHeight="1" x14ac:dyDescent="0.3">
      <c r="A1567" s="9">
        <v>3506</v>
      </c>
      <c r="B1567" t="s">
        <v>276</v>
      </c>
      <c r="C1567" s="25">
        <v>44660</v>
      </c>
      <c r="D1567" s="26">
        <v>0.65372685185185186</v>
      </c>
      <c r="E1567" t="s">
        <v>27</v>
      </c>
      <c r="F1567" t="s">
        <v>175</v>
      </c>
      <c r="G1567" t="s">
        <v>172</v>
      </c>
      <c r="H1567" t="s">
        <v>117</v>
      </c>
      <c r="I1567" s="4">
        <v>388.44</v>
      </c>
      <c r="J1567" s="34">
        <v>0</v>
      </c>
      <c r="K1567" s="89">
        <f t="shared" si="92"/>
        <v>100</v>
      </c>
      <c r="L1567" s="38">
        <v>100</v>
      </c>
      <c r="M1567" s="10">
        <f t="shared" si="91"/>
        <v>388.44</v>
      </c>
    </row>
    <row r="1568" spans="1:13" ht="15" hidden="1" customHeight="1" x14ac:dyDescent="0.3">
      <c r="A1568" s="9">
        <v>3507</v>
      </c>
      <c r="B1568" t="s">
        <v>276</v>
      </c>
      <c r="C1568" s="25">
        <v>44661</v>
      </c>
      <c r="D1568" s="26">
        <v>0.50899305555555552</v>
      </c>
      <c r="E1568" t="s">
        <v>27</v>
      </c>
      <c r="F1568" t="s">
        <v>166</v>
      </c>
      <c r="G1568" t="s">
        <v>161</v>
      </c>
      <c r="H1568" t="s">
        <v>117</v>
      </c>
      <c r="I1568" s="4">
        <v>317.74</v>
      </c>
      <c r="J1568" s="7">
        <v>0</v>
      </c>
      <c r="K1568" s="89">
        <f t="shared" si="92"/>
        <v>612</v>
      </c>
      <c r="L1568" s="32">
        <v>612</v>
      </c>
      <c r="M1568" s="10">
        <f t="shared" si="91"/>
        <v>51.91830065359477</v>
      </c>
    </row>
    <row r="1569" spans="1:13" ht="15" hidden="1" customHeight="1" x14ac:dyDescent="0.3">
      <c r="A1569" s="9">
        <v>3508</v>
      </c>
      <c r="B1569" t="s">
        <v>276</v>
      </c>
      <c r="C1569" s="25">
        <v>44662</v>
      </c>
      <c r="D1569" s="26">
        <v>0.50868055555555558</v>
      </c>
      <c r="E1569" t="s">
        <v>27</v>
      </c>
      <c r="F1569" t="s">
        <v>210</v>
      </c>
      <c r="G1569" t="s">
        <v>211</v>
      </c>
      <c r="H1569" t="s">
        <v>117</v>
      </c>
      <c r="I1569" s="4">
        <v>422.45</v>
      </c>
      <c r="J1569" s="34">
        <v>0</v>
      </c>
      <c r="K1569" s="94">
        <f t="shared" si="92"/>
        <v>1156</v>
      </c>
      <c r="L1569" s="32">
        <v>1156</v>
      </c>
      <c r="M1569" s="36">
        <f t="shared" si="91"/>
        <v>36.544117647058819</v>
      </c>
    </row>
    <row r="1570" spans="1:13" ht="15" hidden="1" customHeight="1" x14ac:dyDescent="0.3">
      <c r="A1570" s="9">
        <v>3598</v>
      </c>
      <c r="B1570" t="s">
        <v>276</v>
      </c>
      <c r="C1570" s="25">
        <v>44663</v>
      </c>
      <c r="D1570" s="26">
        <v>0.6058217592592593</v>
      </c>
      <c r="E1570" t="s">
        <v>27</v>
      </c>
      <c r="F1570" t="s">
        <v>175</v>
      </c>
      <c r="G1570" t="s">
        <v>172</v>
      </c>
      <c r="H1570" t="s">
        <v>135</v>
      </c>
      <c r="I1570" s="4">
        <v>422.25</v>
      </c>
      <c r="J1570" s="7">
        <v>0</v>
      </c>
      <c r="K1570" s="94">
        <f t="shared" si="92"/>
        <v>987.47</v>
      </c>
      <c r="L1570" s="32">
        <v>987.47</v>
      </c>
      <c r="M1570" s="36">
        <f t="shared" si="91"/>
        <v>42.760792732943784</v>
      </c>
    </row>
    <row r="1571" spans="1:13" ht="15" hidden="1" customHeight="1" x14ac:dyDescent="0.3">
      <c r="A1571" s="9">
        <v>3599</v>
      </c>
      <c r="B1571" t="s">
        <v>276</v>
      </c>
      <c r="C1571" s="25">
        <v>44664</v>
      </c>
      <c r="D1571" s="26">
        <v>0.81572916666666673</v>
      </c>
      <c r="E1571" t="s">
        <v>27</v>
      </c>
      <c r="F1571" t="s">
        <v>210</v>
      </c>
      <c r="G1571" t="s">
        <v>211</v>
      </c>
      <c r="H1571" t="s">
        <v>135</v>
      </c>
      <c r="I1571" s="4">
        <v>372.01</v>
      </c>
      <c r="J1571" s="7">
        <v>0</v>
      </c>
      <c r="K1571" s="94">
        <f t="shared" si="92"/>
        <v>840.81</v>
      </c>
      <c r="L1571" s="7">
        <v>840.81</v>
      </c>
      <c r="M1571" s="36">
        <f t="shared" si="91"/>
        <v>44.244240672684676</v>
      </c>
    </row>
    <row r="1572" spans="1:13" ht="15" hidden="1" customHeight="1" x14ac:dyDescent="0.3">
      <c r="A1572" s="9">
        <v>3600</v>
      </c>
      <c r="B1572" t="s">
        <v>276</v>
      </c>
      <c r="C1572" s="25">
        <v>44666</v>
      </c>
      <c r="D1572" s="26">
        <v>8.5567129629629632E-2</v>
      </c>
      <c r="E1572" t="s">
        <v>27</v>
      </c>
      <c r="F1572" t="s">
        <v>210</v>
      </c>
      <c r="G1572" t="s">
        <v>211</v>
      </c>
      <c r="H1572" t="s">
        <v>135</v>
      </c>
      <c r="I1572" s="4">
        <v>402.88</v>
      </c>
      <c r="J1572" s="7">
        <v>0</v>
      </c>
      <c r="K1572" s="90">
        <f t="shared" si="92"/>
        <v>1064.81</v>
      </c>
      <c r="L1572" s="34">
        <v>1064.81</v>
      </c>
      <c r="M1572" s="10">
        <f t="shared" si="91"/>
        <v>37.835858040401575</v>
      </c>
    </row>
    <row r="1573" spans="1:13" ht="15" hidden="1" customHeight="1" x14ac:dyDescent="0.3">
      <c r="A1573" s="9">
        <v>3601</v>
      </c>
      <c r="B1573" t="s">
        <v>276</v>
      </c>
      <c r="C1573" s="25">
        <v>44666</v>
      </c>
      <c r="D1573" s="26">
        <v>0.51047453703703705</v>
      </c>
      <c r="E1573" t="s">
        <v>27</v>
      </c>
      <c r="F1573" t="s">
        <v>169</v>
      </c>
      <c r="G1573" t="s">
        <v>196</v>
      </c>
      <c r="H1573" t="s">
        <v>135</v>
      </c>
      <c r="I1573" s="4">
        <v>160.44999999999999</v>
      </c>
      <c r="J1573" s="7">
        <v>0</v>
      </c>
      <c r="K1573" s="90">
        <f t="shared" si="92"/>
        <v>498.99</v>
      </c>
      <c r="L1573" s="7">
        <v>498.99</v>
      </c>
      <c r="M1573" s="10">
        <f t="shared" si="91"/>
        <v>32.15495300507024</v>
      </c>
    </row>
    <row r="1574" spans="1:13" ht="15" hidden="1" customHeight="1" x14ac:dyDescent="0.3">
      <c r="A1574" s="9">
        <v>3602</v>
      </c>
      <c r="B1574" t="s">
        <v>276</v>
      </c>
      <c r="C1574" s="25">
        <v>44667</v>
      </c>
      <c r="D1574" s="26">
        <v>0.48855324074074075</v>
      </c>
      <c r="E1574" t="s">
        <v>27</v>
      </c>
      <c r="F1574" t="s">
        <v>391</v>
      </c>
      <c r="G1574" t="s">
        <v>392</v>
      </c>
      <c r="H1574" t="s">
        <v>135</v>
      </c>
      <c r="I1574" s="4">
        <v>184.43</v>
      </c>
      <c r="J1574" s="31">
        <v>0</v>
      </c>
      <c r="K1574" s="99">
        <f t="shared" si="92"/>
        <v>422.4</v>
      </c>
      <c r="L1574" s="7">
        <v>422.4</v>
      </c>
      <c r="M1574" s="10">
        <f t="shared" si="91"/>
        <v>43.662405303030305</v>
      </c>
    </row>
    <row r="1575" spans="1:13" ht="15" hidden="1" customHeight="1" x14ac:dyDescent="0.3">
      <c r="A1575" s="9">
        <v>3603</v>
      </c>
      <c r="B1575" t="s">
        <v>276</v>
      </c>
      <c r="C1575" s="25">
        <v>44669</v>
      </c>
      <c r="D1575" s="26">
        <v>0.8881134259259259</v>
      </c>
      <c r="E1575" t="s">
        <v>27</v>
      </c>
      <c r="F1575" t="s">
        <v>210</v>
      </c>
      <c r="G1575" t="s">
        <v>211</v>
      </c>
      <c r="H1575" t="s">
        <v>135</v>
      </c>
      <c r="I1575" s="4">
        <v>377.7</v>
      </c>
      <c r="J1575" s="31">
        <v>0</v>
      </c>
      <c r="K1575" s="99">
        <f t="shared" si="92"/>
        <v>895</v>
      </c>
      <c r="L1575" s="32">
        <v>895</v>
      </c>
      <c r="M1575" s="10">
        <f t="shared" si="91"/>
        <v>42.201117318435756</v>
      </c>
    </row>
    <row r="1576" spans="1:13" ht="15" hidden="1" customHeight="1" x14ac:dyDescent="0.3">
      <c r="A1576" s="9">
        <v>3604</v>
      </c>
      <c r="B1576" t="s">
        <v>276</v>
      </c>
      <c r="C1576" s="25">
        <v>44671</v>
      </c>
      <c r="D1576" s="26">
        <v>4.2222222222222223E-2</v>
      </c>
      <c r="E1576" t="s">
        <v>27</v>
      </c>
      <c r="F1576" t="s">
        <v>210</v>
      </c>
      <c r="G1576" t="s">
        <v>211</v>
      </c>
      <c r="H1576" t="s">
        <v>135</v>
      </c>
      <c r="I1576" s="4">
        <v>377.63</v>
      </c>
      <c r="J1576" s="7">
        <v>0</v>
      </c>
      <c r="K1576" s="97">
        <f t="shared" si="92"/>
        <v>886.29</v>
      </c>
      <c r="L1576" s="34">
        <v>886.29</v>
      </c>
      <c r="M1576" s="10">
        <f t="shared" si="91"/>
        <v>42.607949993794357</v>
      </c>
    </row>
    <row r="1577" spans="1:13" ht="15" hidden="1" customHeight="1" x14ac:dyDescent="0.3">
      <c r="A1577" s="9">
        <v>3605</v>
      </c>
      <c r="B1577" t="s">
        <v>276</v>
      </c>
      <c r="C1577" s="25">
        <v>44673</v>
      </c>
      <c r="D1577" s="26">
        <v>0.40480324074074076</v>
      </c>
      <c r="E1577" t="s">
        <v>27</v>
      </c>
      <c r="F1577" t="s">
        <v>311</v>
      </c>
      <c r="G1577" t="s">
        <v>303</v>
      </c>
      <c r="H1577" t="s">
        <v>135</v>
      </c>
      <c r="I1577" s="4">
        <v>330.34</v>
      </c>
      <c r="J1577" s="35">
        <v>0</v>
      </c>
      <c r="K1577" s="100">
        <f t="shared" si="92"/>
        <v>1331.73</v>
      </c>
      <c r="L1577" s="35">
        <v>1331.73</v>
      </c>
      <c r="M1577" s="10">
        <f t="shared" si="91"/>
        <v>24.805328407409906</v>
      </c>
    </row>
    <row r="1578" spans="1:13" ht="15" hidden="1" customHeight="1" x14ac:dyDescent="0.3">
      <c r="A1578" s="9">
        <v>3606</v>
      </c>
      <c r="B1578" t="s">
        <v>276</v>
      </c>
      <c r="C1578" s="25">
        <v>44673</v>
      </c>
      <c r="D1578" s="26">
        <v>0.62548611111111108</v>
      </c>
      <c r="E1578" t="s">
        <v>27</v>
      </c>
      <c r="F1578" t="s">
        <v>166</v>
      </c>
      <c r="G1578" t="s">
        <v>161</v>
      </c>
      <c r="H1578" t="s">
        <v>135</v>
      </c>
      <c r="I1578" s="4">
        <v>172.1</v>
      </c>
      <c r="J1578" s="7">
        <v>0</v>
      </c>
      <c r="K1578" s="90">
        <f t="shared" si="92"/>
        <v>1686</v>
      </c>
      <c r="L1578" s="7">
        <v>1686</v>
      </c>
      <c r="M1578" s="10">
        <f t="shared" si="91"/>
        <v>10.207591933570582</v>
      </c>
    </row>
    <row r="1579" spans="1:13" ht="15" hidden="1" customHeight="1" x14ac:dyDescent="0.3">
      <c r="A1579" s="9">
        <v>3607</v>
      </c>
      <c r="B1579" t="s">
        <v>276</v>
      </c>
      <c r="C1579" s="25">
        <v>44674</v>
      </c>
      <c r="D1579" s="26">
        <v>0.66</v>
      </c>
      <c r="E1579" t="s">
        <v>27</v>
      </c>
      <c r="F1579" t="s">
        <v>165</v>
      </c>
      <c r="G1579" t="s">
        <v>185</v>
      </c>
      <c r="H1579" t="s">
        <v>135</v>
      </c>
      <c r="I1579" s="4">
        <v>308.22000000000003</v>
      </c>
      <c r="J1579" s="7">
        <v>0</v>
      </c>
      <c r="K1579" s="90">
        <f t="shared" si="92"/>
        <v>989</v>
      </c>
      <c r="L1579" s="7">
        <v>989</v>
      </c>
      <c r="M1579" s="10">
        <f t="shared" si="91"/>
        <v>31.164812942366027</v>
      </c>
    </row>
    <row r="1580" spans="1:13" ht="15" hidden="1" customHeight="1" x14ac:dyDescent="0.3">
      <c r="A1580" s="9">
        <v>3608</v>
      </c>
      <c r="B1580" t="s">
        <v>276</v>
      </c>
      <c r="C1580" s="25">
        <v>44675</v>
      </c>
      <c r="D1580" s="26">
        <v>0.70739583333333333</v>
      </c>
      <c r="E1580" t="s">
        <v>27</v>
      </c>
      <c r="F1580" t="s">
        <v>210</v>
      </c>
      <c r="G1580" t="s">
        <v>211</v>
      </c>
      <c r="H1580" t="s">
        <v>135</v>
      </c>
      <c r="I1580" s="4">
        <v>150.63</v>
      </c>
      <c r="J1580" s="34">
        <v>0</v>
      </c>
      <c r="K1580" s="97">
        <f t="shared" si="92"/>
        <v>515.54999999999995</v>
      </c>
      <c r="L1580" s="7">
        <v>515.54999999999995</v>
      </c>
      <c r="M1580" s="10">
        <f t="shared" si="91"/>
        <v>29.217340704102419</v>
      </c>
    </row>
    <row r="1581" spans="1:13" ht="15" hidden="1" customHeight="1" x14ac:dyDescent="0.3">
      <c r="A1581" s="9">
        <v>3881</v>
      </c>
      <c r="B1581" t="s">
        <v>276</v>
      </c>
      <c r="C1581" s="25">
        <v>44686</v>
      </c>
      <c r="D1581" s="26">
        <v>0.50250000000000006</v>
      </c>
      <c r="E1581" t="s">
        <v>28</v>
      </c>
      <c r="F1581" t="s">
        <v>166</v>
      </c>
      <c r="G1581" t="s">
        <v>161</v>
      </c>
      <c r="H1581" t="s">
        <v>135</v>
      </c>
      <c r="I1581">
        <v>329.86</v>
      </c>
      <c r="J1581" s="7">
        <v>0</v>
      </c>
      <c r="K1581" s="90">
        <f t="shared" ref="K1581" si="93">+L1581-J1581</f>
        <v>1734</v>
      </c>
      <c r="L1581" s="32">
        <v>1734</v>
      </c>
      <c r="M1581" s="10">
        <f t="shared" ref="M1581:M1644" si="94">I1581/K1581*100</f>
        <v>19.023068050749711</v>
      </c>
    </row>
    <row r="1582" spans="1:13" ht="15" hidden="1" customHeight="1" x14ac:dyDescent="0.3">
      <c r="A1582" s="9">
        <v>3962</v>
      </c>
      <c r="B1582" t="s">
        <v>276</v>
      </c>
      <c r="C1582" s="25">
        <v>44687</v>
      </c>
      <c r="D1582" s="26">
        <v>0.40104166666666669</v>
      </c>
      <c r="E1582" t="s">
        <v>28</v>
      </c>
      <c r="F1582" t="s">
        <v>210</v>
      </c>
      <c r="G1582" t="s">
        <v>211</v>
      </c>
      <c r="H1582" t="s">
        <v>135</v>
      </c>
      <c r="I1582" s="122">
        <v>373.4</v>
      </c>
      <c r="J1582" s="34">
        <v>0</v>
      </c>
      <c r="K1582" s="97">
        <f>+L1582-J1710</f>
        <v>969</v>
      </c>
      <c r="L1582" s="37">
        <v>969</v>
      </c>
      <c r="M1582" s="10">
        <f t="shared" si="94"/>
        <v>38.534571723426211</v>
      </c>
    </row>
    <row r="1583" spans="1:13" ht="15" hidden="1" customHeight="1" x14ac:dyDescent="0.3">
      <c r="A1583" s="9">
        <v>4009</v>
      </c>
      <c r="B1583" t="s">
        <v>276</v>
      </c>
      <c r="C1583" s="25">
        <v>44688</v>
      </c>
      <c r="D1583" s="26">
        <v>0.65744212962962967</v>
      </c>
      <c r="E1583" t="s">
        <v>28</v>
      </c>
      <c r="F1583" t="s">
        <v>428</v>
      </c>
      <c r="G1583" t="s">
        <v>429</v>
      </c>
      <c r="H1583" t="s">
        <v>135</v>
      </c>
      <c r="I1583" s="122">
        <v>200</v>
      </c>
      <c r="J1583" s="7">
        <v>0</v>
      </c>
      <c r="K1583" s="97">
        <f>+L1583-J1711</f>
        <v>962</v>
      </c>
      <c r="L1583" s="37">
        <v>962</v>
      </c>
      <c r="M1583" s="10">
        <f t="shared" si="94"/>
        <v>20.79002079002079</v>
      </c>
    </row>
    <row r="1584" spans="1:13" ht="15" hidden="1" customHeight="1" x14ac:dyDescent="0.3">
      <c r="A1584" s="9">
        <v>4056</v>
      </c>
      <c r="B1584" t="s">
        <v>276</v>
      </c>
      <c r="C1584" s="25">
        <v>44689</v>
      </c>
      <c r="D1584" s="26">
        <v>0.26290509259259259</v>
      </c>
      <c r="E1584" t="s">
        <v>28</v>
      </c>
      <c r="F1584" t="s">
        <v>197</v>
      </c>
      <c r="G1584" t="s">
        <v>44</v>
      </c>
      <c r="H1584" t="s">
        <v>135</v>
      </c>
      <c r="I1584" s="122">
        <v>150.58000000000001</v>
      </c>
      <c r="J1584" s="34">
        <v>0</v>
      </c>
      <c r="K1584" s="100">
        <f>+L1584-J1713</f>
        <v>389</v>
      </c>
      <c r="L1584" s="38">
        <v>389</v>
      </c>
      <c r="M1584" s="10">
        <f t="shared" si="94"/>
        <v>38.709511568123396</v>
      </c>
    </row>
    <row r="1585" spans="1:13" ht="15" hidden="1" customHeight="1" x14ac:dyDescent="0.3">
      <c r="A1585" s="9">
        <v>4057</v>
      </c>
      <c r="B1585" t="s">
        <v>276</v>
      </c>
      <c r="C1585" s="25">
        <v>44689</v>
      </c>
      <c r="D1585" s="26">
        <v>0.5783449074074074</v>
      </c>
      <c r="E1585" t="s">
        <v>28</v>
      </c>
      <c r="F1585" t="s">
        <v>366</v>
      </c>
      <c r="G1585" t="s">
        <v>367</v>
      </c>
      <c r="H1585" t="s">
        <v>135</v>
      </c>
      <c r="I1585" s="122">
        <v>100</v>
      </c>
      <c r="J1585" s="39">
        <v>0</v>
      </c>
      <c r="K1585" s="90">
        <f>+L1585-J1714</f>
        <v>388</v>
      </c>
      <c r="L1585" s="53">
        <v>388</v>
      </c>
      <c r="M1585" s="10">
        <f t="shared" si="94"/>
        <v>25.773195876288657</v>
      </c>
    </row>
    <row r="1586" spans="1:13" ht="15" hidden="1" customHeight="1" x14ac:dyDescent="0.3">
      <c r="A1586" s="9">
        <v>4058</v>
      </c>
      <c r="B1586" t="s">
        <v>276</v>
      </c>
      <c r="C1586" s="25">
        <v>44689</v>
      </c>
      <c r="D1586" s="26">
        <v>0.69403935185185184</v>
      </c>
      <c r="E1586" t="s">
        <v>28</v>
      </c>
      <c r="F1586" t="s">
        <v>210</v>
      </c>
      <c r="G1586" t="s">
        <v>211</v>
      </c>
      <c r="H1586" t="s">
        <v>135</v>
      </c>
      <c r="I1586" s="122">
        <v>290.92</v>
      </c>
      <c r="J1586" s="39">
        <v>0</v>
      </c>
      <c r="K1586" s="90">
        <f>+L1586-J1715</f>
        <v>199</v>
      </c>
      <c r="L1586" s="55">
        <v>199</v>
      </c>
      <c r="M1586" s="10">
        <f t="shared" si="94"/>
        <v>146.19095477386935</v>
      </c>
    </row>
    <row r="1587" spans="1:13" ht="15" hidden="1" customHeight="1" x14ac:dyDescent="0.3">
      <c r="A1587" s="9">
        <v>4099</v>
      </c>
      <c r="B1587" t="s">
        <v>276</v>
      </c>
      <c r="C1587" s="25">
        <v>44690</v>
      </c>
      <c r="D1587" s="26">
        <v>0.7038888888888889</v>
      </c>
      <c r="E1587" t="s">
        <v>28</v>
      </c>
      <c r="F1587" t="s">
        <v>210</v>
      </c>
      <c r="G1587" t="s">
        <v>211</v>
      </c>
      <c r="H1587" t="s">
        <v>135</v>
      </c>
      <c r="I1587">
        <v>384.47</v>
      </c>
      <c r="J1587" s="39">
        <v>0</v>
      </c>
      <c r="K1587" s="90">
        <f>+L1587-J1716</f>
        <v>1063</v>
      </c>
      <c r="L1587" s="53">
        <v>1063</v>
      </c>
      <c r="M1587" s="10">
        <f t="shared" si="94"/>
        <v>36.168391345249297</v>
      </c>
    </row>
    <row r="1588" spans="1:13" ht="15" hidden="1" customHeight="1" x14ac:dyDescent="0.3">
      <c r="A1588" s="9">
        <v>4194</v>
      </c>
      <c r="B1588" t="s">
        <v>276</v>
      </c>
      <c r="C1588" s="25">
        <v>44692</v>
      </c>
      <c r="D1588" s="26">
        <v>0.51410879629629636</v>
      </c>
      <c r="E1588" t="s">
        <v>28</v>
      </c>
      <c r="F1588" t="s">
        <v>262</v>
      </c>
      <c r="G1588" t="s">
        <v>263</v>
      </c>
      <c r="H1588" t="s">
        <v>135</v>
      </c>
      <c r="I1588">
        <v>212.21</v>
      </c>
      <c r="J1588" s="31">
        <v>0</v>
      </c>
      <c r="K1588" s="100">
        <f t="shared" ref="K1588:K1597" si="95">+L1588-J1718</f>
        <v>1134</v>
      </c>
      <c r="L1588" s="38">
        <v>1134</v>
      </c>
      <c r="M1588" s="10">
        <f t="shared" si="94"/>
        <v>18.713403880070548</v>
      </c>
    </row>
    <row r="1589" spans="1:13" ht="15" hidden="1" customHeight="1" x14ac:dyDescent="0.3">
      <c r="A1589" s="9">
        <v>4195</v>
      </c>
      <c r="B1589" t="s">
        <v>276</v>
      </c>
      <c r="C1589" s="25">
        <v>44692</v>
      </c>
      <c r="D1589" s="26">
        <v>0.55765046296296295</v>
      </c>
      <c r="E1589" t="s">
        <v>28</v>
      </c>
      <c r="F1589" t="s">
        <v>197</v>
      </c>
      <c r="G1589" t="s">
        <v>44</v>
      </c>
      <c r="H1589" t="s">
        <v>135</v>
      </c>
      <c r="I1589">
        <v>118.11</v>
      </c>
      <c r="J1589" s="7">
        <v>0</v>
      </c>
      <c r="K1589" s="90">
        <f t="shared" si="95"/>
        <v>47</v>
      </c>
      <c r="L1589" s="32">
        <v>47</v>
      </c>
      <c r="M1589" s="10">
        <f t="shared" si="94"/>
        <v>251.2978723404255</v>
      </c>
    </row>
    <row r="1590" spans="1:13" ht="15" hidden="1" customHeight="1" x14ac:dyDescent="0.3">
      <c r="A1590" s="9">
        <v>4196</v>
      </c>
      <c r="B1590" t="s">
        <v>276</v>
      </c>
      <c r="C1590" s="25">
        <v>44692</v>
      </c>
      <c r="D1590" s="26">
        <v>0.80243055555555554</v>
      </c>
      <c r="E1590" t="s">
        <v>28</v>
      </c>
      <c r="F1590" t="s">
        <v>488</v>
      </c>
      <c r="G1590" t="s">
        <v>489</v>
      </c>
      <c r="H1590" t="s">
        <v>135</v>
      </c>
      <c r="I1590">
        <v>250.5</v>
      </c>
      <c r="J1590" s="35">
        <v>0</v>
      </c>
      <c r="K1590" s="100">
        <f t="shared" si="95"/>
        <v>338</v>
      </c>
      <c r="L1590" s="37">
        <v>338</v>
      </c>
      <c r="M1590" s="10">
        <f t="shared" si="94"/>
        <v>74.112426035502949</v>
      </c>
    </row>
    <row r="1591" spans="1:13" ht="15" hidden="1" customHeight="1" x14ac:dyDescent="0.3">
      <c r="A1591" s="9">
        <v>4238</v>
      </c>
      <c r="B1591" t="s">
        <v>276</v>
      </c>
      <c r="C1591" s="25">
        <v>44693</v>
      </c>
      <c r="D1591" s="26">
        <v>0.63724537037037032</v>
      </c>
      <c r="E1591" t="s">
        <v>28</v>
      </c>
      <c r="F1591" t="s">
        <v>165</v>
      </c>
      <c r="G1591" t="s">
        <v>185</v>
      </c>
      <c r="H1591" t="s">
        <v>135</v>
      </c>
      <c r="I1591">
        <v>342.09</v>
      </c>
      <c r="J1591" s="7">
        <v>0</v>
      </c>
      <c r="K1591" s="90">
        <f t="shared" si="95"/>
        <v>806</v>
      </c>
      <c r="L1591" s="32">
        <v>806</v>
      </c>
      <c r="M1591" s="10">
        <f t="shared" si="94"/>
        <v>42.442928039702231</v>
      </c>
    </row>
    <row r="1592" spans="1:13" ht="15" hidden="1" customHeight="1" x14ac:dyDescent="0.3">
      <c r="A1592" s="9">
        <v>4291</v>
      </c>
      <c r="B1592" t="s">
        <v>276</v>
      </c>
      <c r="C1592" s="25">
        <v>44694</v>
      </c>
      <c r="D1592" s="26">
        <v>0.70715277777777785</v>
      </c>
      <c r="E1592" t="s">
        <v>28</v>
      </c>
      <c r="F1592" t="s">
        <v>274</v>
      </c>
      <c r="G1592" t="s">
        <v>495</v>
      </c>
      <c r="H1592" t="s">
        <v>135</v>
      </c>
      <c r="I1592">
        <v>50</v>
      </c>
      <c r="J1592" s="34">
        <v>0</v>
      </c>
      <c r="K1592" s="97">
        <f t="shared" si="95"/>
        <v>1099</v>
      </c>
      <c r="L1592" s="37">
        <v>1099</v>
      </c>
      <c r="M1592" s="10">
        <f t="shared" si="94"/>
        <v>4.5495905368516834</v>
      </c>
    </row>
    <row r="1593" spans="1:13" ht="15" hidden="1" customHeight="1" x14ac:dyDescent="0.3">
      <c r="A1593" s="9">
        <v>4292</v>
      </c>
      <c r="B1593" t="s">
        <v>276</v>
      </c>
      <c r="C1593" s="25">
        <v>44694</v>
      </c>
      <c r="D1593" s="26">
        <v>0.93677083333333344</v>
      </c>
      <c r="E1593" t="s">
        <v>28</v>
      </c>
      <c r="F1593" t="s">
        <v>428</v>
      </c>
      <c r="G1593" t="s">
        <v>429</v>
      </c>
      <c r="H1593" t="s">
        <v>135</v>
      </c>
      <c r="I1593">
        <v>201.9</v>
      </c>
      <c r="J1593" s="34">
        <v>0</v>
      </c>
      <c r="K1593" s="97">
        <f t="shared" si="95"/>
        <v>339</v>
      </c>
      <c r="L1593" s="37">
        <v>339</v>
      </c>
      <c r="M1593" s="10">
        <f t="shared" si="94"/>
        <v>59.557522123893804</v>
      </c>
    </row>
    <row r="1594" spans="1:13" ht="15" hidden="1" customHeight="1" x14ac:dyDescent="0.3">
      <c r="A1594" s="9">
        <v>4357</v>
      </c>
      <c r="B1594" t="s">
        <v>276</v>
      </c>
      <c r="C1594" s="25">
        <v>44695</v>
      </c>
      <c r="D1594" s="26">
        <v>0.60583333333333333</v>
      </c>
      <c r="E1594" t="s">
        <v>28</v>
      </c>
      <c r="F1594" t="s">
        <v>452</v>
      </c>
      <c r="G1594" t="s">
        <v>449</v>
      </c>
      <c r="H1594" t="s">
        <v>135</v>
      </c>
      <c r="I1594">
        <v>100</v>
      </c>
      <c r="J1594" s="34">
        <v>0</v>
      </c>
      <c r="K1594" s="97">
        <f t="shared" si="95"/>
        <v>220</v>
      </c>
      <c r="L1594" s="37">
        <v>220</v>
      </c>
      <c r="M1594" s="10">
        <f t="shared" si="94"/>
        <v>45.454545454545453</v>
      </c>
    </row>
    <row r="1595" spans="1:13" ht="15" hidden="1" customHeight="1" x14ac:dyDescent="0.3">
      <c r="A1595" s="9">
        <v>4358</v>
      </c>
      <c r="B1595" t="s">
        <v>276</v>
      </c>
      <c r="C1595" s="25">
        <v>44695</v>
      </c>
      <c r="D1595" s="26">
        <v>0.74922453703703706</v>
      </c>
      <c r="E1595" t="s">
        <v>28</v>
      </c>
      <c r="F1595" t="s">
        <v>459</v>
      </c>
      <c r="G1595" t="s">
        <v>303</v>
      </c>
      <c r="H1595" t="s">
        <v>135</v>
      </c>
      <c r="I1595">
        <v>282.18</v>
      </c>
      <c r="J1595" s="7">
        <v>0</v>
      </c>
      <c r="K1595" s="97">
        <f t="shared" si="95"/>
        <v>183</v>
      </c>
      <c r="L1595" s="37">
        <v>183</v>
      </c>
      <c r="M1595" s="10">
        <f t="shared" si="94"/>
        <v>154.19672131147541</v>
      </c>
    </row>
    <row r="1596" spans="1:13" ht="15" hidden="1" customHeight="1" x14ac:dyDescent="0.3">
      <c r="A1596" s="9">
        <v>4428</v>
      </c>
      <c r="B1596" t="s">
        <v>276</v>
      </c>
      <c r="C1596" s="25">
        <v>44696</v>
      </c>
      <c r="D1596" s="26">
        <v>0.3923726851851852</v>
      </c>
      <c r="E1596" t="s">
        <v>28</v>
      </c>
      <c r="F1596" t="s">
        <v>166</v>
      </c>
      <c r="G1596" t="s">
        <v>161</v>
      </c>
      <c r="H1596" t="s">
        <v>135</v>
      </c>
      <c r="I1596">
        <v>100</v>
      </c>
      <c r="J1596" s="31">
        <v>0</v>
      </c>
      <c r="K1596" s="99">
        <f t="shared" si="95"/>
        <v>356</v>
      </c>
      <c r="L1596" s="33">
        <v>356</v>
      </c>
      <c r="M1596" s="10">
        <f t="shared" si="94"/>
        <v>28.08988764044944</v>
      </c>
    </row>
    <row r="1597" spans="1:13" ht="15" hidden="1" customHeight="1" x14ac:dyDescent="0.3">
      <c r="A1597" s="9">
        <v>4432</v>
      </c>
      <c r="B1597" t="s">
        <v>276</v>
      </c>
      <c r="C1597" s="25">
        <v>44696</v>
      </c>
      <c r="D1597" s="26">
        <v>0.69021990740740735</v>
      </c>
      <c r="E1597" t="s">
        <v>28</v>
      </c>
      <c r="F1597" t="s">
        <v>396</v>
      </c>
      <c r="G1597" t="s">
        <v>397</v>
      </c>
      <c r="H1597" t="s">
        <v>135</v>
      </c>
      <c r="I1597">
        <v>289.22000000000003</v>
      </c>
      <c r="J1597" s="28">
        <v>0</v>
      </c>
      <c r="K1597" s="96">
        <f t="shared" si="95"/>
        <v>407</v>
      </c>
      <c r="L1597" s="32">
        <v>407</v>
      </c>
      <c r="M1597" s="10">
        <f t="shared" si="94"/>
        <v>71.061425061425069</v>
      </c>
    </row>
    <row r="1598" spans="1:13" ht="15" hidden="1" customHeight="1" x14ac:dyDescent="0.3">
      <c r="A1598" s="9">
        <v>4584</v>
      </c>
      <c r="B1598" t="s">
        <v>276</v>
      </c>
      <c r="C1598" s="25">
        <v>44699</v>
      </c>
      <c r="D1598" s="26">
        <v>0.46402777777777776</v>
      </c>
      <c r="E1598" t="s">
        <v>28</v>
      </c>
      <c r="F1598" t="s">
        <v>165</v>
      </c>
      <c r="G1598" t="s">
        <v>185</v>
      </c>
      <c r="H1598" t="s">
        <v>135</v>
      </c>
      <c r="I1598">
        <f>66.93+425.85</f>
        <v>492.78000000000003</v>
      </c>
      <c r="J1598" s="31">
        <v>0</v>
      </c>
      <c r="K1598" s="100">
        <f t="shared" ref="K1598:K1611" si="96">+L1598-J1869</f>
        <v>1112</v>
      </c>
      <c r="L1598" s="38">
        <v>1112</v>
      </c>
      <c r="M1598" s="10">
        <f t="shared" si="94"/>
        <v>44.314748201438853</v>
      </c>
    </row>
    <row r="1599" spans="1:13" ht="15" hidden="1" customHeight="1" x14ac:dyDescent="0.3">
      <c r="A1599" s="9">
        <v>4585</v>
      </c>
      <c r="B1599" t="s">
        <v>276</v>
      </c>
      <c r="C1599" s="25">
        <v>44699</v>
      </c>
      <c r="D1599" s="26">
        <v>0.7726736111111111</v>
      </c>
      <c r="E1599" t="s">
        <v>28</v>
      </c>
      <c r="F1599" t="s">
        <v>210</v>
      </c>
      <c r="G1599" t="s">
        <v>211</v>
      </c>
      <c r="H1599" t="s">
        <v>135</v>
      </c>
      <c r="I1599">
        <v>174.63</v>
      </c>
      <c r="J1599" s="7">
        <v>0</v>
      </c>
      <c r="K1599" s="90">
        <f t="shared" si="96"/>
        <v>514</v>
      </c>
      <c r="L1599" s="32">
        <v>514</v>
      </c>
      <c r="M1599" s="10">
        <f t="shared" si="94"/>
        <v>33.974708171206224</v>
      </c>
    </row>
    <row r="1600" spans="1:13" ht="15" hidden="1" customHeight="1" x14ac:dyDescent="0.3">
      <c r="A1600" s="9">
        <v>4638</v>
      </c>
      <c r="B1600" t="s">
        <v>276</v>
      </c>
      <c r="C1600" s="25">
        <v>44700</v>
      </c>
      <c r="D1600" s="26">
        <v>2.974537037037037E-2</v>
      </c>
      <c r="E1600" t="s">
        <v>28</v>
      </c>
      <c r="F1600" t="s">
        <v>293</v>
      </c>
      <c r="G1600" t="s">
        <v>196</v>
      </c>
      <c r="H1600" t="s">
        <v>135</v>
      </c>
      <c r="I1600">
        <v>138.24</v>
      </c>
      <c r="J1600" s="7">
        <v>0</v>
      </c>
      <c r="K1600" s="100">
        <f t="shared" si="96"/>
        <v>452</v>
      </c>
      <c r="L1600" s="38">
        <v>452</v>
      </c>
      <c r="M1600" s="10">
        <f t="shared" si="94"/>
        <v>30.584070796460178</v>
      </c>
    </row>
    <row r="1601" spans="1:13" ht="15" hidden="1" customHeight="1" x14ac:dyDescent="0.3">
      <c r="A1601" s="9">
        <v>4690</v>
      </c>
      <c r="B1601" t="s">
        <v>276</v>
      </c>
      <c r="C1601" s="25">
        <v>44701</v>
      </c>
      <c r="D1601" s="26">
        <v>0.94361111111111118</v>
      </c>
      <c r="E1601" t="s">
        <v>28</v>
      </c>
      <c r="F1601" t="s">
        <v>541</v>
      </c>
      <c r="G1601" t="s">
        <v>542</v>
      </c>
      <c r="H1601" t="s">
        <v>135</v>
      </c>
      <c r="I1601">
        <v>50</v>
      </c>
      <c r="J1601" s="34">
        <v>0</v>
      </c>
      <c r="K1601" s="89">
        <f t="shared" si="96"/>
        <v>804</v>
      </c>
      <c r="L1601" s="32">
        <v>804</v>
      </c>
      <c r="M1601" s="10">
        <f t="shared" si="94"/>
        <v>6.2189054726368163</v>
      </c>
    </row>
    <row r="1602" spans="1:13" ht="15" hidden="1" customHeight="1" x14ac:dyDescent="0.3">
      <c r="A1602" s="9">
        <v>4731</v>
      </c>
      <c r="B1602" t="s">
        <v>276</v>
      </c>
      <c r="C1602" s="25">
        <v>44702</v>
      </c>
      <c r="D1602" s="26">
        <v>0.54442129629629632</v>
      </c>
      <c r="E1602" t="s">
        <v>28</v>
      </c>
      <c r="F1602" t="s">
        <v>166</v>
      </c>
      <c r="G1602" t="s">
        <v>161</v>
      </c>
      <c r="H1602" t="s">
        <v>135</v>
      </c>
      <c r="I1602">
        <v>50</v>
      </c>
      <c r="J1602" s="11">
        <v>0</v>
      </c>
      <c r="K1602" s="89">
        <f t="shared" si="96"/>
        <v>123</v>
      </c>
      <c r="L1602" s="37">
        <v>123</v>
      </c>
      <c r="M1602" s="10">
        <f t="shared" si="94"/>
        <v>40.650406504065039</v>
      </c>
    </row>
    <row r="1603" spans="1:13" ht="15" hidden="1" customHeight="1" x14ac:dyDescent="0.3">
      <c r="A1603" s="9">
        <v>4750</v>
      </c>
      <c r="B1603" t="s">
        <v>276</v>
      </c>
      <c r="C1603" s="25">
        <v>44702</v>
      </c>
      <c r="D1603" s="26">
        <v>0.46679398148148149</v>
      </c>
      <c r="E1603" t="s">
        <v>28</v>
      </c>
      <c r="F1603" t="s">
        <v>366</v>
      </c>
      <c r="G1603" t="s">
        <v>367</v>
      </c>
      <c r="H1603" t="s">
        <v>135</v>
      </c>
      <c r="I1603">
        <v>100.07</v>
      </c>
      <c r="J1603" s="7">
        <v>0</v>
      </c>
      <c r="K1603" s="89">
        <f t="shared" si="96"/>
        <v>338</v>
      </c>
      <c r="L1603" s="38">
        <v>338</v>
      </c>
      <c r="M1603" s="10">
        <f t="shared" si="94"/>
        <v>29.606508875739646</v>
      </c>
    </row>
    <row r="1604" spans="1:13" ht="15" hidden="1" customHeight="1" x14ac:dyDescent="0.3">
      <c r="A1604" s="9">
        <v>4751</v>
      </c>
      <c r="B1604" t="s">
        <v>276</v>
      </c>
      <c r="C1604" s="25">
        <v>44702</v>
      </c>
      <c r="D1604" s="26">
        <v>0.6012615740740741</v>
      </c>
      <c r="E1604" t="s">
        <v>28</v>
      </c>
      <c r="F1604" t="s">
        <v>210</v>
      </c>
      <c r="G1604" t="s">
        <v>211</v>
      </c>
      <c r="H1604" t="s">
        <v>135</v>
      </c>
      <c r="I1604">
        <v>362.38</v>
      </c>
      <c r="J1604" s="7">
        <v>0</v>
      </c>
      <c r="K1604" s="89">
        <f t="shared" si="96"/>
        <v>76</v>
      </c>
      <c r="L1604" s="33">
        <v>76</v>
      </c>
      <c r="M1604" s="10">
        <f t="shared" si="94"/>
        <v>476.81578947368422</v>
      </c>
    </row>
    <row r="1605" spans="1:13" ht="15" hidden="1" customHeight="1" x14ac:dyDescent="0.3">
      <c r="A1605" s="9">
        <v>4804</v>
      </c>
      <c r="B1605" t="s">
        <v>276</v>
      </c>
      <c r="C1605" s="25">
        <v>44703</v>
      </c>
      <c r="D1605" s="26">
        <v>1.1180555555555556E-2</v>
      </c>
      <c r="E1605" t="s">
        <v>28</v>
      </c>
      <c r="F1605" t="s">
        <v>165</v>
      </c>
      <c r="G1605" t="s">
        <v>185</v>
      </c>
      <c r="H1605" t="s">
        <v>135</v>
      </c>
      <c r="I1605">
        <v>237.97</v>
      </c>
      <c r="J1605" s="7">
        <v>0</v>
      </c>
      <c r="K1605" s="89">
        <f t="shared" si="96"/>
        <v>548</v>
      </c>
      <c r="L1605" s="32">
        <v>548</v>
      </c>
      <c r="M1605" s="10">
        <f t="shared" si="94"/>
        <v>43.425182481751825</v>
      </c>
    </row>
    <row r="1606" spans="1:13" ht="15" hidden="1" customHeight="1" x14ac:dyDescent="0.3">
      <c r="A1606" s="9">
        <v>4805</v>
      </c>
      <c r="B1606" t="s">
        <v>276</v>
      </c>
      <c r="C1606" s="25">
        <v>44703</v>
      </c>
      <c r="D1606" s="26">
        <v>0.70313657407407415</v>
      </c>
      <c r="E1606" t="s">
        <v>28</v>
      </c>
      <c r="F1606" t="s">
        <v>202</v>
      </c>
      <c r="G1606" t="s">
        <v>203</v>
      </c>
      <c r="H1606" t="s">
        <v>135</v>
      </c>
      <c r="I1606">
        <v>100</v>
      </c>
      <c r="J1606" s="34">
        <v>0</v>
      </c>
      <c r="K1606" s="89">
        <f t="shared" si="96"/>
        <v>543</v>
      </c>
      <c r="L1606" s="38">
        <v>543</v>
      </c>
      <c r="M1606" s="10">
        <f t="shared" si="94"/>
        <v>18.41620626151013</v>
      </c>
    </row>
    <row r="1607" spans="1:13" ht="15" hidden="1" customHeight="1" x14ac:dyDescent="0.3">
      <c r="A1607" s="9">
        <v>4850</v>
      </c>
      <c r="B1607" t="s">
        <v>276</v>
      </c>
      <c r="C1607" s="25">
        <v>44704</v>
      </c>
      <c r="D1607" s="26">
        <v>0.51957175925925925</v>
      </c>
      <c r="E1607" t="s">
        <v>28</v>
      </c>
      <c r="F1607" t="s">
        <v>335</v>
      </c>
      <c r="G1607" t="s">
        <v>336</v>
      </c>
      <c r="H1607" t="s">
        <v>135</v>
      </c>
      <c r="I1607">
        <v>233.17</v>
      </c>
      <c r="J1607" s="7">
        <v>0</v>
      </c>
      <c r="K1607" s="89">
        <f t="shared" si="96"/>
        <v>469</v>
      </c>
      <c r="L1607" s="32">
        <v>469</v>
      </c>
      <c r="M1607" s="10">
        <f t="shared" si="94"/>
        <v>49.71641791044776</v>
      </c>
    </row>
    <row r="1608" spans="1:13" ht="15" hidden="1" customHeight="1" x14ac:dyDescent="0.3">
      <c r="A1608" s="9">
        <v>4851</v>
      </c>
      <c r="B1608" t="s">
        <v>276</v>
      </c>
      <c r="C1608" s="25">
        <v>44704</v>
      </c>
      <c r="D1608" s="26">
        <v>0.80018518518518522</v>
      </c>
      <c r="E1608" t="s">
        <v>28</v>
      </c>
      <c r="F1608" t="s">
        <v>278</v>
      </c>
      <c r="G1608" t="s">
        <v>279</v>
      </c>
      <c r="H1608" t="s">
        <v>135</v>
      </c>
      <c r="I1608">
        <v>169.74</v>
      </c>
      <c r="J1608" s="31">
        <v>0</v>
      </c>
      <c r="K1608" s="89">
        <f t="shared" si="96"/>
        <v>422</v>
      </c>
      <c r="L1608" s="38">
        <v>422</v>
      </c>
      <c r="M1608" s="10">
        <f t="shared" si="94"/>
        <v>40.222748815165879</v>
      </c>
    </row>
    <row r="1609" spans="1:13" ht="15" hidden="1" customHeight="1" x14ac:dyDescent="0.3">
      <c r="A1609" s="9">
        <v>4913</v>
      </c>
      <c r="B1609" t="s">
        <v>276</v>
      </c>
      <c r="C1609" s="25">
        <v>44705</v>
      </c>
      <c r="D1609" s="26">
        <v>0.71649305555555554</v>
      </c>
      <c r="E1609" t="s">
        <v>28</v>
      </c>
      <c r="F1609" t="s">
        <v>210</v>
      </c>
      <c r="G1609" t="s">
        <v>211</v>
      </c>
      <c r="H1609" t="s">
        <v>135</v>
      </c>
      <c r="I1609">
        <v>260.63</v>
      </c>
      <c r="J1609" s="7">
        <v>0</v>
      </c>
      <c r="K1609" s="89">
        <f t="shared" si="96"/>
        <v>717</v>
      </c>
      <c r="L1609" s="32">
        <v>717</v>
      </c>
      <c r="M1609" s="10">
        <f t="shared" si="94"/>
        <v>36.350069735006976</v>
      </c>
    </row>
    <row r="1610" spans="1:13" ht="15" hidden="1" customHeight="1" x14ac:dyDescent="0.3">
      <c r="A1610" s="9">
        <v>4914</v>
      </c>
      <c r="B1610" t="s">
        <v>276</v>
      </c>
      <c r="C1610" s="25">
        <v>44705</v>
      </c>
      <c r="D1610" s="26">
        <v>0.97979166666666673</v>
      </c>
      <c r="E1610" t="s">
        <v>28</v>
      </c>
      <c r="F1610" t="s">
        <v>293</v>
      </c>
      <c r="G1610" t="s">
        <v>196</v>
      </c>
      <c r="H1610" t="s">
        <v>135</v>
      </c>
      <c r="I1610">
        <v>122.64</v>
      </c>
      <c r="J1610" s="34">
        <v>0</v>
      </c>
      <c r="K1610" s="89">
        <f t="shared" si="96"/>
        <v>453</v>
      </c>
      <c r="L1610" s="37">
        <v>453</v>
      </c>
      <c r="M1610" s="10">
        <f t="shared" si="94"/>
        <v>27.072847682119207</v>
      </c>
    </row>
    <row r="1611" spans="1:13" ht="15" hidden="1" customHeight="1" x14ac:dyDescent="0.3">
      <c r="A1611" s="9">
        <v>5008</v>
      </c>
      <c r="B1611" t="s">
        <v>276</v>
      </c>
      <c r="C1611" s="25">
        <v>44707</v>
      </c>
      <c r="D1611" s="26">
        <v>0.39430555555555552</v>
      </c>
      <c r="E1611" t="s">
        <v>28</v>
      </c>
      <c r="F1611" t="s">
        <v>638</v>
      </c>
      <c r="G1611" t="s">
        <v>263</v>
      </c>
      <c r="H1611" t="s">
        <v>135</v>
      </c>
      <c r="I1611">
        <v>162.47999999999999</v>
      </c>
      <c r="J1611" s="7">
        <v>0</v>
      </c>
      <c r="K1611" s="89">
        <f t="shared" si="96"/>
        <v>376</v>
      </c>
      <c r="L1611" s="31">
        <v>376</v>
      </c>
      <c r="M1611" s="10">
        <f t="shared" si="94"/>
        <v>43.212765957446805</v>
      </c>
    </row>
    <row r="1612" spans="1:13" ht="15" hidden="1" customHeight="1" x14ac:dyDescent="0.3">
      <c r="A1612" s="9">
        <v>5063</v>
      </c>
      <c r="B1612" t="s">
        <v>276</v>
      </c>
      <c r="C1612" s="25">
        <v>44708</v>
      </c>
      <c r="D1612" s="26">
        <v>0.70408564814814811</v>
      </c>
      <c r="E1612" t="s">
        <v>28</v>
      </c>
      <c r="F1612" t="s">
        <v>672</v>
      </c>
      <c r="G1612" t="s">
        <v>367</v>
      </c>
      <c r="H1612" t="s">
        <v>135</v>
      </c>
      <c r="I1612">
        <v>100</v>
      </c>
      <c r="J1612" s="7">
        <v>0</v>
      </c>
      <c r="K1612" s="89">
        <f>+L1612-J1901</f>
        <v>728</v>
      </c>
      <c r="L1612" s="7">
        <v>728</v>
      </c>
      <c r="M1612" s="10">
        <f t="shared" si="94"/>
        <v>13.736263736263737</v>
      </c>
    </row>
    <row r="1613" spans="1:13" ht="15" hidden="1" customHeight="1" x14ac:dyDescent="0.3">
      <c r="A1613" s="9">
        <v>5064</v>
      </c>
      <c r="B1613" t="s">
        <v>276</v>
      </c>
      <c r="C1613" s="25">
        <v>44708</v>
      </c>
      <c r="D1613" s="26">
        <v>0.87201388888888898</v>
      </c>
      <c r="E1613" t="s">
        <v>28</v>
      </c>
      <c r="F1613" t="s">
        <v>634</v>
      </c>
      <c r="G1613" t="s">
        <v>211</v>
      </c>
      <c r="H1613" t="s">
        <v>135</v>
      </c>
      <c r="I1613">
        <v>284.44</v>
      </c>
      <c r="J1613" s="39">
        <v>0</v>
      </c>
      <c r="K1613" s="89">
        <f>+L1613-J1902</f>
        <v>202</v>
      </c>
      <c r="L1613" s="30">
        <v>202</v>
      </c>
      <c r="M1613" s="10">
        <f t="shared" si="94"/>
        <v>140.8118811881188</v>
      </c>
    </row>
    <row r="1614" spans="1:13" ht="15" hidden="1" customHeight="1" x14ac:dyDescent="0.3">
      <c r="A1614" s="9">
        <v>5117</v>
      </c>
      <c r="B1614" t="s">
        <v>276</v>
      </c>
      <c r="C1614" s="25">
        <v>44709</v>
      </c>
      <c r="D1614" s="26">
        <v>0.64004629629629628</v>
      </c>
      <c r="E1614" t="s">
        <v>28</v>
      </c>
      <c r="F1614" t="s">
        <v>635</v>
      </c>
      <c r="G1614" t="s">
        <v>185</v>
      </c>
      <c r="H1614" t="s">
        <v>135</v>
      </c>
      <c r="I1614">
        <v>253.25</v>
      </c>
      <c r="J1614" s="39">
        <v>0</v>
      </c>
      <c r="K1614" s="89">
        <f>+L1614-J1903</f>
        <v>550</v>
      </c>
      <c r="L1614" s="11">
        <v>550</v>
      </c>
      <c r="M1614" s="10">
        <f t="shared" si="94"/>
        <v>46.045454545454547</v>
      </c>
    </row>
    <row r="1615" spans="1:13" ht="15" hidden="1" customHeight="1" x14ac:dyDescent="0.3">
      <c r="A1615" s="9">
        <v>5174</v>
      </c>
      <c r="B1615" t="s">
        <v>276</v>
      </c>
      <c r="C1615" s="25">
        <v>44710</v>
      </c>
      <c r="D1615" s="26">
        <v>0.40658564814814818</v>
      </c>
      <c r="E1615" t="s">
        <v>28</v>
      </c>
      <c r="F1615" t="s">
        <v>634</v>
      </c>
      <c r="G1615" t="s">
        <v>211</v>
      </c>
      <c r="H1615" t="s">
        <v>135</v>
      </c>
      <c r="I1615">
        <v>152.97999999999999</v>
      </c>
      <c r="J1615" s="39">
        <v>0</v>
      </c>
      <c r="K1615" s="89">
        <f>+L1615-J1904</f>
        <v>516</v>
      </c>
      <c r="L1615" s="11">
        <v>516</v>
      </c>
      <c r="M1615" s="10">
        <f t="shared" si="94"/>
        <v>29.647286821705425</v>
      </c>
    </row>
    <row r="1616" spans="1:13" ht="15" hidden="1" customHeight="1" x14ac:dyDescent="0.3">
      <c r="A1616" s="9">
        <v>5695</v>
      </c>
      <c r="B1616" t="s">
        <v>276</v>
      </c>
      <c r="C1616" s="25">
        <v>44720</v>
      </c>
      <c r="D1616" s="26">
        <v>0.36432870370370374</v>
      </c>
      <c r="E1616" t="s">
        <v>29</v>
      </c>
      <c r="F1616" t="s">
        <v>662</v>
      </c>
      <c r="G1616" t="s">
        <v>542</v>
      </c>
      <c r="H1616" t="s">
        <v>135</v>
      </c>
      <c r="I1616">
        <v>200.01</v>
      </c>
      <c r="J1616" s="71">
        <v>0</v>
      </c>
      <c r="K1616" s="89">
        <f>+L1616-J1900</f>
        <v>1257</v>
      </c>
      <c r="L1616" s="7">
        <v>1257</v>
      </c>
      <c r="M1616" s="36">
        <f t="shared" si="94"/>
        <v>15.911694510739856</v>
      </c>
    </row>
    <row r="1617" spans="1:19" ht="15" hidden="1" customHeight="1" x14ac:dyDescent="0.3">
      <c r="A1617" s="9">
        <v>5696</v>
      </c>
      <c r="B1617" t="s">
        <v>276</v>
      </c>
      <c r="C1617" s="25">
        <v>44720</v>
      </c>
      <c r="D1617" s="26">
        <v>0.57712962962962966</v>
      </c>
      <c r="E1617" t="s">
        <v>29</v>
      </c>
      <c r="F1617" t="s">
        <v>672</v>
      </c>
      <c r="G1617" t="s">
        <v>367</v>
      </c>
      <c r="H1617" t="s">
        <v>135</v>
      </c>
      <c r="I1617">
        <v>50</v>
      </c>
      <c r="J1617" s="69">
        <v>0</v>
      </c>
      <c r="K1617" s="89">
        <f>+L1617-J1901</f>
        <v>336</v>
      </c>
      <c r="L1617" s="7">
        <v>336</v>
      </c>
      <c r="M1617" s="36">
        <f t="shared" si="94"/>
        <v>14.880952380952381</v>
      </c>
    </row>
    <row r="1618" spans="1:19" ht="15" hidden="1" customHeight="1" x14ac:dyDescent="0.3">
      <c r="A1618" s="9">
        <v>5697</v>
      </c>
      <c r="B1618" t="s">
        <v>276</v>
      </c>
      <c r="C1618" s="25">
        <v>44720</v>
      </c>
      <c r="D1618" s="26">
        <v>0.72327546296296286</v>
      </c>
      <c r="E1618" t="s">
        <v>29</v>
      </c>
      <c r="F1618" t="s">
        <v>632</v>
      </c>
      <c r="G1618" t="s">
        <v>161</v>
      </c>
      <c r="H1618" t="s">
        <v>135</v>
      </c>
      <c r="I1618">
        <v>401.48</v>
      </c>
      <c r="J1618" s="41">
        <v>0</v>
      </c>
      <c r="K1618" s="89">
        <f>+L1618-J1902</f>
        <v>123</v>
      </c>
      <c r="L1618" s="7">
        <v>123</v>
      </c>
      <c r="M1618" s="36">
        <f t="shared" si="94"/>
        <v>326.40650406504068</v>
      </c>
    </row>
    <row r="1619" spans="1:19" ht="15" hidden="1" customHeight="1" x14ac:dyDescent="0.3">
      <c r="A1619" s="9">
        <v>5745</v>
      </c>
      <c r="B1619" t="s">
        <v>276</v>
      </c>
      <c r="C1619" s="25">
        <v>44721</v>
      </c>
      <c r="D1619" s="26">
        <v>0.85880787037037043</v>
      </c>
      <c r="E1619" t="s">
        <v>29</v>
      </c>
      <c r="F1619" t="s">
        <v>634</v>
      </c>
      <c r="G1619" t="s">
        <v>211</v>
      </c>
      <c r="H1619" t="s">
        <v>135</v>
      </c>
      <c r="I1619">
        <v>440</v>
      </c>
      <c r="J1619" s="41">
        <v>0</v>
      </c>
      <c r="K1619" s="89">
        <f>+L1619-J1891</f>
        <v>1160</v>
      </c>
      <c r="L1619" s="7">
        <v>1160</v>
      </c>
      <c r="M1619" s="36">
        <f t="shared" si="94"/>
        <v>37.931034482758619</v>
      </c>
    </row>
    <row r="1620" spans="1:19" ht="15" hidden="1" customHeight="1" x14ac:dyDescent="0.3">
      <c r="A1620" s="9">
        <v>5851</v>
      </c>
      <c r="B1620" t="s">
        <v>276</v>
      </c>
      <c r="C1620" s="25">
        <v>44723</v>
      </c>
      <c r="D1620" s="26">
        <v>0.67071759259259256</v>
      </c>
      <c r="E1620" t="s">
        <v>29</v>
      </c>
      <c r="F1620" t="s">
        <v>639</v>
      </c>
      <c r="G1620" t="s">
        <v>44</v>
      </c>
      <c r="H1620" t="s">
        <v>135</v>
      </c>
      <c r="I1620">
        <v>231</v>
      </c>
      <c r="J1620" s="41">
        <v>0</v>
      </c>
      <c r="K1620" s="89">
        <f>+L1620-J1892</f>
        <v>1187</v>
      </c>
      <c r="L1620" s="7">
        <v>1187</v>
      </c>
      <c r="M1620" s="36">
        <f t="shared" si="94"/>
        <v>19.460825610783488</v>
      </c>
    </row>
    <row r="1621" spans="1:19" ht="15" hidden="1" customHeight="1" x14ac:dyDescent="0.3">
      <c r="A1621" s="9">
        <v>5901</v>
      </c>
      <c r="B1621" t="s">
        <v>276</v>
      </c>
      <c r="C1621" s="25">
        <v>44724</v>
      </c>
      <c r="D1621" s="26">
        <v>0.53083333333333338</v>
      </c>
      <c r="E1621" t="s">
        <v>29</v>
      </c>
      <c r="F1621" t="s">
        <v>634</v>
      </c>
      <c r="G1621" t="s">
        <v>211</v>
      </c>
      <c r="H1621" t="s">
        <v>135</v>
      </c>
      <c r="I1621" s="8">
        <v>446.33</v>
      </c>
      <c r="J1621" s="37">
        <v>0</v>
      </c>
      <c r="K1621" s="89">
        <f>+L1621-J1893</f>
        <v>588</v>
      </c>
      <c r="L1621" s="7">
        <v>588</v>
      </c>
      <c r="M1621" s="36">
        <f t="shared" si="94"/>
        <v>75.906462585034006</v>
      </c>
    </row>
    <row r="1622" spans="1:19" ht="15" hidden="1" customHeight="1" x14ac:dyDescent="0.3">
      <c r="A1622" s="9">
        <v>5960</v>
      </c>
      <c r="B1622" t="s">
        <v>276</v>
      </c>
      <c r="C1622" s="25">
        <v>44725</v>
      </c>
      <c r="D1622" s="26">
        <v>0.76954861111111106</v>
      </c>
      <c r="E1622" t="s">
        <v>29</v>
      </c>
      <c r="F1622" t="s">
        <v>634</v>
      </c>
      <c r="G1622" t="s">
        <v>211</v>
      </c>
      <c r="H1622" t="s">
        <v>135</v>
      </c>
      <c r="I1622" s="8">
        <v>408.43</v>
      </c>
      <c r="J1622" s="33">
        <v>0</v>
      </c>
      <c r="K1622" s="89">
        <f>+L1622-J1892</f>
        <v>971</v>
      </c>
      <c r="L1622" s="7">
        <v>971</v>
      </c>
      <c r="M1622" s="36">
        <f t="shared" si="94"/>
        <v>42.062821833161692</v>
      </c>
      <c r="N1622" s="2"/>
      <c r="O1622" s="2"/>
      <c r="P1622" s="2"/>
      <c r="Q1622" s="2"/>
      <c r="R1622" s="2"/>
      <c r="S1622" s="2"/>
    </row>
    <row r="1623" spans="1:19" ht="15" hidden="1" customHeight="1" x14ac:dyDescent="0.3">
      <c r="A1623" s="9">
        <v>6017</v>
      </c>
      <c r="B1623" t="s">
        <v>276</v>
      </c>
      <c r="C1623" s="25">
        <v>44726</v>
      </c>
      <c r="D1623" s="26">
        <v>3.9178240740740743E-2</v>
      </c>
      <c r="E1623" t="s">
        <v>29</v>
      </c>
      <c r="F1623" t="s">
        <v>713</v>
      </c>
      <c r="G1623" t="s">
        <v>196</v>
      </c>
      <c r="H1623" t="s">
        <v>135</v>
      </c>
      <c r="I1623">
        <v>100</v>
      </c>
      <c r="J1623" s="33">
        <v>0</v>
      </c>
      <c r="K1623" s="89">
        <v>455</v>
      </c>
      <c r="L1623" s="7">
        <v>455</v>
      </c>
      <c r="M1623" s="36">
        <f t="shared" si="94"/>
        <v>21.978021978021978</v>
      </c>
    </row>
    <row r="1624" spans="1:19" ht="15" hidden="1" customHeight="1" x14ac:dyDescent="0.3">
      <c r="A1624" s="9">
        <v>6077</v>
      </c>
      <c r="B1624" t="s">
        <v>276</v>
      </c>
      <c r="C1624" s="25">
        <v>44727</v>
      </c>
      <c r="D1624" s="26">
        <v>1.2175925925925929E-2</v>
      </c>
      <c r="E1624" t="s">
        <v>29</v>
      </c>
      <c r="F1624" t="s">
        <v>639</v>
      </c>
      <c r="G1624" t="s">
        <v>44</v>
      </c>
      <c r="H1624" t="s">
        <v>135</v>
      </c>
      <c r="I1624">
        <v>200</v>
      </c>
      <c r="J1624" s="32">
        <v>0</v>
      </c>
      <c r="K1624" s="89">
        <v>745</v>
      </c>
      <c r="L1624" s="7">
        <v>745</v>
      </c>
      <c r="M1624" s="10">
        <f t="shared" si="94"/>
        <v>26.845637583892618</v>
      </c>
    </row>
    <row r="1625" spans="1:19" ht="15" hidden="1" customHeight="1" x14ac:dyDescent="0.3">
      <c r="A1625" s="9">
        <v>6078</v>
      </c>
      <c r="B1625" t="s">
        <v>276</v>
      </c>
      <c r="C1625" s="25">
        <v>44727</v>
      </c>
      <c r="D1625" s="26">
        <v>0.59364583333333332</v>
      </c>
      <c r="E1625" t="s">
        <v>29</v>
      </c>
      <c r="F1625" t="s">
        <v>634</v>
      </c>
      <c r="G1625" t="s">
        <v>211</v>
      </c>
      <c r="H1625" t="s">
        <v>135</v>
      </c>
      <c r="I1625">
        <v>394.22</v>
      </c>
      <c r="J1625" s="32">
        <v>0</v>
      </c>
      <c r="K1625" s="89">
        <v>588</v>
      </c>
      <c r="L1625" s="7">
        <v>588</v>
      </c>
      <c r="M1625" s="10">
        <f t="shared" si="94"/>
        <v>67.044217687074834</v>
      </c>
    </row>
    <row r="1626" spans="1:19" ht="15" hidden="1" customHeight="1" x14ac:dyDescent="0.3">
      <c r="A1626" s="9">
        <v>6129</v>
      </c>
      <c r="B1626" t="s">
        <v>276</v>
      </c>
      <c r="C1626" s="25">
        <v>44728</v>
      </c>
      <c r="D1626" s="26">
        <v>0.47576388888888888</v>
      </c>
      <c r="E1626" t="s">
        <v>29</v>
      </c>
      <c r="F1626" t="s">
        <v>634</v>
      </c>
      <c r="G1626" t="s">
        <v>211</v>
      </c>
      <c r="H1626" t="s">
        <v>135</v>
      </c>
      <c r="I1626">
        <v>385.85</v>
      </c>
      <c r="J1626" s="37">
        <v>0</v>
      </c>
      <c r="K1626" s="89">
        <v>1063</v>
      </c>
      <c r="L1626" s="34">
        <v>1063</v>
      </c>
      <c r="M1626" s="10">
        <f t="shared" si="94"/>
        <v>36.298212605832553</v>
      </c>
    </row>
    <row r="1627" spans="1:19" ht="15" hidden="1" customHeight="1" x14ac:dyDescent="0.3">
      <c r="A1627" s="9">
        <v>6183</v>
      </c>
      <c r="B1627" t="s">
        <v>276</v>
      </c>
      <c r="C1627" s="25">
        <v>44729</v>
      </c>
      <c r="D1627" s="26">
        <v>0.21540509259259258</v>
      </c>
      <c r="E1627" t="s">
        <v>29</v>
      </c>
      <c r="F1627" t="s">
        <v>680</v>
      </c>
      <c r="G1627" t="s">
        <v>402</v>
      </c>
      <c r="H1627" t="s">
        <v>135</v>
      </c>
      <c r="I1627">
        <v>214.76</v>
      </c>
      <c r="J1627" s="37">
        <v>0</v>
      </c>
      <c r="K1627" s="89">
        <v>659</v>
      </c>
      <c r="L1627" s="7">
        <v>659</v>
      </c>
      <c r="M1627" s="10">
        <f t="shared" si="94"/>
        <v>32.588770864946888</v>
      </c>
    </row>
    <row r="1628" spans="1:19" ht="15" hidden="1" customHeight="1" x14ac:dyDescent="0.3">
      <c r="A1628" s="9">
        <v>6184</v>
      </c>
      <c r="B1628" t="s">
        <v>276</v>
      </c>
      <c r="C1628" s="25">
        <v>44729</v>
      </c>
      <c r="D1628" s="26">
        <v>0.76924768518518516</v>
      </c>
      <c r="E1628" t="s">
        <v>29</v>
      </c>
      <c r="F1628" t="s">
        <v>639</v>
      </c>
      <c r="G1628" t="s">
        <v>44</v>
      </c>
      <c r="H1628" t="s">
        <v>135</v>
      </c>
      <c r="I1628">
        <v>168.47</v>
      </c>
      <c r="J1628" s="37">
        <v>0</v>
      </c>
      <c r="K1628" s="89">
        <v>532</v>
      </c>
      <c r="L1628" s="7">
        <v>532</v>
      </c>
      <c r="M1628" s="10">
        <f t="shared" si="94"/>
        <v>31.667293233082706</v>
      </c>
    </row>
    <row r="1629" spans="1:19" ht="15" hidden="1" customHeight="1" x14ac:dyDescent="0.3">
      <c r="A1629" s="9">
        <v>6228</v>
      </c>
      <c r="B1629" t="s">
        <v>276</v>
      </c>
      <c r="C1629" s="25">
        <v>44730</v>
      </c>
      <c r="D1629" s="26">
        <v>0.55497685185185186</v>
      </c>
      <c r="E1629" t="s">
        <v>29</v>
      </c>
      <c r="F1629" t="s">
        <v>634</v>
      </c>
      <c r="G1629" t="s">
        <v>211</v>
      </c>
      <c r="H1629" t="s">
        <v>135</v>
      </c>
      <c r="I1629">
        <v>313.10000000000002</v>
      </c>
      <c r="J1629" s="32">
        <v>0</v>
      </c>
      <c r="K1629" s="89">
        <v>589</v>
      </c>
      <c r="L1629" s="7">
        <v>598</v>
      </c>
      <c r="M1629" s="10">
        <f t="shared" si="94"/>
        <v>53.157894736842103</v>
      </c>
    </row>
    <row r="1630" spans="1:19" ht="15" hidden="1" customHeight="1" x14ac:dyDescent="0.3">
      <c r="A1630" s="9">
        <v>6229</v>
      </c>
      <c r="B1630" t="s">
        <v>276</v>
      </c>
      <c r="C1630" s="25">
        <v>44730</v>
      </c>
      <c r="D1630" s="26">
        <v>0.98741898148148144</v>
      </c>
      <c r="E1630" t="s">
        <v>29</v>
      </c>
      <c r="F1630" t="s">
        <v>635</v>
      </c>
      <c r="G1630" t="s">
        <v>185</v>
      </c>
      <c r="H1630" t="s">
        <v>135</v>
      </c>
      <c r="I1630">
        <v>239.79</v>
      </c>
      <c r="J1630" s="32">
        <v>0</v>
      </c>
      <c r="K1630" s="89">
        <v>550</v>
      </c>
      <c r="L1630" s="31">
        <v>550</v>
      </c>
      <c r="M1630" s="10">
        <f t="shared" si="94"/>
        <v>43.598181818181821</v>
      </c>
    </row>
    <row r="1631" spans="1:19" ht="15" hidden="1" customHeight="1" x14ac:dyDescent="0.3">
      <c r="A1631" s="9">
        <v>6252</v>
      </c>
      <c r="B1631" t="s">
        <v>276</v>
      </c>
      <c r="C1631" s="25">
        <v>44731</v>
      </c>
      <c r="D1631" s="26">
        <v>0.6269675925925926</v>
      </c>
      <c r="E1631" t="s">
        <v>29</v>
      </c>
      <c r="F1631" t="s">
        <v>642</v>
      </c>
      <c r="G1631" t="s">
        <v>203</v>
      </c>
      <c r="H1631" t="s">
        <v>135</v>
      </c>
      <c r="I1631">
        <v>153.4</v>
      </c>
      <c r="J1631" s="32">
        <v>0</v>
      </c>
      <c r="K1631" s="89">
        <v>542</v>
      </c>
      <c r="L1631" s="7">
        <v>542</v>
      </c>
      <c r="M1631" s="10">
        <f t="shared" si="94"/>
        <v>28.302583025830259</v>
      </c>
    </row>
    <row r="1632" spans="1:19" ht="15" hidden="1" customHeight="1" x14ac:dyDescent="0.3">
      <c r="A1632" s="9">
        <v>6313</v>
      </c>
      <c r="B1632" t="s">
        <v>276</v>
      </c>
      <c r="C1632" s="25">
        <v>44733</v>
      </c>
      <c r="D1632" s="26">
        <v>0.5582407407407407</v>
      </c>
      <c r="E1632" t="s">
        <v>29</v>
      </c>
      <c r="F1632" t="s">
        <v>642</v>
      </c>
      <c r="G1632" t="s">
        <v>203</v>
      </c>
      <c r="H1632" t="s">
        <v>135</v>
      </c>
      <c r="I1632">
        <v>189.33</v>
      </c>
      <c r="J1632" s="33">
        <v>0</v>
      </c>
      <c r="K1632" s="89">
        <v>524</v>
      </c>
      <c r="L1632" s="7">
        <v>524</v>
      </c>
      <c r="M1632" s="10">
        <f t="shared" si="94"/>
        <v>36.131679389312978</v>
      </c>
    </row>
    <row r="1633" spans="1:20" ht="15" hidden="1" customHeight="1" x14ac:dyDescent="0.3">
      <c r="A1633" s="9">
        <v>6361</v>
      </c>
      <c r="B1633" t="s">
        <v>276</v>
      </c>
      <c r="C1633" s="25">
        <v>44734</v>
      </c>
      <c r="D1633" s="26">
        <v>0.6430555555555556</v>
      </c>
      <c r="E1633" t="s">
        <v>29</v>
      </c>
      <c r="F1633" t="s">
        <v>634</v>
      </c>
      <c r="G1633" t="s">
        <v>211</v>
      </c>
      <c r="H1633" t="s">
        <v>135</v>
      </c>
      <c r="I1633">
        <v>417.39</v>
      </c>
      <c r="J1633" s="32">
        <v>0</v>
      </c>
      <c r="K1633" s="89">
        <v>1090</v>
      </c>
      <c r="L1633" s="35">
        <v>1090</v>
      </c>
      <c r="M1633" s="10">
        <f t="shared" si="94"/>
        <v>38.292660550458713</v>
      </c>
    </row>
    <row r="1634" spans="1:20" ht="15" hidden="1" customHeight="1" x14ac:dyDescent="0.3">
      <c r="A1634" s="9">
        <v>6408</v>
      </c>
      <c r="B1634" t="s">
        <v>276</v>
      </c>
      <c r="C1634" s="25">
        <v>44735</v>
      </c>
      <c r="D1634" s="26">
        <v>0.25290509259259258</v>
      </c>
      <c r="E1634" t="s">
        <v>29</v>
      </c>
      <c r="F1634" t="s">
        <v>637</v>
      </c>
      <c r="G1634" t="s">
        <v>196</v>
      </c>
      <c r="H1634" t="s">
        <v>135</v>
      </c>
      <c r="I1634" s="148">
        <v>100</v>
      </c>
      <c r="J1634" s="32">
        <v>0</v>
      </c>
      <c r="K1634" s="89">
        <v>481</v>
      </c>
      <c r="L1634" s="7">
        <v>481</v>
      </c>
      <c r="M1634" s="10">
        <f t="shared" si="94"/>
        <v>20.79002079002079</v>
      </c>
    </row>
    <row r="1635" spans="1:20" ht="15" hidden="1" customHeight="1" x14ac:dyDescent="0.3">
      <c r="A1635" s="9">
        <v>6409</v>
      </c>
      <c r="B1635" t="s">
        <v>276</v>
      </c>
      <c r="C1635" s="25">
        <v>44735</v>
      </c>
      <c r="D1635" s="26">
        <v>0.91097222222222218</v>
      </c>
      <c r="E1635" t="s">
        <v>29</v>
      </c>
      <c r="F1635" t="s">
        <v>709</v>
      </c>
      <c r="G1635" t="s">
        <v>44</v>
      </c>
      <c r="H1635" t="s">
        <v>135</v>
      </c>
      <c r="I1635" s="148">
        <v>248.39</v>
      </c>
      <c r="J1635" s="33">
        <v>0</v>
      </c>
      <c r="K1635" s="146">
        <v>665</v>
      </c>
      <c r="L1635" s="123">
        <v>665</v>
      </c>
      <c r="M1635" s="143">
        <f t="shared" si="94"/>
        <v>37.351879699248123</v>
      </c>
    </row>
    <row r="1636" spans="1:20" ht="15" hidden="1" customHeight="1" x14ac:dyDescent="0.3">
      <c r="A1636" s="9">
        <v>6466</v>
      </c>
      <c r="B1636" t="s">
        <v>276</v>
      </c>
      <c r="C1636" s="25">
        <v>44736</v>
      </c>
      <c r="D1636" s="26">
        <v>0.61633101851851857</v>
      </c>
      <c r="E1636" t="s">
        <v>29</v>
      </c>
      <c r="F1636" t="s">
        <v>634</v>
      </c>
      <c r="G1636" t="s">
        <v>211</v>
      </c>
      <c r="H1636" t="s">
        <v>135</v>
      </c>
      <c r="I1636" s="148">
        <v>295.79000000000002</v>
      </c>
      <c r="J1636" s="32">
        <v>0</v>
      </c>
      <c r="K1636" s="146">
        <v>584</v>
      </c>
      <c r="L1636" s="123">
        <v>584</v>
      </c>
      <c r="M1636" s="143">
        <f t="shared" si="94"/>
        <v>50.648972602739725</v>
      </c>
    </row>
    <row r="1637" spans="1:20" ht="15" hidden="1" customHeight="1" x14ac:dyDescent="0.3">
      <c r="A1637" s="9">
        <v>6570</v>
      </c>
      <c r="B1637" t="s">
        <v>276</v>
      </c>
      <c r="C1637" s="25">
        <v>44738</v>
      </c>
      <c r="D1637" s="26">
        <v>0.47001157407407407</v>
      </c>
      <c r="E1637" t="s">
        <v>29</v>
      </c>
      <c r="F1637" t="s">
        <v>634</v>
      </c>
      <c r="G1637" t="s">
        <v>211</v>
      </c>
      <c r="H1637" t="s">
        <v>135</v>
      </c>
      <c r="I1637" s="148">
        <v>432.55</v>
      </c>
      <c r="J1637" s="32">
        <v>0</v>
      </c>
      <c r="K1637" s="146">
        <v>479</v>
      </c>
      <c r="L1637" s="142">
        <v>479</v>
      </c>
      <c r="M1637" s="10">
        <f t="shared" si="94"/>
        <v>90.302713987473908</v>
      </c>
    </row>
    <row r="1638" spans="1:20" ht="15" hidden="1" customHeight="1" x14ac:dyDescent="0.3">
      <c r="A1638" s="9">
        <v>6571</v>
      </c>
      <c r="B1638" t="s">
        <v>276</v>
      </c>
      <c r="C1638" s="25">
        <v>44738</v>
      </c>
      <c r="D1638" s="26">
        <v>0.82774305555555561</v>
      </c>
      <c r="E1638" t="s">
        <v>29</v>
      </c>
      <c r="F1638" t="s">
        <v>637</v>
      </c>
      <c r="G1638" t="s">
        <v>196</v>
      </c>
      <c r="H1638" t="s">
        <v>135</v>
      </c>
      <c r="I1638" s="148">
        <v>153.22999999999999</v>
      </c>
      <c r="J1638" s="33">
        <v>0</v>
      </c>
      <c r="K1638" s="146">
        <v>466</v>
      </c>
      <c r="L1638" s="123">
        <v>466</v>
      </c>
      <c r="M1638" s="36">
        <f t="shared" si="94"/>
        <v>32.881974248927037</v>
      </c>
    </row>
    <row r="1639" spans="1:20" ht="15" hidden="1" customHeight="1" x14ac:dyDescent="0.3">
      <c r="A1639" s="9">
        <v>6689</v>
      </c>
      <c r="B1639" t="s">
        <v>276</v>
      </c>
      <c r="C1639" s="25">
        <v>44740</v>
      </c>
      <c r="D1639" s="26">
        <v>0.13349537037037038</v>
      </c>
      <c r="E1639" t="s">
        <v>29</v>
      </c>
      <c r="F1639" t="s">
        <v>639</v>
      </c>
      <c r="G1639" t="s">
        <v>44</v>
      </c>
      <c r="H1639" t="s">
        <v>135</v>
      </c>
      <c r="I1639" s="148">
        <v>99.36</v>
      </c>
      <c r="J1639" s="55">
        <v>0</v>
      </c>
      <c r="K1639" s="89">
        <v>737</v>
      </c>
      <c r="L1639" s="7">
        <v>737</v>
      </c>
      <c r="M1639" s="36">
        <f t="shared" si="94"/>
        <v>13.481682496607869</v>
      </c>
    </row>
    <row r="1640" spans="1:20" ht="15" hidden="1" customHeight="1" x14ac:dyDescent="0.3">
      <c r="A1640" s="9">
        <v>6690</v>
      </c>
      <c r="B1640" t="s">
        <v>276</v>
      </c>
      <c r="C1640" s="25">
        <v>44740</v>
      </c>
      <c r="D1640" s="26">
        <v>0.37804398148148149</v>
      </c>
      <c r="E1640" t="s">
        <v>29</v>
      </c>
      <c r="F1640" t="s">
        <v>672</v>
      </c>
      <c r="G1640" t="s">
        <v>367</v>
      </c>
      <c r="H1640" t="s">
        <v>135</v>
      </c>
      <c r="I1640" s="148">
        <v>100</v>
      </c>
      <c r="J1640" s="37">
        <v>0</v>
      </c>
      <c r="K1640" s="89">
        <v>388</v>
      </c>
      <c r="L1640" s="7">
        <v>388</v>
      </c>
      <c r="M1640" s="36">
        <f t="shared" si="94"/>
        <v>25.773195876288657</v>
      </c>
    </row>
    <row r="1641" spans="1:20" ht="15" hidden="1" customHeight="1" x14ac:dyDescent="0.3">
      <c r="A1641" s="9">
        <v>6692</v>
      </c>
      <c r="B1641" t="s">
        <v>276</v>
      </c>
      <c r="C1641" s="25">
        <v>44740</v>
      </c>
      <c r="D1641" s="26">
        <v>0.72721064814814806</v>
      </c>
      <c r="E1641" t="s">
        <v>29</v>
      </c>
      <c r="F1641" t="s">
        <v>645</v>
      </c>
      <c r="G1641" t="s">
        <v>279</v>
      </c>
      <c r="H1641" t="s">
        <v>135</v>
      </c>
      <c r="I1641" s="159">
        <v>215.34</v>
      </c>
      <c r="J1641" s="37">
        <v>0</v>
      </c>
      <c r="K1641" s="89">
        <v>349</v>
      </c>
      <c r="L1641" s="7">
        <v>349</v>
      </c>
      <c r="M1641" s="36">
        <f t="shared" si="94"/>
        <v>61.702005730659025</v>
      </c>
    </row>
    <row r="1642" spans="1:20" hidden="1" x14ac:dyDescent="0.3">
      <c r="A1642" s="9">
        <v>6742</v>
      </c>
      <c r="B1642" t="s">
        <v>276</v>
      </c>
      <c r="C1642" s="25">
        <v>44741</v>
      </c>
      <c r="D1642" s="26">
        <v>0.7289699074074073</v>
      </c>
      <c r="E1642" t="s">
        <v>29</v>
      </c>
      <c r="F1642" t="s">
        <v>634</v>
      </c>
      <c r="G1642" t="s">
        <v>211</v>
      </c>
      <c r="H1642" t="s">
        <v>135</v>
      </c>
      <c r="I1642" s="159">
        <v>118.44</v>
      </c>
      <c r="J1642" s="33">
        <v>0</v>
      </c>
      <c r="K1642" s="89">
        <v>622</v>
      </c>
      <c r="L1642" s="7">
        <v>622</v>
      </c>
      <c r="M1642" s="36">
        <f t="shared" si="94"/>
        <v>19.041800643086816</v>
      </c>
    </row>
    <row r="1643" spans="1:20" ht="15" hidden="1" customHeight="1" x14ac:dyDescent="0.3">
      <c r="B1643" t="s">
        <v>257</v>
      </c>
      <c r="C1643" s="25">
        <v>44682</v>
      </c>
      <c r="D1643" s="26">
        <v>0.72543981481481479</v>
      </c>
      <c r="E1643" t="s">
        <v>580</v>
      </c>
      <c r="F1643" t="s">
        <v>165</v>
      </c>
      <c r="G1643" t="s">
        <v>185</v>
      </c>
      <c r="H1643" t="s">
        <v>124</v>
      </c>
      <c r="I1643">
        <v>516.01</v>
      </c>
      <c r="J1643" s="11">
        <v>0</v>
      </c>
      <c r="K1643" s="93">
        <f>+L1643-J1780</f>
        <v>1623.96</v>
      </c>
      <c r="L1643" s="35">
        <v>1623.96</v>
      </c>
      <c r="M1643" s="10">
        <f t="shared" si="94"/>
        <v>31.774797408803174</v>
      </c>
      <c r="S1643"/>
      <c r="T1643"/>
    </row>
    <row r="1644" spans="1:20" ht="15" hidden="1" customHeight="1" x14ac:dyDescent="0.3">
      <c r="A1644" s="9">
        <v>5209</v>
      </c>
      <c r="B1644" t="s">
        <v>687</v>
      </c>
      <c r="C1644" s="25">
        <v>44711</v>
      </c>
      <c r="D1644" s="26">
        <v>0.76188657407407412</v>
      </c>
      <c r="E1644" t="s">
        <v>28</v>
      </c>
      <c r="F1644" t="s">
        <v>688</v>
      </c>
      <c r="G1644" t="s">
        <v>431</v>
      </c>
      <c r="H1644" t="s">
        <v>689</v>
      </c>
      <c r="I1644">
        <v>46.25</v>
      </c>
      <c r="J1644" s="37">
        <v>0</v>
      </c>
      <c r="K1644" s="100"/>
      <c r="L1644" s="31"/>
      <c r="M1644" s="10" t="e">
        <f t="shared" si="94"/>
        <v>#DIV/0!</v>
      </c>
    </row>
    <row r="1645" spans="1:20" ht="15" hidden="1" customHeight="1" x14ac:dyDescent="0.3">
      <c r="A1645" s="9">
        <v>5639</v>
      </c>
      <c r="B1645" t="s">
        <v>687</v>
      </c>
      <c r="C1645" s="25">
        <v>44719</v>
      </c>
      <c r="D1645" s="26">
        <v>0.81322916666666656</v>
      </c>
      <c r="E1645" t="s">
        <v>29</v>
      </c>
      <c r="F1645" t="s">
        <v>677</v>
      </c>
      <c r="G1645" t="s">
        <v>491</v>
      </c>
      <c r="H1645" t="s">
        <v>727</v>
      </c>
      <c r="I1645">
        <v>70.569999999999993</v>
      </c>
      <c r="J1645" s="37">
        <v>0</v>
      </c>
      <c r="K1645" s="97">
        <f>+L1645-J1204</f>
        <v>0</v>
      </c>
      <c r="L1645" s="7"/>
      <c r="M1645" s="10" t="e">
        <f t="shared" ref="M1645:M1708" si="97">I1645/K1645*100</f>
        <v>#DIV/0!</v>
      </c>
    </row>
    <row r="1646" spans="1:20" ht="15" hidden="1" customHeight="1" x14ac:dyDescent="0.3">
      <c r="A1646" s="9">
        <v>6601</v>
      </c>
      <c r="B1646" t="s">
        <v>687</v>
      </c>
      <c r="C1646" s="25">
        <v>44739</v>
      </c>
      <c r="D1646" s="26">
        <v>0.47652777777777783</v>
      </c>
      <c r="E1646" t="s">
        <v>29</v>
      </c>
      <c r="F1646" t="s">
        <v>722</v>
      </c>
      <c r="G1646" t="s">
        <v>445</v>
      </c>
      <c r="H1646" t="s">
        <v>689</v>
      </c>
      <c r="I1646">
        <v>37.03</v>
      </c>
      <c r="J1646" s="33">
        <v>0</v>
      </c>
      <c r="K1646" s="100"/>
      <c r="L1646" s="49"/>
      <c r="M1646" s="10" t="e">
        <f t="shared" si="97"/>
        <v>#DIV/0!</v>
      </c>
    </row>
    <row r="1647" spans="1:20" ht="15" hidden="1" customHeight="1" x14ac:dyDescent="0.3">
      <c r="A1647" s="9">
        <v>3798</v>
      </c>
      <c r="B1647" t="s">
        <v>589</v>
      </c>
      <c r="C1647" s="25">
        <v>44685</v>
      </c>
      <c r="D1647" s="26">
        <v>0.88570601851851849</v>
      </c>
      <c r="E1647" t="s">
        <v>28</v>
      </c>
      <c r="F1647" t="s">
        <v>197</v>
      </c>
      <c r="G1647" t="s">
        <v>44</v>
      </c>
      <c r="H1647" t="s">
        <v>305</v>
      </c>
      <c r="I1647">
        <v>151.94</v>
      </c>
      <c r="J1647" s="7">
        <v>0</v>
      </c>
      <c r="K1647" s="100">
        <f t="shared" ref="K1647:K1678" si="98">+L1647-J1647</f>
        <v>1215.74</v>
      </c>
      <c r="L1647" s="38">
        <v>1215.74</v>
      </c>
      <c r="M1647" s="10">
        <f t="shared" si="97"/>
        <v>12.497738003191472</v>
      </c>
    </row>
    <row r="1648" spans="1:20" ht="15" hidden="1" customHeight="1" x14ac:dyDescent="0.3">
      <c r="A1648" s="9">
        <v>3867</v>
      </c>
      <c r="B1648" t="s">
        <v>589</v>
      </c>
      <c r="C1648" s="25">
        <v>44686</v>
      </c>
      <c r="D1648" s="26">
        <v>0.55300925925925926</v>
      </c>
      <c r="E1648" s="4" t="s">
        <v>28</v>
      </c>
      <c r="F1648" t="s">
        <v>210</v>
      </c>
      <c r="G1648" t="s">
        <v>211</v>
      </c>
      <c r="H1648" t="s">
        <v>305</v>
      </c>
      <c r="I1648">
        <v>483.16</v>
      </c>
      <c r="J1648" s="7">
        <v>0</v>
      </c>
      <c r="K1648" s="90">
        <f t="shared" si="98"/>
        <v>587</v>
      </c>
      <c r="L1648" s="32">
        <v>587</v>
      </c>
      <c r="M1648" s="10">
        <f t="shared" si="97"/>
        <v>82.310051107325393</v>
      </c>
    </row>
    <row r="1649" spans="1:13" ht="15" hidden="1" customHeight="1" x14ac:dyDescent="0.3">
      <c r="A1649" s="9">
        <v>3918</v>
      </c>
      <c r="B1649" t="s">
        <v>589</v>
      </c>
      <c r="C1649" s="25">
        <v>44687</v>
      </c>
      <c r="D1649" s="26">
        <v>0.74075231481481474</v>
      </c>
      <c r="E1649" t="s">
        <v>28</v>
      </c>
      <c r="F1649" t="s">
        <v>210</v>
      </c>
      <c r="G1649" t="s">
        <v>211</v>
      </c>
      <c r="H1649" t="s">
        <v>305</v>
      </c>
      <c r="I1649">
        <v>362.08</v>
      </c>
      <c r="J1649" s="34">
        <v>0</v>
      </c>
      <c r="K1649" s="100">
        <f t="shared" si="98"/>
        <v>911</v>
      </c>
      <c r="L1649" s="38">
        <v>911</v>
      </c>
      <c r="M1649" s="10">
        <f t="shared" si="97"/>
        <v>39.74533479692645</v>
      </c>
    </row>
    <row r="1650" spans="1:13" ht="15" hidden="1" customHeight="1" x14ac:dyDescent="0.3">
      <c r="A1650" s="9">
        <v>4068</v>
      </c>
      <c r="B1650" t="s">
        <v>589</v>
      </c>
      <c r="C1650" s="25">
        <v>44690</v>
      </c>
      <c r="D1650" s="26">
        <v>0.43327546296296293</v>
      </c>
      <c r="E1650" t="s">
        <v>28</v>
      </c>
      <c r="F1650" t="s">
        <v>171</v>
      </c>
      <c r="G1650" t="s">
        <v>172</v>
      </c>
      <c r="H1650" t="s">
        <v>305</v>
      </c>
      <c r="I1650">
        <v>417.8</v>
      </c>
      <c r="J1650" s="7">
        <v>0</v>
      </c>
      <c r="K1650" s="90">
        <f t="shared" si="98"/>
        <v>1242</v>
      </c>
      <c r="L1650" s="32">
        <v>1242</v>
      </c>
      <c r="M1650" s="10">
        <f t="shared" si="97"/>
        <v>33.63929146537842</v>
      </c>
    </row>
    <row r="1651" spans="1:13" ht="15" hidden="1" customHeight="1" x14ac:dyDescent="0.3">
      <c r="A1651" s="9">
        <v>4069</v>
      </c>
      <c r="B1651" t="s">
        <v>589</v>
      </c>
      <c r="C1651" s="25">
        <v>44690</v>
      </c>
      <c r="D1651" s="26">
        <v>0.89119212962962957</v>
      </c>
      <c r="E1651" t="s">
        <v>28</v>
      </c>
      <c r="F1651" t="s">
        <v>210</v>
      </c>
      <c r="G1651" t="s">
        <v>211</v>
      </c>
      <c r="H1651" t="s">
        <v>305</v>
      </c>
      <c r="I1651">
        <v>255.02</v>
      </c>
      <c r="J1651" s="7">
        <v>0</v>
      </c>
      <c r="K1651" s="97">
        <f t="shared" si="98"/>
        <v>691.94</v>
      </c>
      <c r="L1651" s="37">
        <v>691.94</v>
      </c>
      <c r="M1651" s="10">
        <f t="shared" si="97"/>
        <v>36.855796745382548</v>
      </c>
    </row>
    <row r="1652" spans="1:13" ht="15" hidden="1" customHeight="1" x14ac:dyDescent="0.3">
      <c r="A1652" s="9">
        <v>4158</v>
      </c>
      <c r="B1652" t="s">
        <v>589</v>
      </c>
      <c r="C1652" s="25">
        <v>44692</v>
      </c>
      <c r="D1652" s="26">
        <v>0.48998842592592595</v>
      </c>
      <c r="E1652" t="s">
        <v>28</v>
      </c>
      <c r="F1652" t="s">
        <v>210</v>
      </c>
      <c r="G1652" t="s">
        <v>211</v>
      </c>
      <c r="H1652" t="s">
        <v>305</v>
      </c>
      <c r="I1652">
        <v>381.4</v>
      </c>
      <c r="J1652" s="7">
        <v>0</v>
      </c>
      <c r="K1652" s="99">
        <f t="shared" si="98"/>
        <v>909</v>
      </c>
      <c r="L1652" s="33">
        <v>909</v>
      </c>
      <c r="M1652" s="10">
        <f t="shared" si="97"/>
        <v>41.95819581958196</v>
      </c>
    </row>
    <row r="1653" spans="1:13" ht="15" hidden="1" customHeight="1" x14ac:dyDescent="0.3">
      <c r="B1653" t="s">
        <v>382</v>
      </c>
      <c r="C1653" s="25">
        <v>44586</v>
      </c>
      <c r="D1653" s="26">
        <v>7.9178240740740743E-2</v>
      </c>
      <c r="E1653" t="s">
        <v>24</v>
      </c>
      <c r="F1653" t="s">
        <v>226</v>
      </c>
      <c r="G1653" t="s">
        <v>227</v>
      </c>
      <c r="H1653" t="s">
        <v>228</v>
      </c>
      <c r="I1653">
        <v>353.23</v>
      </c>
      <c r="J1653" s="7">
        <v>0</v>
      </c>
      <c r="K1653" s="7">
        <f t="shared" si="98"/>
        <v>763.78</v>
      </c>
      <c r="L1653" s="7">
        <v>763.78</v>
      </c>
      <c r="M1653" s="10">
        <f t="shared" si="97"/>
        <v>46.247610568488312</v>
      </c>
    </row>
    <row r="1654" spans="1:13" ht="15" hidden="1" customHeight="1" x14ac:dyDescent="0.3">
      <c r="B1654" t="s">
        <v>382</v>
      </c>
      <c r="C1654" s="25">
        <v>44567</v>
      </c>
      <c r="D1654" s="26">
        <v>2.9108796296296296E-2</v>
      </c>
      <c r="E1654" t="s">
        <v>24</v>
      </c>
      <c r="F1654" t="s">
        <v>226</v>
      </c>
      <c r="G1654" t="s">
        <v>227</v>
      </c>
      <c r="H1654" t="s">
        <v>230</v>
      </c>
      <c r="I1654">
        <v>300</v>
      </c>
      <c r="J1654" s="7">
        <v>0</v>
      </c>
      <c r="K1654" s="35">
        <f t="shared" si="98"/>
        <v>511.64</v>
      </c>
      <c r="L1654" s="35">
        <v>511.64</v>
      </c>
      <c r="M1654" s="10">
        <f t="shared" si="97"/>
        <v>58.63497771870847</v>
      </c>
    </row>
    <row r="1655" spans="1:13" ht="15" hidden="1" customHeight="1" x14ac:dyDescent="0.3">
      <c r="A1655" s="9">
        <v>357</v>
      </c>
      <c r="B1655" t="s">
        <v>382</v>
      </c>
      <c r="C1655" s="25">
        <v>44594</v>
      </c>
      <c r="D1655" s="26">
        <v>0.60682870370370368</v>
      </c>
      <c r="E1655" t="s">
        <v>25</v>
      </c>
      <c r="F1655" t="s">
        <v>175</v>
      </c>
      <c r="G1655" t="s">
        <v>172</v>
      </c>
      <c r="H1655" t="s">
        <v>199</v>
      </c>
      <c r="I1655">
        <v>336.36</v>
      </c>
      <c r="J1655" s="37">
        <v>668203</v>
      </c>
      <c r="K1655" s="37">
        <f t="shared" si="98"/>
        <v>257651</v>
      </c>
      <c r="L1655" s="7">
        <v>925854</v>
      </c>
      <c r="M1655" s="10">
        <f t="shared" si="97"/>
        <v>0.13054868795386007</v>
      </c>
    </row>
    <row r="1656" spans="1:13" ht="15" hidden="1" customHeight="1" x14ac:dyDescent="0.3">
      <c r="A1656" s="9">
        <v>358</v>
      </c>
      <c r="B1656" t="s">
        <v>382</v>
      </c>
      <c r="C1656" s="25">
        <v>44596</v>
      </c>
      <c r="D1656" s="26">
        <v>3.7847222222222223E-3</v>
      </c>
      <c r="E1656" t="s">
        <v>25</v>
      </c>
      <c r="F1656" t="s">
        <v>210</v>
      </c>
      <c r="G1656" t="s">
        <v>211</v>
      </c>
      <c r="H1656" t="s">
        <v>199</v>
      </c>
      <c r="I1656">
        <v>341.91</v>
      </c>
      <c r="J1656" s="37">
        <v>0</v>
      </c>
      <c r="K1656" s="38">
        <f t="shared" si="98"/>
        <v>832.26</v>
      </c>
      <c r="L1656" s="31">
        <v>832.26</v>
      </c>
      <c r="M1656" s="10">
        <f t="shared" si="97"/>
        <v>41.082113762526134</v>
      </c>
    </row>
    <row r="1657" spans="1:13" ht="15" hidden="1" customHeight="1" x14ac:dyDescent="0.3">
      <c r="A1657" s="9">
        <v>359</v>
      </c>
      <c r="B1657" t="s">
        <v>382</v>
      </c>
      <c r="C1657" s="25">
        <v>44596</v>
      </c>
      <c r="D1657" s="26">
        <v>0.68126157407407406</v>
      </c>
      <c r="E1657" t="s">
        <v>25</v>
      </c>
      <c r="F1657" t="s">
        <v>165</v>
      </c>
      <c r="G1657" t="s">
        <v>185</v>
      </c>
      <c r="H1657" t="s">
        <v>199</v>
      </c>
      <c r="I1657">
        <v>222.54</v>
      </c>
      <c r="J1657" s="32">
        <v>0</v>
      </c>
      <c r="K1657" s="32">
        <f t="shared" si="98"/>
        <v>549.29</v>
      </c>
      <c r="L1657" s="7">
        <v>549.29</v>
      </c>
      <c r="M1657" s="10">
        <f t="shared" si="97"/>
        <v>40.514118225345449</v>
      </c>
    </row>
    <row r="1658" spans="1:13" ht="15" hidden="1" customHeight="1" x14ac:dyDescent="0.3">
      <c r="A1658" s="9">
        <v>360</v>
      </c>
      <c r="B1658" t="s">
        <v>382</v>
      </c>
      <c r="C1658" s="25">
        <v>44597</v>
      </c>
      <c r="D1658" s="26">
        <v>0.573125</v>
      </c>
      <c r="E1658" t="s">
        <v>25</v>
      </c>
      <c r="F1658" t="s">
        <v>340</v>
      </c>
      <c r="G1658" t="s">
        <v>337</v>
      </c>
      <c r="H1658" t="s">
        <v>199</v>
      </c>
      <c r="I1658">
        <v>230.59</v>
      </c>
      <c r="J1658" s="33">
        <v>0</v>
      </c>
      <c r="K1658" s="33">
        <f t="shared" si="98"/>
        <v>826.3</v>
      </c>
      <c r="L1658" s="7">
        <v>826.3</v>
      </c>
      <c r="M1658" s="10">
        <f t="shared" si="97"/>
        <v>27.906329420307397</v>
      </c>
    </row>
    <row r="1659" spans="1:13" ht="15" hidden="1" customHeight="1" x14ac:dyDescent="0.3">
      <c r="A1659" s="9">
        <v>361</v>
      </c>
      <c r="B1659" t="s">
        <v>382</v>
      </c>
      <c r="C1659" s="25">
        <v>44599</v>
      </c>
      <c r="D1659" s="26">
        <v>0.46178240740740745</v>
      </c>
      <c r="E1659" t="s">
        <v>25</v>
      </c>
      <c r="F1659" t="s">
        <v>210</v>
      </c>
      <c r="G1659" t="s">
        <v>211</v>
      </c>
      <c r="H1659" t="s">
        <v>199</v>
      </c>
      <c r="I1659">
        <v>455.82</v>
      </c>
      <c r="J1659" s="37">
        <v>0</v>
      </c>
      <c r="K1659" s="37">
        <f t="shared" si="98"/>
        <v>1319.26</v>
      </c>
      <c r="L1659" s="7">
        <v>1319.26</v>
      </c>
      <c r="M1659" s="10">
        <f t="shared" si="97"/>
        <v>34.551187787092765</v>
      </c>
    </row>
    <row r="1660" spans="1:13" ht="15" hidden="1" customHeight="1" x14ac:dyDescent="0.3">
      <c r="A1660" s="9">
        <v>362</v>
      </c>
      <c r="B1660" t="s">
        <v>382</v>
      </c>
      <c r="C1660" s="25">
        <v>44600</v>
      </c>
      <c r="D1660" s="26">
        <v>0.92069444444444448</v>
      </c>
      <c r="E1660" t="s">
        <v>25</v>
      </c>
      <c r="F1660" t="s">
        <v>205</v>
      </c>
      <c r="G1660" t="s">
        <v>206</v>
      </c>
      <c r="H1660" t="s">
        <v>199</v>
      </c>
      <c r="I1660">
        <v>364</v>
      </c>
      <c r="J1660" s="32">
        <v>0</v>
      </c>
      <c r="K1660" s="37">
        <f t="shared" si="98"/>
        <v>1083.22</v>
      </c>
      <c r="L1660" s="34">
        <v>1083.22</v>
      </c>
      <c r="M1660" s="10">
        <f t="shared" si="97"/>
        <v>33.603515444692675</v>
      </c>
    </row>
    <row r="1661" spans="1:13" ht="15" hidden="1" customHeight="1" x14ac:dyDescent="0.3">
      <c r="A1661" s="9">
        <v>363</v>
      </c>
      <c r="B1661" t="s">
        <v>382</v>
      </c>
      <c r="C1661" s="25">
        <v>44601</v>
      </c>
      <c r="D1661" s="26">
        <v>0.62519675925925922</v>
      </c>
      <c r="E1661" t="s">
        <v>25</v>
      </c>
      <c r="F1661" t="s">
        <v>210</v>
      </c>
      <c r="G1661" t="s">
        <v>211</v>
      </c>
      <c r="H1661" t="s">
        <v>199</v>
      </c>
      <c r="I1661">
        <v>277.41000000000003</v>
      </c>
      <c r="J1661" s="33">
        <v>0</v>
      </c>
      <c r="K1661" s="38">
        <f t="shared" si="98"/>
        <v>692.44</v>
      </c>
      <c r="L1661" s="38">
        <v>692.44</v>
      </c>
      <c r="M1661" s="10">
        <f t="shared" si="97"/>
        <v>40.062676910634856</v>
      </c>
    </row>
    <row r="1662" spans="1:13" ht="15" hidden="1" customHeight="1" x14ac:dyDescent="0.3">
      <c r="A1662" s="9">
        <v>364</v>
      </c>
      <c r="B1662" t="s">
        <v>382</v>
      </c>
      <c r="C1662" s="25">
        <v>44602</v>
      </c>
      <c r="D1662" s="26">
        <v>0.82078703703703704</v>
      </c>
      <c r="E1662" t="s">
        <v>25</v>
      </c>
      <c r="F1662" t="s">
        <v>210</v>
      </c>
      <c r="G1662" t="s">
        <v>211</v>
      </c>
      <c r="H1662" t="s">
        <v>199</v>
      </c>
      <c r="I1662">
        <v>358.18</v>
      </c>
      <c r="J1662" s="32">
        <v>0</v>
      </c>
      <c r="K1662" s="33">
        <f t="shared" si="98"/>
        <v>1063.33</v>
      </c>
      <c r="L1662" s="33">
        <v>1063.33</v>
      </c>
      <c r="M1662" s="10">
        <f t="shared" si="97"/>
        <v>33.684745093244814</v>
      </c>
    </row>
    <row r="1663" spans="1:13" ht="15" hidden="1" customHeight="1" x14ac:dyDescent="0.3">
      <c r="A1663" s="9">
        <v>365</v>
      </c>
      <c r="B1663" t="s">
        <v>382</v>
      </c>
      <c r="C1663" s="25">
        <v>44604</v>
      </c>
      <c r="D1663" s="26">
        <v>0.51408564814814817</v>
      </c>
      <c r="E1663" t="s">
        <v>25</v>
      </c>
      <c r="F1663" t="s">
        <v>175</v>
      </c>
      <c r="G1663" t="s">
        <v>172</v>
      </c>
      <c r="H1663" t="s">
        <v>199</v>
      </c>
      <c r="I1663">
        <v>338.71</v>
      </c>
      <c r="J1663" s="37">
        <v>0</v>
      </c>
      <c r="K1663" s="37">
        <f t="shared" si="98"/>
        <v>942.12</v>
      </c>
      <c r="L1663" s="7">
        <v>942.12</v>
      </c>
      <c r="M1663" s="10">
        <f t="shared" si="97"/>
        <v>35.951895724536151</v>
      </c>
    </row>
    <row r="1664" spans="1:13" ht="15" hidden="1" customHeight="1" x14ac:dyDescent="0.3">
      <c r="A1664" s="9">
        <v>366</v>
      </c>
      <c r="B1664" t="s">
        <v>382</v>
      </c>
      <c r="C1664" s="25">
        <v>44605</v>
      </c>
      <c r="D1664" s="26">
        <v>0.65673611111111108</v>
      </c>
      <c r="E1664" t="s">
        <v>25</v>
      </c>
      <c r="F1664" t="s">
        <v>210</v>
      </c>
      <c r="G1664" t="s">
        <v>211</v>
      </c>
      <c r="H1664" t="s">
        <v>199</v>
      </c>
      <c r="I1664">
        <v>341.37</v>
      </c>
      <c r="J1664" s="37">
        <v>0</v>
      </c>
      <c r="K1664" s="37">
        <f t="shared" si="98"/>
        <v>823.78</v>
      </c>
      <c r="L1664" s="7">
        <v>823.78</v>
      </c>
      <c r="M1664" s="10">
        <f t="shared" si="97"/>
        <v>41.43946199227949</v>
      </c>
    </row>
    <row r="1665" spans="1:13" ht="15" hidden="1" customHeight="1" x14ac:dyDescent="0.3">
      <c r="A1665" s="9">
        <v>367</v>
      </c>
      <c r="B1665" t="s">
        <v>382</v>
      </c>
      <c r="C1665" s="25">
        <v>44607</v>
      </c>
      <c r="D1665" s="26">
        <v>0.31445601851851851</v>
      </c>
      <c r="E1665" t="s">
        <v>25</v>
      </c>
      <c r="F1665" t="s">
        <v>210</v>
      </c>
      <c r="G1665" t="s">
        <v>211</v>
      </c>
      <c r="H1665" t="s">
        <v>199</v>
      </c>
      <c r="I1665">
        <v>420.53</v>
      </c>
      <c r="J1665" s="38">
        <v>0</v>
      </c>
      <c r="K1665" s="38">
        <f t="shared" si="98"/>
        <v>1063.51</v>
      </c>
      <c r="L1665" s="31">
        <v>1063.51</v>
      </c>
      <c r="M1665" s="10">
        <f t="shared" si="97"/>
        <v>39.541706236894811</v>
      </c>
    </row>
    <row r="1666" spans="1:13" ht="15" hidden="1" customHeight="1" x14ac:dyDescent="0.3">
      <c r="A1666" s="9">
        <v>368</v>
      </c>
      <c r="B1666" t="s">
        <v>382</v>
      </c>
      <c r="C1666" s="25">
        <v>44618</v>
      </c>
      <c r="D1666" s="26">
        <v>0.6174884259259259</v>
      </c>
      <c r="E1666" t="s">
        <v>25</v>
      </c>
      <c r="F1666" t="s">
        <v>175</v>
      </c>
      <c r="G1666" t="s">
        <v>172</v>
      </c>
      <c r="H1666" t="s">
        <v>199</v>
      </c>
      <c r="I1666">
        <v>405.04</v>
      </c>
      <c r="J1666" s="32">
        <v>0</v>
      </c>
      <c r="K1666" s="32">
        <f t="shared" si="98"/>
        <v>1003.66</v>
      </c>
      <c r="L1666" s="7">
        <v>1003.66</v>
      </c>
      <c r="M1666" s="10">
        <f t="shared" si="97"/>
        <v>40.356295956798121</v>
      </c>
    </row>
    <row r="1667" spans="1:13" ht="15" hidden="1" customHeight="1" x14ac:dyDescent="0.3">
      <c r="A1667" s="9">
        <v>369</v>
      </c>
      <c r="B1667" t="s">
        <v>382</v>
      </c>
      <c r="C1667" s="25">
        <v>44619</v>
      </c>
      <c r="D1667" s="26">
        <v>0.64943287037037034</v>
      </c>
      <c r="E1667" t="s">
        <v>25</v>
      </c>
      <c r="F1667" t="s">
        <v>210</v>
      </c>
      <c r="G1667" t="s">
        <v>211</v>
      </c>
      <c r="H1667" t="s">
        <v>199</v>
      </c>
      <c r="I1667">
        <v>339.33</v>
      </c>
      <c r="J1667" s="37">
        <v>0</v>
      </c>
      <c r="K1667" s="38">
        <f t="shared" si="98"/>
        <v>828.86</v>
      </c>
      <c r="L1667" s="35">
        <v>828.86</v>
      </c>
      <c r="M1667" s="10">
        <f t="shared" si="97"/>
        <v>40.939362497888666</v>
      </c>
    </row>
    <row r="1668" spans="1:13" ht="15" hidden="1" customHeight="1" x14ac:dyDescent="0.3">
      <c r="A1668" s="9">
        <v>370</v>
      </c>
      <c r="B1668" t="s">
        <v>382</v>
      </c>
      <c r="C1668" s="25">
        <v>44620</v>
      </c>
      <c r="D1668" s="26">
        <v>0.19797453703703705</v>
      </c>
      <c r="E1668" t="s">
        <v>25</v>
      </c>
      <c r="F1668" t="s">
        <v>165</v>
      </c>
      <c r="G1668" t="s">
        <v>185</v>
      </c>
      <c r="H1668" t="s">
        <v>199</v>
      </c>
      <c r="I1668">
        <v>256.64</v>
      </c>
      <c r="J1668" s="32">
        <v>0</v>
      </c>
      <c r="K1668" s="33">
        <f t="shared" si="98"/>
        <v>458.39</v>
      </c>
      <c r="L1668" s="31">
        <v>458.39</v>
      </c>
      <c r="M1668" s="10">
        <f t="shared" si="97"/>
        <v>55.987259756975504</v>
      </c>
    </row>
    <row r="1669" spans="1:13" ht="15" hidden="1" customHeight="1" x14ac:dyDescent="0.3">
      <c r="A1669" s="9">
        <v>1414</v>
      </c>
      <c r="B1669" t="s">
        <v>382</v>
      </c>
      <c r="C1669" s="25">
        <v>44622</v>
      </c>
      <c r="D1669" s="26">
        <v>0.57934027777777775</v>
      </c>
      <c r="E1669" t="s">
        <v>26</v>
      </c>
      <c r="F1669" t="s">
        <v>169</v>
      </c>
      <c r="G1669" t="s">
        <v>196</v>
      </c>
      <c r="H1669" t="s">
        <v>199</v>
      </c>
      <c r="I1669">
        <v>201.8</v>
      </c>
      <c r="J1669" s="32">
        <v>0</v>
      </c>
      <c r="K1669" s="90">
        <f t="shared" si="98"/>
        <v>1060.54</v>
      </c>
      <c r="L1669" s="7">
        <v>1060.54</v>
      </c>
      <c r="M1669" s="10">
        <f t="shared" si="97"/>
        <v>19.028042318064383</v>
      </c>
    </row>
    <row r="1670" spans="1:13" ht="15" hidden="1" customHeight="1" x14ac:dyDescent="0.3">
      <c r="A1670" s="9">
        <v>1415</v>
      </c>
      <c r="B1670" t="s">
        <v>382</v>
      </c>
      <c r="C1670" s="25">
        <v>44623</v>
      </c>
      <c r="D1670" s="26">
        <v>0.40978009259259257</v>
      </c>
      <c r="E1670" t="s">
        <v>26</v>
      </c>
      <c r="F1670" t="s">
        <v>428</v>
      </c>
      <c r="G1670" t="s">
        <v>429</v>
      </c>
      <c r="H1670" t="s">
        <v>199</v>
      </c>
      <c r="I1670">
        <v>343.42</v>
      </c>
      <c r="J1670" s="33">
        <v>0</v>
      </c>
      <c r="K1670" s="100">
        <f t="shared" si="98"/>
        <v>442.18</v>
      </c>
      <c r="L1670" s="34">
        <v>442.18</v>
      </c>
      <c r="M1670" s="10">
        <f t="shared" si="97"/>
        <v>77.665204215477857</v>
      </c>
    </row>
    <row r="1671" spans="1:13" ht="15" hidden="1" customHeight="1" x14ac:dyDescent="0.3">
      <c r="A1671" s="9">
        <v>1416</v>
      </c>
      <c r="B1671" t="s">
        <v>382</v>
      </c>
      <c r="C1671" s="25">
        <v>44624</v>
      </c>
      <c r="D1671" s="26">
        <v>0.17196759259259262</v>
      </c>
      <c r="E1671" t="s">
        <v>26</v>
      </c>
      <c r="F1671" t="s">
        <v>210</v>
      </c>
      <c r="G1671" t="s">
        <v>211</v>
      </c>
      <c r="H1671" t="s">
        <v>199</v>
      </c>
      <c r="I1671">
        <v>322.10000000000002</v>
      </c>
      <c r="J1671" s="33">
        <v>0</v>
      </c>
      <c r="K1671" s="100">
        <f t="shared" si="98"/>
        <v>817.31</v>
      </c>
      <c r="L1671" s="35">
        <v>817.31</v>
      </c>
      <c r="M1671" s="10">
        <f t="shared" si="97"/>
        <v>39.409771078293431</v>
      </c>
    </row>
    <row r="1672" spans="1:13" ht="15" hidden="1" customHeight="1" x14ac:dyDescent="0.3">
      <c r="A1672" s="9">
        <v>1417</v>
      </c>
      <c r="B1672" t="s">
        <v>382</v>
      </c>
      <c r="C1672" s="25">
        <v>44625</v>
      </c>
      <c r="D1672" s="26">
        <v>0.89031249999999995</v>
      </c>
      <c r="E1672" t="s">
        <v>26</v>
      </c>
      <c r="F1672" t="s">
        <v>210</v>
      </c>
      <c r="G1672" t="s">
        <v>211</v>
      </c>
      <c r="H1672" t="s">
        <v>199</v>
      </c>
      <c r="I1672">
        <v>391.47</v>
      </c>
      <c r="J1672" s="32">
        <v>0</v>
      </c>
      <c r="K1672" s="89">
        <f t="shared" si="98"/>
        <v>1064.45</v>
      </c>
      <c r="L1672" s="7">
        <v>1064.45</v>
      </c>
      <c r="M1672" s="10">
        <f t="shared" si="97"/>
        <v>36.776739161069102</v>
      </c>
    </row>
    <row r="1673" spans="1:13" ht="15" hidden="1" customHeight="1" x14ac:dyDescent="0.3">
      <c r="A1673" s="9">
        <v>1418</v>
      </c>
      <c r="B1673" t="s">
        <v>382</v>
      </c>
      <c r="C1673" s="25">
        <v>44627</v>
      </c>
      <c r="D1673" s="26">
        <v>0.72983796296296299</v>
      </c>
      <c r="E1673" t="s">
        <v>26</v>
      </c>
      <c r="F1673" t="s">
        <v>428</v>
      </c>
      <c r="G1673" t="s">
        <v>429</v>
      </c>
      <c r="H1673" t="s">
        <v>199</v>
      </c>
      <c r="I1673">
        <v>346.66</v>
      </c>
      <c r="J1673" s="38">
        <v>0</v>
      </c>
      <c r="K1673" s="89">
        <f t="shared" si="98"/>
        <v>926.11</v>
      </c>
      <c r="L1673" s="34">
        <v>926.11</v>
      </c>
      <c r="M1673" s="10">
        <f t="shared" si="97"/>
        <v>37.431838550496167</v>
      </c>
    </row>
    <row r="1674" spans="1:13" ht="15" hidden="1" customHeight="1" x14ac:dyDescent="0.3">
      <c r="A1674" s="9">
        <v>1419</v>
      </c>
      <c r="B1674" t="s">
        <v>382</v>
      </c>
      <c r="C1674" s="25">
        <v>44628</v>
      </c>
      <c r="D1674" s="26">
        <v>0.6584606481481482</v>
      </c>
      <c r="E1674" t="s">
        <v>26</v>
      </c>
      <c r="F1674" t="s">
        <v>210</v>
      </c>
      <c r="G1674" t="s">
        <v>211</v>
      </c>
      <c r="H1674" t="s">
        <v>199</v>
      </c>
      <c r="I1674">
        <v>321.35000000000002</v>
      </c>
      <c r="J1674" s="32">
        <v>0</v>
      </c>
      <c r="K1674" s="89">
        <f t="shared" si="98"/>
        <v>819.28</v>
      </c>
      <c r="L1674" s="7">
        <v>819.28</v>
      </c>
      <c r="M1674" s="10">
        <f t="shared" si="97"/>
        <v>39.2234645054194</v>
      </c>
    </row>
    <row r="1675" spans="1:13" ht="15" hidden="1" customHeight="1" x14ac:dyDescent="0.3">
      <c r="A1675" s="9">
        <v>1420</v>
      </c>
      <c r="B1675" t="s">
        <v>382</v>
      </c>
      <c r="C1675" s="25">
        <v>44629</v>
      </c>
      <c r="D1675" s="26">
        <v>0.12809027777777779</v>
      </c>
      <c r="E1675" t="s">
        <v>26</v>
      </c>
      <c r="F1675" t="s">
        <v>165</v>
      </c>
      <c r="G1675" t="s">
        <v>185</v>
      </c>
      <c r="H1675" t="s">
        <v>199</v>
      </c>
      <c r="I1675">
        <v>240.66</v>
      </c>
      <c r="J1675" s="37">
        <v>0</v>
      </c>
      <c r="K1675" s="89">
        <f t="shared" si="98"/>
        <v>549.29</v>
      </c>
      <c r="L1675" s="34">
        <v>549.29</v>
      </c>
      <c r="M1675" s="10">
        <f t="shared" si="97"/>
        <v>43.812922135848098</v>
      </c>
    </row>
    <row r="1676" spans="1:13" ht="15" hidden="1" customHeight="1" x14ac:dyDescent="0.3">
      <c r="A1676" s="9">
        <v>1421</v>
      </c>
      <c r="B1676" t="s">
        <v>382</v>
      </c>
      <c r="C1676" s="25">
        <v>44631</v>
      </c>
      <c r="D1676" s="26">
        <v>0.38314814814814818</v>
      </c>
      <c r="E1676" t="s">
        <v>26</v>
      </c>
      <c r="F1676" t="s">
        <v>169</v>
      </c>
      <c r="G1676" t="s">
        <v>196</v>
      </c>
      <c r="H1676" t="s">
        <v>199</v>
      </c>
      <c r="I1676">
        <v>180.82</v>
      </c>
      <c r="J1676" s="37">
        <v>0</v>
      </c>
      <c r="K1676" s="89">
        <f t="shared" si="98"/>
        <v>1055.58</v>
      </c>
      <c r="L1676" s="34">
        <v>1055.58</v>
      </c>
      <c r="M1676" s="10">
        <f t="shared" si="97"/>
        <v>17.129919096610394</v>
      </c>
    </row>
    <row r="1677" spans="1:13" ht="15" hidden="1" customHeight="1" x14ac:dyDescent="0.3">
      <c r="A1677" s="9">
        <v>1422</v>
      </c>
      <c r="B1677" t="s">
        <v>382</v>
      </c>
      <c r="C1677" s="25">
        <v>44632</v>
      </c>
      <c r="D1677" s="26">
        <v>0.62759259259259259</v>
      </c>
      <c r="E1677" t="s">
        <v>26</v>
      </c>
      <c r="F1677" t="s">
        <v>197</v>
      </c>
      <c r="G1677" t="s">
        <v>44</v>
      </c>
      <c r="H1677" t="s">
        <v>199</v>
      </c>
      <c r="I1677">
        <v>274.81</v>
      </c>
      <c r="J1677" s="37">
        <v>0</v>
      </c>
      <c r="K1677" s="89">
        <f t="shared" si="98"/>
        <v>730.66</v>
      </c>
      <c r="L1677" s="35">
        <v>730.66</v>
      </c>
      <c r="M1677" s="10">
        <f t="shared" si="97"/>
        <v>37.611200832124382</v>
      </c>
    </row>
    <row r="1678" spans="1:13" ht="15" hidden="1" customHeight="1" x14ac:dyDescent="0.3">
      <c r="A1678" s="9">
        <v>1423</v>
      </c>
      <c r="B1678" t="s">
        <v>382</v>
      </c>
      <c r="C1678" s="25">
        <v>44633</v>
      </c>
      <c r="D1678" s="26">
        <v>0.44247685185185182</v>
      </c>
      <c r="E1678" t="s">
        <v>26</v>
      </c>
      <c r="F1678" t="s">
        <v>210</v>
      </c>
      <c r="G1678" t="s">
        <v>211</v>
      </c>
      <c r="H1678" t="s">
        <v>199</v>
      </c>
      <c r="I1678">
        <v>431.84</v>
      </c>
      <c r="J1678" s="32">
        <v>0</v>
      </c>
      <c r="K1678" s="89">
        <f t="shared" si="98"/>
        <v>587.70000000000005</v>
      </c>
      <c r="L1678" s="7">
        <v>587.70000000000005</v>
      </c>
      <c r="M1678" s="10">
        <f t="shared" si="97"/>
        <v>73.479666496511825</v>
      </c>
    </row>
    <row r="1679" spans="1:13" ht="15" hidden="1" customHeight="1" x14ac:dyDescent="0.3">
      <c r="A1679" s="9">
        <v>1424</v>
      </c>
      <c r="B1679" t="s">
        <v>382</v>
      </c>
      <c r="C1679" s="25">
        <v>44634</v>
      </c>
      <c r="D1679" s="26">
        <v>0.38277777777777783</v>
      </c>
      <c r="E1679" t="s">
        <v>26</v>
      </c>
      <c r="F1679" t="s">
        <v>210</v>
      </c>
      <c r="G1679" t="s">
        <v>211</v>
      </c>
      <c r="H1679" t="s">
        <v>199</v>
      </c>
      <c r="I1679">
        <v>324.51</v>
      </c>
      <c r="J1679" s="32">
        <v>0</v>
      </c>
      <c r="K1679" s="89">
        <f t="shared" ref="K1679:K1708" si="99">+L1679-J1679</f>
        <v>884.82</v>
      </c>
      <c r="L1679" s="7">
        <v>884.82</v>
      </c>
      <c r="M1679" s="10">
        <f t="shared" si="97"/>
        <v>36.675255984267984</v>
      </c>
    </row>
    <row r="1680" spans="1:13" ht="15" hidden="1" customHeight="1" x14ac:dyDescent="0.3">
      <c r="A1680" s="9">
        <v>1425</v>
      </c>
      <c r="B1680" t="s">
        <v>382</v>
      </c>
      <c r="C1680" s="25">
        <v>44637</v>
      </c>
      <c r="D1680" s="26">
        <v>4.9004629629629627E-2</v>
      </c>
      <c r="E1680" t="s">
        <v>26</v>
      </c>
      <c r="F1680" t="s">
        <v>171</v>
      </c>
      <c r="G1680" t="s">
        <v>172</v>
      </c>
      <c r="H1680" t="s">
        <v>199</v>
      </c>
      <c r="I1680">
        <v>228.4</v>
      </c>
      <c r="J1680" s="37">
        <v>0</v>
      </c>
      <c r="K1680" s="89">
        <f t="shared" si="99"/>
        <v>1116.76</v>
      </c>
      <c r="L1680" s="31">
        <v>1116.76</v>
      </c>
      <c r="M1680" s="10">
        <f t="shared" si="97"/>
        <v>20.452021920555893</v>
      </c>
    </row>
    <row r="1681" spans="1:13" ht="15" hidden="1" customHeight="1" x14ac:dyDescent="0.3">
      <c r="A1681" s="9">
        <v>1426</v>
      </c>
      <c r="B1681" t="s">
        <v>382</v>
      </c>
      <c r="C1681" s="25">
        <v>44637</v>
      </c>
      <c r="D1681" s="26">
        <v>0.60785879629629636</v>
      </c>
      <c r="E1681" t="s">
        <v>26</v>
      </c>
      <c r="F1681" t="s">
        <v>366</v>
      </c>
      <c r="G1681" t="s">
        <v>367</v>
      </c>
      <c r="H1681" t="s">
        <v>199</v>
      </c>
      <c r="I1681">
        <v>100</v>
      </c>
      <c r="J1681" s="37">
        <v>0</v>
      </c>
      <c r="K1681" s="89">
        <f t="shared" si="99"/>
        <v>481.66</v>
      </c>
      <c r="L1681" s="7">
        <v>481.66</v>
      </c>
      <c r="M1681" s="10">
        <f t="shared" si="97"/>
        <v>20.761533031599054</v>
      </c>
    </row>
    <row r="1682" spans="1:13" ht="15" hidden="1" customHeight="1" x14ac:dyDescent="0.3">
      <c r="A1682" s="9">
        <v>1427</v>
      </c>
      <c r="B1682" t="s">
        <v>382</v>
      </c>
      <c r="C1682" s="25">
        <v>44637</v>
      </c>
      <c r="D1682" s="26">
        <v>0.69027777777777777</v>
      </c>
      <c r="E1682" t="s">
        <v>26</v>
      </c>
      <c r="F1682" t="s">
        <v>166</v>
      </c>
      <c r="G1682" t="s">
        <v>161</v>
      </c>
      <c r="H1682" t="s">
        <v>199</v>
      </c>
      <c r="I1682">
        <v>325.38</v>
      </c>
      <c r="J1682" s="55">
        <v>0</v>
      </c>
      <c r="K1682" s="89">
        <f t="shared" si="99"/>
        <v>123.51</v>
      </c>
      <c r="L1682" s="34">
        <v>123.51</v>
      </c>
      <c r="M1682" s="10">
        <f t="shared" si="97"/>
        <v>263.44425552586836</v>
      </c>
    </row>
    <row r="1683" spans="1:13" ht="15" hidden="1" customHeight="1" x14ac:dyDescent="0.3">
      <c r="A1683" s="9">
        <v>1428</v>
      </c>
      <c r="B1683" t="s">
        <v>382</v>
      </c>
      <c r="C1683" s="25">
        <v>44638</v>
      </c>
      <c r="D1683" s="26">
        <v>0.64512731481481478</v>
      </c>
      <c r="E1683" t="s">
        <v>26</v>
      </c>
      <c r="F1683" t="s">
        <v>165</v>
      </c>
      <c r="G1683" t="s">
        <v>185</v>
      </c>
      <c r="H1683" t="s">
        <v>199</v>
      </c>
      <c r="I1683">
        <v>277.19</v>
      </c>
      <c r="J1683" s="55">
        <v>0</v>
      </c>
      <c r="K1683" s="89">
        <f t="shared" si="99"/>
        <v>624.67999999999995</v>
      </c>
      <c r="L1683" s="7">
        <v>624.67999999999995</v>
      </c>
      <c r="M1683" s="10">
        <f t="shared" si="97"/>
        <v>44.373119036946918</v>
      </c>
    </row>
    <row r="1684" spans="1:13" ht="15" hidden="1" customHeight="1" x14ac:dyDescent="0.3">
      <c r="A1684" s="9">
        <v>1429</v>
      </c>
      <c r="B1684" t="s">
        <v>382</v>
      </c>
      <c r="C1684" s="25">
        <v>44640</v>
      </c>
      <c r="D1684" s="26">
        <v>0.66012731481481479</v>
      </c>
      <c r="E1684" t="s">
        <v>26</v>
      </c>
      <c r="F1684" t="s">
        <v>210</v>
      </c>
      <c r="G1684" t="s">
        <v>211</v>
      </c>
      <c r="H1684" t="s">
        <v>199</v>
      </c>
      <c r="I1684">
        <v>180.7</v>
      </c>
      <c r="J1684" s="32">
        <v>0</v>
      </c>
      <c r="K1684" s="89">
        <f t="shared" si="99"/>
        <v>517.71</v>
      </c>
      <c r="L1684" s="7">
        <v>517.71</v>
      </c>
      <c r="M1684" s="10">
        <f t="shared" si="97"/>
        <v>34.9037105715555</v>
      </c>
    </row>
    <row r="1685" spans="1:13" ht="15" hidden="1" customHeight="1" x14ac:dyDescent="0.3">
      <c r="A1685" s="9">
        <v>1430</v>
      </c>
      <c r="B1685" t="s">
        <v>382</v>
      </c>
      <c r="C1685" s="25">
        <v>44649</v>
      </c>
      <c r="D1685" s="26">
        <v>0.34912037037037041</v>
      </c>
      <c r="E1685" t="s">
        <v>26</v>
      </c>
      <c r="F1685" t="s">
        <v>175</v>
      </c>
      <c r="G1685" t="s">
        <v>172</v>
      </c>
      <c r="H1685" t="s">
        <v>199</v>
      </c>
      <c r="I1685">
        <v>456.01</v>
      </c>
      <c r="J1685" s="37">
        <v>0</v>
      </c>
      <c r="K1685" s="89">
        <f t="shared" si="99"/>
        <v>1124.8900000000001</v>
      </c>
      <c r="L1685" s="42">
        <v>1124.8900000000001</v>
      </c>
      <c r="M1685" s="10">
        <f t="shared" si="97"/>
        <v>40.538185955960131</v>
      </c>
    </row>
    <row r="1686" spans="1:13" ht="15" hidden="1" customHeight="1" x14ac:dyDescent="0.3">
      <c r="A1686" s="9">
        <v>1431</v>
      </c>
      <c r="B1686" t="s">
        <v>382</v>
      </c>
      <c r="C1686" s="25">
        <v>44650</v>
      </c>
      <c r="D1686" s="26">
        <v>0.34925925925925921</v>
      </c>
      <c r="E1686" t="s">
        <v>26</v>
      </c>
      <c r="F1686" t="s">
        <v>197</v>
      </c>
      <c r="G1686" t="s">
        <v>44</v>
      </c>
      <c r="H1686" t="s">
        <v>199</v>
      </c>
      <c r="I1686">
        <v>100.11</v>
      </c>
      <c r="J1686" s="67">
        <v>0</v>
      </c>
      <c r="K1686" s="89">
        <f t="shared" si="99"/>
        <v>318.97000000000003</v>
      </c>
      <c r="L1686" s="35">
        <v>318.97000000000003</v>
      </c>
      <c r="M1686" s="10">
        <f t="shared" si="97"/>
        <v>31.385396745775463</v>
      </c>
    </row>
    <row r="1687" spans="1:13" ht="15" hidden="1" customHeight="1" x14ac:dyDescent="0.3">
      <c r="A1687" s="9">
        <v>1432</v>
      </c>
      <c r="B1687" t="s">
        <v>382</v>
      </c>
      <c r="C1687" s="25">
        <v>44651</v>
      </c>
      <c r="D1687" s="26">
        <v>0.13497685185185185</v>
      </c>
      <c r="E1687" t="s">
        <v>26</v>
      </c>
      <c r="F1687" t="s">
        <v>166</v>
      </c>
      <c r="G1687" t="s">
        <v>161</v>
      </c>
      <c r="H1687" t="s">
        <v>199</v>
      </c>
      <c r="I1687">
        <v>306.64</v>
      </c>
      <c r="J1687" s="33">
        <v>0</v>
      </c>
      <c r="K1687" s="89">
        <f t="shared" si="99"/>
        <v>335.75</v>
      </c>
      <c r="L1687" s="32">
        <v>335.75</v>
      </c>
      <c r="M1687" s="10">
        <f t="shared" si="97"/>
        <v>91.329858525688763</v>
      </c>
    </row>
    <row r="1688" spans="1:13" ht="15" hidden="1" customHeight="1" x14ac:dyDescent="0.3">
      <c r="A1688" s="9">
        <v>2608</v>
      </c>
      <c r="B1688" t="s">
        <v>382</v>
      </c>
      <c r="C1688" s="25">
        <v>44652</v>
      </c>
      <c r="D1688" s="26">
        <v>0.92112268518518514</v>
      </c>
      <c r="E1688" t="s">
        <v>27</v>
      </c>
      <c r="F1688" t="s">
        <v>210</v>
      </c>
      <c r="G1688" t="s">
        <v>211</v>
      </c>
      <c r="H1688" t="s">
        <v>199</v>
      </c>
      <c r="I1688" s="4">
        <v>440.27</v>
      </c>
      <c r="J1688" s="32">
        <v>0</v>
      </c>
      <c r="K1688" s="89">
        <f t="shared" si="99"/>
        <v>1143.26</v>
      </c>
      <c r="L1688" s="35">
        <v>1143.26</v>
      </c>
      <c r="M1688" s="10">
        <f t="shared" si="97"/>
        <v>38.51005020730193</v>
      </c>
    </row>
    <row r="1689" spans="1:13" ht="15" hidden="1" customHeight="1" x14ac:dyDescent="0.3">
      <c r="A1689" s="9">
        <v>2612</v>
      </c>
      <c r="B1689" t="s">
        <v>382</v>
      </c>
      <c r="C1689" s="25">
        <v>44660</v>
      </c>
      <c r="D1689" s="26">
        <v>0.55283564814814812</v>
      </c>
      <c r="E1689" t="s">
        <v>27</v>
      </c>
      <c r="F1689" t="s">
        <v>175</v>
      </c>
      <c r="G1689" t="s">
        <v>172</v>
      </c>
      <c r="H1689" t="s">
        <v>199</v>
      </c>
      <c r="I1689" s="4">
        <v>372.42</v>
      </c>
      <c r="J1689" s="37">
        <v>0</v>
      </c>
      <c r="K1689" s="89">
        <f t="shared" si="99"/>
        <v>1092.6099999999999</v>
      </c>
      <c r="L1689" s="7">
        <v>1092.6099999999999</v>
      </c>
      <c r="M1689" s="10">
        <f t="shared" si="97"/>
        <v>34.085355250272286</v>
      </c>
    </row>
    <row r="1690" spans="1:13" ht="15" hidden="1" customHeight="1" x14ac:dyDescent="0.3">
      <c r="A1690" s="9">
        <v>2613</v>
      </c>
      <c r="B1690" t="s">
        <v>382</v>
      </c>
      <c r="C1690" s="25">
        <v>44661</v>
      </c>
      <c r="D1690" s="26">
        <v>0.51016203703703711</v>
      </c>
      <c r="E1690" t="s">
        <v>27</v>
      </c>
      <c r="F1690" t="s">
        <v>166</v>
      </c>
      <c r="G1690" t="s">
        <v>161</v>
      </c>
      <c r="H1690" t="s">
        <v>199</v>
      </c>
      <c r="I1690" s="4">
        <v>279.19</v>
      </c>
      <c r="J1690" s="32">
        <v>0</v>
      </c>
      <c r="K1690" s="89">
        <f t="shared" si="99"/>
        <v>757.45</v>
      </c>
      <c r="L1690" s="35">
        <v>757.45</v>
      </c>
      <c r="M1690" s="10">
        <f t="shared" si="97"/>
        <v>36.859198626972073</v>
      </c>
    </row>
    <row r="1691" spans="1:13" ht="15" hidden="1" customHeight="1" x14ac:dyDescent="0.3">
      <c r="A1691" s="9">
        <v>2614</v>
      </c>
      <c r="B1691" t="s">
        <v>382</v>
      </c>
      <c r="C1691" s="25">
        <v>44662</v>
      </c>
      <c r="D1691" s="26">
        <v>1.8877314814814816E-2</v>
      </c>
      <c r="E1691" t="s">
        <v>27</v>
      </c>
      <c r="F1691" t="s">
        <v>165</v>
      </c>
      <c r="G1691" t="s">
        <v>185</v>
      </c>
      <c r="H1691" t="s">
        <v>199</v>
      </c>
      <c r="I1691" s="4">
        <v>282.2</v>
      </c>
      <c r="J1691" s="38">
        <v>0</v>
      </c>
      <c r="K1691" s="89">
        <f t="shared" si="99"/>
        <v>630.72</v>
      </c>
      <c r="L1691" s="32">
        <v>630.72</v>
      </c>
      <c r="M1691" s="10">
        <f t="shared" si="97"/>
        <v>44.742516489091827</v>
      </c>
    </row>
    <row r="1692" spans="1:13" ht="15" hidden="1" customHeight="1" x14ac:dyDescent="0.3">
      <c r="A1692" s="9">
        <v>2615</v>
      </c>
      <c r="B1692" t="s">
        <v>382</v>
      </c>
      <c r="C1692" s="25">
        <v>44664</v>
      </c>
      <c r="D1692" s="26">
        <v>0.85373842592592597</v>
      </c>
      <c r="E1692" t="s">
        <v>27</v>
      </c>
      <c r="F1692" t="s">
        <v>197</v>
      </c>
      <c r="G1692" t="s">
        <v>44</v>
      </c>
      <c r="H1692" t="s">
        <v>199</v>
      </c>
      <c r="I1692" s="4">
        <v>132.88</v>
      </c>
      <c r="J1692" s="32">
        <v>0</v>
      </c>
      <c r="K1692" s="89">
        <f t="shared" si="99"/>
        <v>1200</v>
      </c>
      <c r="L1692" s="34">
        <v>1200</v>
      </c>
      <c r="M1692" s="10">
        <f t="shared" si="97"/>
        <v>11.073333333333334</v>
      </c>
    </row>
    <row r="1693" spans="1:13" ht="15" hidden="1" customHeight="1" x14ac:dyDescent="0.3">
      <c r="A1693" s="9">
        <v>2616</v>
      </c>
      <c r="B1693" t="s">
        <v>382</v>
      </c>
      <c r="C1693" s="25">
        <v>44665</v>
      </c>
      <c r="D1693" s="26">
        <v>0.27737268518518515</v>
      </c>
      <c r="E1693" t="s">
        <v>27</v>
      </c>
      <c r="F1693" t="s">
        <v>210</v>
      </c>
      <c r="G1693" t="s">
        <v>211</v>
      </c>
      <c r="H1693" t="s">
        <v>199</v>
      </c>
      <c r="I1693" s="4">
        <v>473.86</v>
      </c>
      <c r="J1693" s="37">
        <v>0</v>
      </c>
      <c r="K1693" s="89">
        <f t="shared" si="99"/>
        <v>586.96</v>
      </c>
      <c r="L1693" s="7">
        <v>586.96</v>
      </c>
      <c r="M1693" s="36">
        <f t="shared" si="97"/>
        <v>80.731225296442688</v>
      </c>
    </row>
    <row r="1694" spans="1:13" ht="15" hidden="1" customHeight="1" x14ac:dyDescent="0.3">
      <c r="A1694" s="9">
        <v>2617</v>
      </c>
      <c r="B1694" t="s">
        <v>382</v>
      </c>
      <c r="C1694" s="25">
        <v>44667</v>
      </c>
      <c r="D1694" s="26">
        <v>0.76802083333333337</v>
      </c>
      <c r="E1694" t="s">
        <v>27</v>
      </c>
      <c r="F1694" t="s">
        <v>210</v>
      </c>
      <c r="G1694" t="s">
        <v>211</v>
      </c>
      <c r="H1694" t="s">
        <v>199</v>
      </c>
      <c r="I1694" s="4">
        <v>416.65</v>
      </c>
      <c r="J1694" s="37">
        <v>0</v>
      </c>
      <c r="K1694" s="89">
        <f t="shared" si="99"/>
        <v>1093.6600000000001</v>
      </c>
      <c r="L1694" s="7">
        <v>1093.6600000000001</v>
      </c>
      <c r="M1694" s="36">
        <f t="shared" si="97"/>
        <v>38.09684911215551</v>
      </c>
    </row>
    <row r="1695" spans="1:13" ht="15" hidden="1" customHeight="1" x14ac:dyDescent="0.3">
      <c r="A1695" s="9">
        <v>2618</v>
      </c>
      <c r="B1695" t="s">
        <v>382</v>
      </c>
      <c r="C1695" s="25">
        <v>44670</v>
      </c>
      <c r="D1695" s="26">
        <v>0.26533564814814814</v>
      </c>
      <c r="E1695" t="s">
        <v>27</v>
      </c>
      <c r="F1695" t="s">
        <v>368</v>
      </c>
      <c r="G1695" t="s">
        <v>369</v>
      </c>
      <c r="H1695" t="s">
        <v>199</v>
      </c>
      <c r="I1695" s="4">
        <v>150</v>
      </c>
      <c r="J1695" s="32">
        <v>0</v>
      </c>
      <c r="K1695" s="89">
        <f t="shared" si="99"/>
        <v>1027.57</v>
      </c>
      <c r="L1695" s="7">
        <v>1027.57</v>
      </c>
      <c r="M1695" s="36">
        <f t="shared" si="97"/>
        <v>14.597545665988692</v>
      </c>
    </row>
    <row r="1696" spans="1:13" ht="15" hidden="1" customHeight="1" x14ac:dyDescent="0.3">
      <c r="A1696" s="9">
        <v>2619</v>
      </c>
      <c r="B1696" t="s">
        <v>382</v>
      </c>
      <c r="C1696" s="25">
        <v>44670</v>
      </c>
      <c r="D1696" s="26">
        <v>0.65082175925925922</v>
      </c>
      <c r="E1696" t="s">
        <v>27</v>
      </c>
      <c r="F1696" t="s">
        <v>557</v>
      </c>
      <c r="G1696" t="s">
        <v>558</v>
      </c>
      <c r="H1696" t="s">
        <v>199</v>
      </c>
      <c r="I1696" s="4">
        <v>100</v>
      </c>
      <c r="J1696" s="32">
        <v>0</v>
      </c>
      <c r="K1696" s="89">
        <f t="shared" si="99"/>
        <v>284.83</v>
      </c>
      <c r="L1696" s="7">
        <v>284.83</v>
      </c>
      <c r="M1696" s="36">
        <f t="shared" si="97"/>
        <v>35.108661306744374</v>
      </c>
    </row>
    <row r="1697" spans="1:13" ht="15" hidden="1" customHeight="1" x14ac:dyDescent="0.3">
      <c r="A1697" s="9">
        <v>2620</v>
      </c>
      <c r="B1697" t="s">
        <v>382</v>
      </c>
      <c r="C1697" s="25">
        <v>44671</v>
      </c>
      <c r="D1697" s="26">
        <v>0.71657407407407403</v>
      </c>
      <c r="E1697" t="s">
        <v>27</v>
      </c>
      <c r="F1697" t="s">
        <v>166</v>
      </c>
      <c r="G1697" t="s">
        <v>161</v>
      </c>
      <c r="H1697" t="s">
        <v>199</v>
      </c>
      <c r="I1697" s="4">
        <v>389.72</v>
      </c>
      <c r="J1697" s="37">
        <v>0</v>
      </c>
      <c r="K1697" s="89">
        <f t="shared" si="99"/>
        <v>714</v>
      </c>
      <c r="L1697" s="72">
        <v>714</v>
      </c>
      <c r="M1697" s="36">
        <f t="shared" si="97"/>
        <v>54.582633053221294</v>
      </c>
    </row>
    <row r="1698" spans="1:13" ht="15" hidden="1" customHeight="1" x14ac:dyDescent="0.3">
      <c r="A1698" s="9">
        <v>2621</v>
      </c>
      <c r="B1698" t="s">
        <v>382</v>
      </c>
      <c r="C1698" s="25">
        <v>44672</v>
      </c>
      <c r="D1698" s="26">
        <v>0.99743055555555549</v>
      </c>
      <c r="E1698" t="s">
        <v>27</v>
      </c>
      <c r="F1698" t="s">
        <v>210</v>
      </c>
      <c r="G1698" t="s">
        <v>211</v>
      </c>
      <c r="H1698" t="s">
        <v>199</v>
      </c>
      <c r="I1698" s="4">
        <v>431.78</v>
      </c>
      <c r="J1698" s="32">
        <v>0</v>
      </c>
      <c r="K1698" s="89">
        <f t="shared" si="99"/>
        <v>1148.6500000000001</v>
      </c>
      <c r="L1698" s="7">
        <v>1148.6500000000001</v>
      </c>
      <c r="M1698" s="36">
        <f t="shared" si="97"/>
        <v>37.590214599747526</v>
      </c>
    </row>
    <row r="1699" spans="1:13" ht="15" hidden="1" customHeight="1" x14ac:dyDescent="0.3">
      <c r="A1699" s="9">
        <v>2622</v>
      </c>
      <c r="B1699" t="s">
        <v>382</v>
      </c>
      <c r="C1699" s="25">
        <v>44674</v>
      </c>
      <c r="D1699" s="26">
        <v>0.88723379629629628</v>
      </c>
      <c r="E1699" t="s">
        <v>27</v>
      </c>
      <c r="F1699" t="s">
        <v>414</v>
      </c>
      <c r="G1699" t="s">
        <v>449</v>
      </c>
      <c r="H1699" t="s">
        <v>199</v>
      </c>
      <c r="I1699" s="4">
        <v>150</v>
      </c>
      <c r="J1699" s="33">
        <v>0</v>
      </c>
      <c r="K1699" s="89">
        <f t="shared" si="99"/>
        <v>1135.3900000000001</v>
      </c>
      <c r="L1699" s="68">
        <v>1135.3900000000001</v>
      </c>
      <c r="M1699" s="10">
        <f t="shared" si="97"/>
        <v>13.211319458512053</v>
      </c>
    </row>
    <row r="1700" spans="1:13" ht="15" hidden="1" customHeight="1" x14ac:dyDescent="0.3">
      <c r="A1700" s="9">
        <v>2623</v>
      </c>
      <c r="B1700" t="s">
        <v>382</v>
      </c>
      <c r="C1700" s="25">
        <v>44675</v>
      </c>
      <c r="D1700" s="26">
        <v>1.1030092592592591E-2</v>
      </c>
      <c r="E1700" t="s">
        <v>27</v>
      </c>
      <c r="F1700" t="s">
        <v>459</v>
      </c>
      <c r="G1700" t="s">
        <v>303</v>
      </c>
      <c r="H1700" t="s">
        <v>199</v>
      </c>
      <c r="I1700" s="4">
        <v>310.02</v>
      </c>
      <c r="J1700" s="32">
        <v>0</v>
      </c>
      <c r="K1700" s="89">
        <f t="shared" si="99"/>
        <v>250</v>
      </c>
      <c r="L1700" s="11">
        <v>250</v>
      </c>
      <c r="M1700" s="10">
        <f t="shared" si="97"/>
        <v>124.00799999999998</v>
      </c>
    </row>
    <row r="1701" spans="1:13" ht="15" hidden="1" customHeight="1" x14ac:dyDescent="0.3">
      <c r="A1701" s="9">
        <v>2624</v>
      </c>
      <c r="B1701" t="s">
        <v>382</v>
      </c>
      <c r="C1701" s="25">
        <v>44675</v>
      </c>
      <c r="D1701" s="26">
        <v>0.61006944444444444</v>
      </c>
      <c r="E1701" t="s">
        <v>27</v>
      </c>
      <c r="F1701" t="s">
        <v>210</v>
      </c>
      <c r="G1701" t="s">
        <v>211</v>
      </c>
      <c r="H1701" t="s">
        <v>199</v>
      </c>
      <c r="I1701" s="4">
        <v>197.93</v>
      </c>
      <c r="J1701" s="37">
        <v>0</v>
      </c>
      <c r="K1701" s="89">
        <f t="shared" si="99"/>
        <v>431.71</v>
      </c>
      <c r="L1701" s="34">
        <v>431.71</v>
      </c>
      <c r="M1701" s="10">
        <f t="shared" si="97"/>
        <v>45.847907159899009</v>
      </c>
    </row>
    <row r="1702" spans="1:13" ht="15" hidden="1" customHeight="1" x14ac:dyDescent="0.3">
      <c r="A1702" s="9">
        <v>2625</v>
      </c>
      <c r="B1702" t="s">
        <v>382</v>
      </c>
      <c r="C1702" s="25">
        <v>44676</v>
      </c>
      <c r="D1702" s="26">
        <v>0.79275462962962961</v>
      </c>
      <c r="E1702" t="s">
        <v>27</v>
      </c>
      <c r="F1702" t="s">
        <v>210</v>
      </c>
      <c r="G1702" t="s">
        <v>211</v>
      </c>
      <c r="H1702" t="s">
        <v>199</v>
      </c>
      <c r="I1702" s="8">
        <v>400.37</v>
      </c>
      <c r="J1702" s="38">
        <v>0</v>
      </c>
      <c r="K1702" s="89">
        <f t="shared" si="99"/>
        <v>1063.6500000000001</v>
      </c>
      <c r="L1702" s="35">
        <v>1063.6500000000001</v>
      </c>
      <c r="M1702" s="10">
        <f t="shared" si="97"/>
        <v>37.641141352888638</v>
      </c>
    </row>
    <row r="1703" spans="1:13" ht="15" hidden="1" customHeight="1" x14ac:dyDescent="0.3">
      <c r="A1703" s="9">
        <v>2626</v>
      </c>
      <c r="B1703" t="s">
        <v>382</v>
      </c>
      <c r="C1703" s="25">
        <v>44677</v>
      </c>
      <c r="D1703" s="26">
        <v>0.69078703703703714</v>
      </c>
      <c r="E1703" t="s">
        <v>27</v>
      </c>
      <c r="F1703" t="s">
        <v>169</v>
      </c>
      <c r="G1703" t="s">
        <v>196</v>
      </c>
      <c r="H1703" t="s">
        <v>199</v>
      </c>
      <c r="I1703">
        <v>66.349999999999994</v>
      </c>
      <c r="J1703" s="32">
        <v>0</v>
      </c>
      <c r="K1703" s="99">
        <f t="shared" si="99"/>
        <v>481.81</v>
      </c>
      <c r="L1703" s="31">
        <v>481.81</v>
      </c>
      <c r="M1703" s="10">
        <f t="shared" si="97"/>
        <v>13.770988563956745</v>
      </c>
    </row>
    <row r="1704" spans="1:13" ht="15" hidden="1" customHeight="1" x14ac:dyDescent="0.3">
      <c r="A1704" s="9">
        <v>3866</v>
      </c>
      <c r="B1704" t="s">
        <v>382</v>
      </c>
      <c r="C1704" s="25">
        <v>44686</v>
      </c>
      <c r="D1704" s="26">
        <v>0.31709490740740742</v>
      </c>
      <c r="E1704" t="s">
        <v>28</v>
      </c>
      <c r="F1704" t="s">
        <v>175</v>
      </c>
      <c r="G1704" t="s">
        <v>172</v>
      </c>
      <c r="H1704" t="s">
        <v>199</v>
      </c>
      <c r="I1704">
        <v>195.28</v>
      </c>
      <c r="J1704" s="37">
        <v>0</v>
      </c>
      <c r="K1704" s="97">
        <f t="shared" si="99"/>
        <v>482</v>
      </c>
      <c r="L1704" s="32">
        <v>482</v>
      </c>
      <c r="M1704" s="10">
        <f t="shared" si="97"/>
        <v>40.514522821576762</v>
      </c>
    </row>
    <row r="1705" spans="1:13" ht="15" hidden="1" customHeight="1" x14ac:dyDescent="0.3">
      <c r="A1705" s="9">
        <v>3917</v>
      </c>
      <c r="B1705" t="s">
        <v>382</v>
      </c>
      <c r="C1705" s="25">
        <v>44687</v>
      </c>
      <c r="D1705" s="26">
        <v>0.84741898148148154</v>
      </c>
      <c r="E1705" t="s">
        <v>28</v>
      </c>
      <c r="F1705" t="s">
        <v>210</v>
      </c>
      <c r="G1705" t="s">
        <v>211</v>
      </c>
      <c r="H1705" t="s">
        <v>199</v>
      </c>
      <c r="I1705">
        <v>331.11</v>
      </c>
      <c r="J1705" s="32">
        <v>0</v>
      </c>
      <c r="K1705" s="90">
        <f t="shared" si="99"/>
        <v>891</v>
      </c>
      <c r="L1705" s="32">
        <v>891</v>
      </c>
      <c r="M1705" s="10">
        <f t="shared" si="97"/>
        <v>37.161616161616159</v>
      </c>
    </row>
    <row r="1706" spans="1:13" ht="15" hidden="1" customHeight="1" x14ac:dyDescent="0.3">
      <c r="A1706" s="9">
        <v>4067</v>
      </c>
      <c r="B1706" t="s">
        <v>382</v>
      </c>
      <c r="C1706" s="25">
        <v>44690</v>
      </c>
      <c r="D1706" s="26">
        <v>0.8731944444444445</v>
      </c>
      <c r="E1706" t="s">
        <v>28</v>
      </c>
      <c r="F1706" t="s">
        <v>210</v>
      </c>
      <c r="G1706" t="s">
        <v>211</v>
      </c>
      <c r="H1706" t="s">
        <v>199</v>
      </c>
      <c r="I1706">
        <v>438.14</v>
      </c>
      <c r="J1706" s="37">
        <v>0</v>
      </c>
      <c r="K1706" s="97">
        <f t="shared" si="99"/>
        <v>1120</v>
      </c>
      <c r="L1706" s="32">
        <v>1120</v>
      </c>
      <c r="M1706" s="10">
        <f t="shared" si="97"/>
        <v>39.119642857142857</v>
      </c>
    </row>
    <row r="1707" spans="1:13" ht="15" hidden="1" customHeight="1" x14ac:dyDescent="0.3">
      <c r="A1707" s="9">
        <v>4105</v>
      </c>
      <c r="B1707" t="s">
        <v>382</v>
      </c>
      <c r="C1707" s="25">
        <v>44691</v>
      </c>
      <c r="D1707" s="26">
        <v>0.7976388888888889</v>
      </c>
      <c r="E1707" t="s">
        <v>28</v>
      </c>
      <c r="F1707" t="s">
        <v>169</v>
      </c>
      <c r="G1707" t="s">
        <v>196</v>
      </c>
      <c r="H1707" t="s">
        <v>199</v>
      </c>
      <c r="I1707">
        <v>137.21</v>
      </c>
      <c r="J1707" s="37">
        <v>0</v>
      </c>
      <c r="K1707" s="97">
        <f t="shared" si="99"/>
        <v>489</v>
      </c>
      <c r="L1707" s="32">
        <v>489</v>
      </c>
      <c r="M1707" s="10">
        <f t="shared" si="97"/>
        <v>28.059304703476485</v>
      </c>
    </row>
    <row r="1708" spans="1:13" ht="15" hidden="1" customHeight="1" x14ac:dyDescent="0.3">
      <c r="A1708" s="9">
        <v>4206</v>
      </c>
      <c r="B1708" t="s">
        <v>382</v>
      </c>
      <c r="C1708" s="25">
        <v>44693</v>
      </c>
      <c r="D1708" s="26">
        <v>0.5365509259259259</v>
      </c>
      <c r="E1708" t="s">
        <v>28</v>
      </c>
      <c r="F1708" t="s">
        <v>210</v>
      </c>
      <c r="G1708" t="s">
        <v>211</v>
      </c>
      <c r="H1708" t="s">
        <v>199</v>
      </c>
      <c r="I1708">
        <v>482.25</v>
      </c>
      <c r="J1708" s="32">
        <v>0</v>
      </c>
      <c r="K1708" s="97">
        <f t="shared" si="99"/>
        <v>1267</v>
      </c>
      <c r="L1708" s="37">
        <v>1267</v>
      </c>
      <c r="M1708" s="10">
        <f t="shared" si="97"/>
        <v>38.062352012628253</v>
      </c>
    </row>
    <row r="1709" spans="1:13" ht="15" hidden="1" customHeight="1" x14ac:dyDescent="0.3">
      <c r="A1709" s="9">
        <v>4263</v>
      </c>
      <c r="B1709" t="s">
        <v>382</v>
      </c>
      <c r="C1709" s="25">
        <v>44694</v>
      </c>
      <c r="D1709" s="26">
        <v>0.86420138888888898</v>
      </c>
      <c r="E1709" t="s">
        <v>28</v>
      </c>
      <c r="F1709" t="s">
        <v>210</v>
      </c>
      <c r="G1709" t="s">
        <v>211</v>
      </c>
      <c r="H1709" t="s">
        <v>199</v>
      </c>
      <c r="I1709">
        <v>381.99</v>
      </c>
      <c r="J1709" s="37">
        <v>0</v>
      </c>
      <c r="K1709" s="89">
        <f>+L1709-J1838</f>
        <v>1064</v>
      </c>
      <c r="L1709" s="32">
        <v>1064</v>
      </c>
      <c r="M1709" s="10">
        <f t="shared" ref="M1709:M1719" si="100">I1709/K1709*100</f>
        <v>35.901315789473685</v>
      </c>
    </row>
    <row r="1710" spans="1:13" ht="15" hidden="1" customHeight="1" x14ac:dyDescent="0.3">
      <c r="A1710" s="9">
        <v>4372</v>
      </c>
      <c r="B1710" t="s">
        <v>382</v>
      </c>
      <c r="C1710" s="25">
        <v>44696</v>
      </c>
      <c r="D1710" s="26">
        <v>0.58520833333333333</v>
      </c>
      <c r="E1710" t="s">
        <v>28</v>
      </c>
      <c r="F1710" t="s">
        <v>311</v>
      </c>
      <c r="G1710" t="s">
        <v>303</v>
      </c>
      <c r="H1710" t="s">
        <v>199</v>
      </c>
      <c r="I1710">
        <v>250</v>
      </c>
      <c r="J1710" s="32">
        <v>0</v>
      </c>
      <c r="K1710" s="89">
        <f>+L1710-J1839</f>
        <v>1346</v>
      </c>
      <c r="L1710" s="33">
        <v>1346</v>
      </c>
      <c r="M1710" s="10">
        <f t="shared" si="100"/>
        <v>18.573551263001487</v>
      </c>
    </row>
    <row r="1711" spans="1:13" ht="15" hidden="1" customHeight="1" x14ac:dyDescent="0.3">
      <c r="A1711" s="9">
        <v>4373</v>
      </c>
      <c r="B1711" t="s">
        <v>382</v>
      </c>
      <c r="C1711" s="25">
        <v>44696</v>
      </c>
      <c r="D1711" s="26">
        <v>0.89306712962962964</v>
      </c>
      <c r="E1711" t="s">
        <v>28</v>
      </c>
      <c r="F1711" t="s">
        <v>210</v>
      </c>
      <c r="G1711" t="s">
        <v>211</v>
      </c>
      <c r="H1711" t="s">
        <v>199</v>
      </c>
      <c r="I1711">
        <v>431</v>
      </c>
      <c r="J1711" s="32">
        <v>0</v>
      </c>
      <c r="K1711" s="89">
        <f>+L1711-J1841</f>
        <v>430</v>
      </c>
      <c r="L1711" s="33">
        <v>430</v>
      </c>
      <c r="M1711" s="10">
        <f t="shared" si="100"/>
        <v>100.23255813953489</v>
      </c>
    </row>
    <row r="1712" spans="1:13" ht="15" hidden="1" customHeight="1" x14ac:dyDescent="0.3">
      <c r="A1712" s="9">
        <v>4497</v>
      </c>
      <c r="B1712" t="s">
        <v>382</v>
      </c>
      <c r="C1712" s="25">
        <v>44698</v>
      </c>
      <c r="D1712" s="26">
        <v>5.3506944444444447E-2</v>
      </c>
      <c r="E1712" t="s">
        <v>28</v>
      </c>
      <c r="F1712" t="s">
        <v>210</v>
      </c>
      <c r="G1712" t="s">
        <v>211</v>
      </c>
      <c r="H1712" t="s">
        <v>199</v>
      </c>
      <c r="I1712">
        <v>394.18</v>
      </c>
      <c r="J1712" s="32">
        <v>0</v>
      </c>
      <c r="K1712" s="89">
        <f>+L1712-J1840</f>
        <v>1063</v>
      </c>
      <c r="L1712" s="32">
        <v>1063</v>
      </c>
      <c r="M1712" s="10">
        <f t="shared" si="100"/>
        <v>37.081843838193791</v>
      </c>
    </row>
    <row r="1713" spans="1:20" ht="15" hidden="1" customHeight="1" x14ac:dyDescent="0.3">
      <c r="A1713" s="9">
        <v>4540</v>
      </c>
      <c r="B1713" t="s">
        <v>382</v>
      </c>
      <c r="C1713" s="25">
        <v>44699</v>
      </c>
      <c r="D1713" s="26">
        <v>0.52813657407407411</v>
      </c>
      <c r="E1713" t="s">
        <v>28</v>
      </c>
      <c r="F1713" t="s">
        <v>175</v>
      </c>
      <c r="G1713" t="s">
        <v>172</v>
      </c>
      <c r="H1713" t="s">
        <v>199</v>
      </c>
      <c r="I1713">
        <v>365.8</v>
      </c>
      <c r="J1713" s="33">
        <v>0</v>
      </c>
      <c r="K1713" s="89">
        <f>+L1713-J1841</f>
        <v>973</v>
      </c>
      <c r="L1713" s="33">
        <v>973</v>
      </c>
      <c r="M1713" s="10">
        <f t="shared" si="100"/>
        <v>37.595066803699901</v>
      </c>
    </row>
    <row r="1714" spans="1:20" ht="15" hidden="1" customHeight="1" x14ac:dyDescent="0.3">
      <c r="A1714" s="9">
        <v>4644</v>
      </c>
      <c r="B1714" t="s">
        <v>382</v>
      </c>
      <c r="C1714" s="25">
        <v>44701</v>
      </c>
      <c r="D1714" s="26">
        <v>0.31188657407407411</v>
      </c>
      <c r="E1714" t="s">
        <v>28</v>
      </c>
      <c r="F1714" t="s">
        <v>166</v>
      </c>
      <c r="G1714" t="s">
        <v>161</v>
      </c>
      <c r="H1714" t="s">
        <v>199</v>
      </c>
      <c r="I1714">
        <v>300.49</v>
      </c>
      <c r="J1714" s="32">
        <v>0</v>
      </c>
      <c r="K1714" s="89">
        <f>+L1714-J1985</f>
        <v>762</v>
      </c>
      <c r="L1714" s="32">
        <v>762</v>
      </c>
      <c r="M1714" s="10">
        <f t="shared" si="100"/>
        <v>39.434383202099738</v>
      </c>
    </row>
    <row r="1715" spans="1:20" ht="15" hidden="1" customHeight="1" x14ac:dyDescent="0.3">
      <c r="A1715" s="9">
        <v>4705</v>
      </c>
      <c r="B1715" t="s">
        <v>382</v>
      </c>
      <c r="C1715" s="25">
        <v>44702</v>
      </c>
      <c r="D1715" s="26">
        <v>0.58637731481481481</v>
      </c>
      <c r="E1715" t="s">
        <v>28</v>
      </c>
      <c r="F1715" t="s">
        <v>210</v>
      </c>
      <c r="G1715" t="s">
        <v>211</v>
      </c>
      <c r="H1715" t="s">
        <v>199</v>
      </c>
      <c r="I1715">
        <v>456.91</v>
      </c>
      <c r="J1715" s="37">
        <v>0</v>
      </c>
      <c r="K1715" s="89">
        <f>+L1715-J1985</f>
        <v>1147</v>
      </c>
      <c r="L1715" s="37">
        <v>1147</v>
      </c>
      <c r="M1715" s="10">
        <f t="shared" si="100"/>
        <v>39.83522231909329</v>
      </c>
    </row>
    <row r="1716" spans="1:20" ht="15" hidden="1" customHeight="1" x14ac:dyDescent="0.3">
      <c r="A1716" s="9">
        <v>5188</v>
      </c>
      <c r="B1716" t="s">
        <v>382</v>
      </c>
      <c r="C1716" s="25">
        <v>44711</v>
      </c>
      <c r="D1716" s="26">
        <v>0.37734953703703705</v>
      </c>
      <c r="E1716" t="s">
        <v>28</v>
      </c>
      <c r="F1716" t="s">
        <v>651</v>
      </c>
      <c r="G1716" t="s">
        <v>172</v>
      </c>
      <c r="H1716" t="s">
        <v>199</v>
      </c>
      <c r="I1716">
        <v>335.11</v>
      </c>
      <c r="J1716" s="37">
        <v>0</v>
      </c>
      <c r="K1716" s="89">
        <f>+L1716-J2000</f>
        <v>957</v>
      </c>
      <c r="L1716" s="34">
        <v>957</v>
      </c>
      <c r="M1716" s="10">
        <f t="shared" si="100"/>
        <v>35.016718913270637</v>
      </c>
    </row>
    <row r="1717" spans="1:20" ht="15" hidden="1" customHeight="1" x14ac:dyDescent="0.3">
      <c r="A1717" s="9">
        <v>5231</v>
      </c>
      <c r="B1717" t="s">
        <v>382</v>
      </c>
      <c r="C1717" s="25">
        <v>44712</v>
      </c>
      <c r="D1717" s="26">
        <v>0.35171296296296295</v>
      </c>
      <c r="E1717" t="s">
        <v>28</v>
      </c>
      <c r="F1717" t="s">
        <v>632</v>
      </c>
      <c r="G1717" t="s">
        <v>161</v>
      </c>
      <c r="H1717" t="s">
        <v>199</v>
      </c>
      <c r="I1717">
        <v>318.20999999999998</v>
      </c>
      <c r="J1717" s="37">
        <v>0</v>
      </c>
      <c r="K1717" s="89">
        <f>+L1717-J1995</f>
        <v>754</v>
      </c>
      <c r="L1717" s="7">
        <v>754</v>
      </c>
      <c r="M1717" s="10">
        <f t="shared" si="100"/>
        <v>42.202917771883286</v>
      </c>
    </row>
    <row r="1718" spans="1:20" ht="15" hidden="1" customHeight="1" x14ac:dyDescent="0.3">
      <c r="A1718" s="9">
        <v>5328</v>
      </c>
      <c r="B1718" t="s">
        <v>382</v>
      </c>
      <c r="C1718" s="25">
        <v>44714</v>
      </c>
      <c r="D1718" s="26">
        <v>0.43311342592592594</v>
      </c>
      <c r="E1718" t="s">
        <v>29</v>
      </c>
      <c r="F1718" t="s">
        <v>634</v>
      </c>
      <c r="G1718" t="s">
        <v>211</v>
      </c>
      <c r="H1718" t="s">
        <v>199</v>
      </c>
      <c r="I1718">
        <v>484.52</v>
      </c>
      <c r="J1718" s="37">
        <v>0</v>
      </c>
      <c r="K1718" s="89">
        <f>+L1718-J1996</f>
        <v>1247</v>
      </c>
      <c r="L1718" s="34">
        <v>1247</v>
      </c>
      <c r="M1718" s="10">
        <f t="shared" si="100"/>
        <v>38.854851643945466</v>
      </c>
    </row>
    <row r="1719" spans="1:20" ht="15" hidden="1" customHeight="1" x14ac:dyDescent="0.3">
      <c r="A1719" s="9">
        <v>5395</v>
      </c>
      <c r="B1719" t="s">
        <v>382</v>
      </c>
      <c r="C1719" s="25">
        <v>44715</v>
      </c>
      <c r="D1719" s="26">
        <v>0.2918634259259259</v>
      </c>
      <c r="E1719" t="s">
        <v>29</v>
      </c>
      <c r="F1719" t="s">
        <v>637</v>
      </c>
      <c r="G1719" t="s">
        <v>196</v>
      </c>
      <c r="H1719" t="s">
        <v>199</v>
      </c>
      <c r="I1719">
        <v>173.61</v>
      </c>
      <c r="J1719" s="37">
        <v>0</v>
      </c>
      <c r="K1719" s="89">
        <f>+L1719-J1996</f>
        <v>493</v>
      </c>
      <c r="L1719" s="7">
        <v>493</v>
      </c>
      <c r="M1719" s="10">
        <f t="shared" si="100"/>
        <v>35.215010141987833</v>
      </c>
    </row>
    <row r="1720" spans="1:20" ht="15" hidden="1" customHeight="1" x14ac:dyDescent="0.3">
      <c r="A1720" s="9">
        <v>6751</v>
      </c>
      <c r="B1720" t="s">
        <v>382</v>
      </c>
      <c r="C1720" s="25">
        <v>44742</v>
      </c>
      <c r="D1720" s="26">
        <v>0.80839120370370365</v>
      </c>
      <c r="E1720" t="s">
        <v>29</v>
      </c>
      <c r="F1720" t="s">
        <v>210</v>
      </c>
      <c r="G1720" t="s">
        <v>211</v>
      </c>
      <c r="H1720" t="s">
        <v>305</v>
      </c>
      <c r="I1720" s="148">
        <v>340.35</v>
      </c>
      <c r="J1720" s="8"/>
      <c r="K1720" s="82">
        <v>4310</v>
      </c>
      <c r="L1720" s="8">
        <f>+K1720-J1720</f>
        <v>4310</v>
      </c>
      <c r="M1720" s="10">
        <f>I1720/L1720*100</f>
        <v>7.8967517401392113</v>
      </c>
    </row>
    <row r="1721" spans="1:20" ht="15" hidden="1" customHeight="1" x14ac:dyDescent="0.3">
      <c r="B1721" t="s">
        <v>552</v>
      </c>
      <c r="C1721" s="25">
        <v>44682</v>
      </c>
      <c r="D1721" s="26">
        <v>0.40548611111111116</v>
      </c>
      <c r="E1721" t="s">
        <v>580</v>
      </c>
      <c r="F1721" t="s">
        <v>311</v>
      </c>
      <c r="G1721" t="s">
        <v>303</v>
      </c>
      <c r="H1721" t="s">
        <v>195</v>
      </c>
      <c r="I1721">
        <v>250.05</v>
      </c>
      <c r="J1721" s="33">
        <v>0</v>
      </c>
      <c r="K1721" s="89">
        <f t="shared" ref="K1721:K1732" si="101">+L1721-J1721</f>
        <v>157</v>
      </c>
      <c r="L1721" s="38">
        <v>157</v>
      </c>
      <c r="M1721" s="10">
        <f t="shared" ref="M1721:M1752" si="102">I1721/K1721*100</f>
        <v>159.26751592356689</v>
      </c>
      <c r="S1721"/>
      <c r="T1721"/>
    </row>
    <row r="1722" spans="1:20" ht="15" hidden="1" customHeight="1" x14ac:dyDescent="0.3">
      <c r="B1722" t="s">
        <v>315</v>
      </c>
      <c r="C1722" s="25">
        <v>44574</v>
      </c>
      <c r="D1722" s="26">
        <v>5.138888888888889E-3</v>
      </c>
      <c r="E1722" t="s">
        <v>24</v>
      </c>
      <c r="F1722" t="s">
        <v>226</v>
      </c>
      <c r="G1722" t="s">
        <v>227</v>
      </c>
      <c r="H1722" t="s">
        <v>228</v>
      </c>
      <c r="I1722">
        <v>292.62</v>
      </c>
      <c r="J1722" s="31">
        <v>0</v>
      </c>
      <c r="K1722" s="11">
        <f t="shared" si="101"/>
        <v>645.41</v>
      </c>
      <c r="L1722" s="7">
        <v>645.41</v>
      </c>
      <c r="M1722" s="10">
        <f t="shared" si="102"/>
        <v>45.338621961233947</v>
      </c>
    </row>
    <row r="1723" spans="1:20" ht="15" hidden="1" customHeight="1" x14ac:dyDescent="0.3">
      <c r="B1723" t="s">
        <v>315</v>
      </c>
      <c r="C1723" s="25">
        <v>44577</v>
      </c>
      <c r="D1723" s="26">
        <v>0.85342592592592592</v>
      </c>
      <c r="E1723" t="s">
        <v>24</v>
      </c>
      <c r="F1723" t="s">
        <v>226</v>
      </c>
      <c r="G1723" t="s">
        <v>227</v>
      </c>
      <c r="H1723" t="s">
        <v>228</v>
      </c>
      <c r="I1723">
        <v>310.48</v>
      </c>
      <c r="J1723" s="34">
        <v>0</v>
      </c>
      <c r="K1723" s="11">
        <f t="shared" si="101"/>
        <v>768.71</v>
      </c>
      <c r="L1723" s="31">
        <v>768.71</v>
      </c>
      <c r="M1723" s="10">
        <f t="shared" si="102"/>
        <v>40.389743856590918</v>
      </c>
    </row>
    <row r="1724" spans="1:20" ht="15" hidden="1" customHeight="1" x14ac:dyDescent="0.3">
      <c r="B1724" t="s">
        <v>315</v>
      </c>
      <c r="C1724" s="25">
        <v>44590</v>
      </c>
      <c r="D1724" s="26">
        <v>0.57732638888888888</v>
      </c>
      <c r="E1724" t="s">
        <v>24</v>
      </c>
      <c r="F1724" t="s">
        <v>226</v>
      </c>
      <c r="G1724" t="s">
        <v>227</v>
      </c>
      <c r="H1724" t="s">
        <v>228</v>
      </c>
      <c r="I1724">
        <f>95.3+134.55</f>
        <v>229.85000000000002</v>
      </c>
      <c r="J1724" s="31">
        <v>0</v>
      </c>
      <c r="K1724" s="11">
        <f t="shared" si="101"/>
        <v>679.1</v>
      </c>
      <c r="L1724" s="7">
        <v>679.1</v>
      </c>
      <c r="M1724" s="10">
        <f t="shared" si="102"/>
        <v>33.846267118244739</v>
      </c>
    </row>
    <row r="1725" spans="1:20" ht="15" hidden="1" customHeight="1" x14ac:dyDescent="0.3">
      <c r="A1725" s="9">
        <v>1742</v>
      </c>
      <c r="B1725" t="s">
        <v>315</v>
      </c>
      <c r="C1725" s="25">
        <v>44621</v>
      </c>
      <c r="D1725" s="26">
        <v>3.006944444444444E-2</v>
      </c>
      <c r="E1725" t="s">
        <v>26</v>
      </c>
      <c r="F1725" t="s">
        <v>226</v>
      </c>
      <c r="G1725" t="s">
        <v>227</v>
      </c>
      <c r="H1725" t="s">
        <v>224</v>
      </c>
      <c r="I1725">
        <v>354.41</v>
      </c>
      <c r="J1725" s="7">
        <v>0</v>
      </c>
      <c r="K1725" s="89">
        <f t="shared" si="101"/>
        <v>10000</v>
      </c>
      <c r="L1725" s="44">
        <v>10000</v>
      </c>
      <c r="M1725" s="10">
        <f t="shared" si="102"/>
        <v>3.5441000000000003</v>
      </c>
    </row>
    <row r="1726" spans="1:20" ht="15" hidden="1" customHeight="1" x14ac:dyDescent="0.3">
      <c r="A1726" s="9">
        <v>1755</v>
      </c>
      <c r="B1726" t="s">
        <v>315</v>
      </c>
      <c r="C1726" s="25">
        <v>44626</v>
      </c>
      <c r="D1726" s="26">
        <v>3.8657407407407404E-2</v>
      </c>
      <c r="E1726" t="s">
        <v>26</v>
      </c>
      <c r="F1726" t="s">
        <v>226</v>
      </c>
      <c r="G1726" t="s">
        <v>227</v>
      </c>
      <c r="H1726" t="s">
        <v>228</v>
      </c>
      <c r="I1726">
        <v>335.66</v>
      </c>
      <c r="J1726" s="37">
        <v>0</v>
      </c>
      <c r="K1726" s="89">
        <f t="shared" si="101"/>
        <v>0</v>
      </c>
      <c r="L1726" s="42"/>
      <c r="M1726" s="10" t="e">
        <f t="shared" si="102"/>
        <v>#DIV/0!</v>
      </c>
    </row>
    <row r="1727" spans="1:20" ht="15" hidden="1" customHeight="1" x14ac:dyDescent="0.3">
      <c r="A1727" s="9">
        <v>1759</v>
      </c>
      <c r="B1727" t="s">
        <v>315</v>
      </c>
      <c r="C1727" s="25">
        <v>44643</v>
      </c>
      <c r="D1727" s="26">
        <v>0.83997685185185178</v>
      </c>
      <c r="E1727" t="s">
        <v>26</v>
      </c>
      <c r="F1727" t="s">
        <v>226</v>
      </c>
      <c r="G1727" t="s">
        <v>227</v>
      </c>
      <c r="H1727" t="s">
        <v>228</v>
      </c>
      <c r="I1727">
        <v>273.38</v>
      </c>
      <c r="J1727" s="81"/>
      <c r="K1727" s="89">
        <f t="shared" si="101"/>
        <v>99988</v>
      </c>
      <c r="L1727" s="43">
        <v>99988</v>
      </c>
      <c r="M1727" s="10">
        <f t="shared" si="102"/>
        <v>0.27341280953714442</v>
      </c>
    </row>
    <row r="1728" spans="1:20" ht="15" hidden="1" customHeight="1" x14ac:dyDescent="0.3">
      <c r="A1728" s="9">
        <v>1760</v>
      </c>
      <c r="B1728" t="s">
        <v>315</v>
      </c>
      <c r="C1728" s="25">
        <v>44650</v>
      </c>
      <c r="D1728" s="26">
        <v>0.56953703703703706</v>
      </c>
      <c r="E1728" t="s">
        <v>26</v>
      </c>
      <c r="F1728" t="s">
        <v>523</v>
      </c>
      <c r="G1728" t="s">
        <v>388</v>
      </c>
      <c r="H1728" t="s">
        <v>228</v>
      </c>
      <c r="I1728">
        <v>200.01</v>
      </c>
      <c r="J1728" s="70"/>
      <c r="K1728" s="89">
        <f t="shared" si="101"/>
        <v>100000</v>
      </c>
      <c r="L1728" s="42">
        <v>100000</v>
      </c>
      <c r="M1728" s="10">
        <f t="shared" si="102"/>
        <v>0.20000999999999999</v>
      </c>
    </row>
    <row r="1729" spans="1:20" ht="15" hidden="1" customHeight="1" x14ac:dyDescent="0.3">
      <c r="A1729" s="9">
        <v>3022</v>
      </c>
      <c r="B1729" t="s">
        <v>315</v>
      </c>
      <c r="C1729" s="25">
        <v>44655</v>
      </c>
      <c r="D1729" s="26">
        <v>9.9907407407407403E-2</v>
      </c>
      <c r="E1729" t="s">
        <v>27</v>
      </c>
      <c r="F1729" t="s">
        <v>226</v>
      </c>
      <c r="G1729" t="s">
        <v>227</v>
      </c>
      <c r="H1729" t="s">
        <v>228</v>
      </c>
      <c r="I1729" s="4">
        <v>147.33000000000001</v>
      </c>
      <c r="J1729" s="32">
        <v>0</v>
      </c>
      <c r="K1729" s="89">
        <f t="shared" si="101"/>
        <v>100000</v>
      </c>
      <c r="L1729" s="37">
        <v>100000</v>
      </c>
      <c r="M1729" s="10">
        <f t="shared" si="102"/>
        <v>0.14733000000000002</v>
      </c>
    </row>
    <row r="1730" spans="1:20" ht="15" hidden="1" customHeight="1" x14ac:dyDescent="0.3">
      <c r="A1730" s="9">
        <v>3023</v>
      </c>
      <c r="B1730" t="s">
        <v>315</v>
      </c>
      <c r="C1730" s="25">
        <v>44656</v>
      </c>
      <c r="D1730" s="26">
        <v>0.98597222222222225</v>
      </c>
      <c r="E1730" t="s">
        <v>27</v>
      </c>
      <c r="F1730" t="s">
        <v>226</v>
      </c>
      <c r="G1730" t="s">
        <v>227</v>
      </c>
      <c r="H1730" t="s">
        <v>228</v>
      </c>
      <c r="I1730" s="4">
        <v>200</v>
      </c>
      <c r="J1730" s="42"/>
      <c r="K1730" s="89">
        <f t="shared" si="101"/>
        <v>100000</v>
      </c>
      <c r="L1730" s="32">
        <v>100000</v>
      </c>
      <c r="M1730" s="10">
        <f t="shared" si="102"/>
        <v>0.2</v>
      </c>
    </row>
    <row r="1731" spans="1:20" ht="15" hidden="1" customHeight="1" x14ac:dyDescent="0.3">
      <c r="A1731" s="9">
        <v>3024</v>
      </c>
      <c r="B1731" t="s">
        <v>315</v>
      </c>
      <c r="C1731" s="25">
        <v>44659</v>
      </c>
      <c r="D1731" s="26">
        <v>8.1423611111111113E-2</v>
      </c>
      <c r="E1731" t="s">
        <v>27</v>
      </c>
      <c r="F1731" t="s">
        <v>226</v>
      </c>
      <c r="G1731" t="s">
        <v>227</v>
      </c>
      <c r="H1731" t="s">
        <v>228</v>
      </c>
      <c r="I1731" s="4">
        <v>200</v>
      </c>
      <c r="J1731" s="8"/>
      <c r="K1731" s="89">
        <f t="shared" si="101"/>
        <v>855555</v>
      </c>
      <c r="L1731" s="46">
        <v>855555</v>
      </c>
      <c r="M1731" s="10">
        <f t="shared" si="102"/>
        <v>2.3376638556258805E-2</v>
      </c>
    </row>
    <row r="1732" spans="1:20" ht="15" hidden="1" customHeight="1" x14ac:dyDescent="0.3">
      <c r="A1732" s="9">
        <v>3029</v>
      </c>
      <c r="B1732" t="s">
        <v>315</v>
      </c>
      <c r="C1732" s="25">
        <v>44676</v>
      </c>
      <c r="D1732" s="26">
        <v>0.33077546296296295</v>
      </c>
      <c r="E1732" t="s">
        <v>27</v>
      </c>
      <c r="F1732" t="s">
        <v>226</v>
      </c>
      <c r="G1732" t="s">
        <v>227</v>
      </c>
      <c r="H1732" t="s">
        <v>228</v>
      </c>
      <c r="I1732">
        <v>275.63</v>
      </c>
      <c r="J1732" s="8"/>
      <c r="K1732" s="89">
        <f t="shared" si="101"/>
        <v>0</v>
      </c>
      <c r="L1732" s="7"/>
      <c r="M1732" s="36" t="e">
        <f t="shared" si="102"/>
        <v>#DIV/0!</v>
      </c>
    </row>
    <row r="1733" spans="1:20" ht="15" hidden="1" customHeight="1" x14ac:dyDescent="0.3">
      <c r="A1733" s="9">
        <v>3941</v>
      </c>
      <c r="B1733" t="s">
        <v>315</v>
      </c>
      <c r="C1733" s="25">
        <v>44687</v>
      </c>
      <c r="D1733" s="26">
        <v>0.19472222222222224</v>
      </c>
      <c r="E1733" t="s">
        <v>28</v>
      </c>
      <c r="F1733" t="s">
        <v>226</v>
      </c>
      <c r="G1733" t="s">
        <v>227</v>
      </c>
      <c r="H1733" t="s">
        <v>228</v>
      </c>
      <c r="I1733">
        <v>200</v>
      </c>
      <c r="J1733" s="44"/>
      <c r="K1733" s="89">
        <f>+L1733-J1864</f>
        <v>10000</v>
      </c>
      <c r="L1733" s="8">
        <v>10000</v>
      </c>
      <c r="M1733" s="36">
        <f t="shared" si="102"/>
        <v>2</v>
      </c>
    </row>
    <row r="1734" spans="1:20" ht="15" hidden="1" customHeight="1" x14ac:dyDescent="0.3">
      <c r="A1734" s="9">
        <v>4857</v>
      </c>
      <c r="B1734" t="s">
        <v>315</v>
      </c>
      <c r="C1734" s="25">
        <v>44704</v>
      </c>
      <c r="D1734" s="26">
        <v>0.37179398148148146</v>
      </c>
      <c r="E1734" t="s">
        <v>28</v>
      </c>
      <c r="F1734" t="s">
        <v>627</v>
      </c>
      <c r="G1734" t="s">
        <v>388</v>
      </c>
      <c r="H1734" t="s">
        <v>628</v>
      </c>
      <c r="I1734">
        <v>99.84</v>
      </c>
      <c r="J1734" s="44"/>
      <c r="K1734" s="89" t="e">
        <f>+L1734-#REF!</f>
        <v>#REF!</v>
      </c>
      <c r="L1734" s="8">
        <v>112233</v>
      </c>
      <c r="M1734" s="36" t="e">
        <f t="shared" si="102"/>
        <v>#REF!</v>
      </c>
    </row>
    <row r="1735" spans="1:20" ht="15" hidden="1" customHeight="1" x14ac:dyDescent="0.3">
      <c r="A1735" s="9">
        <v>5287</v>
      </c>
      <c r="B1735" t="s">
        <v>315</v>
      </c>
      <c r="C1735" s="25">
        <v>44713</v>
      </c>
      <c r="D1735" s="26">
        <v>0.86297453703703697</v>
      </c>
      <c r="E1735" t="s">
        <v>29</v>
      </c>
      <c r="F1735" t="s">
        <v>675</v>
      </c>
      <c r="G1735" t="s">
        <v>227</v>
      </c>
      <c r="H1735" t="s">
        <v>224</v>
      </c>
      <c r="I1735">
        <v>200</v>
      </c>
      <c r="J1735" s="37">
        <v>0</v>
      </c>
      <c r="K1735" s="89"/>
      <c r="L1735" s="23"/>
      <c r="M1735" s="36" t="e">
        <f t="shared" si="102"/>
        <v>#DIV/0!</v>
      </c>
    </row>
    <row r="1736" spans="1:20" ht="15" hidden="1" customHeight="1" x14ac:dyDescent="0.3">
      <c r="A1736" s="9">
        <v>6054</v>
      </c>
      <c r="B1736" t="s">
        <v>315</v>
      </c>
      <c r="C1736" s="25">
        <v>44727</v>
      </c>
      <c r="D1736" s="26">
        <v>0.88337962962962957</v>
      </c>
      <c r="E1736" t="s">
        <v>29</v>
      </c>
      <c r="F1736" t="s">
        <v>675</v>
      </c>
      <c r="G1736" t="s">
        <v>227</v>
      </c>
      <c r="H1736" t="s">
        <v>228</v>
      </c>
      <c r="I1736">
        <v>200</v>
      </c>
      <c r="J1736" s="170">
        <v>0</v>
      </c>
      <c r="K1736" s="172"/>
      <c r="L1736" s="172"/>
      <c r="M1736" s="10" t="e">
        <f t="shared" si="102"/>
        <v>#DIV/0!</v>
      </c>
    </row>
    <row r="1737" spans="1:20" ht="15" hidden="1" customHeight="1" x14ac:dyDescent="0.3">
      <c r="A1737" s="9">
        <v>6602</v>
      </c>
      <c r="B1737" t="s">
        <v>315</v>
      </c>
      <c r="C1737" s="25">
        <v>44739</v>
      </c>
      <c r="D1737" s="26">
        <v>9.2453703703703705E-2</v>
      </c>
      <c r="E1737" t="s">
        <v>29</v>
      </c>
      <c r="F1737" t="s">
        <v>675</v>
      </c>
      <c r="G1737" t="s">
        <v>227</v>
      </c>
      <c r="H1737" t="s">
        <v>228</v>
      </c>
      <c r="I1737">
        <v>200</v>
      </c>
      <c r="J1737" s="32">
        <v>0</v>
      </c>
      <c r="K1737" s="90"/>
      <c r="L1737" s="23"/>
      <c r="M1737" s="10" t="e">
        <f t="shared" si="102"/>
        <v>#DIV/0!</v>
      </c>
    </row>
    <row r="1738" spans="1:20" ht="15" hidden="1" customHeight="1" x14ac:dyDescent="0.3">
      <c r="A1738" s="9">
        <v>5031</v>
      </c>
      <c r="B1738" t="s">
        <v>668</v>
      </c>
      <c r="C1738" s="25">
        <v>44708</v>
      </c>
      <c r="D1738" s="26">
        <v>0.8671875</v>
      </c>
      <c r="E1738" t="s">
        <v>28</v>
      </c>
      <c r="F1738" t="s">
        <v>669</v>
      </c>
      <c r="G1738" t="s">
        <v>670</v>
      </c>
      <c r="H1738" t="s">
        <v>671</v>
      </c>
      <c r="I1738">
        <v>71.38</v>
      </c>
      <c r="J1738" s="66"/>
      <c r="K1738" s="99"/>
      <c r="L1738" s="23"/>
      <c r="M1738" s="10" t="e">
        <f t="shared" si="102"/>
        <v>#DIV/0!</v>
      </c>
    </row>
    <row r="1739" spans="1:20" ht="15" hidden="1" customHeight="1" x14ac:dyDescent="0.3">
      <c r="B1739" t="s">
        <v>552</v>
      </c>
      <c r="C1739" s="25">
        <v>44682</v>
      </c>
      <c r="D1739" s="26">
        <v>0.71108796296296306</v>
      </c>
      <c r="E1739" t="s">
        <v>580</v>
      </c>
      <c r="F1739" t="s">
        <v>210</v>
      </c>
      <c r="G1739" t="s">
        <v>211</v>
      </c>
      <c r="H1739" t="s">
        <v>195</v>
      </c>
      <c r="I1739">
        <v>384.04</v>
      </c>
      <c r="J1739" s="32">
        <v>0</v>
      </c>
      <c r="K1739" s="90">
        <f t="shared" ref="K1739:K1770" si="103">+L1739-J1739</f>
        <v>431.8</v>
      </c>
      <c r="L1739" s="32">
        <v>431.8</v>
      </c>
      <c r="M1739" s="10">
        <f t="shared" si="102"/>
        <v>88.939323761000466</v>
      </c>
      <c r="S1739"/>
      <c r="T1739"/>
    </row>
    <row r="1740" spans="1:20" ht="15" hidden="1" customHeight="1" x14ac:dyDescent="0.3">
      <c r="B1740" t="s">
        <v>266</v>
      </c>
      <c r="C1740" s="25">
        <v>44589</v>
      </c>
      <c r="D1740" s="26">
        <v>0.46306712962962965</v>
      </c>
      <c r="E1740" t="s">
        <v>24</v>
      </c>
      <c r="F1740" t="s">
        <v>175</v>
      </c>
      <c r="G1740" t="s">
        <v>172</v>
      </c>
      <c r="H1740" t="s">
        <v>305</v>
      </c>
      <c r="I1740">
        <v>130.72999999999999</v>
      </c>
      <c r="J1740" s="7">
        <v>0</v>
      </c>
      <c r="K1740" s="7">
        <f t="shared" si="103"/>
        <v>479.66</v>
      </c>
      <c r="L1740" s="7">
        <v>479.66</v>
      </c>
      <c r="M1740" s="10">
        <f t="shared" si="102"/>
        <v>27.254722094817158</v>
      </c>
    </row>
    <row r="1741" spans="1:20" ht="15" hidden="1" customHeight="1" x14ac:dyDescent="0.3">
      <c r="B1741" t="s">
        <v>266</v>
      </c>
      <c r="C1741" s="25">
        <v>44568</v>
      </c>
      <c r="D1741" s="26">
        <v>0.52216435185185184</v>
      </c>
      <c r="E1741" t="s">
        <v>24</v>
      </c>
      <c r="F1741" t="s">
        <v>311</v>
      </c>
      <c r="G1741" t="s">
        <v>303</v>
      </c>
      <c r="H1741" t="s">
        <v>250</v>
      </c>
      <c r="I1741">
        <v>341.56</v>
      </c>
      <c r="J1741" s="34">
        <v>0</v>
      </c>
      <c r="K1741" s="34">
        <f t="shared" si="103"/>
        <v>790.52</v>
      </c>
      <c r="L1741" s="34">
        <v>790.52</v>
      </c>
      <c r="M1741" s="10">
        <f t="shared" si="102"/>
        <v>43.207002985376711</v>
      </c>
    </row>
    <row r="1742" spans="1:20" ht="15" hidden="1" customHeight="1" x14ac:dyDescent="0.3">
      <c r="B1742" t="s">
        <v>266</v>
      </c>
      <c r="C1742" s="25">
        <v>44568</v>
      </c>
      <c r="D1742" s="26">
        <v>0.92190972222222223</v>
      </c>
      <c r="E1742" t="s">
        <v>24</v>
      </c>
      <c r="F1742" t="s">
        <v>210</v>
      </c>
      <c r="G1742" t="s">
        <v>211</v>
      </c>
      <c r="H1742" t="s">
        <v>250</v>
      </c>
      <c r="I1742">
        <v>184.81</v>
      </c>
      <c r="J1742" s="7">
        <v>0</v>
      </c>
      <c r="K1742" s="31">
        <f t="shared" si="103"/>
        <v>432.49</v>
      </c>
      <c r="L1742" s="31">
        <v>432.49</v>
      </c>
      <c r="M1742" s="10">
        <f t="shared" si="102"/>
        <v>42.731623852574621</v>
      </c>
    </row>
    <row r="1743" spans="1:20" ht="15" hidden="1" customHeight="1" x14ac:dyDescent="0.3">
      <c r="B1743" t="s">
        <v>266</v>
      </c>
      <c r="C1743" s="25">
        <v>44570</v>
      </c>
      <c r="D1743" s="26">
        <v>0.88571759259259253</v>
      </c>
      <c r="E1743" t="s">
        <v>24</v>
      </c>
      <c r="F1743" t="s">
        <v>335</v>
      </c>
      <c r="G1743" t="s">
        <v>336</v>
      </c>
      <c r="H1743" t="s">
        <v>250</v>
      </c>
      <c r="I1743">
        <v>233.14</v>
      </c>
      <c r="J1743" s="35">
        <v>0</v>
      </c>
      <c r="K1743" s="35">
        <f t="shared" si="103"/>
        <v>1138.3900000000001</v>
      </c>
      <c r="L1743" s="7">
        <v>1138.3900000000001</v>
      </c>
      <c r="M1743" s="10">
        <f t="shared" si="102"/>
        <v>20.479800419891248</v>
      </c>
    </row>
    <row r="1744" spans="1:20" ht="15" hidden="1" customHeight="1" x14ac:dyDescent="0.3">
      <c r="B1744" t="s">
        <v>266</v>
      </c>
      <c r="C1744" s="25">
        <v>44571</v>
      </c>
      <c r="D1744" s="26">
        <v>0.47333333333333333</v>
      </c>
      <c r="E1744" t="s">
        <v>24</v>
      </c>
      <c r="F1744" t="s">
        <v>340</v>
      </c>
      <c r="G1744" t="s">
        <v>337</v>
      </c>
      <c r="H1744" t="s">
        <v>250</v>
      </c>
      <c r="I1744">
        <v>273.52999999999997</v>
      </c>
      <c r="J1744" s="7">
        <v>0</v>
      </c>
      <c r="K1744" s="34">
        <f t="shared" si="103"/>
        <v>239.81</v>
      </c>
      <c r="L1744" s="34">
        <v>239.81</v>
      </c>
      <c r="M1744" s="10">
        <f t="shared" si="102"/>
        <v>114.06113172928568</v>
      </c>
    </row>
    <row r="1745" spans="1:13" ht="15" hidden="1" customHeight="1" x14ac:dyDescent="0.3">
      <c r="B1745" t="s">
        <v>266</v>
      </c>
      <c r="C1745" s="25">
        <v>44573</v>
      </c>
      <c r="D1745" s="26">
        <v>0.61565972222222221</v>
      </c>
      <c r="E1745" t="s">
        <v>24</v>
      </c>
      <c r="F1745" t="s">
        <v>350</v>
      </c>
      <c r="G1745" t="s">
        <v>351</v>
      </c>
      <c r="H1745" t="s">
        <v>250</v>
      </c>
      <c r="I1745">
        <v>217.4</v>
      </c>
      <c r="J1745" s="34">
        <v>0</v>
      </c>
      <c r="K1745" s="35">
        <f t="shared" si="103"/>
        <v>909.95</v>
      </c>
      <c r="L1745" s="35">
        <v>909.95</v>
      </c>
      <c r="M1745" s="10">
        <f t="shared" si="102"/>
        <v>23.891422605637672</v>
      </c>
    </row>
    <row r="1746" spans="1:13" ht="15" hidden="1" customHeight="1" x14ac:dyDescent="0.3">
      <c r="B1746" t="s">
        <v>266</v>
      </c>
      <c r="C1746" s="25">
        <v>44574</v>
      </c>
      <c r="D1746" s="26">
        <v>0.6055787037037037</v>
      </c>
      <c r="E1746" t="s">
        <v>24</v>
      </c>
      <c r="F1746" t="s">
        <v>166</v>
      </c>
      <c r="G1746" t="s">
        <v>161</v>
      </c>
      <c r="H1746" t="s">
        <v>250</v>
      </c>
      <c r="I1746">
        <v>232.91</v>
      </c>
      <c r="J1746" s="7">
        <v>0</v>
      </c>
      <c r="K1746" s="11">
        <f t="shared" si="103"/>
        <v>547.42999999999995</v>
      </c>
      <c r="L1746" s="7">
        <v>547.42999999999995</v>
      </c>
      <c r="M1746" s="10">
        <f t="shared" si="102"/>
        <v>42.546078950733431</v>
      </c>
    </row>
    <row r="1747" spans="1:13" ht="15" hidden="1" customHeight="1" x14ac:dyDescent="0.3">
      <c r="B1747" t="s">
        <v>266</v>
      </c>
      <c r="C1747" s="25">
        <v>44575</v>
      </c>
      <c r="D1747" s="26">
        <v>0.28961805555555559</v>
      </c>
      <c r="E1747" t="s">
        <v>24</v>
      </c>
      <c r="F1747" t="s">
        <v>169</v>
      </c>
      <c r="G1747" t="s">
        <v>196</v>
      </c>
      <c r="H1747" t="s">
        <v>250</v>
      </c>
      <c r="I1747">
        <v>354.61</v>
      </c>
      <c r="J1747" s="7">
        <v>0</v>
      </c>
      <c r="K1747" s="11">
        <f t="shared" si="103"/>
        <v>392.18</v>
      </c>
      <c r="L1747" s="31">
        <v>392.18</v>
      </c>
      <c r="M1747" s="10">
        <f t="shared" si="102"/>
        <v>90.420215207302761</v>
      </c>
    </row>
    <row r="1748" spans="1:13" ht="15" hidden="1" customHeight="1" x14ac:dyDescent="0.3">
      <c r="B1748" t="s">
        <v>266</v>
      </c>
      <c r="C1748" s="25">
        <v>44575</v>
      </c>
      <c r="D1748" s="26">
        <v>0.86645833333333344</v>
      </c>
      <c r="E1748" t="s">
        <v>24</v>
      </c>
      <c r="F1748" t="s">
        <v>175</v>
      </c>
      <c r="G1748" t="s">
        <v>172</v>
      </c>
      <c r="H1748" t="s">
        <v>250</v>
      </c>
      <c r="I1748">
        <v>205.57</v>
      </c>
      <c r="J1748" s="7">
        <v>0</v>
      </c>
      <c r="K1748" s="11">
        <f t="shared" si="103"/>
        <v>488.2</v>
      </c>
      <c r="L1748" s="7">
        <v>488.2</v>
      </c>
      <c r="M1748" s="10">
        <f t="shared" si="102"/>
        <v>42.107742728390001</v>
      </c>
    </row>
    <row r="1749" spans="1:13" ht="15" hidden="1" customHeight="1" x14ac:dyDescent="0.3">
      <c r="B1749" t="s">
        <v>266</v>
      </c>
      <c r="C1749" s="25">
        <v>44583</v>
      </c>
      <c r="D1749" s="26">
        <v>0.87476851851851845</v>
      </c>
      <c r="E1749" t="s">
        <v>24</v>
      </c>
      <c r="F1749" t="s">
        <v>210</v>
      </c>
      <c r="G1749" t="s">
        <v>211</v>
      </c>
      <c r="H1749" t="s">
        <v>250</v>
      </c>
      <c r="I1749">
        <v>400.07</v>
      </c>
      <c r="J1749" s="7">
        <v>0</v>
      </c>
      <c r="K1749" s="11">
        <f t="shared" si="103"/>
        <v>1701.67</v>
      </c>
      <c r="L1749" s="7">
        <v>1701.67</v>
      </c>
      <c r="M1749" s="10">
        <f t="shared" si="102"/>
        <v>23.510433867906233</v>
      </c>
    </row>
    <row r="1750" spans="1:13" ht="15" hidden="1" customHeight="1" x14ac:dyDescent="0.3">
      <c r="B1750" t="s">
        <v>266</v>
      </c>
      <c r="C1750" s="25">
        <v>44584</v>
      </c>
      <c r="D1750" s="26">
        <v>0.75855324074074071</v>
      </c>
      <c r="E1750" t="s">
        <v>24</v>
      </c>
      <c r="F1750" t="s">
        <v>278</v>
      </c>
      <c r="G1750" t="s">
        <v>279</v>
      </c>
      <c r="H1750" t="s">
        <v>250</v>
      </c>
      <c r="I1750">
        <v>325.06</v>
      </c>
      <c r="J1750" s="7">
        <v>0</v>
      </c>
      <c r="K1750" s="11">
        <f t="shared" si="103"/>
        <v>718.17</v>
      </c>
      <c r="L1750" s="7">
        <v>718.17</v>
      </c>
      <c r="M1750" s="10">
        <f t="shared" si="102"/>
        <v>45.262263809404466</v>
      </c>
    </row>
    <row r="1751" spans="1:13" ht="15" hidden="1" customHeight="1" x14ac:dyDescent="0.3">
      <c r="B1751" t="s">
        <v>266</v>
      </c>
      <c r="C1751" s="25">
        <v>44585</v>
      </c>
      <c r="D1751" s="26">
        <v>0.94870370370370372</v>
      </c>
      <c r="E1751" t="s">
        <v>24</v>
      </c>
      <c r="F1751" t="s">
        <v>202</v>
      </c>
      <c r="G1751" t="s">
        <v>203</v>
      </c>
      <c r="H1751" t="s">
        <v>250</v>
      </c>
      <c r="I1751">
        <v>297.61</v>
      </c>
      <c r="J1751" s="31">
        <v>0</v>
      </c>
      <c r="K1751" s="11">
        <f t="shared" si="103"/>
        <v>888.31</v>
      </c>
      <c r="L1751" s="35">
        <v>888.31</v>
      </c>
      <c r="M1751" s="10">
        <f t="shared" si="102"/>
        <v>33.502943792144642</v>
      </c>
    </row>
    <row r="1752" spans="1:13" ht="15" hidden="1" customHeight="1" x14ac:dyDescent="0.3">
      <c r="B1752" t="s">
        <v>266</v>
      </c>
      <c r="C1752" s="25">
        <v>44586</v>
      </c>
      <c r="D1752" s="26">
        <v>0.79010416666666661</v>
      </c>
      <c r="E1752" t="s">
        <v>24</v>
      </c>
      <c r="F1752" t="s">
        <v>165</v>
      </c>
      <c r="G1752" t="s">
        <v>185</v>
      </c>
      <c r="H1752" t="s">
        <v>250</v>
      </c>
      <c r="I1752">
        <v>287.01</v>
      </c>
      <c r="J1752" s="34">
        <v>0</v>
      </c>
      <c r="K1752" s="11">
        <f t="shared" si="103"/>
        <v>574.69000000000005</v>
      </c>
      <c r="L1752" s="7">
        <v>574.69000000000005</v>
      </c>
      <c r="M1752" s="10">
        <f t="shared" si="102"/>
        <v>49.941707703283505</v>
      </c>
    </row>
    <row r="1753" spans="1:13" ht="15" hidden="1" customHeight="1" x14ac:dyDescent="0.3">
      <c r="B1753" t="s">
        <v>266</v>
      </c>
      <c r="C1753" s="25">
        <v>44587</v>
      </c>
      <c r="D1753" s="26">
        <v>0.87344907407407402</v>
      </c>
      <c r="E1753" t="s">
        <v>24</v>
      </c>
      <c r="F1753" t="s">
        <v>169</v>
      </c>
      <c r="G1753" t="s">
        <v>196</v>
      </c>
      <c r="H1753" t="s">
        <v>250</v>
      </c>
      <c r="I1753">
        <v>374.1</v>
      </c>
      <c r="J1753" s="34">
        <v>0</v>
      </c>
      <c r="K1753" s="11">
        <f t="shared" si="103"/>
        <v>998.8</v>
      </c>
      <c r="L1753" s="33">
        <v>998.8</v>
      </c>
      <c r="M1753" s="10">
        <f t="shared" ref="M1753:M1784" si="104">I1753/K1753*100</f>
        <v>37.454945935122154</v>
      </c>
    </row>
    <row r="1754" spans="1:13" ht="15" hidden="1" customHeight="1" x14ac:dyDescent="0.3">
      <c r="A1754" s="9">
        <v>385</v>
      </c>
      <c r="B1754" t="s">
        <v>266</v>
      </c>
      <c r="C1754" s="25">
        <v>44593</v>
      </c>
      <c r="D1754" s="26">
        <v>0.49714120370370374</v>
      </c>
      <c r="E1754" t="s">
        <v>25</v>
      </c>
      <c r="F1754" t="s">
        <v>210</v>
      </c>
      <c r="G1754" t="s">
        <v>211</v>
      </c>
      <c r="H1754" t="s">
        <v>305</v>
      </c>
      <c r="I1754">
        <v>317.02</v>
      </c>
      <c r="J1754" s="7">
        <v>0</v>
      </c>
      <c r="K1754" s="11">
        <f t="shared" si="103"/>
        <v>849.16</v>
      </c>
      <c r="L1754" s="7">
        <v>849.16</v>
      </c>
      <c r="M1754" s="10">
        <f t="shared" si="104"/>
        <v>37.333364736916479</v>
      </c>
    </row>
    <row r="1755" spans="1:13" ht="15" hidden="1" customHeight="1" x14ac:dyDescent="0.3">
      <c r="A1755" s="9">
        <v>386</v>
      </c>
      <c r="B1755" t="s">
        <v>266</v>
      </c>
      <c r="C1755" s="25">
        <v>44594</v>
      </c>
      <c r="D1755" s="26">
        <v>0.87446759259259255</v>
      </c>
      <c r="E1755" t="s">
        <v>25</v>
      </c>
      <c r="F1755" t="s">
        <v>210</v>
      </c>
      <c r="G1755" t="s">
        <v>211</v>
      </c>
      <c r="H1755" t="s">
        <v>305</v>
      </c>
      <c r="I1755">
        <v>350.54</v>
      </c>
      <c r="J1755" s="7">
        <v>0</v>
      </c>
      <c r="K1755" s="11">
        <f t="shared" si="103"/>
        <v>1064.3800000000001</v>
      </c>
      <c r="L1755" s="7">
        <v>1064.3800000000001</v>
      </c>
      <c r="M1755" s="10">
        <f t="shared" si="104"/>
        <v>32.933726676562877</v>
      </c>
    </row>
    <row r="1756" spans="1:13" ht="15" hidden="1" customHeight="1" x14ac:dyDescent="0.3">
      <c r="A1756" s="9">
        <v>387</v>
      </c>
      <c r="B1756" t="s">
        <v>266</v>
      </c>
      <c r="C1756" s="25">
        <v>44596</v>
      </c>
      <c r="D1756" s="26">
        <v>0.75776620370370373</v>
      </c>
      <c r="E1756" t="s">
        <v>25</v>
      </c>
      <c r="F1756" t="s">
        <v>171</v>
      </c>
      <c r="G1756" t="s">
        <v>172</v>
      </c>
      <c r="H1756" t="s">
        <v>305</v>
      </c>
      <c r="I1756">
        <v>338.33</v>
      </c>
      <c r="J1756" s="7">
        <v>0</v>
      </c>
      <c r="K1756" s="11">
        <f t="shared" si="103"/>
        <v>1057.8599999999999</v>
      </c>
      <c r="L1756" s="34">
        <v>1057.8599999999999</v>
      </c>
      <c r="M1756" s="10">
        <f t="shared" si="104"/>
        <v>31.982492957480197</v>
      </c>
    </row>
    <row r="1757" spans="1:13" ht="15" hidden="1" customHeight="1" x14ac:dyDescent="0.3">
      <c r="A1757" s="9">
        <v>464</v>
      </c>
      <c r="B1757" t="s">
        <v>266</v>
      </c>
      <c r="C1757" s="25">
        <v>44598</v>
      </c>
      <c r="D1757" s="26">
        <v>0.18689814814814817</v>
      </c>
      <c r="E1757" t="s">
        <v>25</v>
      </c>
      <c r="F1757" t="s">
        <v>210</v>
      </c>
      <c r="G1757" t="s">
        <v>211</v>
      </c>
      <c r="H1757" t="s">
        <v>308</v>
      </c>
      <c r="I1757">
        <v>293.99</v>
      </c>
      <c r="J1757" s="35">
        <v>0</v>
      </c>
      <c r="K1757" s="11">
        <f t="shared" si="103"/>
        <v>720.25</v>
      </c>
      <c r="L1757" s="7">
        <v>720.25</v>
      </c>
      <c r="M1757" s="10">
        <f t="shared" si="104"/>
        <v>40.817771607080878</v>
      </c>
    </row>
    <row r="1758" spans="1:13" ht="15" hidden="1" customHeight="1" x14ac:dyDescent="0.3">
      <c r="A1758" s="9">
        <v>465</v>
      </c>
      <c r="B1758" t="s">
        <v>266</v>
      </c>
      <c r="C1758" s="25">
        <v>44598</v>
      </c>
      <c r="D1758" s="26">
        <v>0.87508101851851849</v>
      </c>
      <c r="E1758" t="s">
        <v>25</v>
      </c>
      <c r="F1758" t="s">
        <v>165</v>
      </c>
      <c r="G1758" t="s">
        <v>185</v>
      </c>
      <c r="H1758" t="s">
        <v>308</v>
      </c>
      <c r="I1758">
        <v>212.73</v>
      </c>
      <c r="J1758" s="7">
        <v>0</v>
      </c>
      <c r="K1758" s="11">
        <f t="shared" si="103"/>
        <v>521.58000000000004</v>
      </c>
      <c r="L1758" s="7">
        <v>521.58000000000004</v>
      </c>
      <c r="M1758" s="10">
        <f t="shared" si="104"/>
        <v>40.78568963533877</v>
      </c>
    </row>
    <row r="1759" spans="1:13" ht="15" hidden="1" customHeight="1" x14ac:dyDescent="0.3">
      <c r="A1759" s="9">
        <v>466</v>
      </c>
      <c r="B1759" t="s">
        <v>266</v>
      </c>
      <c r="C1759" s="25">
        <v>44599</v>
      </c>
      <c r="D1759" s="26">
        <v>0.92456018518518512</v>
      </c>
      <c r="E1759" t="s">
        <v>25</v>
      </c>
      <c r="F1759" t="s">
        <v>210</v>
      </c>
      <c r="G1759" t="s">
        <v>211</v>
      </c>
      <c r="H1759" t="s">
        <v>308</v>
      </c>
      <c r="I1759">
        <v>220.8</v>
      </c>
      <c r="J1759" s="7">
        <v>0</v>
      </c>
      <c r="K1759" s="11">
        <f t="shared" si="103"/>
        <v>573.12</v>
      </c>
      <c r="L1759" s="7">
        <v>573.12</v>
      </c>
      <c r="M1759" s="10">
        <f t="shared" si="104"/>
        <v>38.525963149078727</v>
      </c>
    </row>
    <row r="1760" spans="1:13" ht="15" hidden="1" customHeight="1" x14ac:dyDescent="0.3">
      <c r="A1760" s="9">
        <v>467</v>
      </c>
      <c r="B1760" t="s">
        <v>266</v>
      </c>
      <c r="C1760" s="25">
        <v>44601</v>
      </c>
      <c r="D1760" s="26">
        <v>0.41729166666666667</v>
      </c>
      <c r="E1760" t="s">
        <v>25</v>
      </c>
      <c r="F1760" t="s">
        <v>262</v>
      </c>
      <c r="G1760" t="s">
        <v>263</v>
      </c>
      <c r="H1760" t="s">
        <v>308</v>
      </c>
      <c r="I1760">
        <v>290.08999999999997</v>
      </c>
      <c r="J1760" s="34">
        <v>0</v>
      </c>
      <c r="K1760" s="11">
        <f t="shared" si="103"/>
        <v>887.37</v>
      </c>
      <c r="L1760" s="38">
        <v>887.37</v>
      </c>
      <c r="M1760" s="10">
        <f t="shared" si="104"/>
        <v>32.690985721852215</v>
      </c>
    </row>
    <row r="1761" spans="1:13" ht="15" hidden="1" customHeight="1" x14ac:dyDescent="0.3">
      <c r="A1761" s="9">
        <v>468</v>
      </c>
      <c r="B1761" t="s">
        <v>266</v>
      </c>
      <c r="C1761" s="25">
        <v>44603</v>
      </c>
      <c r="D1761" s="26">
        <v>0.6086921296296296</v>
      </c>
      <c r="E1761" t="s">
        <v>25</v>
      </c>
      <c r="F1761" t="s">
        <v>210</v>
      </c>
      <c r="G1761" t="s">
        <v>211</v>
      </c>
      <c r="H1761" t="s">
        <v>308</v>
      </c>
      <c r="I1761">
        <v>400</v>
      </c>
      <c r="J1761" s="34">
        <v>0</v>
      </c>
      <c r="K1761" s="11">
        <f t="shared" si="103"/>
        <v>967.61</v>
      </c>
      <c r="L1761" s="7">
        <v>967.61</v>
      </c>
      <c r="M1761" s="10">
        <f t="shared" si="104"/>
        <v>41.338969212802681</v>
      </c>
    </row>
    <row r="1762" spans="1:13" ht="15" hidden="1" customHeight="1" x14ac:dyDescent="0.3">
      <c r="A1762" s="9">
        <v>469</v>
      </c>
      <c r="B1762" t="s">
        <v>266</v>
      </c>
      <c r="C1762" s="25">
        <v>44604</v>
      </c>
      <c r="D1762" s="26">
        <v>0.61946759259259265</v>
      </c>
      <c r="E1762" t="s">
        <v>25</v>
      </c>
      <c r="F1762" t="s">
        <v>321</v>
      </c>
      <c r="G1762" t="s">
        <v>436</v>
      </c>
      <c r="H1762" t="s">
        <v>308</v>
      </c>
      <c r="I1762" s="8">
        <v>210.27</v>
      </c>
      <c r="J1762" s="7">
        <v>0</v>
      </c>
      <c r="K1762" s="11">
        <f t="shared" si="103"/>
        <v>538.69000000000005</v>
      </c>
      <c r="L1762" s="31">
        <v>538.69000000000005</v>
      </c>
      <c r="M1762" s="10">
        <f t="shared" si="104"/>
        <v>39.033581466149357</v>
      </c>
    </row>
    <row r="1763" spans="1:13" ht="15" hidden="1" customHeight="1" x14ac:dyDescent="0.3">
      <c r="A1763" s="9">
        <v>470</v>
      </c>
      <c r="B1763" t="s">
        <v>266</v>
      </c>
      <c r="C1763" s="25">
        <v>44606</v>
      </c>
      <c r="D1763" s="26">
        <v>0.34484953703703702</v>
      </c>
      <c r="E1763" t="s">
        <v>25</v>
      </c>
      <c r="F1763" t="s">
        <v>446</v>
      </c>
      <c r="G1763" t="s">
        <v>402</v>
      </c>
      <c r="H1763" t="s">
        <v>308</v>
      </c>
      <c r="I1763" s="8">
        <v>176.83</v>
      </c>
      <c r="J1763" s="31">
        <v>0</v>
      </c>
      <c r="K1763" s="11">
        <f t="shared" si="103"/>
        <v>922.43</v>
      </c>
      <c r="L1763" s="7">
        <v>922.43</v>
      </c>
      <c r="M1763" s="10">
        <f t="shared" si="104"/>
        <v>19.170018321173423</v>
      </c>
    </row>
    <row r="1764" spans="1:13" ht="15" hidden="1" customHeight="1" x14ac:dyDescent="0.3">
      <c r="A1764" s="9">
        <v>471</v>
      </c>
      <c r="B1764" t="s">
        <v>266</v>
      </c>
      <c r="C1764" s="25">
        <v>44606</v>
      </c>
      <c r="D1764" s="26">
        <v>0.56714120370370369</v>
      </c>
      <c r="E1764" t="s">
        <v>25</v>
      </c>
      <c r="F1764" t="s">
        <v>391</v>
      </c>
      <c r="G1764" t="s">
        <v>392</v>
      </c>
      <c r="H1764" t="s">
        <v>308</v>
      </c>
      <c r="I1764">
        <v>190</v>
      </c>
      <c r="J1764" s="7">
        <v>0</v>
      </c>
      <c r="K1764" s="11">
        <f t="shared" si="103"/>
        <v>245.79</v>
      </c>
      <c r="L1764" s="7">
        <v>245.79</v>
      </c>
      <c r="M1764" s="10">
        <f t="shared" si="104"/>
        <v>77.301761666463236</v>
      </c>
    </row>
    <row r="1765" spans="1:13" ht="15" hidden="1" customHeight="1" x14ac:dyDescent="0.3">
      <c r="A1765" s="9">
        <v>776</v>
      </c>
      <c r="B1765" t="s">
        <v>266</v>
      </c>
      <c r="C1765" s="25">
        <v>44615</v>
      </c>
      <c r="D1765" s="26">
        <v>0.41502314814814811</v>
      </c>
      <c r="E1765" t="s">
        <v>25</v>
      </c>
      <c r="F1765" t="s">
        <v>175</v>
      </c>
      <c r="G1765" t="s">
        <v>172</v>
      </c>
      <c r="H1765" t="s">
        <v>250</v>
      </c>
      <c r="I1765">
        <v>152.44999999999999</v>
      </c>
      <c r="J1765" s="7">
        <v>0</v>
      </c>
      <c r="K1765" s="11">
        <f t="shared" si="103"/>
        <v>399.32</v>
      </c>
      <c r="L1765" s="7">
        <v>399.32</v>
      </c>
      <c r="M1765" s="10">
        <f t="shared" si="104"/>
        <v>38.177401582690571</v>
      </c>
    </row>
    <row r="1766" spans="1:13" ht="15" hidden="1" customHeight="1" x14ac:dyDescent="0.3">
      <c r="A1766" s="9">
        <v>777</v>
      </c>
      <c r="B1766" t="s">
        <v>266</v>
      </c>
      <c r="C1766" s="25">
        <v>44616</v>
      </c>
      <c r="D1766" s="26">
        <v>0.50350694444444444</v>
      </c>
      <c r="E1766" t="s">
        <v>25</v>
      </c>
      <c r="F1766" t="s">
        <v>210</v>
      </c>
      <c r="G1766" t="s">
        <v>211</v>
      </c>
      <c r="H1766" t="s">
        <v>250</v>
      </c>
      <c r="I1766">
        <v>366.31</v>
      </c>
      <c r="J1766" s="7">
        <v>0</v>
      </c>
      <c r="K1766" s="11">
        <f t="shared" si="103"/>
        <v>834.36</v>
      </c>
      <c r="L1766" s="31">
        <v>834.36</v>
      </c>
      <c r="M1766" s="10">
        <f t="shared" si="104"/>
        <v>43.903111366796104</v>
      </c>
    </row>
    <row r="1767" spans="1:13" ht="15" hidden="1" customHeight="1" x14ac:dyDescent="0.3">
      <c r="A1767" s="9">
        <v>778</v>
      </c>
      <c r="B1767" t="s">
        <v>266</v>
      </c>
      <c r="C1767" s="25">
        <v>44617</v>
      </c>
      <c r="D1767" s="26">
        <v>0.83629629629629632</v>
      </c>
      <c r="E1767" t="s">
        <v>25</v>
      </c>
      <c r="F1767" t="s">
        <v>210</v>
      </c>
      <c r="G1767" t="s">
        <v>211</v>
      </c>
      <c r="H1767" t="s">
        <v>250</v>
      </c>
      <c r="I1767">
        <v>430</v>
      </c>
      <c r="J1767" s="35">
        <v>0</v>
      </c>
      <c r="K1767" s="11">
        <f t="shared" si="103"/>
        <v>1066.1300000000001</v>
      </c>
      <c r="L1767" s="7">
        <v>1066.1300000000001</v>
      </c>
      <c r="M1767" s="10">
        <f t="shared" si="104"/>
        <v>40.33279243619446</v>
      </c>
    </row>
    <row r="1768" spans="1:13" ht="15" hidden="1" customHeight="1" x14ac:dyDescent="0.3">
      <c r="A1768" s="9">
        <v>779</v>
      </c>
      <c r="B1768" t="s">
        <v>266</v>
      </c>
      <c r="C1768" s="25">
        <v>44620</v>
      </c>
      <c r="D1768" s="26">
        <v>0.33302083333333332</v>
      </c>
      <c r="E1768" t="s">
        <v>25</v>
      </c>
      <c r="F1768" t="s">
        <v>175</v>
      </c>
      <c r="G1768" t="s">
        <v>172</v>
      </c>
      <c r="H1768" t="s">
        <v>250</v>
      </c>
      <c r="I1768">
        <v>414.85</v>
      </c>
      <c r="J1768" s="7">
        <v>0</v>
      </c>
      <c r="K1768" s="11">
        <f t="shared" si="103"/>
        <v>1081.3399999999999</v>
      </c>
      <c r="L1768" s="7">
        <v>1081.3399999999999</v>
      </c>
      <c r="M1768" s="10">
        <f t="shared" si="104"/>
        <v>38.364436717406186</v>
      </c>
    </row>
    <row r="1769" spans="1:13" ht="15" hidden="1" customHeight="1" x14ac:dyDescent="0.3">
      <c r="A1769" s="9">
        <v>1897</v>
      </c>
      <c r="B1769" t="s">
        <v>266</v>
      </c>
      <c r="C1769" s="25">
        <v>44621</v>
      </c>
      <c r="D1769" s="26">
        <v>0.74386574074074074</v>
      </c>
      <c r="E1769" t="s">
        <v>26</v>
      </c>
      <c r="F1769" t="s">
        <v>210</v>
      </c>
      <c r="G1769" t="s">
        <v>211</v>
      </c>
      <c r="H1769" t="s">
        <v>250</v>
      </c>
      <c r="I1769">
        <v>373.16</v>
      </c>
      <c r="J1769" s="34">
        <v>0</v>
      </c>
      <c r="K1769" s="89">
        <f t="shared" si="103"/>
        <v>837.49</v>
      </c>
      <c r="L1769" s="34">
        <v>837.49</v>
      </c>
      <c r="M1769" s="10">
        <f t="shared" si="104"/>
        <v>44.556949933730557</v>
      </c>
    </row>
    <row r="1770" spans="1:13" ht="15" hidden="1" customHeight="1" x14ac:dyDescent="0.3">
      <c r="A1770" s="9">
        <v>1898</v>
      </c>
      <c r="B1770" t="s">
        <v>266</v>
      </c>
      <c r="C1770" s="25">
        <v>44622</v>
      </c>
      <c r="D1770" s="26">
        <v>0.49081018518518515</v>
      </c>
      <c r="E1770" t="s">
        <v>26</v>
      </c>
      <c r="F1770" t="s">
        <v>165</v>
      </c>
      <c r="G1770" t="s">
        <v>185</v>
      </c>
      <c r="H1770" t="s">
        <v>250</v>
      </c>
      <c r="I1770">
        <v>279.01</v>
      </c>
      <c r="J1770" s="7">
        <v>0</v>
      </c>
      <c r="K1770" s="89">
        <f t="shared" si="103"/>
        <v>549.21</v>
      </c>
      <c r="L1770" s="7">
        <v>549.21</v>
      </c>
      <c r="M1770" s="10">
        <f t="shared" si="104"/>
        <v>50.802061142368125</v>
      </c>
    </row>
    <row r="1771" spans="1:13" ht="15" hidden="1" customHeight="1" x14ac:dyDescent="0.3">
      <c r="A1771" s="9">
        <v>1899</v>
      </c>
      <c r="B1771" t="s">
        <v>266</v>
      </c>
      <c r="C1771" s="25">
        <v>44623</v>
      </c>
      <c r="D1771" s="26">
        <v>0.36456018518518518</v>
      </c>
      <c r="E1771" t="s">
        <v>26</v>
      </c>
      <c r="F1771" t="s">
        <v>210</v>
      </c>
      <c r="G1771" t="s">
        <v>211</v>
      </c>
      <c r="H1771" t="s">
        <v>250</v>
      </c>
      <c r="I1771">
        <v>214.07</v>
      </c>
      <c r="J1771" s="7">
        <v>0</v>
      </c>
      <c r="K1771" s="89">
        <f t="shared" ref="K1771:K1796" si="105">+L1771-J1771</f>
        <v>574.36</v>
      </c>
      <c r="L1771" s="7">
        <v>574.36</v>
      </c>
      <c r="M1771" s="36">
        <f t="shared" si="104"/>
        <v>37.271049515983009</v>
      </c>
    </row>
    <row r="1772" spans="1:13" ht="15" hidden="1" customHeight="1" x14ac:dyDescent="0.3">
      <c r="A1772" s="9">
        <v>1900</v>
      </c>
      <c r="B1772" t="s">
        <v>266</v>
      </c>
      <c r="C1772" s="25">
        <v>44624</v>
      </c>
      <c r="D1772" s="26">
        <v>0.86462962962962964</v>
      </c>
      <c r="E1772" t="s">
        <v>26</v>
      </c>
      <c r="F1772" t="s">
        <v>175</v>
      </c>
      <c r="G1772" t="s">
        <v>172</v>
      </c>
      <c r="H1772" t="s">
        <v>250</v>
      </c>
      <c r="I1772">
        <v>369.57</v>
      </c>
      <c r="J1772" s="7">
        <v>0</v>
      </c>
      <c r="K1772" s="89">
        <f t="shared" si="105"/>
        <v>978.76</v>
      </c>
      <c r="L1772" s="7">
        <v>978.76</v>
      </c>
      <c r="M1772" s="36">
        <f t="shared" si="104"/>
        <v>37.759001185173076</v>
      </c>
    </row>
    <row r="1773" spans="1:13" ht="15" hidden="1" customHeight="1" x14ac:dyDescent="0.3">
      <c r="A1773" s="9">
        <v>1901</v>
      </c>
      <c r="B1773" t="s">
        <v>266</v>
      </c>
      <c r="C1773" s="25">
        <v>44626</v>
      </c>
      <c r="D1773" s="26">
        <v>0.12813657407407408</v>
      </c>
      <c r="E1773" t="s">
        <v>26</v>
      </c>
      <c r="F1773" t="s">
        <v>210</v>
      </c>
      <c r="G1773" t="s">
        <v>211</v>
      </c>
      <c r="H1773" t="s">
        <v>250</v>
      </c>
      <c r="I1773">
        <v>345.57</v>
      </c>
      <c r="J1773" s="34">
        <v>0</v>
      </c>
      <c r="K1773" s="89">
        <f t="shared" si="105"/>
        <v>829.27</v>
      </c>
      <c r="L1773" s="7">
        <v>829.27</v>
      </c>
      <c r="M1773" s="36">
        <f t="shared" si="104"/>
        <v>41.671590676136844</v>
      </c>
    </row>
    <row r="1774" spans="1:13" ht="15" hidden="1" customHeight="1" x14ac:dyDescent="0.3">
      <c r="A1774" s="9">
        <v>1902</v>
      </c>
      <c r="B1774" t="s">
        <v>266</v>
      </c>
      <c r="C1774" s="25">
        <v>44627</v>
      </c>
      <c r="D1774" s="26">
        <v>0.70925925925925926</v>
      </c>
      <c r="E1774" t="s">
        <v>26</v>
      </c>
      <c r="F1774" t="s">
        <v>210</v>
      </c>
      <c r="G1774" t="s">
        <v>211</v>
      </c>
      <c r="H1774" t="s">
        <v>250</v>
      </c>
      <c r="I1774">
        <v>390.21</v>
      </c>
      <c r="J1774" s="7">
        <v>0</v>
      </c>
      <c r="K1774" s="89">
        <f t="shared" si="105"/>
        <v>1065.57</v>
      </c>
      <c r="L1774" s="7">
        <v>1065.57</v>
      </c>
      <c r="M1774" s="36">
        <f t="shared" si="104"/>
        <v>36.619837270193415</v>
      </c>
    </row>
    <row r="1775" spans="1:13" ht="15" hidden="1" customHeight="1" x14ac:dyDescent="0.3">
      <c r="A1775" s="9">
        <v>1903</v>
      </c>
      <c r="B1775" t="s">
        <v>266</v>
      </c>
      <c r="C1775" s="25">
        <v>44630</v>
      </c>
      <c r="D1775" s="26">
        <v>0.9874074074074074</v>
      </c>
      <c r="E1775" t="s">
        <v>26</v>
      </c>
      <c r="F1775" t="s">
        <v>175</v>
      </c>
      <c r="G1775" t="s">
        <v>172</v>
      </c>
      <c r="H1775" t="s">
        <v>250</v>
      </c>
      <c r="I1775">
        <v>200.03</v>
      </c>
      <c r="J1775" s="7">
        <v>0</v>
      </c>
      <c r="K1775" s="89">
        <f t="shared" si="105"/>
        <v>1234.0999999999999</v>
      </c>
      <c r="L1775" s="7">
        <v>1234.0999999999999</v>
      </c>
      <c r="M1775" s="36">
        <f t="shared" si="104"/>
        <v>16.208573049185642</v>
      </c>
    </row>
    <row r="1776" spans="1:13" ht="15" hidden="1" customHeight="1" x14ac:dyDescent="0.3">
      <c r="A1776" s="9">
        <v>1904</v>
      </c>
      <c r="B1776" t="s">
        <v>266</v>
      </c>
      <c r="C1776" s="25">
        <v>44631</v>
      </c>
      <c r="D1776" s="26">
        <v>0.50888888888888884</v>
      </c>
      <c r="E1776" t="s">
        <v>26</v>
      </c>
      <c r="F1776" t="s">
        <v>175</v>
      </c>
      <c r="G1776" t="s">
        <v>172</v>
      </c>
      <c r="H1776" t="s">
        <v>250</v>
      </c>
      <c r="I1776">
        <v>334.8</v>
      </c>
      <c r="J1776" s="34">
        <v>0</v>
      </c>
      <c r="K1776" s="89">
        <f t="shared" si="105"/>
        <v>177.59</v>
      </c>
      <c r="L1776" s="7">
        <v>177.59</v>
      </c>
      <c r="M1776" s="36">
        <f t="shared" si="104"/>
        <v>188.5241286108452</v>
      </c>
    </row>
    <row r="1777" spans="1:13" ht="15" hidden="1" customHeight="1" x14ac:dyDescent="0.3">
      <c r="A1777" s="9">
        <v>1905</v>
      </c>
      <c r="B1777" t="s">
        <v>266</v>
      </c>
      <c r="C1777" s="25">
        <v>44632</v>
      </c>
      <c r="D1777" s="26">
        <v>0.48409722222222223</v>
      </c>
      <c r="E1777" t="s">
        <v>26</v>
      </c>
      <c r="F1777" t="s">
        <v>210</v>
      </c>
      <c r="G1777" t="s">
        <v>211</v>
      </c>
      <c r="H1777" t="s">
        <v>250</v>
      </c>
      <c r="I1777">
        <f>20.63+285.19</f>
        <v>305.82</v>
      </c>
      <c r="J1777" s="34">
        <v>0</v>
      </c>
      <c r="K1777" s="97">
        <f t="shared" si="105"/>
        <v>698.64</v>
      </c>
      <c r="L1777" s="34">
        <v>698.64</v>
      </c>
      <c r="M1777" s="10">
        <f t="shared" si="104"/>
        <v>43.773617313637928</v>
      </c>
    </row>
    <row r="1778" spans="1:13" ht="15" hidden="1" customHeight="1" x14ac:dyDescent="0.3">
      <c r="A1778" s="9">
        <v>1906</v>
      </c>
      <c r="B1778" t="s">
        <v>266</v>
      </c>
      <c r="C1778" s="25">
        <v>44633</v>
      </c>
      <c r="D1778" s="26">
        <v>0.62607638888888884</v>
      </c>
      <c r="E1778" t="s">
        <v>26</v>
      </c>
      <c r="F1778" t="s">
        <v>210</v>
      </c>
      <c r="G1778" t="s">
        <v>211</v>
      </c>
      <c r="H1778" t="s">
        <v>250</v>
      </c>
      <c r="I1778">
        <v>324.58999999999997</v>
      </c>
      <c r="J1778" s="34">
        <v>0</v>
      </c>
      <c r="K1778" s="100">
        <f t="shared" si="105"/>
        <v>892.5</v>
      </c>
      <c r="L1778" s="35">
        <v>892.5</v>
      </c>
      <c r="M1778" s="10">
        <f t="shared" si="104"/>
        <v>36.368627450980391</v>
      </c>
    </row>
    <row r="1779" spans="1:13" ht="14.25" hidden="1" customHeight="1" x14ac:dyDescent="0.3">
      <c r="A1779" s="9">
        <v>1907</v>
      </c>
      <c r="B1779" t="s">
        <v>266</v>
      </c>
      <c r="C1779" s="25">
        <v>44634</v>
      </c>
      <c r="D1779" s="26">
        <v>0.93134259259259267</v>
      </c>
      <c r="E1779" t="s">
        <v>26</v>
      </c>
      <c r="F1779" t="s">
        <v>171</v>
      </c>
      <c r="G1779" t="s">
        <v>172</v>
      </c>
      <c r="H1779" t="s">
        <v>250</v>
      </c>
      <c r="I1779">
        <v>186.09</v>
      </c>
      <c r="J1779" s="7">
        <v>0</v>
      </c>
      <c r="K1779" s="99">
        <f t="shared" si="105"/>
        <v>1054.46</v>
      </c>
      <c r="L1779" s="31">
        <v>1054.46</v>
      </c>
      <c r="M1779" s="10">
        <f t="shared" si="104"/>
        <v>17.647895605333535</v>
      </c>
    </row>
    <row r="1780" spans="1:13" ht="15" hidden="1" customHeight="1" x14ac:dyDescent="0.3">
      <c r="A1780" s="9">
        <v>1908</v>
      </c>
      <c r="B1780" t="s">
        <v>266</v>
      </c>
      <c r="C1780" s="25">
        <v>44635</v>
      </c>
      <c r="D1780" s="26">
        <v>0.68868055555555552</v>
      </c>
      <c r="E1780" t="s">
        <v>26</v>
      </c>
      <c r="F1780" t="s">
        <v>171</v>
      </c>
      <c r="G1780" t="s">
        <v>172</v>
      </c>
      <c r="H1780" t="s">
        <v>250</v>
      </c>
      <c r="I1780">
        <v>241.7</v>
      </c>
      <c r="J1780" s="7">
        <v>0</v>
      </c>
      <c r="K1780" s="90">
        <f t="shared" si="105"/>
        <v>145.38999999999999</v>
      </c>
      <c r="L1780" s="7">
        <v>145.38999999999999</v>
      </c>
      <c r="M1780" s="10">
        <f t="shared" si="104"/>
        <v>166.24252011830251</v>
      </c>
    </row>
    <row r="1781" spans="1:13" ht="15" hidden="1" customHeight="1" x14ac:dyDescent="0.3">
      <c r="A1781" s="9">
        <v>1909</v>
      </c>
      <c r="B1781" t="s">
        <v>266</v>
      </c>
      <c r="C1781" s="25">
        <v>44636</v>
      </c>
      <c r="D1781" s="26">
        <v>0.56748842592592597</v>
      </c>
      <c r="E1781" t="s">
        <v>26</v>
      </c>
      <c r="F1781" t="s">
        <v>210</v>
      </c>
      <c r="G1781" t="s">
        <v>211</v>
      </c>
      <c r="H1781" t="s">
        <v>250</v>
      </c>
      <c r="I1781">
        <v>293.45999999999998</v>
      </c>
      <c r="J1781" s="7">
        <v>0</v>
      </c>
      <c r="K1781" s="99">
        <f t="shared" si="105"/>
        <v>694.49</v>
      </c>
      <c r="L1781" s="31">
        <v>694.49</v>
      </c>
      <c r="M1781" s="10">
        <f t="shared" si="104"/>
        <v>42.255468041296488</v>
      </c>
    </row>
    <row r="1782" spans="1:13" ht="15" hidden="1" customHeight="1" x14ac:dyDescent="0.3">
      <c r="A1782" s="9">
        <v>1910</v>
      </c>
      <c r="B1782" t="s">
        <v>266</v>
      </c>
      <c r="C1782" s="25">
        <v>44637</v>
      </c>
      <c r="D1782" s="26">
        <v>0.8194907407407408</v>
      </c>
      <c r="E1782" t="s">
        <v>26</v>
      </c>
      <c r="F1782" t="s">
        <v>210</v>
      </c>
      <c r="G1782" t="s">
        <v>211</v>
      </c>
      <c r="H1782" t="s">
        <v>250</v>
      </c>
      <c r="I1782">
        <f>193.5+203.72</f>
        <v>397.22</v>
      </c>
      <c r="J1782" s="7">
        <v>0</v>
      </c>
      <c r="K1782" s="90">
        <f t="shared" si="105"/>
        <v>1065.47</v>
      </c>
      <c r="L1782" s="7">
        <v>1065.47</v>
      </c>
      <c r="M1782" s="10">
        <f t="shared" si="104"/>
        <v>37.281199846077314</v>
      </c>
    </row>
    <row r="1783" spans="1:13" ht="15" hidden="1" customHeight="1" x14ac:dyDescent="0.3">
      <c r="A1783" s="9">
        <v>1911</v>
      </c>
      <c r="B1783" t="s">
        <v>266</v>
      </c>
      <c r="C1783" s="25">
        <v>44648</v>
      </c>
      <c r="D1783" s="26">
        <v>0.85303240740740749</v>
      </c>
      <c r="E1783" t="s">
        <v>26</v>
      </c>
      <c r="F1783" t="s">
        <v>175</v>
      </c>
      <c r="G1783" t="s">
        <v>172</v>
      </c>
      <c r="H1783" t="s">
        <v>250</v>
      </c>
      <c r="I1783">
        <v>480.49</v>
      </c>
      <c r="J1783" s="31">
        <v>0</v>
      </c>
      <c r="K1783" s="100">
        <f t="shared" si="105"/>
        <v>1316.61</v>
      </c>
      <c r="L1783" s="34">
        <v>1316.61</v>
      </c>
      <c r="M1783" s="10">
        <f t="shared" si="104"/>
        <v>36.494482040999237</v>
      </c>
    </row>
    <row r="1784" spans="1:13" ht="15" hidden="1" customHeight="1" x14ac:dyDescent="0.3">
      <c r="A1784" s="9">
        <v>3172</v>
      </c>
      <c r="B1784" t="s">
        <v>266</v>
      </c>
      <c r="C1784" s="25">
        <v>44652</v>
      </c>
      <c r="D1784" s="26">
        <v>0.47828703703703707</v>
      </c>
      <c r="E1784" t="s">
        <v>27</v>
      </c>
      <c r="F1784" t="s">
        <v>171</v>
      </c>
      <c r="G1784" t="s">
        <v>172</v>
      </c>
      <c r="H1784" t="s">
        <v>250</v>
      </c>
      <c r="I1784" s="4">
        <v>231.56</v>
      </c>
      <c r="J1784" s="31">
        <v>0</v>
      </c>
      <c r="K1784" s="100">
        <f t="shared" si="105"/>
        <v>586.23</v>
      </c>
      <c r="L1784" s="34">
        <v>586.23</v>
      </c>
      <c r="M1784" s="10">
        <f t="shared" si="104"/>
        <v>39.49985500571448</v>
      </c>
    </row>
    <row r="1785" spans="1:13" ht="15" hidden="1" customHeight="1" x14ac:dyDescent="0.3">
      <c r="A1785" s="9">
        <v>3173</v>
      </c>
      <c r="B1785" t="s">
        <v>266</v>
      </c>
      <c r="C1785" s="25">
        <v>44653</v>
      </c>
      <c r="D1785" s="26">
        <v>0.63711805555555556</v>
      </c>
      <c r="E1785" t="s">
        <v>27</v>
      </c>
      <c r="F1785" t="s">
        <v>210</v>
      </c>
      <c r="G1785" t="s">
        <v>211</v>
      </c>
      <c r="H1785" t="s">
        <v>250</v>
      </c>
      <c r="I1785" s="4">
        <v>275.10000000000002</v>
      </c>
      <c r="J1785" s="31">
        <v>0</v>
      </c>
      <c r="K1785" s="99">
        <f t="shared" si="105"/>
        <v>694.88</v>
      </c>
      <c r="L1785" s="31">
        <v>694.88</v>
      </c>
      <c r="M1785" s="10">
        <f t="shared" ref="M1785:M1796" si="106">I1785/K1785*100</f>
        <v>39.589569422058489</v>
      </c>
    </row>
    <row r="1786" spans="1:13" ht="15" hidden="1" customHeight="1" x14ac:dyDescent="0.3">
      <c r="A1786" s="9">
        <v>3174</v>
      </c>
      <c r="B1786" t="s">
        <v>266</v>
      </c>
      <c r="C1786" s="25">
        <v>44654</v>
      </c>
      <c r="D1786" s="26">
        <v>0.68611111111111101</v>
      </c>
      <c r="E1786" t="s">
        <v>27</v>
      </c>
      <c r="F1786" t="s">
        <v>165</v>
      </c>
      <c r="G1786" t="s">
        <v>185</v>
      </c>
      <c r="H1786" t="s">
        <v>250</v>
      </c>
      <c r="I1786" s="4">
        <v>282.02</v>
      </c>
      <c r="J1786" s="7">
        <v>0</v>
      </c>
      <c r="K1786" s="90">
        <f t="shared" si="105"/>
        <v>549.39</v>
      </c>
      <c r="L1786" s="7">
        <v>549.39</v>
      </c>
      <c r="M1786" s="10">
        <f t="shared" si="106"/>
        <v>51.333296929321612</v>
      </c>
    </row>
    <row r="1787" spans="1:13" ht="15" hidden="1" customHeight="1" x14ac:dyDescent="0.3">
      <c r="A1787" s="9">
        <v>3175</v>
      </c>
      <c r="B1787" t="s">
        <v>266</v>
      </c>
      <c r="C1787" s="25">
        <v>44655</v>
      </c>
      <c r="D1787" s="26">
        <v>0.87726851851851861</v>
      </c>
      <c r="E1787" t="s">
        <v>27</v>
      </c>
      <c r="F1787" t="s">
        <v>210</v>
      </c>
      <c r="G1787" t="s">
        <v>211</v>
      </c>
      <c r="H1787" t="s">
        <v>250</v>
      </c>
      <c r="I1787" s="4">
        <v>223.48</v>
      </c>
      <c r="J1787" s="34">
        <v>0</v>
      </c>
      <c r="K1787" s="97">
        <f t="shared" si="105"/>
        <v>574.54</v>
      </c>
      <c r="L1787" s="37">
        <v>574.54</v>
      </c>
      <c r="M1787" s="10">
        <f t="shared" si="106"/>
        <v>38.897204720297978</v>
      </c>
    </row>
    <row r="1788" spans="1:13" ht="15" hidden="1" customHeight="1" x14ac:dyDescent="0.3">
      <c r="A1788" s="9">
        <v>3176</v>
      </c>
      <c r="B1788" t="s">
        <v>266</v>
      </c>
      <c r="C1788" s="25">
        <v>44658</v>
      </c>
      <c r="D1788" s="26">
        <v>0.64482638888888888</v>
      </c>
      <c r="E1788" t="s">
        <v>27</v>
      </c>
      <c r="F1788" t="s">
        <v>197</v>
      </c>
      <c r="G1788" t="s">
        <v>44</v>
      </c>
      <c r="H1788" t="s">
        <v>250</v>
      </c>
      <c r="I1788" s="4">
        <v>100.3</v>
      </c>
      <c r="J1788" s="34">
        <v>0</v>
      </c>
      <c r="K1788" s="97">
        <f t="shared" si="105"/>
        <v>1209.2</v>
      </c>
      <c r="L1788" s="34">
        <v>1209.2</v>
      </c>
      <c r="M1788" s="10">
        <f t="shared" si="106"/>
        <v>8.2947403241812765</v>
      </c>
    </row>
    <row r="1789" spans="1:13" ht="15" hidden="1" customHeight="1" x14ac:dyDescent="0.3">
      <c r="A1789" s="9">
        <v>3177</v>
      </c>
      <c r="B1789" t="s">
        <v>266</v>
      </c>
      <c r="C1789" s="25">
        <v>44658</v>
      </c>
      <c r="D1789" s="26">
        <v>0.83932870370370372</v>
      </c>
      <c r="E1789" t="s">
        <v>27</v>
      </c>
      <c r="F1789" t="s">
        <v>311</v>
      </c>
      <c r="G1789" t="s">
        <v>303</v>
      </c>
      <c r="H1789" t="s">
        <v>250</v>
      </c>
      <c r="I1789" s="4">
        <v>375.97</v>
      </c>
      <c r="J1789" s="7">
        <v>0</v>
      </c>
      <c r="K1789" s="90">
        <f t="shared" si="105"/>
        <v>1366</v>
      </c>
      <c r="L1789" s="7">
        <v>1366</v>
      </c>
      <c r="M1789" s="10">
        <f t="shared" si="106"/>
        <v>27.52342606149341</v>
      </c>
    </row>
    <row r="1790" spans="1:13" ht="15" hidden="1" customHeight="1" x14ac:dyDescent="0.3">
      <c r="A1790" s="9">
        <v>3178</v>
      </c>
      <c r="B1790" t="s">
        <v>266</v>
      </c>
      <c r="C1790" s="25">
        <v>44659</v>
      </c>
      <c r="D1790" s="26">
        <v>0.46164351851851854</v>
      </c>
      <c r="E1790" t="s">
        <v>27</v>
      </c>
      <c r="F1790" t="s">
        <v>166</v>
      </c>
      <c r="G1790" t="s">
        <v>161</v>
      </c>
      <c r="H1790" t="s">
        <v>250</v>
      </c>
      <c r="I1790" s="4">
        <v>172.55</v>
      </c>
      <c r="J1790" s="7">
        <v>0</v>
      </c>
      <c r="K1790" s="90">
        <f t="shared" si="105"/>
        <v>513</v>
      </c>
      <c r="L1790" s="32">
        <v>513</v>
      </c>
      <c r="M1790" s="10">
        <f t="shared" si="106"/>
        <v>33.635477582846008</v>
      </c>
    </row>
    <row r="1791" spans="1:13" ht="15" hidden="1" customHeight="1" x14ac:dyDescent="0.3">
      <c r="A1791" s="9">
        <v>3179</v>
      </c>
      <c r="B1791" t="s">
        <v>266</v>
      </c>
      <c r="C1791" s="25">
        <v>44662</v>
      </c>
      <c r="D1791" s="26">
        <v>0.45915509259259263</v>
      </c>
      <c r="E1791" t="s">
        <v>27</v>
      </c>
      <c r="F1791" t="s">
        <v>533</v>
      </c>
      <c r="G1791" t="s">
        <v>45</v>
      </c>
      <c r="H1791" t="s">
        <v>250</v>
      </c>
      <c r="I1791" s="4">
        <v>302.5</v>
      </c>
      <c r="J1791" s="31">
        <v>0</v>
      </c>
      <c r="K1791" s="99">
        <f t="shared" si="105"/>
        <v>721.56</v>
      </c>
      <c r="L1791" s="7">
        <v>721.56</v>
      </c>
      <c r="M1791" s="10">
        <f t="shared" si="106"/>
        <v>41.923055601751763</v>
      </c>
    </row>
    <row r="1792" spans="1:13" ht="15" hidden="1" customHeight="1" x14ac:dyDescent="0.3">
      <c r="A1792" s="9">
        <v>3180</v>
      </c>
      <c r="B1792" t="s">
        <v>266</v>
      </c>
      <c r="C1792" s="25">
        <v>44663</v>
      </c>
      <c r="D1792" s="26">
        <v>0.37281249999999999</v>
      </c>
      <c r="E1792" t="s">
        <v>27</v>
      </c>
      <c r="F1792" t="s">
        <v>210</v>
      </c>
      <c r="G1792" t="s">
        <v>211</v>
      </c>
      <c r="H1792" t="s">
        <v>250</v>
      </c>
      <c r="I1792" s="4">
        <v>187.58</v>
      </c>
      <c r="J1792" s="31">
        <v>0</v>
      </c>
      <c r="K1792" s="89">
        <f t="shared" si="105"/>
        <v>489.21</v>
      </c>
      <c r="L1792" s="7">
        <v>489.21</v>
      </c>
      <c r="M1792" s="10">
        <f t="shared" si="106"/>
        <v>38.343451687414408</v>
      </c>
    </row>
    <row r="1793" spans="1:20" ht="15" hidden="1" customHeight="1" x14ac:dyDescent="0.3">
      <c r="A1793" s="9">
        <v>3181</v>
      </c>
      <c r="B1793" t="s">
        <v>266</v>
      </c>
      <c r="C1793" s="25">
        <v>44664</v>
      </c>
      <c r="D1793" s="26">
        <v>0.60362268518518525</v>
      </c>
      <c r="E1793" t="s">
        <v>27</v>
      </c>
      <c r="F1793" t="s">
        <v>391</v>
      </c>
      <c r="G1793" t="s">
        <v>392</v>
      </c>
      <c r="H1793" t="s">
        <v>250</v>
      </c>
      <c r="I1793" s="4">
        <v>301.57</v>
      </c>
      <c r="J1793" s="31">
        <v>0</v>
      </c>
      <c r="K1793" s="89">
        <f t="shared" si="105"/>
        <v>902.86</v>
      </c>
      <c r="L1793" s="32">
        <v>902.86</v>
      </c>
      <c r="M1793" s="10">
        <f t="shared" si="106"/>
        <v>33.401634804953147</v>
      </c>
    </row>
    <row r="1794" spans="1:20" ht="15" hidden="1" customHeight="1" x14ac:dyDescent="0.3">
      <c r="A1794" s="9">
        <v>3182</v>
      </c>
      <c r="B1794" t="s">
        <v>266</v>
      </c>
      <c r="C1794" s="25">
        <v>44665</v>
      </c>
      <c r="D1794" s="26">
        <v>0.7141319444444445</v>
      </c>
      <c r="E1794" t="s">
        <v>27</v>
      </c>
      <c r="F1794" t="s">
        <v>166</v>
      </c>
      <c r="G1794" t="s">
        <v>161</v>
      </c>
      <c r="H1794" t="s">
        <v>250</v>
      </c>
      <c r="I1794" s="4">
        <v>326.41000000000003</v>
      </c>
      <c r="J1794" s="34">
        <v>0</v>
      </c>
      <c r="K1794" s="89">
        <f t="shared" si="105"/>
        <v>773.75</v>
      </c>
      <c r="L1794" s="7">
        <v>773.75</v>
      </c>
      <c r="M1794" s="10">
        <f t="shared" si="106"/>
        <v>42.185460420032314</v>
      </c>
    </row>
    <row r="1795" spans="1:20" ht="15" hidden="1" customHeight="1" x14ac:dyDescent="0.3">
      <c r="A1795" s="9">
        <v>3183</v>
      </c>
      <c r="B1795" t="s">
        <v>266</v>
      </c>
      <c r="C1795" s="25">
        <v>44666</v>
      </c>
      <c r="D1795" s="26">
        <v>0.92560185185185195</v>
      </c>
      <c r="E1795" t="s">
        <v>27</v>
      </c>
      <c r="F1795" t="s">
        <v>210</v>
      </c>
      <c r="G1795" t="s">
        <v>211</v>
      </c>
      <c r="H1795" t="s">
        <v>250</v>
      </c>
      <c r="I1795" s="4">
        <v>420.87</v>
      </c>
      <c r="J1795" s="34">
        <v>0</v>
      </c>
      <c r="K1795" s="89">
        <f t="shared" si="105"/>
        <v>1141</v>
      </c>
      <c r="L1795" s="31">
        <v>1141</v>
      </c>
      <c r="M1795" s="10">
        <f t="shared" si="106"/>
        <v>36.886064855390011</v>
      </c>
    </row>
    <row r="1796" spans="1:20" ht="15" hidden="1" customHeight="1" x14ac:dyDescent="0.3">
      <c r="A1796" s="9">
        <v>3184</v>
      </c>
      <c r="B1796" t="s">
        <v>266</v>
      </c>
      <c r="C1796" s="25">
        <v>44668</v>
      </c>
      <c r="D1796" s="26">
        <v>0.71782407407407411</v>
      </c>
      <c r="E1796" t="s">
        <v>27</v>
      </c>
      <c r="F1796" t="s">
        <v>175</v>
      </c>
      <c r="G1796" t="s">
        <v>172</v>
      </c>
      <c r="H1796" t="s">
        <v>250</v>
      </c>
      <c r="I1796" s="4">
        <v>398</v>
      </c>
      <c r="J1796" s="34">
        <v>0</v>
      </c>
      <c r="K1796" s="89">
        <f t="shared" si="105"/>
        <v>1075</v>
      </c>
      <c r="L1796" s="7">
        <v>1075</v>
      </c>
      <c r="M1796" s="10">
        <f t="shared" si="106"/>
        <v>37.02325581395349</v>
      </c>
    </row>
    <row r="1797" spans="1:20" ht="15" hidden="1" customHeight="1" x14ac:dyDescent="0.3">
      <c r="A1797" s="9">
        <v>6674</v>
      </c>
      <c r="B1797" t="s">
        <v>273</v>
      </c>
      <c r="C1797" s="25">
        <v>44740</v>
      </c>
      <c r="D1797" s="26">
        <v>0.88362268518518527</v>
      </c>
      <c r="E1797" t="s">
        <v>29</v>
      </c>
      <c r="F1797" t="s">
        <v>634</v>
      </c>
      <c r="G1797" t="s">
        <v>211</v>
      </c>
      <c r="H1797" t="s">
        <v>128</v>
      </c>
      <c r="I1797" s="148">
        <v>508.13</v>
      </c>
      <c r="J1797" s="193">
        <f>385+150+508</f>
        <v>1043</v>
      </c>
      <c r="K1797" s="228">
        <v>430</v>
      </c>
      <c r="L1797" s="154">
        <v>2801</v>
      </c>
      <c r="M1797" s="229">
        <f>+J1797/L1797*100</f>
        <v>37.23670117815066</v>
      </c>
    </row>
    <row r="1798" spans="1:20" ht="15" hidden="1" customHeight="1" x14ac:dyDescent="0.3">
      <c r="B1798" t="s">
        <v>469</v>
      </c>
      <c r="C1798" s="25">
        <v>44682</v>
      </c>
      <c r="D1798" s="26">
        <v>0.96526620370370375</v>
      </c>
      <c r="E1798" t="s">
        <v>580</v>
      </c>
      <c r="F1798" t="s">
        <v>210</v>
      </c>
      <c r="G1798" t="s">
        <v>211</v>
      </c>
      <c r="H1798" t="s">
        <v>207</v>
      </c>
      <c r="I1798">
        <v>414.64</v>
      </c>
      <c r="J1798" s="7">
        <v>0</v>
      </c>
      <c r="K1798" s="90">
        <f>+L1798-J1798</f>
        <v>1131.45</v>
      </c>
      <c r="L1798" s="7">
        <v>1131.45</v>
      </c>
      <c r="M1798" s="91">
        <f>I1798/K1798*100</f>
        <v>36.646780679658839</v>
      </c>
      <c r="S1798"/>
      <c r="T1798"/>
    </row>
    <row r="1799" spans="1:20" ht="15" hidden="1" customHeight="1" x14ac:dyDescent="0.3">
      <c r="B1799" t="s">
        <v>423</v>
      </c>
      <c r="C1799" s="25">
        <v>44682</v>
      </c>
      <c r="D1799" s="26">
        <v>0.56878472222222221</v>
      </c>
      <c r="E1799" t="s">
        <v>580</v>
      </c>
      <c r="F1799" t="s">
        <v>210</v>
      </c>
      <c r="G1799" t="s">
        <v>211</v>
      </c>
      <c r="H1799" t="s">
        <v>424</v>
      </c>
      <c r="I1799">
        <v>403.38</v>
      </c>
      <c r="J1799" s="35">
        <v>0</v>
      </c>
      <c r="K1799" s="93">
        <f>+L1799-J1937</f>
        <v>1146.78</v>
      </c>
      <c r="L1799" s="35">
        <v>1146.78</v>
      </c>
      <c r="M1799" s="239">
        <f>I1799/L1799*100</f>
        <v>35.175011772092297</v>
      </c>
      <c r="S1799"/>
      <c r="T1799"/>
    </row>
    <row r="1800" spans="1:20" ht="15" hidden="1" customHeight="1" x14ac:dyDescent="0.3">
      <c r="B1800" t="s">
        <v>510</v>
      </c>
      <c r="C1800" s="25">
        <v>44682</v>
      </c>
      <c r="D1800" s="26">
        <v>0.55458333333333332</v>
      </c>
      <c r="E1800" t="s">
        <v>580</v>
      </c>
      <c r="F1800" t="s">
        <v>165</v>
      </c>
      <c r="G1800" t="s">
        <v>185</v>
      </c>
      <c r="H1800" t="s">
        <v>113</v>
      </c>
      <c r="I1800" s="8">
        <v>228.59</v>
      </c>
      <c r="J1800" s="32">
        <v>0</v>
      </c>
      <c r="K1800" s="90">
        <f>+L1800-J1937</f>
        <v>548</v>
      </c>
      <c r="L1800" s="32">
        <v>548</v>
      </c>
      <c r="M1800" s="91">
        <f t="shared" ref="M1800:M1831" si="107">I1800/K1800*100</f>
        <v>41.713503649635037</v>
      </c>
      <c r="S1800"/>
      <c r="T1800"/>
    </row>
    <row r="1801" spans="1:20" ht="15" hidden="1" customHeight="1" x14ac:dyDescent="0.3">
      <c r="B1801" t="s">
        <v>510</v>
      </c>
      <c r="C1801" s="25">
        <v>44682</v>
      </c>
      <c r="D1801" s="26">
        <v>0.96384259259259253</v>
      </c>
      <c r="E1801" t="s">
        <v>580</v>
      </c>
      <c r="F1801" t="s">
        <v>210</v>
      </c>
      <c r="G1801" t="s">
        <v>211</v>
      </c>
      <c r="H1801" t="s">
        <v>113</v>
      </c>
      <c r="I1801" s="8">
        <v>154.09</v>
      </c>
      <c r="J1801" s="32">
        <v>0</v>
      </c>
      <c r="K1801" s="90">
        <f>+L1801-J1938</f>
        <v>514</v>
      </c>
      <c r="L1801" s="32">
        <v>514</v>
      </c>
      <c r="M1801" s="91">
        <f t="shared" si="107"/>
        <v>29.978599221789885</v>
      </c>
      <c r="S1801"/>
      <c r="T1801"/>
    </row>
    <row r="1802" spans="1:20" ht="15" hidden="1" customHeight="1" x14ac:dyDescent="0.3">
      <c r="B1802" t="s">
        <v>223</v>
      </c>
      <c r="C1802" s="25">
        <v>44682</v>
      </c>
      <c r="D1802" s="26">
        <v>0.68019675925925915</v>
      </c>
      <c r="E1802" t="s">
        <v>580</v>
      </c>
      <c r="F1802" t="s">
        <v>582</v>
      </c>
      <c r="G1802" t="s">
        <v>347</v>
      </c>
      <c r="H1802" t="s">
        <v>224</v>
      </c>
      <c r="I1802">
        <v>270.37</v>
      </c>
      <c r="J1802" s="212"/>
      <c r="K1802" s="92">
        <f>+L1802-J1940</f>
        <v>1101</v>
      </c>
      <c r="L1802" s="44">
        <v>1101</v>
      </c>
      <c r="M1802" s="61">
        <f t="shared" si="107"/>
        <v>24.556766575840147</v>
      </c>
      <c r="S1802"/>
      <c r="T1802"/>
    </row>
    <row r="1803" spans="1:20" ht="15" hidden="1" customHeight="1" x14ac:dyDescent="0.3">
      <c r="B1803" t="s">
        <v>273</v>
      </c>
      <c r="C1803" s="25">
        <v>44565</v>
      </c>
      <c r="D1803" s="26">
        <v>0.89694444444444443</v>
      </c>
      <c r="E1803" t="s">
        <v>24</v>
      </c>
      <c r="F1803" t="s">
        <v>205</v>
      </c>
      <c r="G1803" t="s">
        <v>206</v>
      </c>
      <c r="H1803" t="s">
        <v>120</v>
      </c>
      <c r="I1803">
        <v>422.36</v>
      </c>
      <c r="J1803" s="11">
        <v>0</v>
      </c>
      <c r="K1803" s="11">
        <f t="shared" ref="K1803:K1834" si="108">+L1803-J1803</f>
        <v>456.16</v>
      </c>
      <c r="L1803" s="31">
        <v>456.16</v>
      </c>
      <c r="M1803" s="10">
        <f t="shared" si="107"/>
        <v>92.59031918625044</v>
      </c>
    </row>
    <row r="1804" spans="1:20" ht="15" hidden="1" customHeight="1" x14ac:dyDescent="0.3">
      <c r="B1804" t="s">
        <v>273</v>
      </c>
      <c r="C1804" s="25">
        <v>44566</v>
      </c>
      <c r="D1804" s="26">
        <v>0.80656250000000007</v>
      </c>
      <c r="E1804" t="s">
        <v>24</v>
      </c>
      <c r="F1804" t="s">
        <v>210</v>
      </c>
      <c r="G1804" t="s">
        <v>211</v>
      </c>
      <c r="H1804" t="s">
        <v>120</v>
      </c>
      <c r="I1804">
        <v>319.27999999999997</v>
      </c>
      <c r="J1804" s="31">
        <v>0</v>
      </c>
      <c r="K1804" s="11">
        <f t="shared" si="108"/>
        <v>807.22</v>
      </c>
      <c r="L1804" s="7">
        <v>807.22</v>
      </c>
      <c r="M1804" s="10">
        <f t="shared" si="107"/>
        <v>39.553033869329298</v>
      </c>
    </row>
    <row r="1805" spans="1:20" ht="15" hidden="1" customHeight="1" x14ac:dyDescent="0.3">
      <c r="B1805" t="s">
        <v>273</v>
      </c>
      <c r="C1805" s="25">
        <v>44567</v>
      </c>
      <c r="D1805" s="26">
        <v>0.8084027777777778</v>
      </c>
      <c r="E1805" t="s">
        <v>24</v>
      </c>
      <c r="F1805" t="s">
        <v>210</v>
      </c>
      <c r="G1805" t="s">
        <v>211</v>
      </c>
      <c r="H1805" t="s">
        <v>120</v>
      </c>
      <c r="I1805">
        <v>428.85</v>
      </c>
      <c r="J1805" s="31">
        <v>0</v>
      </c>
      <c r="K1805" s="11">
        <f t="shared" si="108"/>
        <v>1056.1199999999999</v>
      </c>
      <c r="L1805" s="7">
        <v>1056.1199999999999</v>
      </c>
      <c r="M1805" s="10">
        <f t="shared" si="107"/>
        <v>40.606181115782306</v>
      </c>
    </row>
    <row r="1806" spans="1:20" ht="15" hidden="1" customHeight="1" x14ac:dyDescent="0.3">
      <c r="B1806" t="s">
        <v>273</v>
      </c>
      <c r="C1806" s="25">
        <v>44568</v>
      </c>
      <c r="D1806" s="26">
        <v>0.86686342592592591</v>
      </c>
      <c r="E1806" t="s">
        <v>24</v>
      </c>
      <c r="F1806" t="s">
        <v>309</v>
      </c>
      <c r="G1806" t="s">
        <v>310</v>
      </c>
      <c r="H1806" t="s">
        <v>120</v>
      </c>
      <c r="I1806">
        <v>360.01</v>
      </c>
      <c r="J1806" s="31">
        <v>0</v>
      </c>
      <c r="K1806" s="11">
        <f t="shared" si="108"/>
        <v>971.35</v>
      </c>
      <c r="L1806" s="7">
        <v>971.35</v>
      </c>
      <c r="M1806" s="10">
        <f t="shared" si="107"/>
        <v>37.062850671745508</v>
      </c>
    </row>
    <row r="1807" spans="1:20" ht="15" hidden="1" customHeight="1" x14ac:dyDescent="0.3">
      <c r="B1807" t="s">
        <v>273</v>
      </c>
      <c r="C1807" s="25">
        <v>44570</v>
      </c>
      <c r="D1807" s="26">
        <v>4.1157407407407406E-2</v>
      </c>
      <c r="E1807" t="s">
        <v>24</v>
      </c>
      <c r="F1807" t="s">
        <v>210</v>
      </c>
      <c r="G1807" t="s">
        <v>211</v>
      </c>
      <c r="H1807" t="s">
        <v>120</v>
      </c>
      <c r="I1807">
        <v>339.18</v>
      </c>
      <c r="J1807" s="7">
        <v>0</v>
      </c>
      <c r="K1807" s="11">
        <f t="shared" si="108"/>
        <v>730.7</v>
      </c>
      <c r="L1807" s="51">
        <v>730.7</v>
      </c>
      <c r="M1807" s="10">
        <f t="shared" si="107"/>
        <v>46.418502805528945</v>
      </c>
    </row>
    <row r="1808" spans="1:20" ht="15" hidden="1" customHeight="1" x14ac:dyDescent="0.3">
      <c r="B1808" t="s">
        <v>273</v>
      </c>
      <c r="C1808" s="25">
        <v>44570</v>
      </c>
      <c r="D1808" s="26">
        <v>0.6620138888888889</v>
      </c>
      <c r="E1808" t="s">
        <v>24</v>
      </c>
      <c r="F1808" t="s">
        <v>165</v>
      </c>
      <c r="G1808" t="s">
        <v>185</v>
      </c>
      <c r="H1808" t="s">
        <v>120</v>
      </c>
      <c r="I1808">
        <v>100</v>
      </c>
      <c r="J1808" s="7">
        <v>0</v>
      </c>
      <c r="K1808" s="11">
        <f t="shared" si="108"/>
        <v>543.79999999999995</v>
      </c>
      <c r="L1808" s="7">
        <v>543.79999999999995</v>
      </c>
      <c r="M1808" s="10">
        <f t="shared" si="107"/>
        <v>18.389113644722325</v>
      </c>
    </row>
    <row r="1809" spans="1:13" ht="15" hidden="1" customHeight="1" x14ac:dyDescent="0.3">
      <c r="B1809" t="s">
        <v>273</v>
      </c>
      <c r="C1809" s="25">
        <v>44571</v>
      </c>
      <c r="D1809" s="26">
        <v>0.88159722222222225</v>
      </c>
      <c r="E1809" t="s">
        <v>24</v>
      </c>
      <c r="F1809" t="s">
        <v>210</v>
      </c>
      <c r="G1809" t="s">
        <v>211</v>
      </c>
      <c r="H1809" t="s">
        <v>120</v>
      </c>
      <c r="I1809">
        <v>384.81</v>
      </c>
      <c r="J1809" s="34">
        <v>0</v>
      </c>
      <c r="K1809" s="11">
        <f t="shared" si="108"/>
        <v>560.72</v>
      </c>
      <c r="L1809" s="35">
        <v>560.72</v>
      </c>
      <c r="M1809" s="10">
        <f t="shared" si="107"/>
        <v>68.627835639891572</v>
      </c>
    </row>
    <row r="1810" spans="1:13" ht="15" hidden="1" customHeight="1" x14ac:dyDescent="0.3">
      <c r="B1810" t="s">
        <v>273</v>
      </c>
      <c r="C1810" s="25">
        <v>44573</v>
      </c>
      <c r="D1810" s="26">
        <v>0.46893518518518523</v>
      </c>
      <c r="E1810" t="s">
        <v>24</v>
      </c>
      <c r="F1810" t="s">
        <v>205</v>
      </c>
      <c r="G1810" t="s">
        <v>206</v>
      </c>
      <c r="H1810" t="s">
        <v>120</v>
      </c>
      <c r="I1810">
        <v>394.34</v>
      </c>
      <c r="J1810" s="34">
        <v>0</v>
      </c>
      <c r="K1810" s="11">
        <f t="shared" si="108"/>
        <v>953.42</v>
      </c>
      <c r="L1810" s="7">
        <v>953.42</v>
      </c>
      <c r="M1810" s="10">
        <f t="shared" si="107"/>
        <v>41.360575612007302</v>
      </c>
    </row>
    <row r="1811" spans="1:13" ht="15" hidden="1" customHeight="1" x14ac:dyDescent="0.3">
      <c r="B1811" t="s">
        <v>273</v>
      </c>
      <c r="C1811" s="25">
        <v>44574</v>
      </c>
      <c r="D1811" s="26">
        <v>7.1770833333333339E-2</v>
      </c>
      <c r="E1811" t="s">
        <v>24</v>
      </c>
      <c r="F1811" t="s">
        <v>210</v>
      </c>
      <c r="G1811" t="s">
        <v>211</v>
      </c>
      <c r="H1811" t="s">
        <v>120</v>
      </c>
      <c r="I1811">
        <v>305.24</v>
      </c>
      <c r="J1811" s="34">
        <v>0</v>
      </c>
      <c r="K1811" s="11">
        <f t="shared" si="108"/>
        <v>699.44</v>
      </c>
      <c r="L1811" s="7">
        <v>699.44</v>
      </c>
      <c r="M1811" s="10">
        <f t="shared" si="107"/>
        <v>43.640626787144001</v>
      </c>
    </row>
    <row r="1812" spans="1:13" ht="15" hidden="1" customHeight="1" x14ac:dyDescent="0.3">
      <c r="B1812" t="s">
        <v>273</v>
      </c>
      <c r="C1812" s="25">
        <v>44575</v>
      </c>
      <c r="D1812" s="26">
        <v>3.2187500000000001E-2</v>
      </c>
      <c r="E1812" t="s">
        <v>24</v>
      </c>
      <c r="F1812" t="s">
        <v>210</v>
      </c>
      <c r="G1812" t="s">
        <v>211</v>
      </c>
      <c r="H1812" t="s">
        <v>120</v>
      </c>
      <c r="I1812">
        <v>410.02</v>
      </c>
      <c r="J1812" s="31">
        <v>0</v>
      </c>
      <c r="K1812" s="11">
        <f t="shared" si="108"/>
        <v>1057.57</v>
      </c>
      <c r="L1812" s="7">
        <v>1057.57</v>
      </c>
      <c r="M1812" s="10">
        <f t="shared" si="107"/>
        <v>38.770010495759145</v>
      </c>
    </row>
    <row r="1813" spans="1:13" ht="15" hidden="1" customHeight="1" x14ac:dyDescent="0.3">
      <c r="B1813" t="s">
        <v>273</v>
      </c>
      <c r="C1813" s="25">
        <v>44576</v>
      </c>
      <c r="D1813" s="26">
        <v>0.56648148148148147</v>
      </c>
      <c r="E1813" t="s">
        <v>24</v>
      </c>
      <c r="F1813" t="s">
        <v>205</v>
      </c>
      <c r="G1813" t="s">
        <v>206</v>
      </c>
      <c r="H1813" t="s">
        <v>120</v>
      </c>
      <c r="I1813">
        <v>395.98</v>
      </c>
      <c r="J1813" s="7">
        <v>0</v>
      </c>
      <c r="K1813" s="11">
        <f t="shared" si="108"/>
        <v>1013.39</v>
      </c>
      <c r="L1813" s="31">
        <v>1013.39</v>
      </c>
      <c r="M1813" s="10">
        <f t="shared" si="107"/>
        <v>39.074788580901725</v>
      </c>
    </row>
    <row r="1814" spans="1:13" ht="15" hidden="1" customHeight="1" x14ac:dyDescent="0.3">
      <c r="B1814" t="s">
        <v>273</v>
      </c>
      <c r="C1814" s="25">
        <v>44577</v>
      </c>
      <c r="D1814" s="26">
        <v>0.41708333333333331</v>
      </c>
      <c r="E1814" t="s">
        <v>24</v>
      </c>
      <c r="F1814" t="s">
        <v>210</v>
      </c>
      <c r="G1814" t="s">
        <v>211</v>
      </c>
      <c r="H1814" t="s">
        <v>120</v>
      </c>
      <c r="I1814">
        <v>334.02</v>
      </c>
      <c r="J1814" s="7">
        <v>0</v>
      </c>
      <c r="K1814" s="11">
        <f t="shared" si="108"/>
        <v>693.68</v>
      </c>
      <c r="L1814" s="7">
        <v>693.68</v>
      </c>
      <c r="M1814" s="10">
        <f t="shared" si="107"/>
        <v>48.151885595663707</v>
      </c>
    </row>
    <row r="1815" spans="1:13" ht="15" hidden="1" customHeight="1" x14ac:dyDescent="0.3">
      <c r="B1815" t="s">
        <v>273</v>
      </c>
      <c r="C1815" s="25">
        <v>44577</v>
      </c>
      <c r="D1815" s="26">
        <v>0.83769675925925924</v>
      </c>
      <c r="E1815" t="s">
        <v>24</v>
      </c>
      <c r="F1815" t="s">
        <v>165</v>
      </c>
      <c r="G1815" t="s">
        <v>185</v>
      </c>
      <c r="H1815" t="s">
        <v>120</v>
      </c>
      <c r="I1815">
        <v>257.875</v>
      </c>
      <c r="J1815" s="34">
        <v>0</v>
      </c>
      <c r="K1815" s="11">
        <f t="shared" si="108"/>
        <v>543.69000000000005</v>
      </c>
      <c r="L1815" s="34">
        <v>543.69000000000005</v>
      </c>
      <c r="M1815" s="10">
        <f t="shared" si="107"/>
        <v>47.430521068991517</v>
      </c>
    </row>
    <row r="1816" spans="1:13" ht="15" hidden="1" customHeight="1" x14ac:dyDescent="0.3">
      <c r="B1816" t="s">
        <v>273</v>
      </c>
      <c r="C1816" s="25">
        <v>44579</v>
      </c>
      <c r="D1816" s="26">
        <v>2.6400462962962962E-2</v>
      </c>
      <c r="E1816" t="s">
        <v>24</v>
      </c>
      <c r="F1816" t="s">
        <v>210</v>
      </c>
      <c r="G1816" t="s">
        <v>211</v>
      </c>
      <c r="H1816" t="s">
        <v>120</v>
      </c>
      <c r="I1816">
        <v>267.14999999999998</v>
      </c>
      <c r="J1816" s="7">
        <v>0</v>
      </c>
      <c r="K1816" s="11">
        <f t="shared" si="108"/>
        <v>563.65</v>
      </c>
      <c r="L1816" s="7">
        <v>563.65</v>
      </c>
      <c r="M1816" s="10">
        <f t="shared" si="107"/>
        <v>47.396433957242969</v>
      </c>
    </row>
    <row r="1817" spans="1:13" ht="15" hidden="1" customHeight="1" x14ac:dyDescent="0.3">
      <c r="B1817" t="s">
        <v>273</v>
      </c>
      <c r="C1817" s="25">
        <v>44580</v>
      </c>
      <c r="D1817" s="26">
        <v>0.6850694444444444</v>
      </c>
      <c r="E1817" t="s">
        <v>24</v>
      </c>
      <c r="F1817" t="s">
        <v>175</v>
      </c>
      <c r="G1817" t="s">
        <v>172</v>
      </c>
      <c r="H1817" t="s">
        <v>120</v>
      </c>
      <c r="I1817">
        <v>396.15</v>
      </c>
      <c r="J1817" s="7">
        <v>0</v>
      </c>
      <c r="K1817" s="11">
        <f t="shared" si="108"/>
        <v>903.59</v>
      </c>
      <c r="L1817" s="7">
        <v>903.59</v>
      </c>
      <c r="M1817" s="10">
        <f t="shared" si="107"/>
        <v>43.841786651025352</v>
      </c>
    </row>
    <row r="1818" spans="1:13" ht="15" hidden="1" customHeight="1" x14ac:dyDescent="0.3">
      <c r="B1818" t="s">
        <v>273</v>
      </c>
      <c r="C1818" s="25">
        <v>44581</v>
      </c>
      <c r="D1818" s="26">
        <v>0.80751157407407403</v>
      </c>
      <c r="E1818" t="s">
        <v>24</v>
      </c>
      <c r="F1818" t="s">
        <v>210</v>
      </c>
      <c r="G1818" t="s">
        <v>211</v>
      </c>
      <c r="H1818" t="s">
        <v>120</v>
      </c>
      <c r="I1818">
        <v>361.54</v>
      </c>
      <c r="J1818" s="7">
        <v>0</v>
      </c>
      <c r="K1818" s="11">
        <f t="shared" si="108"/>
        <v>817.75</v>
      </c>
      <c r="L1818" s="7">
        <v>817.75</v>
      </c>
      <c r="M1818" s="10">
        <f t="shared" si="107"/>
        <v>44.211556099052281</v>
      </c>
    </row>
    <row r="1819" spans="1:13" ht="15" hidden="1" customHeight="1" x14ac:dyDescent="0.3">
      <c r="B1819" t="s">
        <v>273</v>
      </c>
      <c r="C1819" s="25">
        <v>44582</v>
      </c>
      <c r="D1819" s="26">
        <v>0.47403935185185181</v>
      </c>
      <c r="E1819" t="s">
        <v>24</v>
      </c>
      <c r="F1819" t="s">
        <v>165</v>
      </c>
      <c r="G1819" t="s">
        <v>185</v>
      </c>
      <c r="H1819" t="s">
        <v>120</v>
      </c>
      <c r="I1819">
        <v>253.37</v>
      </c>
      <c r="J1819" s="7">
        <v>0</v>
      </c>
      <c r="K1819" s="11">
        <f t="shared" si="108"/>
        <v>543.51</v>
      </c>
      <c r="L1819" s="11">
        <v>543.51</v>
      </c>
      <c r="M1819" s="10">
        <f t="shared" si="107"/>
        <v>46.617357546319298</v>
      </c>
    </row>
    <row r="1820" spans="1:13" ht="15" hidden="1" customHeight="1" x14ac:dyDescent="0.3">
      <c r="B1820" t="s">
        <v>273</v>
      </c>
      <c r="C1820" s="25">
        <v>44583</v>
      </c>
      <c r="D1820" s="26">
        <v>0.55731481481481482</v>
      </c>
      <c r="E1820" t="s">
        <v>24</v>
      </c>
      <c r="F1820" t="s">
        <v>202</v>
      </c>
      <c r="G1820" t="s">
        <v>203</v>
      </c>
      <c r="H1820" t="s">
        <v>120</v>
      </c>
      <c r="I1820">
        <v>364.21</v>
      </c>
      <c r="J1820" s="34">
        <v>0</v>
      </c>
      <c r="K1820" s="11">
        <f t="shared" si="108"/>
        <v>1035.97</v>
      </c>
      <c r="L1820" s="7">
        <v>1035.97</v>
      </c>
      <c r="M1820" s="10">
        <f t="shared" si="107"/>
        <v>35.156423448555458</v>
      </c>
    </row>
    <row r="1821" spans="1:13" ht="15" hidden="1" customHeight="1" x14ac:dyDescent="0.3">
      <c r="B1821" t="s">
        <v>273</v>
      </c>
      <c r="C1821" s="25">
        <v>44584</v>
      </c>
      <c r="D1821" s="26">
        <v>0.90307870370370369</v>
      </c>
      <c r="E1821" t="s">
        <v>24</v>
      </c>
      <c r="F1821" t="s">
        <v>165</v>
      </c>
      <c r="G1821" t="s">
        <v>185</v>
      </c>
      <c r="H1821" t="s">
        <v>120</v>
      </c>
      <c r="I1821">
        <v>275.22000000000003</v>
      </c>
      <c r="J1821" s="34">
        <v>0</v>
      </c>
      <c r="K1821" s="11">
        <f t="shared" si="108"/>
        <v>571.42999999999995</v>
      </c>
      <c r="L1821" s="7">
        <v>571.42999999999995</v>
      </c>
      <c r="M1821" s="10">
        <f t="shared" si="107"/>
        <v>48.163379591551028</v>
      </c>
    </row>
    <row r="1822" spans="1:13" ht="15" hidden="1" customHeight="1" x14ac:dyDescent="0.3">
      <c r="B1822" t="s">
        <v>273</v>
      </c>
      <c r="C1822" s="25">
        <v>44585</v>
      </c>
      <c r="D1822" s="26">
        <v>0.99642361111111111</v>
      </c>
      <c r="E1822" t="s">
        <v>24</v>
      </c>
      <c r="F1822" t="s">
        <v>210</v>
      </c>
      <c r="G1822" t="s">
        <v>211</v>
      </c>
      <c r="H1822" t="s">
        <v>120</v>
      </c>
      <c r="I1822">
        <v>234.19</v>
      </c>
      <c r="J1822" s="7">
        <v>0</v>
      </c>
      <c r="K1822" s="11">
        <f t="shared" si="108"/>
        <v>561.28</v>
      </c>
      <c r="L1822" s="35">
        <v>561.28</v>
      </c>
      <c r="M1822" s="10">
        <f t="shared" si="107"/>
        <v>41.724273090079819</v>
      </c>
    </row>
    <row r="1823" spans="1:13" ht="15" hidden="1" customHeight="1" x14ac:dyDescent="0.3">
      <c r="A1823" s="9">
        <v>771</v>
      </c>
      <c r="B1823" t="s">
        <v>273</v>
      </c>
      <c r="C1823" s="25">
        <v>44611</v>
      </c>
      <c r="D1823" s="26">
        <v>0.67962962962962958</v>
      </c>
      <c r="E1823" t="s">
        <v>25</v>
      </c>
      <c r="F1823" t="s">
        <v>343</v>
      </c>
      <c r="G1823" t="s">
        <v>344</v>
      </c>
      <c r="H1823" t="s">
        <v>137</v>
      </c>
      <c r="I1823">
        <v>318.93</v>
      </c>
      <c r="J1823" s="7">
        <v>0</v>
      </c>
      <c r="K1823" s="11">
        <f t="shared" si="108"/>
        <v>1244.3399999999999</v>
      </c>
      <c r="L1823" s="7">
        <v>1244.3399999999999</v>
      </c>
      <c r="M1823" s="10">
        <f t="shared" si="107"/>
        <v>25.630454698876516</v>
      </c>
    </row>
    <row r="1824" spans="1:13" ht="15" hidden="1" customHeight="1" x14ac:dyDescent="0.3">
      <c r="A1824" s="9">
        <v>772</v>
      </c>
      <c r="B1824" t="s">
        <v>273</v>
      </c>
      <c r="C1824" s="25">
        <v>44612</v>
      </c>
      <c r="D1824" s="26">
        <v>6.2696759259259258E-2</v>
      </c>
      <c r="E1824" t="s">
        <v>25</v>
      </c>
      <c r="F1824" t="s">
        <v>210</v>
      </c>
      <c r="G1824" t="s">
        <v>211</v>
      </c>
      <c r="H1824" t="s">
        <v>137</v>
      </c>
      <c r="I1824">
        <v>262.56</v>
      </c>
      <c r="J1824" s="31">
        <v>0</v>
      </c>
      <c r="K1824" s="11">
        <f t="shared" si="108"/>
        <v>505.2</v>
      </c>
      <c r="L1824" s="35">
        <v>505.2</v>
      </c>
      <c r="M1824" s="10">
        <f t="shared" si="107"/>
        <v>51.971496437054633</v>
      </c>
    </row>
    <row r="1825" spans="1:13" ht="15" hidden="1" customHeight="1" x14ac:dyDescent="0.3">
      <c r="A1825" s="9">
        <v>773</v>
      </c>
      <c r="B1825" t="s">
        <v>273</v>
      </c>
      <c r="C1825" s="25">
        <v>44613</v>
      </c>
      <c r="D1825" s="26">
        <v>3.0659722222222224E-2</v>
      </c>
      <c r="E1825" t="s">
        <v>25</v>
      </c>
      <c r="F1825" t="s">
        <v>165</v>
      </c>
      <c r="G1825" t="s">
        <v>185</v>
      </c>
      <c r="H1825" t="s">
        <v>137</v>
      </c>
      <c r="I1825">
        <v>266.02999999999997</v>
      </c>
      <c r="J1825" s="34">
        <v>0</v>
      </c>
      <c r="K1825" s="11">
        <f t="shared" si="108"/>
        <v>549.39</v>
      </c>
      <c r="L1825" s="7">
        <v>549.39</v>
      </c>
      <c r="M1825" s="10">
        <f t="shared" si="107"/>
        <v>48.422796192140375</v>
      </c>
    </row>
    <row r="1826" spans="1:13" ht="15" hidden="1" customHeight="1" x14ac:dyDescent="0.3">
      <c r="A1826" s="9">
        <v>774</v>
      </c>
      <c r="B1826" t="s">
        <v>273</v>
      </c>
      <c r="C1826" s="25">
        <v>44613</v>
      </c>
      <c r="D1826" s="26">
        <v>0.80920138888888893</v>
      </c>
      <c r="E1826" t="s">
        <v>25</v>
      </c>
      <c r="F1826" t="s">
        <v>210</v>
      </c>
      <c r="G1826" t="s">
        <v>211</v>
      </c>
      <c r="H1826" t="s">
        <v>137</v>
      </c>
      <c r="I1826">
        <v>227.07</v>
      </c>
      <c r="J1826" s="34">
        <v>0</v>
      </c>
      <c r="K1826" s="11">
        <f t="shared" si="108"/>
        <v>514.73</v>
      </c>
      <c r="L1826" s="31">
        <v>514.73</v>
      </c>
      <c r="M1826" s="10">
        <f t="shared" si="107"/>
        <v>44.114390068579638</v>
      </c>
    </row>
    <row r="1827" spans="1:13" ht="15" hidden="1" customHeight="1" x14ac:dyDescent="0.3">
      <c r="A1827" s="9">
        <v>775</v>
      </c>
      <c r="B1827" t="s">
        <v>273</v>
      </c>
      <c r="C1827" s="25">
        <v>44609</v>
      </c>
      <c r="D1827" s="26">
        <v>0.65618055555555554</v>
      </c>
      <c r="E1827" t="s">
        <v>25</v>
      </c>
      <c r="F1827" t="s">
        <v>175</v>
      </c>
      <c r="G1827" t="s">
        <v>172</v>
      </c>
      <c r="H1827" t="s">
        <v>250</v>
      </c>
      <c r="I1827">
        <v>207.4</v>
      </c>
      <c r="J1827" s="7">
        <v>0</v>
      </c>
      <c r="K1827" s="11">
        <f t="shared" si="108"/>
        <v>437.7</v>
      </c>
      <c r="L1827" s="32">
        <v>437.7</v>
      </c>
      <c r="M1827" s="10">
        <f t="shared" si="107"/>
        <v>47.384053004340878</v>
      </c>
    </row>
    <row r="1828" spans="1:13" ht="15" hidden="1" customHeight="1" x14ac:dyDescent="0.3">
      <c r="A1828" s="9">
        <v>1009</v>
      </c>
      <c r="B1828" t="s">
        <v>273</v>
      </c>
      <c r="C1828" s="25">
        <v>44615</v>
      </c>
      <c r="D1828" s="26">
        <v>0.64774305555555556</v>
      </c>
      <c r="E1828" t="s">
        <v>25</v>
      </c>
      <c r="F1828" t="s">
        <v>175</v>
      </c>
      <c r="G1828" t="s">
        <v>172</v>
      </c>
      <c r="H1828" t="s">
        <v>120</v>
      </c>
      <c r="I1828">
        <v>437.55</v>
      </c>
      <c r="J1828" s="7">
        <v>0</v>
      </c>
      <c r="K1828" s="11">
        <f t="shared" si="108"/>
        <v>934.43</v>
      </c>
      <c r="L1828" s="7">
        <v>934.43</v>
      </c>
      <c r="M1828" s="36">
        <f t="shared" si="107"/>
        <v>46.825337371445698</v>
      </c>
    </row>
    <row r="1829" spans="1:13" ht="15" hidden="1" customHeight="1" x14ac:dyDescent="0.3">
      <c r="A1829" s="9">
        <v>1010</v>
      </c>
      <c r="B1829" t="s">
        <v>273</v>
      </c>
      <c r="C1829" s="25">
        <v>44616</v>
      </c>
      <c r="D1829" s="26">
        <v>0.58894675925925932</v>
      </c>
      <c r="E1829" t="s">
        <v>25</v>
      </c>
      <c r="F1829" t="s">
        <v>210</v>
      </c>
      <c r="G1829" t="s">
        <v>211</v>
      </c>
      <c r="H1829" t="s">
        <v>120</v>
      </c>
      <c r="I1829">
        <v>391.94</v>
      </c>
      <c r="J1829" s="7">
        <v>0</v>
      </c>
      <c r="K1829" s="11">
        <f t="shared" si="108"/>
        <v>1257.1199999999999</v>
      </c>
      <c r="L1829" s="7">
        <v>1257.1199999999999</v>
      </c>
      <c r="M1829" s="36">
        <f t="shared" si="107"/>
        <v>31.177612320224007</v>
      </c>
    </row>
    <row r="1830" spans="1:13" ht="15" hidden="1" customHeight="1" x14ac:dyDescent="0.3">
      <c r="A1830" s="9">
        <v>1011</v>
      </c>
      <c r="B1830" t="s">
        <v>273</v>
      </c>
      <c r="C1830" s="25">
        <v>44617</v>
      </c>
      <c r="D1830" s="26">
        <v>0.11326388888888889</v>
      </c>
      <c r="E1830" t="s">
        <v>25</v>
      </c>
      <c r="F1830" t="s">
        <v>165</v>
      </c>
      <c r="G1830" t="s">
        <v>185</v>
      </c>
      <c r="H1830" t="s">
        <v>120</v>
      </c>
      <c r="I1830">
        <v>100</v>
      </c>
      <c r="J1830" s="7">
        <v>0</v>
      </c>
      <c r="K1830" s="11">
        <f t="shared" si="108"/>
        <v>546.33000000000004</v>
      </c>
      <c r="L1830" s="7">
        <v>546.33000000000004</v>
      </c>
      <c r="M1830" s="36">
        <f t="shared" si="107"/>
        <v>18.303955484780261</v>
      </c>
    </row>
    <row r="1831" spans="1:13" ht="15" hidden="1" customHeight="1" x14ac:dyDescent="0.3">
      <c r="A1831" s="9">
        <v>1012</v>
      </c>
      <c r="B1831" t="s">
        <v>273</v>
      </c>
      <c r="C1831" s="25">
        <v>44617</v>
      </c>
      <c r="D1831" s="26">
        <v>0.75585648148148143</v>
      </c>
      <c r="E1831" t="s">
        <v>25</v>
      </c>
      <c r="F1831" t="s">
        <v>210</v>
      </c>
      <c r="G1831" t="s">
        <v>211</v>
      </c>
      <c r="H1831" t="s">
        <v>120</v>
      </c>
      <c r="I1831">
        <v>370.41</v>
      </c>
      <c r="J1831" s="7">
        <v>0</v>
      </c>
      <c r="K1831" s="11">
        <f t="shared" si="108"/>
        <v>510.12</v>
      </c>
      <c r="L1831" s="7">
        <v>510.12</v>
      </c>
      <c r="M1831" s="36">
        <f t="shared" si="107"/>
        <v>72.61232651140908</v>
      </c>
    </row>
    <row r="1832" spans="1:13" ht="15" hidden="1" customHeight="1" x14ac:dyDescent="0.3">
      <c r="A1832" s="9">
        <v>1013</v>
      </c>
      <c r="B1832" t="s">
        <v>273</v>
      </c>
      <c r="C1832" s="25">
        <v>44618</v>
      </c>
      <c r="D1832" s="26">
        <v>0.65473379629629636</v>
      </c>
      <c r="E1832" t="s">
        <v>25</v>
      </c>
      <c r="F1832" t="s">
        <v>175</v>
      </c>
      <c r="G1832" t="s">
        <v>172</v>
      </c>
      <c r="H1832" t="s">
        <v>120</v>
      </c>
      <c r="I1832">
        <v>363.82</v>
      </c>
      <c r="J1832" s="34">
        <v>0</v>
      </c>
      <c r="K1832" s="11">
        <f t="shared" si="108"/>
        <v>898.33</v>
      </c>
      <c r="L1832" s="35">
        <v>898.33</v>
      </c>
      <c r="M1832" s="10">
        <f t="shared" ref="M1832:M1863" si="109">I1832/K1832*100</f>
        <v>40.499593690514615</v>
      </c>
    </row>
    <row r="1833" spans="1:13" ht="15" hidden="1" customHeight="1" x14ac:dyDescent="0.3">
      <c r="A1833" s="9">
        <v>1014</v>
      </c>
      <c r="B1833" t="s">
        <v>273</v>
      </c>
      <c r="C1833" s="25">
        <v>44619</v>
      </c>
      <c r="D1833" s="26">
        <v>0.79658564814814825</v>
      </c>
      <c r="E1833" t="s">
        <v>25</v>
      </c>
      <c r="F1833" t="s">
        <v>210</v>
      </c>
      <c r="G1833" t="s">
        <v>211</v>
      </c>
      <c r="H1833" t="s">
        <v>120</v>
      </c>
      <c r="I1833" s="8">
        <v>392.82</v>
      </c>
      <c r="J1833" s="31">
        <v>0</v>
      </c>
      <c r="K1833" s="11">
        <f t="shared" si="108"/>
        <v>818.57</v>
      </c>
      <c r="L1833" s="7">
        <v>818.57</v>
      </c>
      <c r="M1833" s="10">
        <f t="shared" si="109"/>
        <v>47.988565425070547</v>
      </c>
    </row>
    <row r="1834" spans="1:13" ht="15" hidden="1" customHeight="1" x14ac:dyDescent="0.3">
      <c r="A1834" s="9">
        <v>1015</v>
      </c>
      <c r="B1834" t="s">
        <v>273</v>
      </c>
      <c r="C1834" s="25">
        <v>44620</v>
      </c>
      <c r="D1834" s="26">
        <v>0.52500000000000002</v>
      </c>
      <c r="E1834" t="s">
        <v>25</v>
      </c>
      <c r="F1834" t="s">
        <v>165</v>
      </c>
      <c r="G1834" t="s">
        <v>185</v>
      </c>
      <c r="H1834" t="s">
        <v>120</v>
      </c>
      <c r="I1834">
        <v>278.04000000000002</v>
      </c>
      <c r="J1834" s="7">
        <v>0</v>
      </c>
      <c r="K1834" s="11">
        <f t="shared" si="108"/>
        <v>545.77</v>
      </c>
      <c r="L1834" s="7">
        <v>545.77</v>
      </c>
      <c r="M1834" s="10">
        <f t="shared" si="109"/>
        <v>50.944537076057685</v>
      </c>
    </row>
    <row r="1835" spans="1:13" ht="15" hidden="1" customHeight="1" x14ac:dyDescent="0.3">
      <c r="A1835" s="9">
        <v>2180</v>
      </c>
      <c r="B1835" t="s">
        <v>273</v>
      </c>
      <c r="C1835" s="25">
        <v>44621</v>
      </c>
      <c r="D1835" s="26">
        <v>0.74905092592592604</v>
      </c>
      <c r="E1835" t="s">
        <v>26</v>
      </c>
      <c r="F1835" t="s">
        <v>210</v>
      </c>
      <c r="G1835" t="s">
        <v>211</v>
      </c>
      <c r="H1835" t="s">
        <v>120</v>
      </c>
      <c r="I1835">
        <v>215.57</v>
      </c>
      <c r="J1835" s="7">
        <v>0</v>
      </c>
      <c r="K1835" s="89">
        <f t="shared" ref="K1835:K1866" si="110">+L1835-J1835</f>
        <v>562.62</v>
      </c>
      <c r="L1835" s="7">
        <v>562.62</v>
      </c>
      <c r="M1835" s="10">
        <f t="shared" si="109"/>
        <v>38.315381607479296</v>
      </c>
    </row>
    <row r="1836" spans="1:13" ht="15" hidden="1" customHeight="1" x14ac:dyDescent="0.3">
      <c r="A1836" s="9">
        <v>2181</v>
      </c>
      <c r="B1836" t="s">
        <v>273</v>
      </c>
      <c r="C1836" s="25">
        <v>44622</v>
      </c>
      <c r="D1836" s="26">
        <v>0.85435185185185192</v>
      </c>
      <c r="E1836" t="s">
        <v>26</v>
      </c>
      <c r="F1836" t="s">
        <v>205</v>
      </c>
      <c r="G1836" t="s">
        <v>206</v>
      </c>
      <c r="H1836" t="s">
        <v>120</v>
      </c>
      <c r="I1836">
        <v>382.61</v>
      </c>
      <c r="J1836" s="7">
        <v>0</v>
      </c>
      <c r="K1836" s="89">
        <f t="shared" si="110"/>
        <v>1009.19</v>
      </c>
      <c r="L1836" s="7">
        <v>1009.19</v>
      </c>
      <c r="M1836" s="10">
        <f t="shared" si="109"/>
        <v>37.912583358931414</v>
      </c>
    </row>
    <row r="1837" spans="1:13" ht="15" hidden="1" customHeight="1" x14ac:dyDescent="0.3">
      <c r="A1837" s="9">
        <v>2182</v>
      </c>
      <c r="B1837" t="s">
        <v>273</v>
      </c>
      <c r="C1837" s="25">
        <v>44623</v>
      </c>
      <c r="D1837" s="26">
        <v>0.59714120370370372</v>
      </c>
      <c r="E1837" t="s">
        <v>26</v>
      </c>
      <c r="F1837" t="s">
        <v>210</v>
      </c>
      <c r="G1837" t="s">
        <v>211</v>
      </c>
      <c r="H1837" t="s">
        <v>120</v>
      </c>
      <c r="I1837">
        <v>302.93</v>
      </c>
      <c r="J1837" s="7">
        <v>0</v>
      </c>
      <c r="K1837" s="89">
        <f t="shared" si="110"/>
        <v>697.6</v>
      </c>
      <c r="L1837" s="7">
        <v>697.6</v>
      </c>
      <c r="M1837" s="10">
        <f t="shared" si="109"/>
        <v>43.424598623853214</v>
      </c>
    </row>
    <row r="1838" spans="1:13" ht="15" hidden="1" customHeight="1" x14ac:dyDescent="0.3">
      <c r="A1838" s="9">
        <v>2183</v>
      </c>
      <c r="B1838" t="s">
        <v>273</v>
      </c>
      <c r="C1838" s="25">
        <v>44624</v>
      </c>
      <c r="D1838" s="26">
        <v>0.60245370370370377</v>
      </c>
      <c r="E1838" t="s">
        <v>26</v>
      </c>
      <c r="F1838" t="s">
        <v>210</v>
      </c>
      <c r="G1838" t="s">
        <v>211</v>
      </c>
      <c r="H1838" t="s">
        <v>120</v>
      </c>
      <c r="I1838">
        <v>425.01</v>
      </c>
      <c r="J1838" s="7">
        <v>0</v>
      </c>
      <c r="K1838" s="89">
        <f t="shared" si="110"/>
        <v>1052.83</v>
      </c>
      <c r="L1838" s="7">
        <v>1052.83</v>
      </c>
      <c r="M1838" s="10">
        <f t="shared" si="109"/>
        <v>40.368340567802967</v>
      </c>
    </row>
    <row r="1839" spans="1:13" ht="15" hidden="1" customHeight="1" x14ac:dyDescent="0.3">
      <c r="A1839" s="9">
        <v>2184</v>
      </c>
      <c r="B1839" t="s">
        <v>273</v>
      </c>
      <c r="C1839" s="25">
        <v>44625</v>
      </c>
      <c r="D1839" s="26">
        <v>0.82201388888888882</v>
      </c>
      <c r="E1839" t="s">
        <v>26</v>
      </c>
      <c r="F1839" t="s">
        <v>171</v>
      </c>
      <c r="G1839" t="s">
        <v>172</v>
      </c>
      <c r="H1839" t="s">
        <v>120</v>
      </c>
      <c r="I1839">
        <v>406.38</v>
      </c>
      <c r="J1839" s="34">
        <v>0</v>
      </c>
      <c r="K1839" s="89">
        <f t="shared" si="110"/>
        <v>1022.25</v>
      </c>
      <c r="L1839" s="34">
        <v>1022.25</v>
      </c>
      <c r="M1839" s="10">
        <f t="shared" si="109"/>
        <v>39.753484959647835</v>
      </c>
    </row>
    <row r="1840" spans="1:13" ht="15" hidden="1" customHeight="1" x14ac:dyDescent="0.3">
      <c r="A1840" s="9">
        <v>2185</v>
      </c>
      <c r="B1840" t="s">
        <v>273</v>
      </c>
      <c r="C1840" s="25">
        <v>44626</v>
      </c>
      <c r="D1840" s="26">
        <v>0.86130787037037038</v>
      </c>
      <c r="E1840" t="s">
        <v>26</v>
      </c>
      <c r="F1840" t="s">
        <v>210</v>
      </c>
      <c r="G1840" t="s">
        <v>211</v>
      </c>
      <c r="H1840" t="s">
        <v>120</v>
      </c>
      <c r="I1840">
        <v>310.60000000000002</v>
      </c>
      <c r="J1840" s="7">
        <v>0</v>
      </c>
      <c r="K1840" s="89">
        <f t="shared" si="110"/>
        <v>687.68</v>
      </c>
      <c r="L1840" s="7">
        <v>687.68</v>
      </c>
      <c r="M1840" s="10">
        <f t="shared" si="109"/>
        <v>45.166356444858081</v>
      </c>
    </row>
    <row r="1841" spans="1:13" ht="15" hidden="1" customHeight="1" x14ac:dyDescent="0.3">
      <c r="A1841" s="9">
        <v>2186</v>
      </c>
      <c r="B1841" t="s">
        <v>273</v>
      </c>
      <c r="C1841" s="25">
        <v>44628</v>
      </c>
      <c r="D1841" s="26">
        <v>0.78578703703703701</v>
      </c>
      <c r="E1841" t="s">
        <v>26</v>
      </c>
      <c r="F1841" t="s">
        <v>210</v>
      </c>
      <c r="G1841" t="s">
        <v>211</v>
      </c>
      <c r="H1841" t="s">
        <v>120</v>
      </c>
      <c r="I1841">
        <v>453.39</v>
      </c>
      <c r="J1841" s="7">
        <v>0</v>
      </c>
      <c r="K1841" s="89">
        <f t="shared" si="110"/>
        <v>1057.4100000000001</v>
      </c>
      <c r="L1841" s="7">
        <v>1057.4100000000001</v>
      </c>
      <c r="M1841" s="10">
        <f t="shared" si="109"/>
        <v>42.877408006355147</v>
      </c>
    </row>
    <row r="1842" spans="1:13" ht="15" hidden="1" customHeight="1" x14ac:dyDescent="0.3">
      <c r="A1842" s="9">
        <v>2188</v>
      </c>
      <c r="B1842" t="s">
        <v>273</v>
      </c>
      <c r="C1842" s="25">
        <v>44645</v>
      </c>
      <c r="D1842" s="26">
        <v>0.47063657407407405</v>
      </c>
      <c r="E1842" t="s">
        <v>26</v>
      </c>
      <c r="F1842" t="s">
        <v>456</v>
      </c>
      <c r="G1842" t="s">
        <v>457</v>
      </c>
      <c r="H1842" t="s">
        <v>120</v>
      </c>
      <c r="I1842">
        <v>50.13</v>
      </c>
      <c r="J1842" s="7">
        <v>0</v>
      </c>
      <c r="K1842" s="89">
        <f t="shared" si="110"/>
        <v>1061.93</v>
      </c>
      <c r="L1842" s="7">
        <v>1061.93</v>
      </c>
      <c r="M1842" s="10">
        <f t="shared" si="109"/>
        <v>4.7206501370146805</v>
      </c>
    </row>
    <row r="1843" spans="1:13" ht="15" hidden="1" customHeight="1" x14ac:dyDescent="0.3">
      <c r="A1843" s="9">
        <v>2189</v>
      </c>
      <c r="B1843" t="s">
        <v>273</v>
      </c>
      <c r="C1843" s="25">
        <v>44645</v>
      </c>
      <c r="D1843" s="26">
        <v>0.62817129629629631</v>
      </c>
      <c r="E1843" t="s">
        <v>26</v>
      </c>
      <c r="F1843" t="s">
        <v>166</v>
      </c>
      <c r="G1843" t="s">
        <v>161</v>
      </c>
      <c r="H1843" t="s">
        <v>120</v>
      </c>
      <c r="I1843">
        <v>549.01</v>
      </c>
      <c r="J1843" s="34">
        <v>0</v>
      </c>
      <c r="K1843" s="89">
        <f t="shared" si="110"/>
        <v>234.35</v>
      </c>
      <c r="L1843" s="7">
        <v>234.35</v>
      </c>
      <c r="M1843" s="10">
        <f t="shared" si="109"/>
        <v>234.26925538724132</v>
      </c>
    </row>
    <row r="1844" spans="1:13" ht="15" hidden="1" customHeight="1" x14ac:dyDescent="0.3">
      <c r="A1844" s="9">
        <v>2190</v>
      </c>
      <c r="B1844" t="s">
        <v>273</v>
      </c>
      <c r="C1844" s="25">
        <v>44646</v>
      </c>
      <c r="D1844" s="26">
        <v>8.9467592592592585E-2</v>
      </c>
      <c r="E1844" t="s">
        <v>26</v>
      </c>
      <c r="F1844" t="s">
        <v>165</v>
      </c>
      <c r="G1844" t="s">
        <v>185</v>
      </c>
      <c r="H1844" t="s">
        <v>120</v>
      </c>
      <c r="I1844">
        <v>303.74</v>
      </c>
      <c r="J1844" s="7">
        <v>0</v>
      </c>
      <c r="K1844" s="90">
        <f t="shared" si="110"/>
        <v>626.5</v>
      </c>
      <c r="L1844" s="7">
        <v>626.5</v>
      </c>
      <c r="M1844" s="10">
        <f t="shared" si="109"/>
        <v>48.482043096568241</v>
      </c>
    </row>
    <row r="1845" spans="1:13" ht="15" hidden="1" customHeight="1" x14ac:dyDescent="0.3">
      <c r="A1845" s="9">
        <v>2191</v>
      </c>
      <c r="B1845" t="s">
        <v>273</v>
      </c>
      <c r="C1845" s="25">
        <v>44646</v>
      </c>
      <c r="D1845" s="26">
        <v>0.6953125</v>
      </c>
      <c r="E1845" t="s">
        <v>26</v>
      </c>
      <c r="F1845" t="s">
        <v>166</v>
      </c>
      <c r="G1845" t="s">
        <v>161</v>
      </c>
      <c r="H1845" t="s">
        <v>120</v>
      </c>
      <c r="I1845">
        <v>180.98</v>
      </c>
      <c r="J1845" s="31">
        <v>0</v>
      </c>
      <c r="K1845" s="89">
        <f t="shared" si="110"/>
        <v>585.51</v>
      </c>
      <c r="L1845" s="31">
        <v>585.51</v>
      </c>
      <c r="M1845" s="10">
        <f t="shared" si="109"/>
        <v>30.909805127154105</v>
      </c>
    </row>
    <row r="1846" spans="1:13" ht="15" hidden="1" customHeight="1" x14ac:dyDescent="0.3">
      <c r="A1846" s="9">
        <v>2192</v>
      </c>
      <c r="B1846" t="s">
        <v>273</v>
      </c>
      <c r="C1846" s="25">
        <v>44649</v>
      </c>
      <c r="D1846" s="26">
        <v>0.76193287037037039</v>
      </c>
      <c r="E1846" t="s">
        <v>26</v>
      </c>
      <c r="F1846" t="s">
        <v>311</v>
      </c>
      <c r="G1846" t="s">
        <v>303</v>
      </c>
      <c r="H1846" t="s">
        <v>120</v>
      </c>
      <c r="I1846">
        <v>250</v>
      </c>
      <c r="J1846" s="7">
        <v>0</v>
      </c>
      <c r="K1846" s="89">
        <f t="shared" si="110"/>
        <v>1219.25</v>
      </c>
      <c r="L1846" s="7">
        <v>1219.25</v>
      </c>
      <c r="M1846" s="10">
        <f t="shared" si="109"/>
        <v>20.504408447816282</v>
      </c>
    </row>
    <row r="1847" spans="1:13" ht="15" hidden="1" customHeight="1" x14ac:dyDescent="0.3">
      <c r="A1847" s="9">
        <v>2193</v>
      </c>
      <c r="B1847" t="s">
        <v>273</v>
      </c>
      <c r="C1847" s="25">
        <v>44649</v>
      </c>
      <c r="D1847" s="26">
        <v>0.98767361111111107</v>
      </c>
      <c r="E1847" t="s">
        <v>26</v>
      </c>
      <c r="F1847" t="s">
        <v>166</v>
      </c>
      <c r="G1847" t="s">
        <v>161</v>
      </c>
      <c r="H1847" t="s">
        <v>120</v>
      </c>
      <c r="I1847">
        <v>426.99</v>
      </c>
      <c r="J1847" s="34">
        <v>0</v>
      </c>
      <c r="K1847" s="89">
        <f t="shared" si="110"/>
        <v>348.64</v>
      </c>
      <c r="L1847" s="34">
        <v>348.64</v>
      </c>
      <c r="M1847" s="10">
        <f t="shared" si="109"/>
        <v>122.47303809086738</v>
      </c>
    </row>
    <row r="1848" spans="1:13" ht="15" hidden="1" customHeight="1" x14ac:dyDescent="0.3">
      <c r="A1848" s="9">
        <v>2194</v>
      </c>
      <c r="B1848" t="s">
        <v>273</v>
      </c>
      <c r="C1848" s="25">
        <v>44651</v>
      </c>
      <c r="D1848" s="26">
        <v>0.44372685185185184</v>
      </c>
      <c r="E1848" t="s">
        <v>26</v>
      </c>
      <c r="F1848" t="s">
        <v>166</v>
      </c>
      <c r="G1848" t="s">
        <v>161</v>
      </c>
      <c r="H1848" t="s">
        <v>120</v>
      </c>
      <c r="I1848">
        <v>475.15</v>
      </c>
      <c r="J1848" s="34">
        <v>0</v>
      </c>
      <c r="K1848" s="89">
        <f t="shared" si="110"/>
        <v>1300.57</v>
      </c>
      <c r="L1848" s="34">
        <v>1300.57</v>
      </c>
      <c r="M1848" s="10">
        <f t="shared" si="109"/>
        <v>36.533981254373082</v>
      </c>
    </row>
    <row r="1849" spans="1:13" ht="15" hidden="1" customHeight="1" x14ac:dyDescent="0.3">
      <c r="A1849" s="9">
        <v>2195</v>
      </c>
      <c r="B1849" t="s">
        <v>273</v>
      </c>
      <c r="C1849" s="25">
        <v>44651</v>
      </c>
      <c r="D1849" s="26">
        <v>0.95537037037037031</v>
      </c>
      <c r="E1849" t="s">
        <v>26</v>
      </c>
      <c r="F1849" t="s">
        <v>414</v>
      </c>
      <c r="G1849" t="s">
        <v>415</v>
      </c>
      <c r="H1849" t="s">
        <v>120</v>
      </c>
      <c r="I1849">
        <v>276.91000000000003</v>
      </c>
      <c r="J1849" s="34">
        <v>0</v>
      </c>
      <c r="K1849" s="89">
        <f t="shared" si="110"/>
        <v>679.4</v>
      </c>
      <c r="L1849" s="7">
        <v>679.4</v>
      </c>
      <c r="M1849" s="10">
        <f t="shared" si="109"/>
        <v>40.758021783926999</v>
      </c>
    </row>
    <row r="1850" spans="1:13" ht="15" hidden="1" customHeight="1" x14ac:dyDescent="0.3">
      <c r="A1850" s="9">
        <v>3445</v>
      </c>
      <c r="B1850" t="s">
        <v>273</v>
      </c>
      <c r="C1850" s="25">
        <v>44652</v>
      </c>
      <c r="D1850" s="26">
        <v>0.9573842592592593</v>
      </c>
      <c r="E1850" t="s">
        <v>27</v>
      </c>
      <c r="F1850" t="s">
        <v>210</v>
      </c>
      <c r="G1850" t="s">
        <v>211</v>
      </c>
      <c r="H1850" t="s">
        <v>120</v>
      </c>
      <c r="I1850" s="4">
        <v>384.49</v>
      </c>
      <c r="J1850" s="7">
        <v>0</v>
      </c>
      <c r="K1850" s="89">
        <f t="shared" si="110"/>
        <v>946.64</v>
      </c>
      <c r="L1850" s="7">
        <v>946.64</v>
      </c>
      <c r="M1850" s="10">
        <f t="shared" si="109"/>
        <v>40.616284965773687</v>
      </c>
    </row>
    <row r="1851" spans="1:13" ht="15" hidden="1" customHeight="1" x14ac:dyDescent="0.3">
      <c r="A1851" s="9">
        <v>3446</v>
      </c>
      <c r="B1851" t="s">
        <v>273</v>
      </c>
      <c r="C1851" s="25">
        <v>44653</v>
      </c>
      <c r="D1851" s="26">
        <v>0.68391203703703696</v>
      </c>
      <c r="E1851" t="s">
        <v>27</v>
      </c>
      <c r="F1851" t="s">
        <v>165</v>
      </c>
      <c r="G1851" t="s">
        <v>185</v>
      </c>
      <c r="H1851" t="s">
        <v>120</v>
      </c>
      <c r="I1851" s="4">
        <v>263.14</v>
      </c>
      <c r="J1851" s="7">
        <v>0</v>
      </c>
      <c r="K1851" s="89">
        <f t="shared" si="110"/>
        <v>547.23</v>
      </c>
      <c r="L1851" s="31">
        <v>547.23</v>
      </c>
      <c r="M1851" s="10">
        <f t="shared" si="109"/>
        <v>48.085814008734893</v>
      </c>
    </row>
    <row r="1852" spans="1:13" ht="15" hidden="1" customHeight="1" x14ac:dyDescent="0.3">
      <c r="A1852" s="9">
        <v>3447</v>
      </c>
      <c r="B1852" t="s">
        <v>273</v>
      </c>
      <c r="C1852" s="25">
        <v>44654</v>
      </c>
      <c r="D1852" s="26">
        <v>3.7337962962962962E-2</v>
      </c>
      <c r="E1852" t="s">
        <v>27</v>
      </c>
      <c r="F1852" t="s">
        <v>202</v>
      </c>
      <c r="G1852" t="s">
        <v>203</v>
      </c>
      <c r="H1852" t="s">
        <v>120</v>
      </c>
      <c r="I1852" s="4">
        <v>150</v>
      </c>
      <c r="J1852" s="7">
        <v>0</v>
      </c>
      <c r="K1852" s="89">
        <f t="shared" si="110"/>
        <v>534.6</v>
      </c>
      <c r="L1852" s="7">
        <v>534.6</v>
      </c>
      <c r="M1852" s="10">
        <f t="shared" si="109"/>
        <v>28.058361391694724</v>
      </c>
    </row>
    <row r="1853" spans="1:13" ht="15" hidden="1" customHeight="1" x14ac:dyDescent="0.3">
      <c r="A1853" s="9">
        <v>3448</v>
      </c>
      <c r="B1853" t="s">
        <v>273</v>
      </c>
      <c r="C1853" s="25">
        <v>44655</v>
      </c>
      <c r="D1853" s="26">
        <v>0.54987268518518517</v>
      </c>
      <c r="E1853" t="s">
        <v>27</v>
      </c>
      <c r="F1853" t="s">
        <v>202</v>
      </c>
      <c r="G1853" t="s">
        <v>203</v>
      </c>
      <c r="H1853" t="s">
        <v>120</v>
      </c>
      <c r="I1853" s="4">
        <v>150</v>
      </c>
      <c r="J1853" s="32">
        <v>0</v>
      </c>
      <c r="K1853" s="89">
        <f t="shared" si="110"/>
        <v>496.55</v>
      </c>
      <c r="L1853" s="31">
        <v>496.55</v>
      </c>
      <c r="M1853" s="10">
        <f t="shared" si="109"/>
        <v>30.208438223743833</v>
      </c>
    </row>
    <row r="1854" spans="1:13" ht="15" hidden="1" customHeight="1" x14ac:dyDescent="0.3">
      <c r="A1854" s="9">
        <v>3449</v>
      </c>
      <c r="B1854" t="s">
        <v>273</v>
      </c>
      <c r="C1854" s="25">
        <v>44655</v>
      </c>
      <c r="D1854" s="26">
        <v>0.99028935185185185</v>
      </c>
      <c r="E1854" t="s">
        <v>27</v>
      </c>
      <c r="F1854" t="s">
        <v>165</v>
      </c>
      <c r="G1854" t="s">
        <v>185</v>
      </c>
      <c r="H1854" t="s">
        <v>120</v>
      </c>
      <c r="I1854" s="4">
        <v>287.24</v>
      </c>
      <c r="J1854" s="32">
        <v>0</v>
      </c>
      <c r="K1854" s="89">
        <f t="shared" si="110"/>
        <v>1070</v>
      </c>
      <c r="L1854" s="7">
        <v>1070</v>
      </c>
      <c r="M1854" s="10">
        <f t="shared" si="109"/>
        <v>26.844859813084117</v>
      </c>
    </row>
    <row r="1855" spans="1:13" ht="15" hidden="1" customHeight="1" x14ac:dyDescent="0.3">
      <c r="A1855" s="9">
        <v>3450</v>
      </c>
      <c r="B1855" t="s">
        <v>273</v>
      </c>
      <c r="C1855" s="25">
        <v>44656</v>
      </c>
      <c r="D1855" s="26">
        <v>0.82305555555555554</v>
      </c>
      <c r="E1855" t="s">
        <v>27</v>
      </c>
      <c r="F1855" t="s">
        <v>169</v>
      </c>
      <c r="G1855" t="s">
        <v>196</v>
      </c>
      <c r="H1855" t="s">
        <v>120</v>
      </c>
      <c r="I1855" s="4">
        <v>315.05</v>
      </c>
      <c r="J1855" s="32">
        <v>0</v>
      </c>
      <c r="K1855" s="89">
        <f t="shared" si="110"/>
        <v>984.32</v>
      </c>
      <c r="L1855" s="32">
        <v>984.32</v>
      </c>
      <c r="M1855" s="10">
        <f t="shared" si="109"/>
        <v>32.006867685305593</v>
      </c>
    </row>
    <row r="1856" spans="1:13" ht="15" hidden="1" customHeight="1" x14ac:dyDescent="0.3">
      <c r="A1856" s="9">
        <v>3451</v>
      </c>
      <c r="B1856" t="s">
        <v>273</v>
      </c>
      <c r="C1856" s="25">
        <v>44659</v>
      </c>
      <c r="D1856" s="26">
        <v>2.5787037037037039E-2</v>
      </c>
      <c r="E1856" t="s">
        <v>27</v>
      </c>
      <c r="F1856" t="s">
        <v>166</v>
      </c>
      <c r="G1856" t="s">
        <v>161</v>
      </c>
      <c r="H1856" t="s">
        <v>120</v>
      </c>
      <c r="I1856" s="4">
        <v>498.04</v>
      </c>
      <c r="J1856" s="32">
        <v>0</v>
      </c>
      <c r="K1856" s="89">
        <f t="shared" si="110"/>
        <v>1168.7</v>
      </c>
      <c r="L1856" s="7">
        <v>1168.7</v>
      </c>
      <c r="M1856" s="10">
        <f t="shared" si="109"/>
        <v>42.614871224437408</v>
      </c>
    </row>
    <row r="1857" spans="1:13" ht="15" hidden="1" customHeight="1" x14ac:dyDescent="0.3">
      <c r="A1857" s="9">
        <v>3452</v>
      </c>
      <c r="B1857" t="s">
        <v>273</v>
      </c>
      <c r="C1857" s="25">
        <v>44660</v>
      </c>
      <c r="D1857" s="26">
        <v>0.38896990740740739</v>
      </c>
      <c r="E1857" t="s">
        <v>27</v>
      </c>
      <c r="F1857" t="s">
        <v>210</v>
      </c>
      <c r="G1857" t="s">
        <v>211</v>
      </c>
      <c r="H1857" t="s">
        <v>120</v>
      </c>
      <c r="I1857" s="4">
        <v>450.6</v>
      </c>
      <c r="J1857" s="33">
        <v>0</v>
      </c>
      <c r="K1857" s="89">
        <f t="shared" si="110"/>
        <v>1129.17</v>
      </c>
      <c r="L1857" s="35">
        <v>1129.17</v>
      </c>
      <c r="M1857" s="10">
        <f t="shared" si="109"/>
        <v>39.905417253380804</v>
      </c>
    </row>
    <row r="1858" spans="1:13" ht="15" hidden="1" customHeight="1" x14ac:dyDescent="0.3">
      <c r="A1858" s="9">
        <v>3453</v>
      </c>
      <c r="B1858" t="s">
        <v>273</v>
      </c>
      <c r="C1858" s="25">
        <v>44661</v>
      </c>
      <c r="D1858" s="26">
        <v>0.33987268518518521</v>
      </c>
      <c r="E1858" t="s">
        <v>27</v>
      </c>
      <c r="F1858" t="s">
        <v>428</v>
      </c>
      <c r="G1858" t="s">
        <v>429</v>
      </c>
      <c r="H1858" t="s">
        <v>120</v>
      </c>
      <c r="I1858" s="4">
        <v>100</v>
      </c>
      <c r="J1858" s="32">
        <v>0</v>
      </c>
      <c r="K1858" s="89">
        <f t="shared" si="110"/>
        <v>887.32</v>
      </c>
      <c r="L1858" s="7">
        <v>887.32</v>
      </c>
      <c r="M1858" s="10">
        <f t="shared" si="109"/>
        <v>11.269891358247305</v>
      </c>
    </row>
    <row r="1859" spans="1:13" ht="15" hidden="1" customHeight="1" x14ac:dyDescent="0.3">
      <c r="A1859" s="9">
        <v>3454</v>
      </c>
      <c r="B1859" t="s">
        <v>273</v>
      </c>
      <c r="C1859" s="25">
        <v>44662</v>
      </c>
      <c r="D1859" s="26">
        <v>0.77666666666666673</v>
      </c>
      <c r="E1859" t="s">
        <v>27</v>
      </c>
      <c r="F1859" t="s">
        <v>311</v>
      </c>
      <c r="G1859" t="s">
        <v>303</v>
      </c>
      <c r="H1859" t="s">
        <v>120</v>
      </c>
      <c r="I1859" s="4">
        <v>100.01</v>
      </c>
      <c r="J1859" s="33">
        <v>0</v>
      </c>
      <c r="K1859" s="89">
        <f t="shared" si="110"/>
        <v>529.19000000000005</v>
      </c>
      <c r="L1859" s="31">
        <v>529.19000000000005</v>
      </c>
      <c r="M1859" s="10">
        <f t="shared" si="109"/>
        <v>18.898694230805571</v>
      </c>
    </row>
    <row r="1860" spans="1:13" ht="15" hidden="1" customHeight="1" x14ac:dyDescent="0.3">
      <c r="A1860" s="9">
        <v>3455</v>
      </c>
      <c r="B1860" t="s">
        <v>273</v>
      </c>
      <c r="C1860" s="25">
        <v>44663</v>
      </c>
      <c r="D1860" s="26">
        <v>0.64887731481481481</v>
      </c>
      <c r="E1860" t="s">
        <v>27</v>
      </c>
      <c r="F1860" t="s">
        <v>456</v>
      </c>
      <c r="G1860" t="s">
        <v>457</v>
      </c>
      <c r="H1860" t="s">
        <v>120</v>
      </c>
      <c r="I1860" s="4">
        <v>120.05</v>
      </c>
      <c r="J1860" s="32">
        <v>0</v>
      </c>
      <c r="K1860" s="89">
        <f t="shared" si="110"/>
        <v>300</v>
      </c>
      <c r="L1860" s="7">
        <v>300</v>
      </c>
      <c r="M1860" s="10">
        <f t="shared" si="109"/>
        <v>40.016666666666666</v>
      </c>
    </row>
    <row r="1861" spans="1:13" ht="15" hidden="1" customHeight="1" x14ac:dyDescent="0.3">
      <c r="A1861" s="9">
        <v>3456</v>
      </c>
      <c r="B1861" t="s">
        <v>273</v>
      </c>
      <c r="C1861" s="25">
        <v>44663</v>
      </c>
      <c r="D1861" s="26">
        <v>0.85376157407407405</v>
      </c>
      <c r="E1861" t="s">
        <v>27</v>
      </c>
      <c r="F1861" t="s">
        <v>210</v>
      </c>
      <c r="G1861" t="s">
        <v>211</v>
      </c>
      <c r="H1861" t="s">
        <v>120</v>
      </c>
      <c r="I1861" s="4">
        <v>314.08</v>
      </c>
      <c r="J1861" s="37">
        <v>0</v>
      </c>
      <c r="K1861" s="89">
        <f t="shared" si="110"/>
        <v>410</v>
      </c>
      <c r="L1861" s="35">
        <v>410</v>
      </c>
      <c r="M1861" s="10">
        <f t="shared" si="109"/>
        <v>76.604878048780492</v>
      </c>
    </row>
    <row r="1862" spans="1:13" ht="15" hidden="1" customHeight="1" x14ac:dyDescent="0.3">
      <c r="A1862" s="9">
        <v>3457</v>
      </c>
      <c r="B1862" t="s">
        <v>273</v>
      </c>
      <c r="C1862" s="25">
        <v>44664</v>
      </c>
      <c r="D1862" s="26">
        <v>0.74956018518518519</v>
      </c>
      <c r="E1862" t="s">
        <v>27</v>
      </c>
      <c r="F1862" t="s">
        <v>210</v>
      </c>
      <c r="G1862" t="s">
        <v>211</v>
      </c>
      <c r="H1862" t="s">
        <v>120</v>
      </c>
      <c r="I1862" s="4">
        <v>577</v>
      </c>
      <c r="J1862" s="37">
        <v>0</v>
      </c>
      <c r="K1862" s="89">
        <f t="shared" si="110"/>
        <v>1365</v>
      </c>
      <c r="L1862" s="7">
        <v>1365</v>
      </c>
      <c r="M1862" s="10">
        <f t="shared" si="109"/>
        <v>42.27106227106227</v>
      </c>
    </row>
    <row r="1863" spans="1:13" ht="15" hidden="1" customHeight="1" x14ac:dyDescent="0.3">
      <c r="A1863" s="9">
        <v>3458</v>
      </c>
      <c r="B1863" t="s">
        <v>273</v>
      </c>
      <c r="C1863" s="25">
        <v>44676</v>
      </c>
      <c r="D1863" s="26">
        <v>0.51700231481481485</v>
      </c>
      <c r="E1863" t="s">
        <v>27</v>
      </c>
      <c r="F1863" t="s">
        <v>175</v>
      </c>
      <c r="G1863" t="s">
        <v>172</v>
      </c>
      <c r="H1863" t="s">
        <v>120</v>
      </c>
      <c r="I1863">
        <v>351.5</v>
      </c>
      <c r="J1863" s="32">
        <v>0</v>
      </c>
      <c r="K1863" s="89">
        <f t="shared" si="110"/>
        <v>947</v>
      </c>
      <c r="L1863" s="34">
        <v>947</v>
      </c>
      <c r="M1863" s="10">
        <f t="shared" si="109"/>
        <v>37.117212249208023</v>
      </c>
    </row>
    <row r="1864" spans="1:13" ht="15" hidden="1" customHeight="1" x14ac:dyDescent="0.3">
      <c r="A1864" s="9">
        <v>3459</v>
      </c>
      <c r="B1864" t="s">
        <v>273</v>
      </c>
      <c r="C1864" s="25">
        <v>44677</v>
      </c>
      <c r="D1864" s="26">
        <v>0.42396990740740742</v>
      </c>
      <c r="E1864" t="s">
        <v>27</v>
      </c>
      <c r="F1864" t="s">
        <v>175</v>
      </c>
      <c r="G1864" t="s">
        <v>172</v>
      </c>
      <c r="H1864" t="s">
        <v>120</v>
      </c>
      <c r="I1864">
        <v>155.03</v>
      </c>
      <c r="J1864" s="32">
        <v>0</v>
      </c>
      <c r="K1864" s="89">
        <f t="shared" si="110"/>
        <v>368.52</v>
      </c>
      <c r="L1864" s="7">
        <v>368.52</v>
      </c>
      <c r="M1864" s="10">
        <f t="shared" ref="M1864:M1895" si="111">I1864/K1864*100</f>
        <v>42.068273092369481</v>
      </c>
    </row>
    <row r="1865" spans="1:13" ht="15" hidden="1" customHeight="1" x14ac:dyDescent="0.3">
      <c r="A1865" s="9">
        <v>3460</v>
      </c>
      <c r="B1865" t="s">
        <v>273</v>
      </c>
      <c r="C1865" s="25">
        <v>44678</v>
      </c>
      <c r="D1865" s="26">
        <v>0.70811342592592597</v>
      </c>
      <c r="E1865" t="s">
        <v>27</v>
      </c>
      <c r="F1865" t="s">
        <v>210</v>
      </c>
      <c r="G1865" t="s">
        <v>211</v>
      </c>
      <c r="H1865" t="s">
        <v>120</v>
      </c>
      <c r="I1865">
        <v>367.05</v>
      </c>
      <c r="J1865" s="33">
        <v>0</v>
      </c>
      <c r="K1865" s="89">
        <f t="shared" si="110"/>
        <v>808.89</v>
      </c>
      <c r="L1865" s="7">
        <v>808.89</v>
      </c>
      <c r="M1865" s="10">
        <f t="shared" si="111"/>
        <v>45.376998108519082</v>
      </c>
    </row>
    <row r="1866" spans="1:13" ht="15" hidden="1" customHeight="1" x14ac:dyDescent="0.3">
      <c r="A1866" s="9">
        <v>3461</v>
      </c>
      <c r="B1866" t="s">
        <v>273</v>
      </c>
      <c r="C1866" s="25">
        <v>44679</v>
      </c>
      <c r="D1866" s="26">
        <v>0.86971064814814814</v>
      </c>
      <c r="E1866" t="s">
        <v>27</v>
      </c>
      <c r="F1866" t="s">
        <v>165</v>
      </c>
      <c r="G1866" t="s">
        <v>185</v>
      </c>
      <c r="H1866" t="s">
        <v>120</v>
      </c>
      <c r="I1866">
        <v>307</v>
      </c>
      <c r="J1866" s="33">
        <v>0</v>
      </c>
      <c r="K1866" s="89">
        <f t="shared" si="110"/>
        <v>547</v>
      </c>
      <c r="L1866" s="7">
        <v>547</v>
      </c>
      <c r="M1866" s="10">
        <f t="shared" si="111"/>
        <v>56.124314442413159</v>
      </c>
    </row>
    <row r="1867" spans="1:13" ht="15" hidden="1" customHeight="1" x14ac:dyDescent="0.3">
      <c r="A1867" s="9">
        <v>3712</v>
      </c>
      <c r="B1867" t="s">
        <v>273</v>
      </c>
      <c r="C1867" s="25">
        <v>44683</v>
      </c>
      <c r="D1867" s="26">
        <v>0.92774305555555558</v>
      </c>
      <c r="E1867" t="s">
        <v>28</v>
      </c>
      <c r="F1867" t="s">
        <v>166</v>
      </c>
      <c r="G1867" t="s">
        <v>161</v>
      </c>
      <c r="H1867" t="s">
        <v>120</v>
      </c>
      <c r="I1867">
        <v>270.01499999999999</v>
      </c>
      <c r="J1867" s="37">
        <v>0</v>
      </c>
      <c r="K1867" s="89">
        <f>+L1867-J2000</f>
        <v>634.49</v>
      </c>
      <c r="L1867" s="32">
        <v>634.49</v>
      </c>
      <c r="M1867" s="10">
        <f t="shared" si="111"/>
        <v>42.556226260461152</v>
      </c>
    </row>
    <row r="1868" spans="1:13" ht="15" hidden="1" customHeight="1" x14ac:dyDescent="0.3">
      <c r="A1868" s="9">
        <v>3783</v>
      </c>
      <c r="B1868" t="s">
        <v>273</v>
      </c>
      <c r="C1868" s="25">
        <v>44684</v>
      </c>
      <c r="D1868" s="26">
        <v>0.75002314814814808</v>
      </c>
      <c r="E1868" t="s">
        <v>28</v>
      </c>
      <c r="F1868" t="s">
        <v>169</v>
      </c>
      <c r="G1868" t="s">
        <v>196</v>
      </c>
      <c r="H1868" t="s">
        <v>120</v>
      </c>
      <c r="I1868">
        <v>144.41</v>
      </c>
      <c r="J1868" s="37">
        <v>0</v>
      </c>
      <c r="K1868" s="89">
        <f>+L1868-J2002</f>
        <v>405</v>
      </c>
      <c r="L1868" s="31">
        <v>405</v>
      </c>
      <c r="M1868" s="10">
        <f t="shared" si="111"/>
        <v>35.656790123456787</v>
      </c>
    </row>
    <row r="1869" spans="1:13" ht="15" hidden="1" customHeight="1" x14ac:dyDescent="0.3">
      <c r="A1869" s="9">
        <v>3957</v>
      </c>
      <c r="B1869" t="s">
        <v>273</v>
      </c>
      <c r="C1869" s="25">
        <v>44687</v>
      </c>
      <c r="D1869" s="26">
        <v>1.1574074074074073E-3</v>
      </c>
      <c r="E1869" t="s">
        <v>28</v>
      </c>
      <c r="F1869" t="s">
        <v>311</v>
      </c>
      <c r="G1869" t="s">
        <v>303</v>
      </c>
      <c r="H1869" t="s">
        <v>120</v>
      </c>
      <c r="I1869">
        <v>348.82</v>
      </c>
      <c r="J1869" s="37">
        <v>0</v>
      </c>
      <c r="K1869" s="89">
        <f>+L1869-J1999</f>
        <v>840</v>
      </c>
      <c r="L1869" s="32">
        <v>840</v>
      </c>
      <c r="M1869" s="10">
        <f t="shared" si="111"/>
        <v>41.526190476190479</v>
      </c>
    </row>
    <row r="1870" spans="1:13" ht="15" hidden="1" customHeight="1" x14ac:dyDescent="0.3">
      <c r="A1870" s="9">
        <v>3958</v>
      </c>
      <c r="B1870" t="s">
        <v>273</v>
      </c>
      <c r="C1870" s="25">
        <v>44687</v>
      </c>
      <c r="D1870" s="26">
        <v>0.5560532407407407</v>
      </c>
      <c r="E1870" t="s">
        <v>28</v>
      </c>
      <c r="F1870" t="s">
        <v>210</v>
      </c>
      <c r="G1870" t="s">
        <v>211</v>
      </c>
      <c r="H1870" t="s">
        <v>120</v>
      </c>
      <c r="I1870">
        <v>203.88</v>
      </c>
      <c r="J1870" s="37">
        <v>0</v>
      </c>
      <c r="K1870" s="89">
        <f>+L1870-J2000</f>
        <v>428</v>
      </c>
      <c r="L1870" s="32">
        <v>428</v>
      </c>
      <c r="M1870" s="10">
        <f t="shared" si="111"/>
        <v>47.635514018691588</v>
      </c>
    </row>
    <row r="1871" spans="1:13" ht="15" hidden="1" customHeight="1" x14ac:dyDescent="0.3">
      <c r="A1871" s="9">
        <v>4004</v>
      </c>
      <c r="B1871" t="s">
        <v>273</v>
      </c>
      <c r="C1871" s="25">
        <v>44688</v>
      </c>
      <c r="D1871" s="26">
        <v>0.7176851851851852</v>
      </c>
      <c r="E1871" t="s">
        <v>28</v>
      </c>
      <c r="F1871" t="s">
        <v>210</v>
      </c>
      <c r="G1871" t="s">
        <v>211</v>
      </c>
      <c r="H1871" t="s">
        <v>120</v>
      </c>
      <c r="I1871">
        <v>403.77</v>
      </c>
      <c r="J1871" s="55">
        <v>0</v>
      </c>
      <c r="K1871" s="89">
        <f>+L1871-J2001</f>
        <v>1054</v>
      </c>
      <c r="L1871" s="37">
        <v>1054</v>
      </c>
      <c r="M1871" s="10">
        <f t="shared" si="111"/>
        <v>38.308349146110054</v>
      </c>
    </row>
    <row r="1872" spans="1:13" ht="15" hidden="1" customHeight="1" x14ac:dyDescent="0.3">
      <c r="A1872" s="9">
        <v>4050</v>
      </c>
      <c r="B1872" t="s">
        <v>273</v>
      </c>
      <c r="C1872" s="25">
        <v>44689</v>
      </c>
      <c r="D1872" s="26">
        <v>0.79952546296296301</v>
      </c>
      <c r="E1872" t="s">
        <v>28</v>
      </c>
      <c r="F1872" t="s">
        <v>169</v>
      </c>
      <c r="G1872" t="s">
        <v>196</v>
      </c>
      <c r="H1872" t="s">
        <v>120</v>
      </c>
      <c r="I1872">
        <v>167.01</v>
      </c>
      <c r="J1872" s="32">
        <v>0</v>
      </c>
      <c r="K1872" s="89">
        <f>+L1872-J2002</f>
        <v>461</v>
      </c>
      <c r="L1872" s="33">
        <v>461</v>
      </c>
      <c r="M1872" s="10">
        <f t="shared" si="111"/>
        <v>36.227765726681127</v>
      </c>
    </row>
    <row r="1873" spans="1:13" ht="15" hidden="1" customHeight="1" x14ac:dyDescent="0.3">
      <c r="A1873" s="9">
        <v>4143</v>
      </c>
      <c r="B1873" t="s">
        <v>273</v>
      </c>
      <c r="C1873" s="25">
        <v>44691</v>
      </c>
      <c r="D1873" s="26">
        <v>0.64835648148148151</v>
      </c>
      <c r="E1873" t="s">
        <v>28</v>
      </c>
      <c r="F1873" t="s">
        <v>488</v>
      </c>
      <c r="G1873" t="s">
        <v>489</v>
      </c>
      <c r="H1873" t="s">
        <v>120</v>
      </c>
      <c r="I1873">
        <v>200.00200000000001</v>
      </c>
      <c r="J1873" s="32">
        <v>0</v>
      </c>
      <c r="K1873" s="89">
        <f>+L1873-J2005</f>
        <v>994</v>
      </c>
      <c r="L1873" s="32">
        <v>994</v>
      </c>
      <c r="M1873" s="10">
        <f t="shared" si="111"/>
        <v>20.120925553319921</v>
      </c>
    </row>
    <row r="1874" spans="1:13" ht="15" hidden="1" customHeight="1" x14ac:dyDescent="0.3">
      <c r="A1874" s="9">
        <v>4144</v>
      </c>
      <c r="B1874" t="s">
        <v>273</v>
      </c>
      <c r="C1874" s="25">
        <v>44691</v>
      </c>
      <c r="D1874" s="26">
        <v>0.80981481481481488</v>
      </c>
      <c r="E1874" t="s">
        <v>28</v>
      </c>
      <c r="F1874" t="s">
        <v>210</v>
      </c>
      <c r="G1874" t="s">
        <v>211</v>
      </c>
      <c r="H1874" t="s">
        <v>120</v>
      </c>
      <c r="I1874">
        <v>336.47</v>
      </c>
      <c r="J1874" s="37">
        <v>0</v>
      </c>
      <c r="K1874" s="89">
        <f>+L1874-J2006</f>
        <v>247</v>
      </c>
      <c r="L1874" s="37">
        <v>247</v>
      </c>
      <c r="M1874" s="10">
        <f t="shared" si="111"/>
        <v>136.22267206477733</v>
      </c>
    </row>
    <row r="1875" spans="1:13" ht="15" hidden="1" customHeight="1" x14ac:dyDescent="0.3">
      <c r="A1875" s="9">
        <v>4184</v>
      </c>
      <c r="B1875" t="s">
        <v>273</v>
      </c>
      <c r="C1875" s="25">
        <v>44692</v>
      </c>
      <c r="D1875" s="26">
        <v>0.96467592592592588</v>
      </c>
      <c r="E1875" t="s">
        <v>28</v>
      </c>
      <c r="F1875" t="s">
        <v>210</v>
      </c>
      <c r="G1875" t="s">
        <v>211</v>
      </c>
      <c r="H1875" t="s">
        <v>120</v>
      </c>
      <c r="I1875">
        <v>414.54</v>
      </c>
      <c r="J1875" s="32">
        <v>0</v>
      </c>
      <c r="K1875" s="89">
        <f>+L1875-J2008</f>
        <v>1056</v>
      </c>
      <c r="L1875" s="32">
        <v>1056</v>
      </c>
      <c r="M1875" s="10">
        <f t="shared" si="111"/>
        <v>39.25568181818182</v>
      </c>
    </row>
    <row r="1876" spans="1:13" ht="15" hidden="1" customHeight="1" x14ac:dyDescent="0.3">
      <c r="A1876" s="9">
        <v>4231</v>
      </c>
      <c r="B1876" t="s">
        <v>273</v>
      </c>
      <c r="C1876" s="25">
        <v>44693</v>
      </c>
      <c r="D1876" s="26">
        <v>0.7050347222222223</v>
      </c>
      <c r="E1876" t="s">
        <v>28</v>
      </c>
      <c r="F1876" t="s">
        <v>169</v>
      </c>
      <c r="G1876" t="s">
        <v>196</v>
      </c>
      <c r="H1876" t="s">
        <v>120</v>
      </c>
      <c r="I1876">
        <v>211.43</v>
      </c>
      <c r="J1876" s="53">
        <v>0</v>
      </c>
      <c r="K1876" s="89">
        <f>+L1876-J2009</f>
        <v>479</v>
      </c>
      <c r="L1876" s="37">
        <v>479</v>
      </c>
      <c r="M1876" s="10">
        <f t="shared" si="111"/>
        <v>44.139874739039669</v>
      </c>
    </row>
    <row r="1877" spans="1:13" ht="15" hidden="1" customHeight="1" x14ac:dyDescent="0.3">
      <c r="A1877" s="9">
        <v>4328</v>
      </c>
      <c r="B1877" t="s">
        <v>273</v>
      </c>
      <c r="C1877" s="25">
        <v>44695</v>
      </c>
      <c r="D1877" s="26">
        <v>0.51722222222222225</v>
      </c>
      <c r="E1877" t="s">
        <v>28</v>
      </c>
      <c r="F1877" t="s">
        <v>166</v>
      </c>
      <c r="G1877" t="s">
        <v>161</v>
      </c>
      <c r="H1877" t="s">
        <v>120</v>
      </c>
      <c r="I1877">
        <f>100+100</f>
        <v>200</v>
      </c>
      <c r="J1877" s="33">
        <v>0</v>
      </c>
      <c r="K1877" s="89">
        <f>+L1877-J2009</f>
        <v>122</v>
      </c>
      <c r="L1877" s="32">
        <v>122</v>
      </c>
      <c r="M1877" s="36">
        <f t="shared" si="111"/>
        <v>163.9344262295082</v>
      </c>
    </row>
    <row r="1878" spans="1:13" ht="15" hidden="1" customHeight="1" x14ac:dyDescent="0.3">
      <c r="A1878" s="9">
        <v>4351</v>
      </c>
      <c r="B1878" t="s">
        <v>273</v>
      </c>
      <c r="C1878" s="25">
        <v>44695</v>
      </c>
      <c r="D1878" s="26">
        <v>0.41372685185185182</v>
      </c>
      <c r="E1878" t="s">
        <v>28</v>
      </c>
      <c r="F1878" t="s">
        <v>366</v>
      </c>
      <c r="G1878" t="s">
        <v>367</v>
      </c>
      <c r="H1878" t="s">
        <v>120</v>
      </c>
      <c r="I1878">
        <v>100</v>
      </c>
      <c r="J1878" s="33">
        <v>0</v>
      </c>
      <c r="K1878" s="89">
        <f>+L1878-J2010</f>
        <v>1246</v>
      </c>
      <c r="L1878" s="32">
        <v>1246</v>
      </c>
      <c r="M1878" s="36">
        <f t="shared" si="111"/>
        <v>8.0256821829855536</v>
      </c>
    </row>
    <row r="1879" spans="1:13" ht="15" hidden="1" customHeight="1" x14ac:dyDescent="0.3">
      <c r="A1879" s="9">
        <v>4352</v>
      </c>
      <c r="B1879" t="s">
        <v>273</v>
      </c>
      <c r="C1879" s="25">
        <v>44695</v>
      </c>
      <c r="D1879" s="26">
        <v>0.58644675925925926</v>
      </c>
      <c r="E1879" t="s">
        <v>28</v>
      </c>
      <c r="F1879" t="s">
        <v>210</v>
      </c>
      <c r="G1879" t="s">
        <v>211</v>
      </c>
      <c r="H1879" t="s">
        <v>120</v>
      </c>
      <c r="I1879">
        <v>326.08</v>
      </c>
      <c r="J1879" s="32">
        <v>0</v>
      </c>
      <c r="K1879" s="89">
        <f>+L1879-J2011</f>
        <v>75</v>
      </c>
      <c r="L1879" s="32">
        <v>75</v>
      </c>
      <c r="M1879" s="36">
        <f t="shared" si="111"/>
        <v>434.77333333333331</v>
      </c>
    </row>
    <row r="1880" spans="1:13" ht="15" hidden="1" customHeight="1" x14ac:dyDescent="0.3">
      <c r="A1880" s="9">
        <v>4426</v>
      </c>
      <c r="B1880" t="s">
        <v>273</v>
      </c>
      <c r="C1880" s="25">
        <v>44696</v>
      </c>
      <c r="D1880" s="26">
        <v>0.96244212962962961</v>
      </c>
      <c r="E1880" t="s">
        <v>28</v>
      </c>
      <c r="F1880" t="s">
        <v>165</v>
      </c>
      <c r="G1880" t="s">
        <v>185</v>
      </c>
      <c r="H1880" t="s">
        <v>120</v>
      </c>
      <c r="I1880">
        <v>273.08999999999997</v>
      </c>
      <c r="J1880" s="37">
        <v>0</v>
      </c>
      <c r="K1880" s="89">
        <f>+L1880-J2012</f>
        <v>549</v>
      </c>
      <c r="L1880" s="32">
        <v>549</v>
      </c>
      <c r="M1880" s="36">
        <f t="shared" si="111"/>
        <v>49.743169398907099</v>
      </c>
    </row>
    <row r="1881" spans="1:13" ht="15" hidden="1" customHeight="1" x14ac:dyDescent="0.3">
      <c r="A1881" s="9">
        <v>4476</v>
      </c>
      <c r="B1881" t="s">
        <v>273</v>
      </c>
      <c r="C1881" s="25">
        <v>44697</v>
      </c>
      <c r="D1881" s="26">
        <v>0.8534722222222223</v>
      </c>
      <c r="E1881" t="s">
        <v>28</v>
      </c>
      <c r="F1881" t="s">
        <v>210</v>
      </c>
      <c r="G1881" t="s">
        <v>211</v>
      </c>
      <c r="H1881" t="s">
        <v>120</v>
      </c>
      <c r="I1881">
        <v>231.12</v>
      </c>
      <c r="J1881" s="37">
        <v>0</v>
      </c>
      <c r="K1881" s="89">
        <f>+L1881-J2013</f>
        <v>562</v>
      </c>
      <c r="L1881" s="32">
        <v>562</v>
      </c>
      <c r="M1881" s="36">
        <f t="shared" si="111"/>
        <v>41.12455516014235</v>
      </c>
    </row>
    <row r="1882" spans="1:13" ht="15" hidden="1" customHeight="1" x14ac:dyDescent="0.3">
      <c r="A1882" s="9">
        <v>4522</v>
      </c>
      <c r="B1882" t="s">
        <v>273</v>
      </c>
      <c r="C1882" s="25">
        <v>44698</v>
      </c>
      <c r="D1882" s="26">
        <v>0.58001157407407411</v>
      </c>
      <c r="E1882" t="s">
        <v>28</v>
      </c>
      <c r="F1882" t="s">
        <v>169</v>
      </c>
      <c r="G1882" t="s">
        <v>196</v>
      </c>
      <c r="H1882" t="s">
        <v>120</v>
      </c>
      <c r="I1882">
        <v>188.39</v>
      </c>
      <c r="J1882" s="33">
        <v>0</v>
      </c>
      <c r="K1882" s="89">
        <f>+L1882-J2153</f>
        <v>473</v>
      </c>
      <c r="L1882" s="32">
        <v>473</v>
      </c>
      <c r="M1882" s="36">
        <f t="shared" si="111"/>
        <v>39.828752642706128</v>
      </c>
    </row>
    <row r="1883" spans="1:13" ht="15" hidden="1" customHeight="1" x14ac:dyDescent="0.3">
      <c r="A1883" s="9">
        <v>5059</v>
      </c>
      <c r="B1883" t="s">
        <v>273</v>
      </c>
      <c r="C1883" s="25">
        <v>44708</v>
      </c>
      <c r="D1883" s="26">
        <v>0.41244212962962962</v>
      </c>
      <c r="E1883" t="s">
        <v>28</v>
      </c>
      <c r="F1883" t="s">
        <v>661</v>
      </c>
      <c r="G1883" t="s">
        <v>457</v>
      </c>
      <c r="H1883" t="s">
        <v>120</v>
      </c>
      <c r="I1883">
        <v>100</v>
      </c>
      <c r="J1883" s="33">
        <v>0</v>
      </c>
      <c r="K1883" s="89">
        <f>+L1883-J2170</f>
        <v>938</v>
      </c>
      <c r="L1883" s="7">
        <v>938</v>
      </c>
      <c r="M1883" s="36">
        <f t="shared" si="111"/>
        <v>10.660980810234541</v>
      </c>
    </row>
    <row r="1884" spans="1:13" ht="15" hidden="1" customHeight="1" x14ac:dyDescent="0.3">
      <c r="A1884" s="9">
        <v>5060</v>
      </c>
      <c r="B1884" t="s">
        <v>273</v>
      </c>
      <c r="C1884" s="25">
        <v>44708</v>
      </c>
      <c r="D1884" s="26">
        <v>0.62199074074074068</v>
      </c>
      <c r="E1884" t="s">
        <v>28</v>
      </c>
      <c r="F1884" t="s">
        <v>634</v>
      </c>
      <c r="G1884" t="s">
        <v>211</v>
      </c>
      <c r="H1884" t="s">
        <v>120</v>
      </c>
      <c r="I1884">
        <v>404.48</v>
      </c>
      <c r="J1884" s="32">
        <v>0</v>
      </c>
      <c r="K1884" s="90">
        <f>+L1884-J2171</f>
        <v>310</v>
      </c>
      <c r="L1884" s="34">
        <v>310</v>
      </c>
      <c r="M1884" s="10">
        <f t="shared" si="111"/>
        <v>130.47741935483873</v>
      </c>
    </row>
    <row r="1885" spans="1:13" ht="15" hidden="1" customHeight="1" x14ac:dyDescent="0.3">
      <c r="A1885" s="9">
        <v>5112</v>
      </c>
      <c r="B1885" t="s">
        <v>273</v>
      </c>
      <c r="C1885" s="25">
        <v>44709</v>
      </c>
      <c r="D1885" s="26">
        <v>0.58105324074074072</v>
      </c>
      <c r="E1885" t="s">
        <v>28</v>
      </c>
      <c r="F1885" t="s">
        <v>635</v>
      </c>
      <c r="G1885" t="s">
        <v>185</v>
      </c>
      <c r="H1885" t="s">
        <v>120</v>
      </c>
      <c r="I1885">
        <v>307.02</v>
      </c>
      <c r="J1885" s="32">
        <v>0</v>
      </c>
      <c r="K1885" s="90">
        <f>+L1885-J2172</f>
        <v>544</v>
      </c>
      <c r="L1885" s="7">
        <v>544</v>
      </c>
      <c r="M1885" s="10">
        <f t="shared" si="111"/>
        <v>56.437499999999993</v>
      </c>
    </row>
    <row r="1886" spans="1:13" ht="15" hidden="1" customHeight="1" x14ac:dyDescent="0.3">
      <c r="A1886" s="9">
        <v>5170</v>
      </c>
      <c r="B1886" t="s">
        <v>273</v>
      </c>
      <c r="C1886" s="25">
        <v>44710</v>
      </c>
      <c r="D1886" s="26">
        <v>0.76936342592592588</v>
      </c>
      <c r="E1886" t="s">
        <v>28</v>
      </c>
      <c r="F1886" t="s">
        <v>642</v>
      </c>
      <c r="G1886" t="s">
        <v>203</v>
      </c>
      <c r="H1886" t="s">
        <v>120</v>
      </c>
      <c r="I1886">
        <v>150</v>
      </c>
      <c r="J1886" s="33">
        <v>0</v>
      </c>
      <c r="K1886" s="89">
        <f>+L1886-J2173</f>
        <v>536</v>
      </c>
      <c r="L1886" s="34">
        <v>536</v>
      </c>
      <c r="M1886" s="10">
        <f t="shared" si="111"/>
        <v>27.985074626865668</v>
      </c>
    </row>
    <row r="1887" spans="1:13" ht="15" hidden="1" customHeight="1" x14ac:dyDescent="0.3">
      <c r="A1887" s="9">
        <v>5222</v>
      </c>
      <c r="B1887" t="s">
        <v>273</v>
      </c>
      <c r="C1887" s="25">
        <v>44711</v>
      </c>
      <c r="D1887" s="26">
        <v>0.54188657407407403</v>
      </c>
      <c r="E1887" t="s">
        <v>28</v>
      </c>
      <c r="F1887" t="s">
        <v>642</v>
      </c>
      <c r="G1887" t="s">
        <v>203</v>
      </c>
      <c r="H1887" t="s">
        <v>120</v>
      </c>
      <c r="I1887">
        <v>100</v>
      </c>
      <c r="J1887" s="33">
        <v>0</v>
      </c>
      <c r="K1887" s="89">
        <f>+L1887-J2166</f>
        <v>499</v>
      </c>
      <c r="L1887" s="7">
        <v>499</v>
      </c>
      <c r="M1887" s="10">
        <f t="shared" si="111"/>
        <v>20.040080160320642</v>
      </c>
    </row>
    <row r="1888" spans="1:13" ht="15" hidden="1" customHeight="1" x14ac:dyDescent="0.3">
      <c r="A1888" s="9">
        <v>5254</v>
      </c>
      <c r="B1888" t="s">
        <v>273</v>
      </c>
      <c r="C1888" s="25">
        <v>44712</v>
      </c>
      <c r="D1888" s="26">
        <v>4.1666666666666664E-2</v>
      </c>
      <c r="E1888" t="s">
        <v>28</v>
      </c>
      <c r="F1888" t="s">
        <v>640</v>
      </c>
      <c r="G1888" t="s">
        <v>185</v>
      </c>
      <c r="H1888" t="s">
        <v>120</v>
      </c>
      <c r="I1888">
        <v>370.03</v>
      </c>
      <c r="J1888" s="32">
        <v>0</v>
      </c>
      <c r="K1888" s="89">
        <f>+L1888-J2168</f>
        <v>571</v>
      </c>
      <c r="L1888" s="7">
        <v>571</v>
      </c>
      <c r="M1888" s="10">
        <f t="shared" si="111"/>
        <v>64.80385288966724</v>
      </c>
    </row>
    <row r="1889" spans="1:19" ht="15" hidden="1" customHeight="1" x14ac:dyDescent="0.3">
      <c r="A1889" s="9">
        <v>5255</v>
      </c>
      <c r="B1889" t="s">
        <v>273</v>
      </c>
      <c r="C1889" s="25">
        <v>44712</v>
      </c>
      <c r="D1889" s="26">
        <v>0.72233796296296304</v>
      </c>
      <c r="E1889" t="s">
        <v>28</v>
      </c>
      <c r="F1889" t="s">
        <v>632</v>
      </c>
      <c r="G1889" t="s">
        <v>161</v>
      </c>
      <c r="H1889" t="s">
        <v>120</v>
      </c>
      <c r="I1889">
        <v>190.09</v>
      </c>
      <c r="J1889" s="37">
        <v>0</v>
      </c>
      <c r="K1889" s="89">
        <f>+L1889-J2169</f>
        <v>584</v>
      </c>
      <c r="L1889" s="31">
        <v>584</v>
      </c>
      <c r="M1889" s="10">
        <f t="shared" si="111"/>
        <v>32.54965753424657</v>
      </c>
    </row>
    <row r="1890" spans="1:19" ht="15" hidden="1" customHeight="1" x14ac:dyDescent="0.3">
      <c r="A1890" s="9">
        <v>5307</v>
      </c>
      <c r="B1890" t="s">
        <v>273</v>
      </c>
      <c r="C1890" s="25">
        <v>44713</v>
      </c>
      <c r="D1890" s="26">
        <v>0.41766203703703703</v>
      </c>
      <c r="E1890" t="s">
        <v>29</v>
      </c>
      <c r="F1890" t="s">
        <v>637</v>
      </c>
      <c r="G1890" t="s">
        <v>196</v>
      </c>
      <c r="H1890" t="s">
        <v>120</v>
      </c>
      <c r="I1890">
        <v>100</v>
      </c>
      <c r="J1890" s="32">
        <v>0</v>
      </c>
      <c r="K1890" s="89">
        <f>+L1890-J2114</f>
        <v>1385</v>
      </c>
      <c r="L1890" s="31">
        <v>1385</v>
      </c>
      <c r="M1890" s="10">
        <f t="shared" si="111"/>
        <v>7.2202166064981945</v>
      </c>
    </row>
    <row r="1891" spans="1:19" ht="15" hidden="1" customHeight="1" x14ac:dyDescent="0.3">
      <c r="A1891" s="9">
        <v>5372</v>
      </c>
      <c r="B1891" t="s">
        <v>273</v>
      </c>
      <c r="C1891" s="25">
        <v>44714</v>
      </c>
      <c r="D1891" s="26">
        <v>0.50749999999999995</v>
      </c>
      <c r="E1891" t="s">
        <v>29</v>
      </c>
      <c r="F1891" t="s">
        <v>694</v>
      </c>
      <c r="G1891" t="s">
        <v>489</v>
      </c>
      <c r="H1891" t="s">
        <v>120</v>
      </c>
      <c r="I1891" s="8">
        <v>370.16</v>
      </c>
      <c r="J1891" s="32">
        <v>0</v>
      </c>
      <c r="K1891" s="89">
        <f>+L1891-J2115</f>
        <v>984</v>
      </c>
      <c r="L1891" s="7">
        <v>984</v>
      </c>
      <c r="M1891" s="10">
        <f t="shared" si="111"/>
        <v>37.617886178861795</v>
      </c>
    </row>
    <row r="1892" spans="1:19" ht="15" hidden="1" customHeight="1" x14ac:dyDescent="0.3">
      <c r="A1892" s="9">
        <v>5373</v>
      </c>
      <c r="B1892" t="s">
        <v>273</v>
      </c>
      <c r="C1892" s="25">
        <v>44714</v>
      </c>
      <c r="D1892" s="26">
        <v>0.68572916666666661</v>
      </c>
      <c r="E1892" t="s">
        <v>29</v>
      </c>
      <c r="F1892" t="s">
        <v>634</v>
      </c>
      <c r="G1892" t="s">
        <v>211</v>
      </c>
      <c r="H1892" t="s">
        <v>120</v>
      </c>
      <c r="I1892" s="8">
        <v>212.49</v>
      </c>
      <c r="J1892" s="32">
        <v>0</v>
      </c>
      <c r="K1892" s="89">
        <f>+L1892-J2116</f>
        <v>247</v>
      </c>
      <c r="L1892" s="7">
        <v>247</v>
      </c>
      <c r="M1892" s="10">
        <f t="shared" si="111"/>
        <v>86.02834008097166</v>
      </c>
    </row>
    <row r="1893" spans="1:19" ht="15" hidden="1" customHeight="1" x14ac:dyDescent="0.3">
      <c r="A1893" s="9">
        <v>5429</v>
      </c>
      <c r="B1893" t="s">
        <v>273</v>
      </c>
      <c r="C1893" s="25">
        <v>44715</v>
      </c>
      <c r="D1893" s="26">
        <v>7.5624999999999998E-2</v>
      </c>
      <c r="E1893" t="s">
        <v>29</v>
      </c>
      <c r="F1893" t="s">
        <v>640</v>
      </c>
      <c r="G1893" t="s">
        <v>185</v>
      </c>
      <c r="H1893" t="s">
        <v>120</v>
      </c>
      <c r="I1893">
        <v>257.76</v>
      </c>
      <c r="J1893" s="32">
        <v>0</v>
      </c>
      <c r="K1893" s="89">
        <f>+L1893-J2110</f>
        <v>545</v>
      </c>
      <c r="L1893" s="31">
        <v>545</v>
      </c>
      <c r="M1893" s="10">
        <f t="shared" si="111"/>
        <v>47.295412844036697</v>
      </c>
    </row>
    <row r="1894" spans="1:19" ht="15" hidden="1" customHeight="1" x14ac:dyDescent="0.3">
      <c r="A1894" s="9">
        <v>5430</v>
      </c>
      <c r="B1894" t="s">
        <v>273</v>
      </c>
      <c r="C1894" s="25">
        <v>44715</v>
      </c>
      <c r="D1894" s="26">
        <v>0.80966435185185182</v>
      </c>
      <c r="E1894" t="s">
        <v>29</v>
      </c>
      <c r="F1894" t="s">
        <v>642</v>
      </c>
      <c r="G1894" t="s">
        <v>203</v>
      </c>
      <c r="H1894" t="s">
        <v>120</v>
      </c>
      <c r="I1894">
        <v>189.6</v>
      </c>
      <c r="J1894" s="32">
        <v>0</v>
      </c>
      <c r="K1894" s="89">
        <f>+L1894-J2111</f>
        <v>530</v>
      </c>
      <c r="L1894" s="7">
        <v>530</v>
      </c>
      <c r="M1894" s="10">
        <f t="shared" si="111"/>
        <v>35.773584905660378</v>
      </c>
    </row>
    <row r="1895" spans="1:19" ht="15" hidden="1" customHeight="1" x14ac:dyDescent="0.3">
      <c r="A1895" s="9">
        <v>5483</v>
      </c>
      <c r="B1895" t="s">
        <v>273</v>
      </c>
      <c r="C1895" s="25">
        <v>44716</v>
      </c>
      <c r="D1895" s="26">
        <v>0.99258101851851854</v>
      </c>
      <c r="E1895" t="s">
        <v>29</v>
      </c>
      <c r="F1895" t="s">
        <v>640</v>
      </c>
      <c r="G1895" t="s">
        <v>185</v>
      </c>
      <c r="H1895" t="s">
        <v>120</v>
      </c>
      <c r="I1895">
        <v>435.53</v>
      </c>
      <c r="J1895" s="37">
        <v>0</v>
      </c>
      <c r="K1895" s="89">
        <f>+L1895-J2112</f>
        <v>1070</v>
      </c>
      <c r="L1895" s="7">
        <v>1070</v>
      </c>
      <c r="M1895" s="10">
        <f t="shared" si="111"/>
        <v>40.703738317757008</v>
      </c>
    </row>
    <row r="1896" spans="1:19" ht="15" hidden="1" customHeight="1" x14ac:dyDescent="0.3">
      <c r="A1896" s="9">
        <v>5529</v>
      </c>
      <c r="B1896" t="s">
        <v>273</v>
      </c>
      <c r="C1896" s="25">
        <v>44717</v>
      </c>
      <c r="D1896" s="26">
        <v>0.64721064814814822</v>
      </c>
      <c r="E1896" t="s">
        <v>29</v>
      </c>
      <c r="F1896" t="s">
        <v>634</v>
      </c>
      <c r="G1896" t="s">
        <v>211</v>
      </c>
      <c r="H1896" t="s">
        <v>120</v>
      </c>
      <c r="I1896">
        <v>150.18</v>
      </c>
      <c r="J1896" s="37">
        <v>0</v>
      </c>
      <c r="K1896" s="89">
        <f>+L1896-J2113</f>
        <v>509</v>
      </c>
      <c r="L1896" s="34">
        <v>509</v>
      </c>
      <c r="M1896" s="10">
        <f t="shared" ref="M1896:M1911" si="112">I1896/K1896*100</f>
        <v>29.504911591355597</v>
      </c>
    </row>
    <row r="1897" spans="1:19" ht="15" hidden="1" customHeight="1" x14ac:dyDescent="0.3">
      <c r="A1897" s="9">
        <v>5563</v>
      </c>
      <c r="B1897" t="s">
        <v>273</v>
      </c>
      <c r="C1897" s="25">
        <v>44718</v>
      </c>
      <c r="D1897" s="26">
        <v>0.62648148148148153</v>
      </c>
      <c r="E1897" t="s">
        <v>29</v>
      </c>
      <c r="F1897" t="s">
        <v>637</v>
      </c>
      <c r="G1897" t="s">
        <v>196</v>
      </c>
      <c r="H1897" t="s">
        <v>120</v>
      </c>
      <c r="I1897">
        <v>168.02</v>
      </c>
      <c r="J1897" s="33">
        <v>0</v>
      </c>
      <c r="K1897" s="89">
        <f>+L1897-J1459</f>
        <v>477</v>
      </c>
      <c r="L1897" s="7">
        <v>477</v>
      </c>
      <c r="M1897" s="10">
        <f t="shared" si="112"/>
        <v>35.224318658280922</v>
      </c>
    </row>
    <row r="1898" spans="1:19" ht="15" hidden="1" customHeight="1" x14ac:dyDescent="0.3">
      <c r="A1898" s="9">
        <v>5682</v>
      </c>
      <c r="B1898" t="s">
        <v>273</v>
      </c>
      <c r="C1898" s="25">
        <v>44720</v>
      </c>
      <c r="D1898" s="26">
        <v>0.47167824074074072</v>
      </c>
      <c r="E1898" t="s">
        <v>29</v>
      </c>
      <c r="F1898" t="s">
        <v>661</v>
      </c>
      <c r="G1898" t="s">
        <v>457</v>
      </c>
      <c r="H1898" t="s">
        <v>120</v>
      </c>
      <c r="I1898">
        <v>50.1</v>
      </c>
      <c r="J1898" s="37">
        <v>0</v>
      </c>
      <c r="K1898" s="89">
        <f>+L1898-J1461</f>
        <v>923</v>
      </c>
      <c r="L1898" s="34">
        <v>923</v>
      </c>
      <c r="M1898" s="10">
        <f t="shared" si="112"/>
        <v>5.4279523293607799</v>
      </c>
    </row>
    <row r="1899" spans="1:19" ht="15" hidden="1" customHeight="1" x14ac:dyDescent="0.3">
      <c r="A1899" s="9">
        <v>5683</v>
      </c>
      <c r="B1899" t="s">
        <v>273</v>
      </c>
      <c r="C1899" s="25">
        <v>44720</v>
      </c>
      <c r="D1899" s="26">
        <v>0.6900115740740741</v>
      </c>
      <c r="E1899" t="s">
        <v>29</v>
      </c>
      <c r="F1899" t="s">
        <v>634</v>
      </c>
      <c r="G1899" t="s">
        <v>211</v>
      </c>
      <c r="H1899" t="s">
        <v>120</v>
      </c>
      <c r="I1899">
        <v>492.92</v>
      </c>
      <c r="J1899" s="52">
        <v>0</v>
      </c>
      <c r="K1899" s="89">
        <f>+L1899-J1494</f>
        <v>309</v>
      </c>
      <c r="L1899" s="51">
        <v>309</v>
      </c>
      <c r="M1899" s="10">
        <f t="shared" si="112"/>
        <v>159.52103559870551</v>
      </c>
    </row>
    <row r="1900" spans="1:19" ht="15" hidden="1" customHeight="1" x14ac:dyDescent="0.3">
      <c r="A1900" s="9">
        <v>5739</v>
      </c>
      <c r="B1900" t="s">
        <v>273</v>
      </c>
      <c r="C1900" s="25">
        <v>44721</v>
      </c>
      <c r="D1900" s="26">
        <v>8.0590277777777775E-2</v>
      </c>
      <c r="E1900" t="s">
        <v>29</v>
      </c>
      <c r="F1900" t="s">
        <v>635</v>
      </c>
      <c r="G1900" t="s">
        <v>185</v>
      </c>
      <c r="H1900" t="s">
        <v>120</v>
      </c>
      <c r="I1900" s="148">
        <v>254.53</v>
      </c>
      <c r="J1900" s="32">
        <v>0</v>
      </c>
      <c r="K1900" s="89">
        <f>+L1900-J1495</f>
        <v>543</v>
      </c>
      <c r="L1900" s="7">
        <v>543</v>
      </c>
      <c r="M1900" s="10">
        <f t="shared" si="112"/>
        <v>46.874769797421735</v>
      </c>
    </row>
    <row r="1901" spans="1:19" ht="15" hidden="1" customHeight="1" x14ac:dyDescent="0.3">
      <c r="A1901" s="9">
        <v>5740</v>
      </c>
      <c r="B1901" t="s">
        <v>273</v>
      </c>
      <c r="C1901" s="25">
        <v>44721</v>
      </c>
      <c r="D1901" s="26">
        <v>0.73310185185185184</v>
      </c>
      <c r="E1901" t="s">
        <v>29</v>
      </c>
      <c r="F1901" t="s">
        <v>642</v>
      </c>
      <c r="G1901" t="s">
        <v>203</v>
      </c>
      <c r="H1901" t="s">
        <v>120</v>
      </c>
      <c r="I1901" s="148">
        <v>158.32</v>
      </c>
      <c r="J1901" s="33">
        <v>0</v>
      </c>
      <c r="K1901" s="89">
        <f>+L1901-J1496</f>
        <v>535</v>
      </c>
      <c r="L1901" s="34">
        <v>535</v>
      </c>
      <c r="M1901" s="10">
        <f t="shared" si="112"/>
        <v>29.592523364485977</v>
      </c>
    </row>
    <row r="1902" spans="1:19" ht="15" hidden="1" customHeight="1" x14ac:dyDescent="0.3">
      <c r="A1902" s="9">
        <v>5778</v>
      </c>
      <c r="B1902" t="s">
        <v>273</v>
      </c>
      <c r="C1902" s="25">
        <v>44722</v>
      </c>
      <c r="D1902" s="26">
        <v>0.97270833333333329</v>
      </c>
      <c r="E1902" t="s">
        <v>29</v>
      </c>
      <c r="F1902" t="s">
        <v>635</v>
      </c>
      <c r="G1902" t="s">
        <v>185</v>
      </c>
      <c r="H1902" t="s">
        <v>120</v>
      </c>
      <c r="I1902" s="148">
        <v>428.68</v>
      </c>
      <c r="J1902" s="33">
        <v>0</v>
      </c>
      <c r="K1902" s="89">
        <f>+L1902-J1497</f>
        <v>1071</v>
      </c>
      <c r="L1902" s="31">
        <v>1071</v>
      </c>
      <c r="M1902" s="10">
        <f t="shared" si="112"/>
        <v>40.026143790849673</v>
      </c>
    </row>
    <row r="1903" spans="1:19" ht="15" hidden="1" customHeight="1" x14ac:dyDescent="0.3">
      <c r="A1903" s="9">
        <v>5890</v>
      </c>
      <c r="B1903" t="s">
        <v>273</v>
      </c>
      <c r="C1903" s="25">
        <v>44724</v>
      </c>
      <c r="D1903" s="26">
        <v>0.70552083333333337</v>
      </c>
      <c r="E1903" t="s">
        <v>29</v>
      </c>
      <c r="F1903" t="s">
        <v>637</v>
      </c>
      <c r="G1903" t="s">
        <v>196</v>
      </c>
      <c r="H1903" t="s">
        <v>120</v>
      </c>
      <c r="I1903" s="148">
        <v>340</v>
      </c>
      <c r="J1903" s="52">
        <v>0</v>
      </c>
      <c r="K1903" s="89">
        <f>+L1903-J1498</f>
        <v>986</v>
      </c>
      <c r="L1903" s="7">
        <v>986</v>
      </c>
      <c r="M1903" s="10">
        <f t="shared" si="112"/>
        <v>34.482758620689658</v>
      </c>
    </row>
    <row r="1904" spans="1:19" ht="15" hidden="1" customHeight="1" x14ac:dyDescent="0.3">
      <c r="A1904" s="9">
        <v>5951</v>
      </c>
      <c r="B1904" t="s">
        <v>273</v>
      </c>
      <c r="C1904" s="25">
        <v>44725</v>
      </c>
      <c r="D1904" s="26">
        <v>0.92159722222222218</v>
      </c>
      <c r="E1904" t="s">
        <v>29</v>
      </c>
      <c r="F1904" t="s">
        <v>654</v>
      </c>
      <c r="G1904" t="s">
        <v>303</v>
      </c>
      <c r="H1904" t="s">
        <v>120</v>
      </c>
      <c r="I1904" s="148">
        <v>345.58</v>
      </c>
      <c r="J1904" s="32">
        <v>0</v>
      </c>
      <c r="K1904" s="89">
        <v>834</v>
      </c>
      <c r="L1904" s="7">
        <v>834</v>
      </c>
      <c r="M1904" s="10">
        <f t="shared" si="112"/>
        <v>41.436450839328536</v>
      </c>
      <c r="N1904" s="2"/>
      <c r="O1904" s="2"/>
      <c r="P1904" s="2"/>
      <c r="Q1904" s="2"/>
      <c r="R1904" s="2"/>
      <c r="S1904" s="2"/>
    </row>
    <row r="1905" spans="1:20" ht="15" hidden="1" customHeight="1" x14ac:dyDescent="0.3">
      <c r="A1905" s="9">
        <v>6006</v>
      </c>
      <c r="B1905" t="s">
        <v>273</v>
      </c>
      <c r="C1905" s="25">
        <v>44726</v>
      </c>
      <c r="D1905" s="26">
        <v>0.55224537037037036</v>
      </c>
      <c r="E1905" t="s">
        <v>29</v>
      </c>
      <c r="F1905" t="s">
        <v>634</v>
      </c>
      <c r="G1905" t="s">
        <v>211</v>
      </c>
      <c r="H1905" t="s">
        <v>120</v>
      </c>
      <c r="I1905" s="148">
        <v>185.71</v>
      </c>
      <c r="J1905" s="32">
        <v>0</v>
      </c>
      <c r="K1905" s="89">
        <v>429</v>
      </c>
      <c r="L1905" s="7">
        <v>429</v>
      </c>
      <c r="M1905" s="10">
        <f t="shared" si="112"/>
        <v>43.289044289044291</v>
      </c>
    </row>
    <row r="1906" spans="1:20" ht="15" hidden="1" customHeight="1" x14ac:dyDescent="0.3">
      <c r="A1906" s="9">
        <v>6071</v>
      </c>
      <c r="B1906" t="s">
        <v>273</v>
      </c>
      <c r="C1906" s="25">
        <v>44727</v>
      </c>
      <c r="D1906" s="26">
        <v>0.44693287037037038</v>
      </c>
      <c r="E1906" t="s">
        <v>29</v>
      </c>
      <c r="F1906" t="s">
        <v>634</v>
      </c>
      <c r="G1906" t="s">
        <v>211</v>
      </c>
      <c r="H1906" t="s">
        <v>120</v>
      </c>
      <c r="I1906" s="148">
        <v>368.71</v>
      </c>
      <c r="J1906" s="32">
        <v>0</v>
      </c>
      <c r="K1906" s="89">
        <v>905</v>
      </c>
      <c r="L1906" s="7">
        <v>905</v>
      </c>
      <c r="M1906" s="10">
        <f t="shared" si="112"/>
        <v>40.741436464088395</v>
      </c>
    </row>
    <row r="1907" spans="1:20" ht="15" hidden="1" customHeight="1" x14ac:dyDescent="0.3">
      <c r="A1907" s="9">
        <v>6449</v>
      </c>
      <c r="B1907" t="s">
        <v>273</v>
      </c>
      <c r="C1907" s="25">
        <v>44736</v>
      </c>
      <c r="D1907" s="26">
        <v>0.84409722222222217</v>
      </c>
      <c r="E1907" t="s">
        <v>29</v>
      </c>
      <c r="F1907" t="s">
        <v>654</v>
      </c>
      <c r="G1907" t="s">
        <v>303</v>
      </c>
      <c r="H1907" t="s">
        <v>128</v>
      </c>
      <c r="I1907" s="125">
        <v>150</v>
      </c>
      <c r="J1907" s="32">
        <v>0</v>
      </c>
      <c r="K1907" s="89">
        <v>940</v>
      </c>
      <c r="L1907" s="7">
        <v>940</v>
      </c>
      <c r="M1907" s="10">
        <f t="shared" si="112"/>
        <v>15.957446808510639</v>
      </c>
    </row>
    <row r="1908" spans="1:20" ht="15" hidden="1" customHeight="1" x14ac:dyDescent="0.3">
      <c r="A1908" s="9">
        <v>6507</v>
      </c>
      <c r="B1908" t="s">
        <v>273</v>
      </c>
      <c r="C1908" s="25">
        <v>44737</v>
      </c>
      <c r="D1908" s="26">
        <v>0.11439814814814815</v>
      </c>
      <c r="E1908" t="s">
        <v>29</v>
      </c>
      <c r="F1908" t="s">
        <v>634</v>
      </c>
      <c r="G1908" t="s">
        <v>211</v>
      </c>
      <c r="H1908" t="s">
        <v>128</v>
      </c>
      <c r="I1908">
        <v>513.84</v>
      </c>
      <c r="J1908" s="33">
        <v>0</v>
      </c>
      <c r="K1908" s="89">
        <v>430</v>
      </c>
      <c r="L1908" s="7">
        <v>430</v>
      </c>
      <c r="M1908" s="10">
        <f t="shared" si="112"/>
        <v>119.49767441860466</v>
      </c>
    </row>
    <row r="1909" spans="1:20" ht="15" hidden="1" customHeight="1" x14ac:dyDescent="0.3">
      <c r="A1909" s="9">
        <v>6557</v>
      </c>
      <c r="B1909" t="s">
        <v>273</v>
      </c>
      <c r="C1909" s="25">
        <v>44738</v>
      </c>
      <c r="D1909" s="26">
        <v>0.48740740740740746</v>
      </c>
      <c r="E1909" t="s">
        <v>29</v>
      </c>
      <c r="F1909" t="s">
        <v>634</v>
      </c>
      <c r="G1909" t="s">
        <v>211</v>
      </c>
      <c r="H1909" t="s">
        <v>128</v>
      </c>
      <c r="I1909" s="148">
        <v>385.44</v>
      </c>
      <c r="J1909" s="33">
        <v>0</v>
      </c>
      <c r="K1909" s="89">
        <v>1063</v>
      </c>
      <c r="L1909" s="7">
        <v>1063</v>
      </c>
      <c r="M1909" s="10">
        <f t="shared" si="112"/>
        <v>36.259642521166505</v>
      </c>
    </row>
    <row r="1910" spans="1:20" ht="15" hidden="1" customHeight="1" x14ac:dyDescent="0.3">
      <c r="A1910" s="9">
        <v>6673</v>
      </c>
      <c r="B1910" t="s">
        <v>273</v>
      </c>
      <c r="C1910" s="25">
        <v>44740</v>
      </c>
      <c r="D1910" s="26">
        <v>0.52307870370370368</v>
      </c>
      <c r="E1910" t="s">
        <v>29</v>
      </c>
      <c r="F1910" t="s">
        <v>654</v>
      </c>
      <c r="G1910" t="s">
        <v>303</v>
      </c>
      <c r="H1910" t="s">
        <v>128</v>
      </c>
      <c r="I1910" s="148">
        <v>150</v>
      </c>
      <c r="J1910" s="33">
        <v>0</v>
      </c>
      <c r="K1910" s="89">
        <v>1307</v>
      </c>
      <c r="L1910" s="34">
        <v>1307</v>
      </c>
      <c r="M1910" s="10">
        <f t="shared" si="112"/>
        <v>11.476664116296863</v>
      </c>
    </row>
    <row r="1911" spans="1:20" ht="15" hidden="1" customHeight="1" x14ac:dyDescent="0.3">
      <c r="A1911" s="9">
        <v>6729</v>
      </c>
      <c r="B1911" t="s">
        <v>273</v>
      </c>
      <c r="C1911" s="25">
        <v>44741</v>
      </c>
      <c r="D1911" s="26">
        <v>0.96377314814814818</v>
      </c>
      <c r="E1911" t="s">
        <v>29</v>
      </c>
      <c r="F1911" t="s">
        <v>634</v>
      </c>
      <c r="G1911" t="s">
        <v>211</v>
      </c>
      <c r="H1911" t="s">
        <v>128</v>
      </c>
      <c r="I1911" s="148">
        <v>99.36</v>
      </c>
      <c r="J1911" s="32">
        <v>0</v>
      </c>
      <c r="K1911" s="89">
        <v>948</v>
      </c>
      <c r="L1911" s="31">
        <v>948</v>
      </c>
      <c r="M1911" s="10">
        <f t="shared" si="112"/>
        <v>10.481012658227847</v>
      </c>
    </row>
    <row r="1912" spans="1:20" ht="15" hidden="1" customHeight="1" x14ac:dyDescent="0.3">
      <c r="B1912" t="s">
        <v>437</v>
      </c>
      <c r="C1912" s="25">
        <v>44682</v>
      </c>
      <c r="D1912" s="26">
        <v>0.75241898148148145</v>
      </c>
      <c r="E1912" t="s">
        <v>580</v>
      </c>
      <c r="F1912" t="s">
        <v>165</v>
      </c>
      <c r="G1912" t="s">
        <v>185</v>
      </c>
      <c r="H1912" t="s">
        <v>438</v>
      </c>
      <c r="I1912">
        <v>247.85</v>
      </c>
      <c r="J1912" s="38">
        <v>0</v>
      </c>
      <c r="K1912" s="96">
        <f>+L1912-J1912</f>
        <v>625</v>
      </c>
      <c r="L1912" s="31">
        <v>625</v>
      </c>
      <c r="M1912" s="131">
        <f>I1912/L1912*100</f>
        <v>39.655999999999999</v>
      </c>
      <c r="S1912"/>
      <c r="T1912"/>
    </row>
    <row r="1913" spans="1:20" ht="15" hidden="1" customHeight="1" x14ac:dyDescent="0.3">
      <c r="B1913" t="s">
        <v>271</v>
      </c>
      <c r="C1913" s="25">
        <v>44682</v>
      </c>
      <c r="D1913" s="26">
        <v>0.88201388888888888</v>
      </c>
      <c r="E1913" t="s">
        <v>580</v>
      </c>
      <c r="F1913" t="s">
        <v>278</v>
      </c>
      <c r="G1913" t="s">
        <v>279</v>
      </c>
      <c r="H1913" t="s">
        <v>522</v>
      </c>
      <c r="I1913" s="236">
        <v>100</v>
      </c>
      <c r="J1913" s="7">
        <v>0</v>
      </c>
      <c r="K1913" s="90">
        <f>+L1913-J2051</f>
        <v>798.84</v>
      </c>
      <c r="L1913" s="7">
        <v>798.84</v>
      </c>
      <c r="M1913" s="91">
        <f t="shared" ref="M1913:M1920" si="113">I1913/K1913*100</f>
        <v>12.518151319413148</v>
      </c>
      <c r="S1913"/>
      <c r="T1913"/>
    </row>
    <row r="1914" spans="1:20" ht="15" hidden="1" customHeight="1" x14ac:dyDescent="0.3">
      <c r="B1914" t="s">
        <v>213</v>
      </c>
      <c r="C1914" s="25">
        <v>44682</v>
      </c>
      <c r="D1914" s="26">
        <v>0.41715277777777776</v>
      </c>
      <c r="E1914" t="s">
        <v>580</v>
      </c>
      <c r="F1914" t="s">
        <v>428</v>
      </c>
      <c r="G1914" t="s">
        <v>429</v>
      </c>
      <c r="H1914" t="s">
        <v>214</v>
      </c>
      <c r="I1914">
        <v>312</v>
      </c>
      <c r="J1914" s="35">
        <v>0</v>
      </c>
      <c r="K1914" s="93">
        <f>+L1914-J1914</f>
        <v>900</v>
      </c>
      <c r="L1914" s="38">
        <v>900</v>
      </c>
      <c r="M1914" s="239">
        <f t="shared" si="113"/>
        <v>34.666666666666671</v>
      </c>
      <c r="S1914"/>
      <c r="T1914"/>
    </row>
    <row r="1915" spans="1:20" ht="15" hidden="1" customHeight="1" x14ac:dyDescent="0.3">
      <c r="B1915" s="8" t="s">
        <v>244</v>
      </c>
      <c r="C1915" s="21">
        <v>44682</v>
      </c>
      <c r="D1915" s="22">
        <v>0.76557870370370373</v>
      </c>
      <c r="E1915" s="8" t="s">
        <v>580</v>
      </c>
      <c r="F1915" s="8" t="s">
        <v>241</v>
      </c>
      <c r="G1915" s="8" t="s">
        <v>242</v>
      </c>
      <c r="H1915" s="8" t="s">
        <v>247</v>
      </c>
      <c r="I1915" s="236">
        <v>225.42</v>
      </c>
      <c r="J1915" s="233"/>
      <c r="K1915" s="90">
        <f>+L1915-J2052</f>
        <v>1708</v>
      </c>
      <c r="L1915" s="8">
        <v>1708</v>
      </c>
      <c r="M1915" s="91">
        <f t="shared" si="113"/>
        <v>13.197892271662761</v>
      </c>
      <c r="S1915"/>
      <c r="T1915"/>
    </row>
    <row r="1916" spans="1:20" ht="15" hidden="1" customHeight="1" x14ac:dyDescent="0.3">
      <c r="B1916" s="8" t="s">
        <v>244</v>
      </c>
      <c r="C1916" s="21">
        <v>44682</v>
      </c>
      <c r="D1916" s="22">
        <v>0.99208333333333332</v>
      </c>
      <c r="E1916" s="8" t="s">
        <v>580</v>
      </c>
      <c r="F1916" s="8" t="s">
        <v>450</v>
      </c>
      <c r="G1916" s="8" t="s">
        <v>451</v>
      </c>
      <c r="H1916" s="8" t="s">
        <v>247</v>
      </c>
      <c r="I1916" s="236">
        <v>162.88999999999999</v>
      </c>
      <c r="J1916" s="233"/>
      <c r="K1916" s="90">
        <f>+L1916-J2053</f>
        <v>50000</v>
      </c>
      <c r="L1916" s="8">
        <v>50000</v>
      </c>
      <c r="M1916" s="91">
        <f t="shared" si="113"/>
        <v>0.32578000000000001</v>
      </c>
      <c r="S1916"/>
      <c r="T1916"/>
    </row>
    <row r="1917" spans="1:20" ht="15" hidden="1" customHeight="1" x14ac:dyDescent="0.3">
      <c r="B1917" t="s">
        <v>270</v>
      </c>
      <c r="C1917" s="25">
        <v>44682</v>
      </c>
      <c r="D1917" s="26">
        <v>9.7222222222222209E-4</v>
      </c>
      <c r="E1917" t="s">
        <v>580</v>
      </c>
      <c r="F1917" t="s">
        <v>210</v>
      </c>
      <c r="G1917" t="s">
        <v>211</v>
      </c>
      <c r="H1917" t="s">
        <v>132</v>
      </c>
      <c r="I1917">
        <v>345.71</v>
      </c>
      <c r="J1917" s="34">
        <v>0</v>
      </c>
      <c r="K1917" s="92">
        <f>+L1917-J2053</f>
        <v>862.99</v>
      </c>
      <c r="L1917" s="52">
        <v>862.99</v>
      </c>
      <c r="M1917" s="61">
        <f t="shared" si="113"/>
        <v>40.059560365705273</v>
      </c>
      <c r="S1917"/>
      <c r="T1917"/>
    </row>
    <row r="1918" spans="1:20" ht="15" hidden="1" customHeight="1" x14ac:dyDescent="0.3">
      <c r="B1918" t="s">
        <v>270</v>
      </c>
      <c r="C1918" s="25">
        <v>44682</v>
      </c>
      <c r="D1918" s="26">
        <v>0.77810185185185177</v>
      </c>
      <c r="E1918" t="s">
        <v>580</v>
      </c>
      <c r="F1918" t="s">
        <v>210</v>
      </c>
      <c r="G1918" t="s">
        <v>211</v>
      </c>
      <c r="H1918" t="s">
        <v>132</v>
      </c>
      <c r="I1918">
        <v>342.95</v>
      </c>
      <c r="J1918" s="7">
        <v>0</v>
      </c>
      <c r="K1918" s="89">
        <f>+L1918-J2054</f>
        <v>884</v>
      </c>
      <c r="L1918" s="52">
        <v>884</v>
      </c>
      <c r="M1918" s="10">
        <f t="shared" si="113"/>
        <v>38.79524886877828</v>
      </c>
      <c r="S1918"/>
      <c r="T1918"/>
    </row>
    <row r="1919" spans="1:20" ht="15" hidden="1" customHeight="1" x14ac:dyDescent="0.3">
      <c r="B1919" t="s">
        <v>466</v>
      </c>
      <c r="C1919" s="25">
        <v>44682</v>
      </c>
      <c r="D1919" s="26">
        <v>0.41613425925925923</v>
      </c>
      <c r="E1919" t="s">
        <v>580</v>
      </c>
      <c r="F1919" t="s">
        <v>210</v>
      </c>
      <c r="G1919" t="s">
        <v>211</v>
      </c>
      <c r="H1919" t="s">
        <v>212</v>
      </c>
      <c r="I1919">
        <v>407.45</v>
      </c>
      <c r="J1919" s="7">
        <v>0</v>
      </c>
      <c r="K1919" s="89">
        <f>+L1919-J1919</f>
        <v>587.67999999999995</v>
      </c>
      <c r="L1919" s="7">
        <v>587.67999999999995</v>
      </c>
      <c r="M1919" s="10">
        <f t="shared" si="113"/>
        <v>69.331949360196035</v>
      </c>
      <c r="S1919"/>
      <c r="T1919"/>
    </row>
    <row r="1920" spans="1:20" ht="15" hidden="1" customHeight="1" x14ac:dyDescent="0.3">
      <c r="B1920" t="s">
        <v>570</v>
      </c>
      <c r="C1920" s="25">
        <v>44682</v>
      </c>
      <c r="D1920" s="26">
        <v>0.75481481481481483</v>
      </c>
      <c r="E1920" t="s">
        <v>580</v>
      </c>
      <c r="F1920" t="s">
        <v>165</v>
      </c>
      <c r="G1920" t="s">
        <v>185</v>
      </c>
      <c r="H1920" t="s">
        <v>250</v>
      </c>
      <c r="I1920">
        <v>285.02999999999997</v>
      </c>
      <c r="J1920" s="31">
        <v>0</v>
      </c>
      <c r="K1920" s="96">
        <f>+L1920-J2057</f>
        <v>626.72</v>
      </c>
      <c r="L1920" s="35">
        <v>626.72</v>
      </c>
      <c r="M1920" s="131">
        <f t="shared" si="113"/>
        <v>45.479640030635679</v>
      </c>
      <c r="S1920"/>
      <c r="T1920"/>
    </row>
    <row r="1921" spans="1:20" ht="15" hidden="1" customHeight="1" x14ac:dyDescent="0.3">
      <c r="B1921" t="s">
        <v>215</v>
      </c>
      <c r="C1921" s="25">
        <v>44682</v>
      </c>
      <c r="D1921" s="26">
        <v>0.56281250000000005</v>
      </c>
      <c r="E1921" t="s">
        <v>580</v>
      </c>
      <c r="F1921" t="s">
        <v>210</v>
      </c>
      <c r="G1921" t="s">
        <v>211</v>
      </c>
      <c r="H1921" t="s">
        <v>540</v>
      </c>
      <c r="I1921" s="8">
        <v>399.16</v>
      </c>
      <c r="J1921" s="32">
        <v>0</v>
      </c>
      <c r="K1921" s="90">
        <f>+L1921-J2059</f>
        <v>551.98</v>
      </c>
      <c r="L1921" s="32">
        <v>551.98</v>
      </c>
      <c r="M1921" s="91">
        <f>I1921/L1921*100</f>
        <v>72.314214283126205</v>
      </c>
      <c r="S1921"/>
      <c r="T1921"/>
    </row>
    <row r="1922" spans="1:20" ht="15" hidden="1" customHeight="1" x14ac:dyDescent="0.3">
      <c r="B1922" t="s">
        <v>200</v>
      </c>
      <c r="C1922" s="25">
        <v>44682</v>
      </c>
      <c r="D1922" s="26">
        <v>0.11327546296296297</v>
      </c>
      <c r="E1922" t="s">
        <v>580</v>
      </c>
      <c r="F1922" t="s">
        <v>210</v>
      </c>
      <c r="G1922" t="s">
        <v>211</v>
      </c>
      <c r="H1922" t="s">
        <v>123</v>
      </c>
      <c r="I1922">
        <v>447.21</v>
      </c>
      <c r="J1922" s="38">
        <v>0</v>
      </c>
      <c r="K1922" s="93">
        <f>+L1922-J2056</f>
        <v>1146.53</v>
      </c>
      <c r="L1922" s="38">
        <v>1146.53</v>
      </c>
      <c r="M1922" s="239">
        <f>I1922/L1922*100</f>
        <v>39.005521006864193</v>
      </c>
      <c r="S1922"/>
      <c r="T1922"/>
    </row>
    <row r="1923" spans="1:20" ht="15" hidden="1" customHeight="1" x14ac:dyDescent="0.3">
      <c r="B1923" t="s">
        <v>188</v>
      </c>
      <c r="C1923" s="25">
        <v>44682</v>
      </c>
      <c r="D1923" s="26">
        <v>0.94961805555555545</v>
      </c>
      <c r="E1923" t="s">
        <v>580</v>
      </c>
      <c r="F1923" t="s">
        <v>210</v>
      </c>
      <c r="G1923" t="s">
        <v>211</v>
      </c>
      <c r="H1923" t="s">
        <v>189</v>
      </c>
      <c r="I1923" s="54">
        <v>276.14</v>
      </c>
      <c r="J1923" s="33">
        <v>0</v>
      </c>
      <c r="K1923" s="99">
        <f>+L1923-J1923</f>
        <v>434</v>
      </c>
      <c r="L1923" s="31">
        <v>434</v>
      </c>
      <c r="M1923" s="139">
        <f>I1923/L1923*100</f>
        <v>63.626728110599075</v>
      </c>
      <c r="S1923"/>
      <c r="T1923"/>
    </row>
    <row r="1924" spans="1:20" ht="15" hidden="1" customHeight="1" x14ac:dyDescent="0.3">
      <c r="A1924" s="9">
        <v>5263</v>
      </c>
      <c r="B1924" t="s">
        <v>359</v>
      </c>
      <c r="C1924" s="25">
        <v>44713</v>
      </c>
      <c r="D1924" s="26">
        <v>0.86533564814814812</v>
      </c>
      <c r="E1924" t="s">
        <v>29</v>
      </c>
      <c r="F1924" t="s">
        <v>662</v>
      </c>
      <c r="G1924" t="s">
        <v>542</v>
      </c>
      <c r="H1924" t="s">
        <v>167</v>
      </c>
      <c r="I1924" s="8">
        <v>200.01</v>
      </c>
      <c r="J1924" s="32">
        <v>0</v>
      </c>
      <c r="K1924" s="90">
        <f>+L1924-J2146</f>
        <v>1175</v>
      </c>
      <c r="L1924" s="7">
        <v>1175</v>
      </c>
      <c r="M1924" s="91">
        <f t="shared" ref="M1924:M1956" si="114">I1924/K1924*100</f>
        <v>17.022127659574469</v>
      </c>
    </row>
    <row r="1925" spans="1:20" ht="15" hidden="1" customHeight="1" x14ac:dyDescent="0.3">
      <c r="A1925" s="9">
        <v>5317</v>
      </c>
      <c r="B1925" t="s">
        <v>359</v>
      </c>
      <c r="C1925" s="25">
        <v>44714</v>
      </c>
      <c r="D1925" s="26">
        <v>0.67564814814814822</v>
      </c>
      <c r="E1925" t="s">
        <v>29</v>
      </c>
      <c r="F1925" t="s">
        <v>634</v>
      </c>
      <c r="G1925" t="s">
        <v>211</v>
      </c>
      <c r="H1925" t="s">
        <v>167</v>
      </c>
      <c r="I1925" s="8">
        <v>478.69</v>
      </c>
      <c r="J1925" s="32">
        <v>0</v>
      </c>
      <c r="K1925" s="90">
        <f>+L1925-J2145</f>
        <v>533</v>
      </c>
      <c r="L1925" s="7">
        <v>533</v>
      </c>
      <c r="M1925" s="91">
        <f t="shared" si="114"/>
        <v>89.810506566604133</v>
      </c>
    </row>
    <row r="1926" spans="1:20" ht="15" hidden="1" customHeight="1" x14ac:dyDescent="0.3">
      <c r="A1926" s="9">
        <v>4339</v>
      </c>
      <c r="B1926" t="s">
        <v>614</v>
      </c>
      <c r="C1926" s="25">
        <v>44695</v>
      </c>
      <c r="D1926" s="26">
        <v>0.38358796296296299</v>
      </c>
      <c r="E1926" t="s">
        <v>28</v>
      </c>
      <c r="F1926" t="s">
        <v>175</v>
      </c>
      <c r="G1926" t="s">
        <v>172</v>
      </c>
      <c r="H1926" t="s">
        <v>121</v>
      </c>
      <c r="I1926">
        <v>262.72000000000003</v>
      </c>
      <c r="J1926" s="34">
        <v>0</v>
      </c>
      <c r="K1926" s="92">
        <f>+L1926-J2198</f>
        <v>860</v>
      </c>
      <c r="L1926" s="37">
        <v>860</v>
      </c>
      <c r="M1926" s="118">
        <f t="shared" si="114"/>
        <v>30.548837209302327</v>
      </c>
    </row>
    <row r="1927" spans="1:20" ht="15" hidden="1" customHeight="1" x14ac:dyDescent="0.3">
      <c r="A1927" s="9">
        <v>4404</v>
      </c>
      <c r="B1927" t="s">
        <v>614</v>
      </c>
      <c r="C1927" s="25">
        <v>44696</v>
      </c>
      <c r="D1927" s="26">
        <v>0.38349537037037035</v>
      </c>
      <c r="E1927" t="s">
        <v>28</v>
      </c>
      <c r="F1927" t="s">
        <v>210</v>
      </c>
      <c r="G1927" t="s">
        <v>211</v>
      </c>
      <c r="H1927" t="s">
        <v>121</v>
      </c>
      <c r="I1927">
        <v>268.52</v>
      </c>
      <c r="J1927" s="34">
        <v>0</v>
      </c>
      <c r="K1927" s="89">
        <f>+L1927-J2199</f>
        <v>76</v>
      </c>
      <c r="L1927" s="32">
        <v>76</v>
      </c>
      <c r="M1927" s="36">
        <f t="shared" si="114"/>
        <v>353.31578947368422</v>
      </c>
    </row>
    <row r="1928" spans="1:20" ht="15" hidden="1" customHeight="1" x14ac:dyDescent="0.3">
      <c r="A1928" s="9">
        <v>4412</v>
      </c>
      <c r="B1928" t="s">
        <v>614</v>
      </c>
      <c r="C1928" s="25">
        <v>44696</v>
      </c>
      <c r="D1928" s="26">
        <v>0.31616898148148148</v>
      </c>
      <c r="E1928" t="s">
        <v>28</v>
      </c>
      <c r="F1928" t="s">
        <v>166</v>
      </c>
      <c r="G1928" t="s">
        <v>161</v>
      </c>
      <c r="H1928" t="s">
        <v>121</v>
      </c>
      <c r="I1928">
        <v>100</v>
      </c>
      <c r="J1928" s="34">
        <v>0</v>
      </c>
      <c r="K1928" s="89">
        <f>+L1928-J2200</f>
        <v>747</v>
      </c>
      <c r="L1928" s="32">
        <v>747</v>
      </c>
      <c r="M1928" s="36">
        <f t="shared" si="114"/>
        <v>13.386880856760374</v>
      </c>
    </row>
    <row r="1929" spans="1:20" ht="15" hidden="1" customHeight="1" x14ac:dyDescent="0.3">
      <c r="A1929" s="9">
        <v>4518</v>
      </c>
      <c r="B1929" t="s">
        <v>614</v>
      </c>
      <c r="C1929" s="25">
        <v>44698</v>
      </c>
      <c r="D1929" s="26">
        <v>5.2870370370370373E-2</v>
      </c>
      <c r="E1929" t="s">
        <v>28</v>
      </c>
      <c r="F1929" t="s">
        <v>210</v>
      </c>
      <c r="G1929" t="s">
        <v>211</v>
      </c>
      <c r="H1929" t="s">
        <v>121</v>
      </c>
      <c r="I1929">
        <v>445.55</v>
      </c>
      <c r="J1929" s="7">
        <v>0</v>
      </c>
      <c r="K1929" s="90">
        <f>+L1929-J2201</f>
        <v>1002</v>
      </c>
      <c r="L1929" s="37">
        <v>1002</v>
      </c>
      <c r="M1929" s="10">
        <f t="shared" si="114"/>
        <v>44.466067864271459</v>
      </c>
    </row>
    <row r="1930" spans="1:20" ht="15" hidden="1" customHeight="1" x14ac:dyDescent="0.3">
      <c r="A1930" s="9">
        <v>4596</v>
      </c>
      <c r="B1930" t="s">
        <v>614</v>
      </c>
      <c r="C1930" s="25">
        <v>44700</v>
      </c>
      <c r="D1930" s="26">
        <v>0.94234953703703705</v>
      </c>
      <c r="E1930" t="s">
        <v>28</v>
      </c>
      <c r="F1930" t="s">
        <v>205</v>
      </c>
      <c r="G1930" t="s">
        <v>206</v>
      </c>
      <c r="H1930" t="s">
        <v>182</v>
      </c>
      <c r="I1930" s="128">
        <v>100</v>
      </c>
      <c r="J1930" s="7">
        <v>0</v>
      </c>
      <c r="K1930" s="90">
        <f t="shared" ref="K1930:K1935" si="115">+L1930-J2201</f>
        <v>167</v>
      </c>
      <c r="L1930" s="32">
        <v>167</v>
      </c>
      <c r="M1930" s="10">
        <f t="shared" si="114"/>
        <v>59.880239520958078</v>
      </c>
    </row>
    <row r="1931" spans="1:20" ht="15" hidden="1" customHeight="1" x14ac:dyDescent="0.3">
      <c r="A1931" s="9">
        <v>4646</v>
      </c>
      <c r="B1931" t="s">
        <v>614</v>
      </c>
      <c r="C1931" s="25">
        <v>44701</v>
      </c>
      <c r="D1931" s="26">
        <v>0.44429398148148147</v>
      </c>
      <c r="E1931" t="s">
        <v>28</v>
      </c>
      <c r="F1931" t="s">
        <v>175</v>
      </c>
      <c r="G1931" t="s">
        <v>172</v>
      </c>
      <c r="H1931" t="s">
        <v>182</v>
      </c>
      <c r="I1931" s="128">
        <v>359.92</v>
      </c>
      <c r="J1931" s="31">
        <v>0</v>
      </c>
      <c r="K1931" s="99">
        <f t="shared" si="115"/>
        <v>263</v>
      </c>
      <c r="L1931" s="32">
        <v>263</v>
      </c>
      <c r="M1931" s="10">
        <f t="shared" si="114"/>
        <v>136.85171102661599</v>
      </c>
    </row>
    <row r="1932" spans="1:20" ht="15" hidden="1" customHeight="1" x14ac:dyDescent="0.3">
      <c r="A1932" s="9">
        <v>4699</v>
      </c>
      <c r="B1932" t="s">
        <v>614</v>
      </c>
      <c r="C1932" s="25">
        <v>44702</v>
      </c>
      <c r="D1932" s="26">
        <v>0.70405092592592589</v>
      </c>
      <c r="E1932" t="s">
        <v>28</v>
      </c>
      <c r="F1932" t="s">
        <v>210</v>
      </c>
      <c r="G1932" t="s">
        <v>211</v>
      </c>
      <c r="H1932" t="s">
        <v>182</v>
      </c>
      <c r="I1932" s="128">
        <v>301.27</v>
      </c>
      <c r="J1932" s="34">
        <v>0</v>
      </c>
      <c r="K1932" s="100">
        <f t="shared" si="115"/>
        <v>716</v>
      </c>
      <c r="L1932" s="38">
        <v>716</v>
      </c>
      <c r="M1932" s="10">
        <f t="shared" si="114"/>
        <v>42.076815642458101</v>
      </c>
    </row>
    <row r="1933" spans="1:20" ht="15" hidden="1" customHeight="1" x14ac:dyDescent="0.3">
      <c r="A1933" s="9">
        <v>4756</v>
      </c>
      <c r="B1933" t="s">
        <v>614</v>
      </c>
      <c r="C1933" s="25">
        <v>44703</v>
      </c>
      <c r="D1933" s="26">
        <v>0.14913194444444444</v>
      </c>
      <c r="E1933" t="s">
        <v>28</v>
      </c>
      <c r="F1933" t="s">
        <v>165</v>
      </c>
      <c r="G1933" t="s">
        <v>185</v>
      </c>
      <c r="H1933" t="s">
        <v>182</v>
      </c>
      <c r="I1933">
        <v>235.19</v>
      </c>
      <c r="J1933" s="7">
        <v>0</v>
      </c>
      <c r="K1933" s="99">
        <f t="shared" si="115"/>
        <v>520</v>
      </c>
      <c r="L1933" s="33">
        <v>520</v>
      </c>
      <c r="M1933" s="10">
        <f t="shared" si="114"/>
        <v>45.228846153846156</v>
      </c>
    </row>
    <row r="1934" spans="1:20" ht="15" hidden="1" customHeight="1" x14ac:dyDescent="0.3">
      <c r="A1934" s="9">
        <v>4810</v>
      </c>
      <c r="B1934" t="s">
        <v>614</v>
      </c>
      <c r="C1934" s="25">
        <v>44704</v>
      </c>
      <c r="D1934" s="26">
        <v>0.85925925925925928</v>
      </c>
      <c r="E1934" t="s">
        <v>28</v>
      </c>
      <c r="F1934" t="s">
        <v>210</v>
      </c>
      <c r="G1934" t="s">
        <v>211</v>
      </c>
      <c r="H1934" t="s">
        <v>182</v>
      </c>
      <c r="I1934" s="8">
        <v>226.74</v>
      </c>
      <c r="J1934" s="31">
        <v>0</v>
      </c>
      <c r="K1934" s="99">
        <f t="shared" si="115"/>
        <v>571</v>
      </c>
      <c r="L1934" s="32">
        <v>571</v>
      </c>
      <c r="M1934" s="10">
        <f t="shared" si="114"/>
        <v>39.709281961471106</v>
      </c>
    </row>
    <row r="1935" spans="1:20" ht="15" hidden="1" customHeight="1" x14ac:dyDescent="0.3">
      <c r="A1935" s="9">
        <v>4864</v>
      </c>
      <c r="B1935" t="s">
        <v>614</v>
      </c>
      <c r="C1935" s="25">
        <v>44705</v>
      </c>
      <c r="D1935" s="26">
        <v>0.77498842592592598</v>
      </c>
      <c r="E1935" t="s">
        <v>28</v>
      </c>
      <c r="F1935" t="s">
        <v>262</v>
      </c>
      <c r="G1935" t="s">
        <v>263</v>
      </c>
      <c r="H1935" t="s">
        <v>182</v>
      </c>
      <c r="I1935">
        <v>200</v>
      </c>
      <c r="J1935" s="7">
        <v>0</v>
      </c>
      <c r="K1935" s="100">
        <f t="shared" si="115"/>
        <v>887</v>
      </c>
      <c r="L1935" s="38">
        <v>887</v>
      </c>
      <c r="M1935" s="10">
        <f t="shared" si="114"/>
        <v>22.547914317925592</v>
      </c>
    </row>
    <row r="1936" spans="1:20" ht="15" hidden="1" customHeight="1" x14ac:dyDescent="0.3">
      <c r="A1936" s="9">
        <v>5443</v>
      </c>
      <c r="B1936" t="s">
        <v>614</v>
      </c>
      <c r="C1936" s="25">
        <v>44716</v>
      </c>
      <c r="D1936" s="26">
        <v>0.45497685185185183</v>
      </c>
      <c r="E1936" t="s">
        <v>29</v>
      </c>
      <c r="F1936" t="s">
        <v>639</v>
      </c>
      <c r="G1936" t="s">
        <v>44</v>
      </c>
      <c r="H1936" t="s">
        <v>182</v>
      </c>
      <c r="I1936">
        <v>153.97</v>
      </c>
      <c r="J1936" s="7">
        <v>0</v>
      </c>
      <c r="K1936" s="90">
        <f>+L1936-J2198</f>
        <v>346</v>
      </c>
      <c r="L1936" s="7">
        <v>346</v>
      </c>
      <c r="M1936" s="10">
        <f t="shared" si="114"/>
        <v>44.5</v>
      </c>
    </row>
    <row r="1937" spans="1:19" ht="15" hidden="1" customHeight="1" x14ac:dyDescent="0.3">
      <c r="A1937" s="9">
        <v>5444</v>
      </c>
      <c r="B1937" t="s">
        <v>614</v>
      </c>
      <c r="C1937" s="25">
        <v>44716</v>
      </c>
      <c r="D1937" s="26">
        <v>0.78619212962962959</v>
      </c>
      <c r="E1937" t="s">
        <v>29</v>
      </c>
      <c r="F1937" t="s">
        <v>632</v>
      </c>
      <c r="G1937" t="s">
        <v>161</v>
      </c>
      <c r="H1937" t="s">
        <v>182</v>
      </c>
      <c r="I1937">
        <v>311.14</v>
      </c>
      <c r="J1937" s="34">
        <v>0</v>
      </c>
      <c r="K1937" s="97">
        <f>+L1937-J2199</f>
        <v>510</v>
      </c>
      <c r="L1937" s="34">
        <v>510</v>
      </c>
      <c r="M1937" s="10">
        <f t="shared" si="114"/>
        <v>61.007843137254902</v>
      </c>
    </row>
    <row r="1938" spans="1:19" ht="15" hidden="1" customHeight="1" x14ac:dyDescent="0.3">
      <c r="A1938" s="9">
        <v>5500</v>
      </c>
      <c r="B1938" t="s">
        <v>614</v>
      </c>
      <c r="C1938" s="25">
        <v>44717</v>
      </c>
      <c r="D1938" s="26">
        <v>0.72777777777777775</v>
      </c>
      <c r="E1938" t="s">
        <v>29</v>
      </c>
      <c r="F1938" t="s">
        <v>635</v>
      </c>
      <c r="G1938" t="s">
        <v>185</v>
      </c>
      <c r="H1938" t="s">
        <v>182</v>
      </c>
      <c r="I1938">
        <v>293.19</v>
      </c>
      <c r="J1938" s="7">
        <v>0</v>
      </c>
      <c r="K1938" s="90">
        <f>+L1938-J2200</f>
        <v>709</v>
      </c>
      <c r="L1938" s="7">
        <v>709</v>
      </c>
      <c r="M1938" s="10">
        <f t="shared" si="114"/>
        <v>41.352609308885754</v>
      </c>
    </row>
    <row r="1939" spans="1:19" ht="15" hidden="1" customHeight="1" x14ac:dyDescent="0.3">
      <c r="A1939" s="9">
        <v>5544</v>
      </c>
      <c r="B1939" t="s">
        <v>614</v>
      </c>
      <c r="C1939" s="25">
        <v>44718</v>
      </c>
      <c r="D1939" s="26">
        <v>0.97238425925925931</v>
      </c>
      <c r="E1939" t="s">
        <v>29</v>
      </c>
      <c r="F1939" t="s">
        <v>634</v>
      </c>
      <c r="G1939" t="s">
        <v>211</v>
      </c>
      <c r="H1939" t="s">
        <v>182</v>
      </c>
      <c r="I1939">
        <v>226.92</v>
      </c>
      <c r="J1939" s="34">
        <v>0</v>
      </c>
      <c r="K1939" s="97">
        <f>+L1939-J1503</f>
        <v>567</v>
      </c>
      <c r="L1939" s="7">
        <v>567</v>
      </c>
      <c r="M1939" s="10">
        <f t="shared" si="114"/>
        <v>40.021164021164019</v>
      </c>
    </row>
    <row r="1940" spans="1:19" ht="15" hidden="1" customHeight="1" x14ac:dyDescent="0.3">
      <c r="A1940" s="9">
        <v>5643</v>
      </c>
      <c r="B1940" t="s">
        <v>614</v>
      </c>
      <c r="C1940" s="25">
        <v>44720</v>
      </c>
      <c r="D1940" s="26">
        <v>0.88002314814814808</v>
      </c>
      <c r="E1940" t="s">
        <v>29</v>
      </c>
      <c r="F1940" t="s">
        <v>641</v>
      </c>
      <c r="G1940" t="s">
        <v>172</v>
      </c>
      <c r="H1940" t="s">
        <v>182</v>
      </c>
      <c r="I1940">
        <v>386.76</v>
      </c>
      <c r="J1940" s="52">
        <v>0</v>
      </c>
      <c r="K1940" s="88">
        <f>+L1940-J1499</f>
        <v>931</v>
      </c>
      <c r="L1940" s="51">
        <v>931</v>
      </c>
      <c r="M1940" s="10">
        <f t="shared" si="114"/>
        <v>41.542427497314719</v>
      </c>
    </row>
    <row r="1941" spans="1:19" ht="15" hidden="1" customHeight="1" x14ac:dyDescent="0.3">
      <c r="A1941" s="9">
        <v>5708</v>
      </c>
      <c r="B1941" t="s">
        <v>614</v>
      </c>
      <c r="C1941" s="25">
        <v>44721</v>
      </c>
      <c r="D1941" s="26">
        <v>0.85237268518518527</v>
      </c>
      <c r="E1941" t="s">
        <v>29</v>
      </c>
      <c r="F1941" t="s">
        <v>632</v>
      </c>
      <c r="G1941" t="s">
        <v>161</v>
      </c>
      <c r="H1941" t="s">
        <v>182</v>
      </c>
      <c r="I1941" s="126">
        <v>344.1</v>
      </c>
      <c r="J1941" s="33">
        <v>0</v>
      </c>
      <c r="K1941" s="99">
        <f>+L1941-J1500</f>
        <v>784</v>
      </c>
      <c r="L1941" s="7">
        <v>784</v>
      </c>
      <c r="M1941" s="10">
        <f t="shared" si="114"/>
        <v>43.890306122448983</v>
      </c>
    </row>
    <row r="1942" spans="1:19" ht="15" hidden="1" customHeight="1" x14ac:dyDescent="0.3">
      <c r="A1942" s="9">
        <v>5754</v>
      </c>
      <c r="B1942" t="s">
        <v>614</v>
      </c>
      <c r="C1942" s="25">
        <v>44722</v>
      </c>
      <c r="D1942" s="26">
        <v>0.93222222222222229</v>
      </c>
      <c r="E1942" t="s">
        <v>29</v>
      </c>
      <c r="F1942" t="s">
        <v>634</v>
      </c>
      <c r="G1942" t="s">
        <v>211</v>
      </c>
      <c r="H1942" t="s">
        <v>182</v>
      </c>
      <c r="I1942" s="126">
        <v>399.6</v>
      </c>
      <c r="J1942" s="33">
        <v>0</v>
      </c>
      <c r="K1942" s="89">
        <f>+L1942-J1501</f>
        <v>993</v>
      </c>
      <c r="L1942" s="35">
        <v>993</v>
      </c>
      <c r="M1942" s="10">
        <f t="shared" si="114"/>
        <v>40.241691842900309</v>
      </c>
    </row>
    <row r="1943" spans="1:19" ht="15" hidden="1" customHeight="1" x14ac:dyDescent="0.3">
      <c r="A1943" s="9">
        <v>5793</v>
      </c>
      <c r="B1943" t="s">
        <v>614</v>
      </c>
      <c r="C1943" s="25">
        <v>44723</v>
      </c>
      <c r="D1943" s="26">
        <v>0.84851851851851856</v>
      </c>
      <c r="E1943" t="s">
        <v>29</v>
      </c>
      <c r="F1943" t="s">
        <v>656</v>
      </c>
      <c r="G1943" t="s">
        <v>495</v>
      </c>
      <c r="H1943" t="s">
        <v>182</v>
      </c>
      <c r="I1943" s="126">
        <v>60.01</v>
      </c>
      <c r="J1943" s="32">
        <v>0</v>
      </c>
      <c r="K1943" s="89">
        <f>+L1943-J1502</f>
        <v>553</v>
      </c>
      <c r="L1943" s="7">
        <v>553</v>
      </c>
      <c r="M1943" s="10">
        <f t="shared" si="114"/>
        <v>10.851717902350813</v>
      </c>
    </row>
    <row r="1944" spans="1:19" ht="15" hidden="1" customHeight="1" x14ac:dyDescent="0.3">
      <c r="A1944" s="9">
        <v>5859</v>
      </c>
      <c r="B1944" t="s">
        <v>614</v>
      </c>
      <c r="C1944" s="25">
        <v>44724</v>
      </c>
      <c r="D1944" s="26">
        <v>0.40190972222222227</v>
      </c>
      <c r="E1944" t="s">
        <v>29</v>
      </c>
      <c r="F1944" t="s">
        <v>653</v>
      </c>
      <c r="G1944" t="s">
        <v>402</v>
      </c>
      <c r="H1944" t="s">
        <v>182</v>
      </c>
      <c r="I1944" s="126">
        <v>150</v>
      </c>
      <c r="J1944" s="37">
        <v>0</v>
      </c>
      <c r="K1944" s="89">
        <f>+L1944-J1503</f>
        <v>78</v>
      </c>
      <c r="L1944" s="7">
        <v>78</v>
      </c>
      <c r="M1944" s="10">
        <f t="shared" si="114"/>
        <v>192.30769230769232</v>
      </c>
    </row>
    <row r="1945" spans="1:19" ht="15" hidden="1" customHeight="1" x14ac:dyDescent="0.3">
      <c r="A1945" s="9">
        <v>5913</v>
      </c>
      <c r="B1945" t="s">
        <v>614</v>
      </c>
      <c r="C1945" s="25">
        <v>44725</v>
      </c>
      <c r="D1945" s="26">
        <v>0.41724537037037041</v>
      </c>
      <c r="E1945" t="s">
        <v>29</v>
      </c>
      <c r="F1945" t="s">
        <v>679</v>
      </c>
      <c r="G1945" t="s">
        <v>392</v>
      </c>
      <c r="H1945" t="s">
        <v>182</v>
      </c>
      <c r="I1945" s="126">
        <v>109.3</v>
      </c>
      <c r="J1945" s="33">
        <v>0</v>
      </c>
      <c r="K1945" s="89">
        <v>235</v>
      </c>
      <c r="L1945" s="7">
        <v>235</v>
      </c>
      <c r="M1945" s="10">
        <f t="shared" si="114"/>
        <v>46.510638297872333</v>
      </c>
      <c r="N1945" s="2"/>
      <c r="O1945" s="2"/>
      <c r="P1945" s="2"/>
      <c r="Q1945" s="2"/>
      <c r="R1945" s="2"/>
      <c r="S1945" s="2"/>
    </row>
    <row r="1946" spans="1:19" ht="15" hidden="1" customHeight="1" x14ac:dyDescent="0.3">
      <c r="A1946" s="9">
        <v>6137</v>
      </c>
      <c r="B1946" t="s">
        <v>614</v>
      </c>
      <c r="C1946" s="25">
        <v>44729</v>
      </c>
      <c r="D1946" s="26">
        <v>0.65067129629629628</v>
      </c>
      <c r="E1946" t="s">
        <v>29</v>
      </c>
      <c r="F1946" t="s">
        <v>632</v>
      </c>
      <c r="G1946" t="s">
        <v>161</v>
      </c>
      <c r="H1946" t="s">
        <v>182</v>
      </c>
      <c r="I1946">
        <v>358.66</v>
      </c>
      <c r="J1946" s="55">
        <v>0</v>
      </c>
      <c r="K1946" s="89">
        <v>775</v>
      </c>
      <c r="L1946" s="34">
        <v>775</v>
      </c>
      <c r="M1946" s="10">
        <f t="shared" si="114"/>
        <v>46.278709677419357</v>
      </c>
    </row>
    <row r="1947" spans="1:19" ht="15" hidden="1" customHeight="1" x14ac:dyDescent="0.3">
      <c r="A1947" s="9">
        <v>6194</v>
      </c>
      <c r="B1947" t="s">
        <v>614</v>
      </c>
      <c r="C1947" s="25">
        <v>44730</v>
      </c>
      <c r="D1947" s="26">
        <v>0.7728356481481482</v>
      </c>
      <c r="E1947" t="s">
        <v>29</v>
      </c>
      <c r="F1947" t="s">
        <v>635</v>
      </c>
      <c r="G1947" t="s">
        <v>185</v>
      </c>
      <c r="H1947" t="s">
        <v>182</v>
      </c>
      <c r="I1947">
        <v>317.27999999999997</v>
      </c>
      <c r="J1947" s="32">
        <v>0</v>
      </c>
      <c r="K1947" s="89">
        <v>651</v>
      </c>
      <c r="L1947" s="31">
        <v>651</v>
      </c>
      <c r="M1947" s="10">
        <f t="shared" si="114"/>
        <v>48.737327188940085</v>
      </c>
    </row>
    <row r="1948" spans="1:19" ht="15" hidden="1" customHeight="1" x14ac:dyDescent="0.3">
      <c r="A1948" s="9">
        <v>6231</v>
      </c>
      <c r="B1948" t="s">
        <v>614</v>
      </c>
      <c r="C1948" s="25">
        <v>44731</v>
      </c>
      <c r="D1948" s="26">
        <v>0.53581018518518519</v>
      </c>
      <c r="E1948" t="s">
        <v>29</v>
      </c>
      <c r="F1948" t="s">
        <v>634</v>
      </c>
      <c r="G1948" t="s">
        <v>211</v>
      </c>
      <c r="H1948" t="s">
        <v>182</v>
      </c>
      <c r="I1948">
        <v>146.74</v>
      </c>
      <c r="J1948" s="38">
        <v>0</v>
      </c>
      <c r="K1948" s="89">
        <v>514</v>
      </c>
      <c r="L1948" s="31">
        <v>514</v>
      </c>
      <c r="M1948" s="10">
        <f t="shared" si="114"/>
        <v>28.548638132295721</v>
      </c>
    </row>
    <row r="1949" spans="1:19" ht="15" hidden="1" customHeight="1" x14ac:dyDescent="0.3">
      <c r="A1949" s="9">
        <v>6257</v>
      </c>
      <c r="B1949" t="s">
        <v>614</v>
      </c>
      <c r="C1949" s="25">
        <v>44732</v>
      </c>
      <c r="D1949" s="26">
        <v>0.44469907407407411</v>
      </c>
      <c r="E1949" t="s">
        <v>29</v>
      </c>
      <c r="F1949" t="s">
        <v>637</v>
      </c>
      <c r="G1949" t="s">
        <v>196</v>
      </c>
      <c r="H1949" t="s">
        <v>182</v>
      </c>
      <c r="I1949">
        <v>140.02000000000001</v>
      </c>
      <c r="J1949" s="32">
        <v>0</v>
      </c>
      <c r="K1949" s="89">
        <v>468</v>
      </c>
      <c r="L1949" s="7">
        <v>468</v>
      </c>
      <c r="M1949" s="10">
        <f t="shared" si="114"/>
        <v>29.918803418803421</v>
      </c>
    </row>
    <row r="1950" spans="1:19" ht="15" hidden="1" customHeight="1" x14ac:dyDescent="0.3">
      <c r="A1950" s="9">
        <v>6285</v>
      </c>
      <c r="B1950" t="s">
        <v>614</v>
      </c>
      <c r="C1950" s="25">
        <v>44733</v>
      </c>
      <c r="D1950" s="26">
        <v>0.68929398148148147</v>
      </c>
      <c r="E1950" t="s">
        <v>29</v>
      </c>
      <c r="F1950" t="s">
        <v>652</v>
      </c>
      <c r="G1950" t="s">
        <v>535</v>
      </c>
      <c r="H1950" t="s">
        <v>182</v>
      </c>
      <c r="I1950">
        <v>174.83</v>
      </c>
      <c r="J1950" s="37">
        <v>0</v>
      </c>
      <c r="K1950" s="89">
        <v>433</v>
      </c>
      <c r="L1950" s="34">
        <v>433</v>
      </c>
      <c r="M1950" s="10">
        <f t="shared" si="114"/>
        <v>40.376443418013857</v>
      </c>
    </row>
    <row r="1951" spans="1:19" ht="15" hidden="1" customHeight="1" x14ac:dyDescent="0.3">
      <c r="A1951" s="9">
        <v>6367</v>
      </c>
      <c r="B1951" t="s">
        <v>614</v>
      </c>
      <c r="C1951" s="25">
        <v>44735</v>
      </c>
      <c r="D1951" s="26">
        <v>0.82921296296296287</v>
      </c>
      <c r="E1951" t="s">
        <v>29</v>
      </c>
      <c r="F1951" t="s">
        <v>634</v>
      </c>
      <c r="G1951" t="s">
        <v>211</v>
      </c>
      <c r="H1951" t="s">
        <v>182</v>
      </c>
      <c r="I1951">
        <v>379.37</v>
      </c>
      <c r="J1951" s="33">
        <v>0</v>
      </c>
      <c r="K1951" s="89">
        <v>936</v>
      </c>
      <c r="L1951" s="7">
        <v>936</v>
      </c>
      <c r="M1951" s="10">
        <f t="shared" si="114"/>
        <v>40.530982905982903</v>
      </c>
    </row>
    <row r="1952" spans="1:19" ht="15" hidden="1" customHeight="1" x14ac:dyDescent="0.3">
      <c r="A1952" s="9">
        <v>6525</v>
      </c>
      <c r="B1952" t="s">
        <v>614</v>
      </c>
      <c r="C1952" s="25">
        <v>44738</v>
      </c>
      <c r="D1952" s="26">
        <v>0.4525925925925926</v>
      </c>
      <c r="E1952" t="s">
        <v>29</v>
      </c>
      <c r="F1952" t="s">
        <v>634</v>
      </c>
      <c r="G1952" t="s">
        <v>211</v>
      </c>
      <c r="H1952" t="s">
        <v>182</v>
      </c>
      <c r="I1952">
        <v>279.19</v>
      </c>
      <c r="J1952" s="33">
        <v>0</v>
      </c>
      <c r="K1952" s="96">
        <v>670</v>
      </c>
      <c r="L1952" s="31">
        <v>670</v>
      </c>
      <c r="M1952" s="131">
        <f t="shared" si="114"/>
        <v>41.670149253731346</v>
      </c>
    </row>
    <row r="1953" spans="1:13" ht="15" hidden="1" customHeight="1" x14ac:dyDescent="0.3">
      <c r="A1953" s="9">
        <v>5385</v>
      </c>
      <c r="B1953" t="s">
        <v>359</v>
      </c>
      <c r="C1953" s="25">
        <v>44715</v>
      </c>
      <c r="D1953" s="26">
        <v>0.59243055555555557</v>
      </c>
      <c r="E1953" t="s">
        <v>29</v>
      </c>
      <c r="F1953" t="s">
        <v>634</v>
      </c>
      <c r="G1953" t="s">
        <v>211</v>
      </c>
      <c r="H1953" t="s">
        <v>167</v>
      </c>
      <c r="I1953" s="8">
        <v>425.21</v>
      </c>
      <c r="J1953" s="32">
        <v>0</v>
      </c>
      <c r="K1953" s="90">
        <v>1100</v>
      </c>
      <c r="L1953" s="7">
        <v>1100</v>
      </c>
      <c r="M1953" s="91">
        <f t="shared" si="114"/>
        <v>38.655454545454546</v>
      </c>
    </row>
    <row r="1954" spans="1:13" ht="15" hidden="1" customHeight="1" x14ac:dyDescent="0.3">
      <c r="A1954" s="9">
        <v>5497</v>
      </c>
      <c r="B1954" t="s">
        <v>359</v>
      </c>
      <c r="C1954" s="25">
        <v>44717</v>
      </c>
      <c r="D1954" s="26">
        <v>0.40812500000000002</v>
      </c>
      <c r="E1954" t="s">
        <v>29</v>
      </c>
      <c r="F1954" t="s">
        <v>651</v>
      </c>
      <c r="G1954" t="s">
        <v>172</v>
      </c>
      <c r="H1954" t="s">
        <v>167</v>
      </c>
      <c r="I1954" s="8">
        <v>350.13</v>
      </c>
      <c r="J1954" s="32">
        <v>0</v>
      </c>
      <c r="K1954" s="90">
        <v>832</v>
      </c>
      <c r="L1954" s="7">
        <v>832</v>
      </c>
      <c r="M1954" s="91">
        <f t="shared" si="114"/>
        <v>42.082932692307686</v>
      </c>
    </row>
    <row r="1955" spans="1:13" ht="15" hidden="1" customHeight="1" x14ac:dyDescent="0.3">
      <c r="A1955" s="9">
        <v>5571</v>
      </c>
      <c r="B1955" t="s">
        <v>359</v>
      </c>
      <c r="C1955" s="25">
        <v>44719</v>
      </c>
      <c r="D1955" s="26">
        <v>0.93025462962962957</v>
      </c>
      <c r="E1955" t="s">
        <v>29</v>
      </c>
      <c r="F1955" t="s">
        <v>632</v>
      </c>
      <c r="G1955" t="s">
        <v>161</v>
      </c>
      <c r="H1955" t="s">
        <v>167</v>
      </c>
      <c r="I1955" s="8">
        <v>326.18</v>
      </c>
      <c r="J1955" s="37">
        <v>0</v>
      </c>
      <c r="K1955" s="89">
        <f>+L1955-J1525</f>
        <v>777</v>
      </c>
      <c r="L1955" s="34">
        <v>777</v>
      </c>
      <c r="M1955" s="10">
        <f t="shared" si="114"/>
        <v>41.979407979407981</v>
      </c>
    </row>
    <row r="1956" spans="1:13" ht="15" hidden="1" customHeight="1" x14ac:dyDescent="0.3">
      <c r="A1956" s="9">
        <v>5701</v>
      </c>
      <c r="B1956" t="s">
        <v>359</v>
      </c>
      <c r="C1956" s="25">
        <v>44721</v>
      </c>
      <c r="D1956" s="26">
        <v>9.0127314814814827E-2</v>
      </c>
      <c r="E1956" t="s">
        <v>29</v>
      </c>
      <c r="F1956" t="s">
        <v>635</v>
      </c>
      <c r="G1956" t="s">
        <v>185</v>
      </c>
      <c r="H1956" t="s">
        <v>167</v>
      </c>
      <c r="I1956" s="8">
        <v>286.5</v>
      </c>
      <c r="J1956" s="33">
        <v>0</v>
      </c>
      <c r="K1956" s="96">
        <f>+L1956-J1527</f>
        <v>622</v>
      </c>
      <c r="L1956" s="31">
        <v>622</v>
      </c>
      <c r="M1956" s="131">
        <f t="shared" si="114"/>
        <v>46.061093247588424</v>
      </c>
    </row>
    <row r="1957" spans="1:13" ht="15" hidden="1" customHeight="1" x14ac:dyDescent="0.3">
      <c r="A1957" s="9">
        <v>6751</v>
      </c>
      <c r="B1957" t="s">
        <v>751</v>
      </c>
      <c r="C1957" s="25">
        <v>44742</v>
      </c>
      <c r="D1957" s="26">
        <v>0.53737268518518522</v>
      </c>
      <c r="E1957" t="s">
        <v>29</v>
      </c>
      <c r="F1957" t="s">
        <v>210</v>
      </c>
      <c r="G1957" t="s">
        <v>211</v>
      </c>
      <c r="H1957" t="s">
        <v>121</v>
      </c>
      <c r="I1957" s="160">
        <v>335.93</v>
      </c>
      <c r="J1957" s="160">
        <f>314+426+200+135+335</f>
        <v>1410</v>
      </c>
      <c r="K1957" s="160">
        <v>4345</v>
      </c>
      <c r="L1957" s="160">
        <v>2825</v>
      </c>
      <c r="M1957" s="149">
        <f>+J1957/L1957*100</f>
        <v>49.911504424778762</v>
      </c>
    </row>
    <row r="1958" spans="1:13" ht="15" hidden="1" customHeight="1" x14ac:dyDescent="0.3">
      <c r="A1958" s="9">
        <v>5750</v>
      </c>
      <c r="B1958" t="s">
        <v>359</v>
      </c>
      <c r="C1958" s="25">
        <v>44722</v>
      </c>
      <c r="D1958" s="26">
        <v>4.8194444444444449E-2</v>
      </c>
      <c r="E1958" t="s">
        <v>29</v>
      </c>
      <c r="F1958" t="s">
        <v>632</v>
      </c>
      <c r="G1958" t="s">
        <v>161</v>
      </c>
      <c r="H1958" t="s">
        <v>167</v>
      </c>
      <c r="I1958" s="8">
        <v>261.47000000000003</v>
      </c>
      <c r="J1958" s="32">
        <v>0</v>
      </c>
      <c r="K1958" s="90">
        <f>+L1958-J1529</f>
        <v>624</v>
      </c>
      <c r="L1958" s="7">
        <v>624</v>
      </c>
      <c r="M1958" s="91">
        <f>I1958/K1958*100</f>
        <v>41.902243589743591</v>
      </c>
    </row>
    <row r="1959" spans="1:13" ht="15" hidden="1" customHeight="1" x14ac:dyDescent="0.3">
      <c r="A1959" s="9">
        <v>6191</v>
      </c>
      <c r="B1959" t="s">
        <v>359</v>
      </c>
      <c r="C1959" s="25">
        <v>44730</v>
      </c>
      <c r="D1959" s="26">
        <v>0.50405092592592593</v>
      </c>
      <c r="E1959" t="s">
        <v>29</v>
      </c>
      <c r="F1959" t="s">
        <v>709</v>
      </c>
      <c r="G1959" t="s">
        <v>44</v>
      </c>
      <c r="H1959" t="s">
        <v>167</v>
      </c>
      <c r="I1959" s="44">
        <v>431.28</v>
      </c>
      <c r="J1959" s="37">
        <v>0</v>
      </c>
      <c r="K1959" s="97">
        <f>+L1959-J1530</f>
        <v>1061</v>
      </c>
      <c r="L1959" s="34">
        <v>1061</v>
      </c>
      <c r="M1959" s="132">
        <f>I1959/K1959*100</f>
        <v>40.648444863336472</v>
      </c>
    </row>
    <row r="1960" spans="1:13" ht="15" hidden="1" customHeight="1" x14ac:dyDescent="0.3">
      <c r="A1960" s="9">
        <v>6751</v>
      </c>
      <c r="B1960" t="s">
        <v>361</v>
      </c>
      <c r="C1960" s="25">
        <v>44743</v>
      </c>
      <c r="D1960" s="26">
        <v>0.40964120370370366</v>
      </c>
      <c r="E1960" t="s">
        <v>30</v>
      </c>
      <c r="F1960" t="s">
        <v>210</v>
      </c>
      <c r="G1960" t="s">
        <v>211</v>
      </c>
      <c r="H1960" t="s">
        <v>176</v>
      </c>
      <c r="I1960" s="160">
        <v>372.81</v>
      </c>
      <c r="J1960" s="8"/>
      <c r="K1960" s="8">
        <v>5114</v>
      </c>
      <c r="L1960" s="8">
        <f>+K1960-J1960</f>
        <v>5114</v>
      </c>
      <c r="M1960" s="91">
        <f>I1960/L1960*100</f>
        <v>7.2899882675009779</v>
      </c>
    </row>
    <row r="1961" spans="1:13" ht="15" hidden="1" customHeight="1" x14ac:dyDescent="0.3">
      <c r="A1961" s="9">
        <v>6751</v>
      </c>
      <c r="B1961" t="s">
        <v>361</v>
      </c>
      <c r="C1961" s="25">
        <v>44744</v>
      </c>
      <c r="D1961" s="26">
        <v>0.86319444444444438</v>
      </c>
      <c r="E1961" t="s">
        <v>30</v>
      </c>
      <c r="F1961" t="s">
        <v>492</v>
      </c>
      <c r="G1961" t="s">
        <v>44</v>
      </c>
      <c r="H1961" t="s">
        <v>176</v>
      </c>
      <c r="I1961" s="160">
        <v>350.36</v>
      </c>
      <c r="J1961" s="8"/>
      <c r="K1961" s="8">
        <v>587644</v>
      </c>
      <c r="L1961" s="8">
        <f>+K1961-J1961</f>
        <v>587644</v>
      </c>
      <c r="M1961" s="91">
        <f>I1961/L1961*100</f>
        <v>5.9621131161043082E-2</v>
      </c>
    </row>
    <row r="1962" spans="1:13" ht="15" hidden="1" customHeight="1" x14ac:dyDescent="0.3">
      <c r="A1962" s="9">
        <v>6751</v>
      </c>
      <c r="B1962" t="s">
        <v>361</v>
      </c>
      <c r="C1962" s="25">
        <v>44745</v>
      </c>
      <c r="D1962" s="26">
        <v>0.51834490740740746</v>
      </c>
      <c r="E1962" t="s">
        <v>30</v>
      </c>
      <c r="F1962" t="s">
        <v>166</v>
      </c>
      <c r="G1962" t="s">
        <v>161</v>
      </c>
      <c r="H1962" t="s">
        <v>176</v>
      </c>
      <c r="I1962" s="160">
        <v>254.33</v>
      </c>
      <c r="J1962" s="8"/>
      <c r="K1962" s="8">
        <v>1234</v>
      </c>
      <c r="L1962" s="8">
        <f>+K1962-J1962</f>
        <v>1234</v>
      </c>
      <c r="M1962" s="91">
        <f>I1962/L1962*100</f>
        <v>20.610210696920582</v>
      </c>
    </row>
    <row r="1963" spans="1:13" ht="15" hidden="1" customHeight="1" x14ac:dyDescent="0.3">
      <c r="A1963" s="9">
        <v>6751</v>
      </c>
      <c r="B1963" t="s">
        <v>361</v>
      </c>
      <c r="C1963" s="25">
        <v>44746</v>
      </c>
      <c r="D1963" s="26">
        <v>0.97539351851851841</v>
      </c>
      <c r="E1963" t="s">
        <v>30</v>
      </c>
      <c r="F1963" t="s">
        <v>210</v>
      </c>
      <c r="G1963" t="s">
        <v>211</v>
      </c>
      <c r="H1963" t="s">
        <v>176</v>
      </c>
      <c r="I1963" s="160">
        <v>465.68</v>
      </c>
      <c r="J1963" s="160">
        <f>SUM(I1960:I1963)</f>
        <v>1443.18</v>
      </c>
      <c r="K1963" s="160">
        <v>5114</v>
      </c>
      <c r="L1963" s="160">
        <v>3862</v>
      </c>
      <c r="M1963" s="149">
        <f>+J1963/L1963*100</f>
        <v>37.368720870015537</v>
      </c>
    </row>
    <row r="1964" spans="1:13" ht="15" hidden="1" customHeight="1" x14ac:dyDescent="0.3">
      <c r="A1964" s="9">
        <v>6751</v>
      </c>
      <c r="B1964" t="s">
        <v>361</v>
      </c>
      <c r="C1964" s="25">
        <v>44748</v>
      </c>
      <c r="D1964" s="26">
        <v>0.44711805555555556</v>
      </c>
      <c r="E1964" t="s">
        <v>30</v>
      </c>
      <c r="F1964" t="s">
        <v>492</v>
      </c>
      <c r="G1964" t="s">
        <v>44</v>
      </c>
      <c r="H1964" t="s">
        <v>176</v>
      </c>
      <c r="I1964" s="160">
        <v>399.66</v>
      </c>
      <c r="J1964" s="8"/>
      <c r="K1964" s="8"/>
      <c r="L1964" s="8"/>
      <c r="M1964" s="91"/>
    </row>
    <row r="1965" spans="1:13" ht="15" hidden="1" customHeight="1" x14ac:dyDescent="0.3">
      <c r="B1965" t="s">
        <v>236</v>
      </c>
      <c r="C1965" s="25">
        <v>44563</v>
      </c>
      <c r="D1965" s="26">
        <v>0.32670138888888889</v>
      </c>
      <c r="E1965" t="s">
        <v>24</v>
      </c>
      <c r="F1965" t="s">
        <v>241</v>
      </c>
      <c r="G1965" t="s">
        <v>242</v>
      </c>
      <c r="H1965" t="s">
        <v>239</v>
      </c>
      <c r="I1965">
        <v>221.07</v>
      </c>
      <c r="J1965" s="35">
        <v>0</v>
      </c>
      <c r="K1965" s="30">
        <f t="shared" ref="K1965:K1996" si="116">+L1965-J1965</f>
        <v>619.86</v>
      </c>
      <c r="L1965" s="34">
        <v>619.86</v>
      </c>
      <c r="M1965" s="61">
        <f t="shared" ref="M1965:M1995" si="117">I1965/K1965*100</f>
        <v>35.664504888200561</v>
      </c>
    </row>
    <row r="1966" spans="1:13" ht="15" hidden="1" customHeight="1" x14ac:dyDescent="0.3">
      <c r="B1966" t="s">
        <v>236</v>
      </c>
      <c r="C1966" s="25">
        <v>44564</v>
      </c>
      <c r="D1966" s="26">
        <v>1.1539351851851851E-2</v>
      </c>
      <c r="E1966" t="s">
        <v>24</v>
      </c>
      <c r="F1966" t="s">
        <v>298</v>
      </c>
      <c r="G1966" t="s">
        <v>299</v>
      </c>
      <c r="H1966" t="s">
        <v>239</v>
      </c>
      <c r="I1966">
        <v>293.25</v>
      </c>
      <c r="J1966" s="34">
        <v>0</v>
      </c>
      <c r="K1966" s="11">
        <f t="shared" si="116"/>
        <v>705.48</v>
      </c>
      <c r="L1966" s="35">
        <v>705.48</v>
      </c>
      <c r="M1966" s="10">
        <f t="shared" si="117"/>
        <v>41.567443442762375</v>
      </c>
    </row>
    <row r="1967" spans="1:13" ht="15" hidden="1" customHeight="1" x14ac:dyDescent="0.3">
      <c r="B1967" t="s">
        <v>236</v>
      </c>
      <c r="C1967" s="25">
        <v>44565</v>
      </c>
      <c r="D1967" s="26">
        <v>7.6921296296296293E-2</v>
      </c>
      <c r="E1967" t="s">
        <v>24</v>
      </c>
      <c r="F1967" t="s">
        <v>353</v>
      </c>
      <c r="G1967" t="s">
        <v>354</v>
      </c>
      <c r="H1967" t="s">
        <v>239</v>
      </c>
      <c r="I1967">
        <v>372.41</v>
      </c>
      <c r="J1967" s="31">
        <v>0</v>
      </c>
      <c r="K1967" s="11">
        <f t="shared" si="116"/>
        <v>1004.5</v>
      </c>
      <c r="L1967" s="31">
        <v>1004.5</v>
      </c>
      <c r="M1967" s="10">
        <f t="shared" si="117"/>
        <v>37.0741662518666</v>
      </c>
    </row>
    <row r="1968" spans="1:13" ht="15" hidden="1" customHeight="1" x14ac:dyDescent="0.3">
      <c r="B1968" t="s">
        <v>236</v>
      </c>
      <c r="C1968" s="25">
        <v>44565</v>
      </c>
      <c r="D1968" s="26">
        <v>0.95289351851851845</v>
      </c>
      <c r="E1968" t="s">
        <v>24</v>
      </c>
      <c r="F1968" t="s">
        <v>294</v>
      </c>
      <c r="G1968" t="s">
        <v>295</v>
      </c>
      <c r="H1968" t="s">
        <v>239</v>
      </c>
      <c r="I1968">
        <v>270.74</v>
      </c>
      <c r="J1968" s="7">
        <v>0</v>
      </c>
      <c r="K1968" s="11">
        <f t="shared" si="116"/>
        <v>576.91999999999996</v>
      </c>
      <c r="L1968" s="7">
        <v>576.91999999999996</v>
      </c>
      <c r="M1968" s="10">
        <f t="shared" si="117"/>
        <v>46.928516952090419</v>
      </c>
    </row>
    <row r="1969" spans="1:13" ht="15" hidden="1" customHeight="1" x14ac:dyDescent="0.3">
      <c r="B1969" t="s">
        <v>236</v>
      </c>
      <c r="C1969" s="25">
        <v>44566</v>
      </c>
      <c r="D1969" s="26">
        <v>0.72090277777777778</v>
      </c>
      <c r="E1969" t="s">
        <v>24</v>
      </c>
      <c r="F1969" t="s">
        <v>357</v>
      </c>
      <c r="G1969" t="s">
        <v>358</v>
      </c>
      <c r="H1969" t="s">
        <v>239</v>
      </c>
      <c r="I1969">
        <v>240.87</v>
      </c>
      <c r="J1969" s="34">
        <v>0</v>
      </c>
      <c r="K1969" s="11">
        <f t="shared" si="116"/>
        <v>589.79999999999995</v>
      </c>
      <c r="L1969" s="7">
        <v>589.79999999999995</v>
      </c>
      <c r="M1969" s="10">
        <f t="shared" si="117"/>
        <v>40.839267548321466</v>
      </c>
    </row>
    <row r="1970" spans="1:13" ht="15" hidden="1" customHeight="1" x14ac:dyDescent="0.3">
      <c r="B1970" t="s">
        <v>236</v>
      </c>
      <c r="C1970" s="25">
        <v>44567</v>
      </c>
      <c r="D1970" s="26">
        <v>0.14967592592592593</v>
      </c>
      <c r="E1970" t="s">
        <v>24</v>
      </c>
      <c r="F1970" t="s">
        <v>291</v>
      </c>
      <c r="G1970" t="s">
        <v>292</v>
      </c>
      <c r="H1970" t="s">
        <v>239</v>
      </c>
      <c r="I1970">
        <v>194.43</v>
      </c>
      <c r="J1970" s="34">
        <v>0</v>
      </c>
      <c r="K1970" s="11">
        <f t="shared" si="116"/>
        <v>488.38</v>
      </c>
      <c r="L1970" s="51">
        <v>488.38</v>
      </c>
      <c r="M1970" s="10">
        <f t="shared" si="117"/>
        <v>39.811212580367751</v>
      </c>
    </row>
    <row r="1971" spans="1:13" ht="15" hidden="1" customHeight="1" x14ac:dyDescent="0.3">
      <c r="B1971" t="s">
        <v>236</v>
      </c>
      <c r="C1971" s="25">
        <v>44571</v>
      </c>
      <c r="D1971" s="26">
        <v>1.9293981481481485E-2</v>
      </c>
      <c r="E1971" t="s">
        <v>24</v>
      </c>
      <c r="F1971" t="s">
        <v>234</v>
      </c>
      <c r="G1971" t="s">
        <v>235</v>
      </c>
      <c r="H1971" t="s">
        <v>239</v>
      </c>
      <c r="I1971">
        <v>264.17</v>
      </c>
      <c r="J1971" s="34">
        <v>0</v>
      </c>
      <c r="K1971" s="11">
        <f t="shared" si="116"/>
        <v>685.71</v>
      </c>
      <c r="L1971" s="51">
        <v>685.71</v>
      </c>
      <c r="M1971" s="10">
        <f t="shared" si="117"/>
        <v>38.525032448119468</v>
      </c>
    </row>
    <row r="1972" spans="1:13" ht="15" hidden="1" customHeight="1" x14ac:dyDescent="0.3">
      <c r="B1972" t="s">
        <v>236</v>
      </c>
      <c r="C1972" s="25">
        <v>44572</v>
      </c>
      <c r="D1972" s="26">
        <v>0.14408564814814814</v>
      </c>
      <c r="E1972" t="s">
        <v>24</v>
      </c>
      <c r="F1972" t="s">
        <v>380</v>
      </c>
      <c r="G1972" t="s">
        <v>381</v>
      </c>
      <c r="H1972" t="s">
        <v>239</v>
      </c>
      <c r="I1972">
        <v>191.66</v>
      </c>
      <c r="J1972" s="51">
        <v>0</v>
      </c>
      <c r="K1972" s="11">
        <f t="shared" si="116"/>
        <v>461.18</v>
      </c>
      <c r="L1972" s="51">
        <v>461.18</v>
      </c>
      <c r="M1972" s="10">
        <f t="shared" si="117"/>
        <v>41.558610520837853</v>
      </c>
    </row>
    <row r="1973" spans="1:13" ht="15" hidden="1" customHeight="1" x14ac:dyDescent="0.3">
      <c r="B1973" t="s">
        <v>236</v>
      </c>
      <c r="C1973" s="25">
        <v>44572</v>
      </c>
      <c r="D1973" s="26">
        <v>0.9181597222222222</v>
      </c>
      <c r="E1973" t="s">
        <v>24</v>
      </c>
      <c r="F1973" t="s">
        <v>237</v>
      </c>
      <c r="G1973" t="s">
        <v>238</v>
      </c>
      <c r="H1973" t="s">
        <v>239</v>
      </c>
      <c r="I1973">
        <v>216.16</v>
      </c>
      <c r="J1973" s="34">
        <v>0</v>
      </c>
      <c r="K1973" s="11">
        <f t="shared" si="116"/>
        <v>564.42999999999995</v>
      </c>
      <c r="L1973" s="34">
        <v>564.42999999999995</v>
      </c>
      <c r="M1973" s="10">
        <f t="shared" si="117"/>
        <v>38.297043034565846</v>
      </c>
    </row>
    <row r="1974" spans="1:13" ht="15" hidden="1" customHeight="1" x14ac:dyDescent="0.3">
      <c r="B1974" t="s">
        <v>236</v>
      </c>
      <c r="C1974" s="25">
        <v>44573</v>
      </c>
      <c r="D1974" s="26">
        <v>0.60144675925925928</v>
      </c>
      <c r="E1974" t="s">
        <v>24</v>
      </c>
      <c r="F1974" t="s">
        <v>245</v>
      </c>
      <c r="G1974" t="s">
        <v>246</v>
      </c>
      <c r="H1974" t="s">
        <v>239</v>
      </c>
      <c r="I1974">
        <v>200.47</v>
      </c>
      <c r="J1974" s="34">
        <v>0</v>
      </c>
      <c r="K1974" s="11">
        <f t="shared" si="116"/>
        <v>454.71</v>
      </c>
      <c r="L1974" s="7">
        <v>454.71</v>
      </c>
      <c r="M1974" s="10">
        <f t="shared" si="117"/>
        <v>44.087440346594533</v>
      </c>
    </row>
    <row r="1975" spans="1:13" ht="15" hidden="1" customHeight="1" x14ac:dyDescent="0.3">
      <c r="B1975" t="s">
        <v>236</v>
      </c>
      <c r="C1975" s="25">
        <v>44574</v>
      </c>
      <c r="D1975" s="26">
        <v>0.88987268518518514</v>
      </c>
      <c r="E1975" t="s">
        <v>24</v>
      </c>
      <c r="F1975" t="s">
        <v>245</v>
      </c>
      <c r="G1975" t="s">
        <v>246</v>
      </c>
      <c r="H1975" t="s">
        <v>239</v>
      </c>
      <c r="I1975">
        <v>200.15</v>
      </c>
      <c r="J1975" s="51">
        <v>0</v>
      </c>
      <c r="K1975" s="11">
        <f t="shared" si="116"/>
        <v>448.52</v>
      </c>
      <c r="L1975" s="51">
        <v>448.52</v>
      </c>
      <c r="M1975" s="10">
        <f t="shared" si="117"/>
        <v>44.624542941228931</v>
      </c>
    </row>
    <row r="1976" spans="1:13" ht="15" hidden="1" customHeight="1" x14ac:dyDescent="0.3">
      <c r="B1976" t="s">
        <v>236</v>
      </c>
      <c r="C1976" s="25">
        <v>44576</v>
      </c>
      <c r="D1976" s="26">
        <v>0.22825231481481481</v>
      </c>
      <c r="E1976" t="s">
        <v>24</v>
      </c>
      <c r="F1976" t="s">
        <v>226</v>
      </c>
      <c r="G1976" t="s">
        <v>227</v>
      </c>
      <c r="H1976" t="s">
        <v>239</v>
      </c>
      <c r="I1976">
        <v>287</v>
      </c>
      <c r="J1976" s="51">
        <v>0</v>
      </c>
      <c r="K1976" s="11">
        <f t="shared" si="116"/>
        <v>663.17</v>
      </c>
      <c r="L1976" s="51">
        <v>663.17</v>
      </c>
      <c r="M1976" s="10">
        <f t="shared" si="117"/>
        <v>43.276987801016332</v>
      </c>
    </row>
    <row r="1977" spans="1:13" ht="15" hidden="1" customHeight="1" x14ac:dyDescent="0.3">
      <c r="B1977" t="s">
        <v>236</v>
      </c>
      <c r="C1977" s="25">
        <v>44579</v>
      </c>
      <c r="D1977" s="26">
        <v>0.53405092592592596</v>
      </c>
      <c r="E1977" t="s">
        <v>24</v>
      </c>
      <c r="F1977" t="s">
        <v>234</v>
      </c>
      <c r="G1977" t="s">
        <v>235</v>
      </c>
      <c r="H1977" t="s">
        <v>239</v>
      </c>
      <c r="I1977">
        <v>271.12</v>
      </c>
      <c r="J1977" s="7">
        <v>0</v>
      </c>
      <c r="K1977" s="11">
        <f t="shared" si="116"/>
        <v>653.78</v>
      </c>
      <c r="L1977" s="7">
        <v>653.78</v>
      </c>
      <c r="M1977" s="10">
        <f t="shared" si="117"/>
        <v>41.469607513230756</v>
      </c>
    </row>
    <row r="1978" spans="1:13" ht="15" hidden="1" customHeight="1" x14ac:dyDescent="0.3">
      <c r="B1978" t="s">
        <v>236</v>
      </c>
      <c r="C1978" s="25">
        <v>44582</v>
      </c>
      <c r="D1978" s="26">
        <v>0.48194444444444445</v>
      </c>
      <c r="E1978" t="s">
        <v>24</v>
      </c>
      <c r="F1978" t="s">
        <v>262</v>
      </c>
      <c r="G1978" t="s">
        <v>263</v>
      </c>
      <c r="H1978" t="s">
        <v>239</v>
      </c>
      <c r="I1978">
        <v>200.01</v>
      </c>
      <c r="J1978" s="7">
        <v>0</v>
      </c>
      <c r="K1978" s="11">
        <f t="shared" si="116"/>
        <v>507.69</v>
      </c>
      <c r="L1978" s="7">
        <v>507.69</v>
      </c>
      <c r="M1978" s="10">
        <f t="shared" si="117"/>
        <v>39.39608816403711</v>
      </c>
    </row>
    <row r="1979" spans="1:13" ht="15" hidden="1" customHeight="1" x14ac:dyDescent="0.3">
      <c r="B1979" t="s">
        <v>236</v>
      </c>
      <c r="C1979" s="25">
        <v>44587</v>
      </c>
      <c r="D1979" s="26">
        <v>0.96329861111111115</v>
      </c>
      <c r="E1979" t="s">
        <v>24</v>
      </c>
      <c r="F1979" t="s">
        <v>226</v>
      </c>
      <c r="G1979" t="s">
        <v>227</v>
      </c>
      <c r="H1979" t="s">
        <v>239</v>
      </c>
      <c r="I1979">
        <v>353.64</v>
      </c>
      <c r="J1979" s="31">
        <v>0</v>
      </c>
      <c r="K1979" s="11">
        <f t="shared" si="116"/>
        <v>537.46</v>
      </c>
      <c r="L1979" s="37">
        <v>537.46</v>
      </c>
      <c r="M1979" s="10">
        <f t="shared" si="117"/>
        <v>65.798384996092736</v>
      </c>
    </row>
    <row r="1980" spans="1:13" ht="15" hidden="1" customHeight="1" x14ac:dyDescent="0.3">
      <c r="B1980" t="s">
        <v>236</v>
      </c>
      <c r="C1980" s="25">
        <v>44588</v>
      </c>
      <c r="D1980" s="26">
        <v>0.87106481481481479</v>
      </c>
      <c r="E1980" t="s">
        <v>24</v>
      </c>
      <c r="F1980" t="s">
        <v>324</v>
      </c>
      <c r="G1980" t="s">
        <v>325</v>
      </c>
      <c r="H1980" t="s">
        <v>239</v>
      </c>
      <c r="I1980">
        <v>260.45</v>
      </c>
      <c r="J1980" s="11">
        <v>0</v>
      </c>
      <c r="K1980" s="11">
        <f t="shared" si="116"/>
        <v>569.98</v>
      </c>
      <c r="L1980" s="31">
        <v>569.98</v>
      </c>
      <c r="M1980" s="10">
        <f t="shared" si="117"/>
        <v>45.694585774939469</v>
      </c>
    </row>
    <row r="1981" spans="1:13" ht="15" hidden="1" customHeight="1" x14ac:dyDescent="0.3">
      <c r="B1981" t="s">
        <v>236</v>
      </c>
      <c r="C1981" s="25">
        <v>44590</v>
      </c>
      <c r="D1981" s="26">
        <v>0.11140046296296297</v>
      </c>
      <c r="E1981" t="s">
        <v>24</v>
      </c>
      <c r="F1981" t="s">
        <v>245</v>
      </c>
      <c r="G1981" t="s">
        <v>246</v>
      </c>
      <c r="H1981" t="s">
        <v>239</v>
      </c>
      <c r="I1981">
        <v>237.15</v>
      </c>
      <c r="J1981" s="11">
        <v>0</v>
      </c>
      <c r="K1981" s="11">
        <f t="shared" si="116"/>
        <v>571.64</v>
      </c>
      <c r="L1981" s="7">
        <v>571.64</v>
      </c>
      <c r="M1981" s="10">
        <f t="shared" si="117"/>
        <v>41.485900216919738</v>
      </c>
    </row>
    <row r="1982" spans="1:13" ht="15" hidden="1" customHeight="1" x14ac:dyDescent="0.3">
      <c r="B1982" t="s">
        <v>236</v>
      </c>
      <c r="C1982" s="25">
        <v>44592</v>
      </c>
      <c r="D1982" s="26">
        <v>0.16921296296296295</v>
      </c>
      <c r="E1982" t="s">
        <v>24</v>
      </c>
      <c r="F1982" t="s">
        <v>245</v>
      </c>
      <c r="G1982" t="s">
        <v>246</v>
      </c>
      <c r="H1982" t="s">
        <v>239</v>
      </c>
      <c r="I1982">
        <v>213.14</v>
      </c>
      <c r="J1982" s="7">
        <v>0</v>
      </c>
      <c r="K1982" s="11">
        <f t="shared" si="116"/>
        <v>497.96</v>
      </c>
      <c r="L1982" s="7">
        <v>497.96</v>
      </c>
      <c r="M1982" s="10">
        <f t="shared" si="117"/>
        <v>42.802634749779102</v>
      </c>
    </row>
    <row r="1983" spans="1:13" ht="15" hidden="1" customHeight="1" x14ac:dyDescent="0.3">
      <c r="A1983" s="9">
        <v>665</v>
      </c>
      <c r="B1983" t="s">
        <v>236</v>
      </c>
      <c r="C1983" s="25">
        <v>44616</v>
      </c>
      <c r="D1983" s="26">
        <v>0.93371527777777785</v>
      </c>
      <c r="E1983" t="s">
        <v>25</v>
      </c>
      <c r="F1983" t="s">
        <v>294</v>
      </c>
      <c r="G1983" t="s">
        <v>295</v>
      </c>
      <c r="H1983" t="s">
        <v>224</v>
      </c>
      <c r="I1983">
        <v>261.48</v>
      </c>
      <c r="J1983" s="7">
        <v>0</v>
      </c>
      <c r="K1983" s="11">
        <f t="shared" si="116"/>
        <v>1234</v>
      </c>
      <c r="L1983" s="45">
        <v>1234</v>
      </c>
      <c r="M1983" s="10">
        <f t="shared" si="117"/>
        <v>21.189627228525122</v>
      </c>
    </row>
    <row r="1984" spans="1:13" ht="15" hidden="1" customHeight="1" x14ac:dyDescent="0.3">
      <c r="A1984" s="9">
        <v>666</v>
      </c>
      <c r="B1984" t="s">
        <v>236</v>
      </c>
      <c r="C1984" s="25">
        <v>44616</v>
      </c>
      <c r="D1984" s="26">
        <v>0.93371527777777785</v>
      </c>
      <c r="E1984" t="s">
        <v>25</v>
      </c>
      <c r="F1984" t="s">
        <v>294</v>
      </c>
      <c r="G1984" t="s">
        <v>295</v>
      </c>
      <c r="H1984" t="s">
        <v>224</v>
      </c>
      <c r="I1984">
        <v>261.48</v>
      </c>
      <c r="J1984" s="7">
        <v>0</v>
      </c>
      <c r="K1984" s="11">
        <f t="shared" si="116"/>
        <v>1234</v>
      </c>
      <c r="L1984" s="8">
        <v>1234</v>
      </c>
      <c r="M1984" s="10">
        <f t="shared" si="117"/>
        <v>21.189627228525122</v>
      </c>
    </row>
    <row r="1985" spans="1:13" ht="15" hidden="1" customHeight="1" x14ac:dyDescent="0.3">
      <c r="A1985" s="9">
        <v>667</v>
      </c>
      <c r="B1985" t="s">
        <v>236</v>
      </c>
      <c r="C1985" s="25">
        <v>44618</v>
      </c>
      <c r="D1985" s="26">
        <v>1.1226851851851854E-2</v>
      </c>
      <c r="E1985" t="s">
        <v>25</v>
      </c>
      <c r="F1985" t="s">
        <v>463</v>
      </c>
      <c r="G1985" t="s">
        <v>464</v>
      </c>
      <c r="H1985" t="s">
        <v>224</v>
      </c>
      <c r="I1985">
        <v>204.46</v>
      </c>
      <c r="J1985" s="7">
        <v>0</v>
      </c>
      <c r="K1985" s="11">
        <f t="shared" si="116"/>
        <v>200000</v>
      </c>
      <c r="L1985" s="8">
        <v>200000</v>
      </c>
      <c r="M1985" s="10">
        <f t="shared" si="117"/>
        <v>0.10223</v>
      </c>
    </row>
    <row r="1986" spans="1:13" ht="15" hidden="1" customHeight="1" x14ac:dyDescent="0.3">
      <c r="A1986" s="9">
        <v>707</v>
      </c>
      <c r="B1986" t="s">
        <v>236</v>
      </c>
      <c r="C1986" s="25">
        <v>44593</v>
      </c>
      <c r="D1986" s="26">
        <v>0.41246527777777775</v>
      </c>
      <c r="E1986" t="s">
        <v>25</v>
      </c>
      <c r="F1986" t="s">
        <v>324</v>
      </c>
      <c r="G1986" t="s">
        <v>325</v>
      </c>
      <c r="H1986" t="s">
        <v>239</v>
      </c>
      <c r="I1986">
        <v>235.66</v>
      </c>
      <c r="J1986" s="7">
        <v>0</v>
      </c>
      <c r="K1986" s="11">
        <f t="shared" si="116"/>
        <v>571.29</v>
      </c>
      <c r="L1986" s="35">
        <v>571.29</v>
      </c>
      <c r="M1986" s="10">
        <f t="shared" si="117"/>
        <v>41.250503247037408</v>
      </c>
    </row>
    <row r="1987" spans="1:13" ht="15" hidden="1" customHeight="1" x14ac:dyDescent="0.3">
      <c r="A1987" s="9">
        <v>708</v>
      </c>
      <c r="B1987" t="s">
        <v>236</v>
      </c>
      <c r="C1987" s="25">
        <v>44593</v>
      </c>
      <c r="D1987" s="26">
        <v>0.96827546296296296</v>
      </c>
      <c r="E1987" t="s">
        <v>25</v>
      </c>
      <c r="F1987" t="s">
        <v>241</v>
      </c>
      <c r="G1987" t="s">
        <v>242</v>
      </c>
      <c r="H1987" t="s">
        <v>239</v>
      </c>
      <c r="I1987">
        <v>155.9</v>
      </c>
      <c r="J1987" s="7">
        <v>0</v>
      </c>
      <c r="K1987" s="11">
        <f t="shared" si="116"/>
        <v>487.93</v>
      </c>
      <c r="L1987" s="7">
        <v>487.93</v>
      </c>
      <c r="M1987" s="10">
        <f t="shared" si="117"/>
        <v>31.951304490398215</v>
      </c>
    </row>
    <row r="1988" spans="1:13" ht="15" hidden="1" customHeight="1" x14ac:dyDescent="0.3">
      <c r="A1988" s="9">
        <v>1296</v>
      </c>
      <c r="B1988" t="s">
        <v>236</v>
      </c>
      <c r="C1988" s="25">
        <v>44650</v>
      </c>
      <c r="D1988" s="26">
        <v>0.6799884259259259</v>
      </c>
      <c r="E1988" t="s">
        <v>26</v>
      </c>
      <c r="F1988" t="s">
        <v>171</v>
      </c>
      <c r="G1988" t="s">
        <v>172</v>
      </c>
      <c r="H1988" t="s">
        <v>182</v>
      </c>
      <c r="I1988">
        <v>473.01</v>
      </c>
      <c r="J1988" s="7">
        <v>0</v>
      </c>
      <c r="K1988" s="89">
        <f t="shared" si="116"/>
        <v>0</v>
      </c>
      <c r="L1988" s="44"/>
      <c r="M1988" s="10" t="e">
        <f t="shared" si="117"/>
        <v>#DIV/0!</v>
      </c>
    </row>
    <row r="1989" spans="1:13" ht="15" hidden="1" customHeight="1" x14ac:dyDescent="0.3">
      <c r="A1989" s="9">
        <v>1809</v>
      </c>
      <c r="B1989" t="s">
        <v>236</v>
      </c>
      <c r="C1989" s="25">
        <v>44622</v>
      </c>
      <c r="D1989" s="26">
        <v>0.22086805555555555</v>
      </c>
      <c r="E1989" t="s">
        <v>26</v>
      </c>
      <c r="F1989" t="s">
        <v>324</v>
      </c>
      <c r="G1989" t="s">
        <v>325</v>
      </c>
      <c r="H1989" t="s">
        <v>239</v>
      </c>
      <c r="I1989">
        <v>267.27999999999997</v>
      </c>
      <c r="J1989" s="7"/>
      <c r="K1989" s="89">
        <f t="shared" si="116"/>
        <v>8465</v>
      </c>
      <c r="L1989" s="7">
        <v>8465</v>
      </c>
      <c r="M1989" s="36">
        <f t="shared" si="117"/>
        <v>3.1574719432959237</v>
      </c>
    </row>
    <row r="1990" spans="1:13" ht="15" hidden="1" customHeight="1" x14ac:dyDescent="0.3">
      <c r="A1990" s="9">
        <v>1810</v>
      </c>
      <c r="B1990" t="s">
        <v>236</v>
      </c>
      <c r="C1990" s="25">
        <v>44624</v>
      </c>
      <c r="D1990" s="26">
        <v>0.76368055555555558</v>
      </c>
      <c r="E1990" t="s">
        <v>26</v>
      </c>
      <c r="F1990" t="s">
        <v>326</v>
      </c>
      <c r="G1990" t="s">
        <v>327</v>
      </c>
      <c r="H1990" t="s">
        <v>239</v>
      </c>
      <c r="I1990">
        <v>220.19</v>
      </c>
      <c r="J1990" s="8"/>
      <c r="K1990" s="89">
        <f t="shared" si="116"/>
        <v>555556</v>
      </c>
      <c r="L1990" s="8">
        <v>555556</v>
      </c>
      <c r="M1990" s="36">
        <f t="shared" si="117"/>
        <v>3.9634168292665362E-2</v>
      </c>
    </row>
    <row r="1991" spans="1:13" ht="15" hidden="1" customHeight="1" x14ac:dyDescent="0.3">
      <c r="A1991" s="9">
        <v>1811</v>
      </c>
      <c r="B1991" t="s">
        <v>236</v>
      </c>
      <c r="C1991" s="25">
        <v>44625</v>
      </c>
      <c r="D1991" s="26">
        <v>0.51679398148148148</v>
      </c>
      <c r="E1991" t="s">
        <v>26</v>
      </c>
      <c r="F1991" t="s">
        <v>268</v>
      </c>
      <c r="G1991" t="s">
        <v>269</v>
      </c>
      <c r="H1991" t="s">
        <v>239</v>
      </c>
      <c r="I1991">
        <v>292.93</v>
      </c>
      <c r="J1991" s="8"/>
      <c r="K1991" s="89">
        <f t="shared" si="116"/>
        <v>1234</v>
      </c>
      <c r="L1991" s="8">
        <v>1234</v>
      </c>
      <c r="M1991" s="36">
        <f t="shared" si="117"/>
        <v>23.738249594813617</v>
      </c>
    </row>
    <row r="1992" spans="1:13" ht="15" hidden="1" customHeight="1" x14ac:dyDescent="0.3">
      <c r="A1992" s="9">
        <v>1812</v>
      </c>
      <c r="B1992" t="s">
        <v>236</v>
      </c>
      <c r="C1992" s="25">
        <v>44628</v>
      </c>
      <c r="D1992" s="26">
        <v>0.92586805555555562</v>
      </c>
      <c r="E1992" t="s">
        <v>26</v>
      </c>
      <c r="F1992" t="s">
        <v>294</v>
      </c>
      <c r="G1992" t="s">
        <v>295</v>
      </c>
      <c r="H1992" t="s">
        <v>239</v>
      </c>
      <c r="I1992">
        <v>100.76</v>
      </c>
      <c r="J1992" s="8"/>
      <c r="K1992" s="89">
        <f t="shared" si="116"/>
        <v>1234</v>
      </c>
      <c r="L1992" s="8">
        <v>1234</v>
      </c>
      <c r="M1992" s="36">
        <f t="shared" si="117"/>
        <v>8.1653160453808749</v>
      </c>
    </row>
    <row r="1993" spans="1:13" ht="15" hidden="1" customHeight="1" x14ac:dyDescent="0.3">
      <c r="A1993" s="9">
        <v>1813</v>
      </c>
      <c r="B1993" t="s">
        <v>236</v>
      </c>
      <c r="C1993" s="25">
        <v>44629</v>
      </c>
      <c r="D1993" s="26">
        <v>8.6793981481481486E-2</v>
      </c>
      <c r="E1993" t="s">
        <v>26</v>
      </c>
      <c r="F1993" t="s">
        <v>474</v>
      </c>
      <c r="G1993" t="s">
        <v>299</v>
      </c>
      <c r="H1993" t="s">
        <v>239</v>
      </c>
      <c r="I1993">
        <v>100.02</v>
      </c>
      <c r="J1993" s="8"/>
      <c r="K1993" s="89">
        <f t="shared" si="116"/>
        <v>1425</v>
      </c>
      <c r="L1993" s="44">
        <v>1425</v>
      </c>
      <c r="M1993" s="10">
        <f t="shared" si="117"/>
        <v>7.0189473684210526</v>
      </c>
    </row>
    <row r="1994" spans="1:13" ht="15" hidden="1" customHeight="1" x14ac:dyDescent="0.3">
      <c r="A1994" s="9">
        <v>1814</v>
      </c>
      <c r="B1994" t="s">
        <v>236</v>
      </c>
      <c r="C1994" s="25">
        <v>44629</v>
      </c>
      <c r="D1994" s="26">
        <v>0.47393518518518518</v>
      </c>
      <c r="E1994" t="s">
        <v>26</v>
      </c>
      <c r="F1994" t="s">
        <v>357</v>
      </c>
      <c r="G1994" t="s">
        <v>358</v>
      </c>
      <c r="H1994" t="s">
        <v>239</v>
      </c>
      <c r="I1994">
        <v>365.74</v>
      </c>
      <c r="J1994" s="44"/>
      <c r="K1994" s="89">
        <f t="shared" si="116"/>
        <v>1001</v>
      </c>
      <c r="L1994" s="44">
        <v>1001</v>
      </c>
      <c r="M1994" s="10">
        <f t="shared" si="117"/>
        <v>36.537462537462538</v>
      </c>
    </row>
    <row r="1995" spans="1:13" ht="15" hidden="1" customHeight="1" x14ac:dyDescent="0.3">
      <c r="A1995" s="9">
        <v>1815</v>
      </c>
      <c r="B1995" t="s">
        <v>236</v>
      </c>
      <c r="C1995" s="25">
        <v>44630</v>
      </c>
      <c r="D1995" s="26">
        <v>9.6215277777777775E-2</v>
      </c>
      <c r="E1995" t="s">
        <v>26</v>
      </c>
      <c r="F1995" t="s">
        <v>226</v>
      </c>
      <c r="G1995" t="s">
        <v>227</v>
      </c>
      <c r="H1995" t="s">
        <v>239</v>
      </c>
      <c r="I1995">
        <v>309.64</v>
      </c>
      <c r="J1995" s="44"/>
      <c r="K1995" s="89">
        <f t="shared" si="116"/>
        <v>10000</v>
      </c>
      <c r="L1995" s="8">
        <v>10000</v>
      </c>
      <c r="M1995" s="10">
        <f t="shared" si="117"/>
        <v>3.0964</v>
      </c>
    </row>
    <row r="1996" spans="1:13" ht="15" hidden="1" customHeight="1" x14ac:dyDescent="0.3">
      <c r="A1996" s="9">
        <v>1816</v>
      </c>
      <c r="B1996" t="s">
        <v>236</v>
      </c>
      <c r="C1996" s="25">
        <v>44634</v>
      </c>
      <c r="D1996" s="26">
        <v>0.17868055555555554</v>
      </c>
      <c r="E1996" t="s">
        <v>26</v>
      </c>
      <c r="F1996" t="s">
        <v>234</v>
      </c>
      <c r="G1996" t="s">
        <v>235</v>
      </c>
      <c r="H1996" t="s">
        <v>239</v>
      </c>
      <c r="I1996">
        <v>227.15</v>
      </c>
      <c r="J1996" s="66"/>
      <c r="K1996" s="89">
        <f t="shared" si="116"/>
        <v>1030</v>
      </c>
      <c r="L1996" s="8">
        <v>1030</v>
      </c>
      <c r="M1996" s="10">
        <f t="shared" ref="M1996:M2027" si="118">I1996/K1996*100</f>
        <v>22.053398058252426</v>
      </c>
    </row>
    <row r="1997" spans="1:13" ht="15" hidden="1" customHeight="1" x14ac:dyDescent="0.3">
      <c r="A1997" s="9">
        <v>1817</v>
      </c>
      <c r="B1997" t="s">
        <v>236</v>
      </c>
      <c r="C1997" s="25">
        <v>44634</v>
      </c>
      <c r="D1997" s="26">
        <v>0.96987268518518521</v>
      </c>
      <c r="E1997" t="s">
        <v>26</v>
      </c>
      <c r="F1997" t="s">
        <v>234</v>
      </c>
      <c r="G1997" t="s">
        <v>235</v>
      </c>
      <c r="H1997" t="s">
        <v>239</v>
      </c>
      <c r="I1997">
        <v>163.82</v>
      </c>
      <c r="J1997" s="66"/>
      <c r="K1997" s="89">
        <f t="shared" ref="K1997:K2028" si="119">+L1997-J1997</f>
        <v>1030</v>
      </c>
      <c r="L1997" s="8">
        <v>1030</v>
      </c>
      <c r="M1997" s="10">
        <f t="shared" si="118"/>
        <v>15.904854368932039</v>
      </c>
    </row>
    <row r="1998" spans="1:13" ht="15" hidden="1" customHeight="1" x14ac:dyDescent="0.3">
      <c r="A1998" s="9">
        <v>1818</v>
      </c>
      <c r="B1998" t="s">
        <v>236</v>
      </c>
      <c r="C1998" s="25">
        <v>44636</v>
      </c>
      <c r="D1998" s="26">
        <v>0.37770833333333331</v>
      </c>
      <c r="E1998" t="s">
        <v>26</v>
      </c>
      <c r="F1998" t="s">
        <v>237</v>
      </c>
      <c r="G1998" t="s">
        <v>238</v>
      </c>
      <c r="H1998" t="s">
        <v>239</v>
      </c>
      <c r="I1998">
        <v>149.27000000000001</v>
      </c>
      <c r="J1998" s="66"/>
      <c r="K1998" s="89">
        <f t="shared" si="119"/>
        <v>405200</v>
      </c>
      <c r="L1998" s="8">
        <v>405200</v>
      </c>
      <c r="M1998" s="36">
        <f t="shared" si="118"/>
        <v>3.6838598223099706E-2</v>
      </c>
    </row>
    <row r="1999" spans="1:13" ht="15" hidden="1" customHeight="1" x14ac:dyDescent="0.3">
      <c r="A1999" s="9">
        <v>1819</v>
      </c>
      <c r="B1999" t="s">
        <v>236</v>
      </c>
      <c r="C1999" s="25">
        <v>44637</v>
      </c>
      <c r="D1999" s="26">
        <v>0.58589120370370373</v>
      </c>
      <c r="E1999" t="s">
        <v>26</v>
      </c>
      <c r="F1999" t="s">
        <v>245</v>
      </c>
      <c r="G1999" t="s">
        <v>246</v>
      </c>
      <c r="H1999" t="s">
        <v>239</v>
      </c>
      <c r="I1999">
        <v>219.78</v>
      </c>
      <c r="J1999" s="54"/>
      <c r="K1999" s="89">
        <f t="shared" si="119"/>
        <v>46532</v>
      </c>
      <c r="L1999" s="8">
        <v>46532</v>
      </c>
      <c r="M1999" s="36">
        <f t="shared" si="118"/>
        <v>0.47232012378578181</v>
      </c>
    </row>
    <row r="2000" spans="1:13" ht="15" hidden="1" customHeight="1" x14ac:dyDescent="0.3">
      <c r="A2000" s="9">
        <v>1820</v>
      </c>
      <c r="B2000" t="s">
        <v>236</v>
      </c>
      <c r="C2000" s="25">
        <v>44638</v>
      </c>
      <c r="D2000" s="26">
        <v>0.65633101851851849</v>
      </c>
      <c r="E2000" t="s">
        <v>26</v>
      </c>
      <c r="F2000" t="s">
        <v>245</v>
      </c>
      <c r="G2000" t="s">
        <v>246</v>
      </c>
      <c r="H2000" t="s">
        <v>239</v>
      </c>
      <c r="I2000">
        <v>185.04</v>
      </c>
      <c r="J2000" s="8"/>
      <c r="K2000" s="89">
        <f t="shared" si="119"/>
        <v>14523</v>
      </c>
      <c r="L2000" s="8">
        <v>14523</v>
      </c>
      <c r="M2000" s="36">
        <f t="shared" si="118"/>
        <v>1.2741169179921503</v>
      </c>
    </row>
    <row r="2001" spans="1:13" ht="15" hidden="1" customHeight="1" x14ac:dyDescent="0.3">
      <c r="A2001" s="9">
        <v>1821</v>
      </c>
      <c r="B2001" t="s">
        <v>236</v>
      </c>
      <c r="C2001" s="25">
        <v>44639</v>
      </c>
      <c r="D2001" s="26">
        <v>0.14193287037037036</v>
      </c>
      <c r="E2001" t="s">
        <v>26</v>
      </c>
      <c r="F2001" t="s">
        <v>324</v>
      </c>
      <c r="G2001" t="s">
        <v>325</v>
      </c>
      <c r="H2001" t="s">
        <v>239</v>
      </c>
      <c r="I2001">
        <v>100</v>
      </c>
      <c r="J2001" s="8"/>
      <c r="K2001" s="89">
        <f t="shared" si="119"/>
        <v>1008</v>
      </c>
      <c r="L2001" s="8">
        <v>1008</v>
      </c>
      <c r="M2001" s="36">
        <f t="shared" si="118"/>
        <v>9.9206349206349209</v>
      </c>
    </row>
    <row r="2002" spans="1:13" ht="15" hidden="1" customHeight="1" x14ac:dyDescent="0.3">
      <c r="A2002" s="9">
        <v>1822</v>
      </c>
      <c r="B2002" t="s">
        <v>236</v>
      </c>
      <c r="C2002" s="25">
        <v>44639</v>
      </c>
      <c r="D2002" s="26">
        <v>0.61016203703703698</v>
      </c>
      <c r="E2002" t="s">
        <v>26</v>
      </c>
      <c r="F2002" t="s">
        <v>493</v>
      </c>
      <c r="G2002" t="s">
        <v>494</v>
      </c>
      <c r="H2002" t="s">
        <v>239</v>
      </c>
      <c r="I2002">
        <v>202.5</v>
      </c>
      <c r="J2002" s="8"/>
      <c r="K2002" s="89">
        <f t="shared" si="119"/>
        <v>30000</v>
      </c>
      <c r="L2002" s="8">
        <v>30000</v>
      </c>
      <c r="M2002" s="36">
        <f t="shared" si="118"/>
        <v>0.67500000000000004</v>
      </c>
    </row>
    <row r="2003" spans="1:13" ht="15" hidden="1" customHeight="1" x14ac:dyDescent="0.3">
      <c r="A2003" s="9">
        <v>1823</v>
      </c>
      <c r="B2003" t="s">
        <v>236</v>
      </c>
      <c r="C2003" s="25">
        <v>44640</v>
      </c>
      <c r="D2003" s="26">
        <v>0.18047453703703706</v>
      </c>
      <c r="E2003" t="s">
        <v>26</v>
      </c>
      <c r="F2003" t="s">
        <v>205</v>
      </c>
      <c r="G2003" t="s">
        <v>206</v>
      </c>
      <c r="H2003" t="s">
        <v>239</v>
      </c>
      <c r="I2003">
        <v>150</v>
      </c>
      <c r="J2003" s="8"/>
      <c r="K2003" s="89">
        <f t="shared" si="119"/>
        <v>100000</v>
      </c>
      <c r="L2003" s="8">
        <v>100000</v>
      </c>
      <c r="M2003" s="36">
        <f t="shared" si="118"/>
        <v>0.15</v>
      </c>
    </row>
    <row r="2004" spans="1:13" ht="15" hidden="1" customHeight="1" x14ac:dyDescent="0.3">
      <c r="A2004" s="9">
        <v>1824</v>
      </c>
      <c r="B2004" t="s">
        <v>236</v>
      </c>
      <c r="C2004" s="25">
        <v>44645</v>
      </c>
      <c r="D2004" s="26">
        <v>0.99331018518518521</v>
      </c>
      <c r="E2004" t="s">
        <v>26</v>
      </c>
      <c r="F2004" t="s">
        <v>241</v>
      </c>
      <c r="G2004" t="s">
        <v>242</v>
      </c>
      <c r="H2004" t="s">
        <v>239</v>
      </c>
      <c r="I2004">
        <v>225.91</v>
      </c>
      <c r="J2004" s="8"/>
      <c r="K2004" s="89">
        <f t="shared" si="119"/>
        <v>123369</v>
      </c>
      <c r="L2004" s="44">
        <v>123369</v>
      </c>
      <c r="M2004" s="10">
        <f t="shared" si="118"/>
        <v>0.18311731472249917</v>
      </c>
    </row>
    <row r="2005" spans="1:13" ht="15" hidden="1" customHeight="1" x14ac:dyDescent="0.3">
      <c r="A2005" s="9">
        <v>1825</v>
      </c>
      <c r="B2005" t="s">
        <v>236</v>
      </c>
      <c r="C2005" s="25">
        <v>44648</v>
      </c>
      <c r="D2005" s="26">
        <v>0.37180555555555556</v>
      </c>
      <c r="E2005" t="s">
        <v>26</v>
      </c>
      <c r="F2005" t="s">
        <v>419</v>
      </c>
      <c r="G2005" t="s">
        <v>238</v>
      </c>
      <c r="H2005" t="s">
        <v>239</v>
      </c>
      <c r="I2005">
        <v>287.14</v>
      </c>
      <c r="J2005" s="8"/>
      <c r="K2005" s="89">
        <f t="shared" si="119"/>
        <v>696969</v>
      </c>
      <c r="L2005" s="8">
        <v>696969</v>
      </c>
      <c r="M2005" s="10">
        <f t="shared" si="118"/>
        <v>4.1198389024475979E-2</v>
      </c>
    </row>
    <row r="2006" spans="1:13" ht="15" hidden="1" customHeight="1" x14ac:dyDescent="0.3">
      <c r="A2006" s="9">
        <v>1826</v>
      </c>
      <c r="B2006" t="s">
        <v>236</v>
      </c>
      <c r="C2006" s="25">
        <v>44649</v>
      </c>
      <c r="D2006" s="26">
        <v>0.92722222222222228</v>
      </c>
      <c r="E2006" t="s">
        <v>26</v>
      </c>
      <c r="F2006" t="s">
        <v>291</v>
      </c>
      <c r="G2006" t="s">
        <v>514</v>
      </c>
      <c r="H2006" t="s">
        <v>239</v>
      </c>
      <c r="I2006">
        <v>265</v>
      </c>
      <c r="J2006" s="8"/>
      <c r="K2006" s="89">
        <f t="shared" si="119"/>
        <v>1001</v>
      </c>
      <c r="L2006" s="8">
        <v>1001</v>
      </c>
      <c r="M2006" s="10">
        <f t="shared" si="118"/>
        <v>26.473526473526469</v>
      </c>
    </row>
    <row r="2007" spans="1:13" ht="15" hidden="1" customHeight="1" x14ac:dyDescent="0.3">
      <c r="A2007" s="9">
        <v>1827</v>
      </c>
      <c r="B2007" t="s">
        <v>236</v>
      </c>
      <c r="C2007" s="25">
        <v>44651</v>
      </c>
      <c r="D2007" s="26">
        <v>9.6817129629629628E-2</v>
      </c>
      <c r="E2007" t="s">
        <v>26</v>
      </c>
      <c r="F2007" t="s">
        <v>226</v>
      </c>
      <c r="G2007" t="s">
        <v>227</v>
      </c>
      <c r="H2007" t="s">
        <v>239</v>
      </c>
      <c r="I2007">
        <v>166.46</v>
      </c>
      <c r="J2007" s="8"/>
      <c r="K2007" s="89">
        <f t="shared" si="119"/>
        <v>858999</v>
      </c>
      <c r="L2007" s="8">
        <v>858999</v>
      </c>
      <c r="M2007" s="10">
        <f t="shared" si="118"/>
        <v>1.9378369474236875E-2</v>
      </c>
    </row>
    <row r="2008" spans="1:13" ht="15" hidden="1" customHeight="1" x14ac:dyDescent="0.3">
      <c r="A2008" s="9">
        <v>1828</v>
      </c>
      <c r="B2008" t="s">
        <v>236</v>
      </c>
      <c r="C2008" s="25">
        <v>44651</v>
      </c>
      <c r="D2008" s="26">
        <v>0.9359143518518519</v>
      </c>
      <c r="E2008" t="s">
        <v>26</v>
      </c>
      <c r="F2008" t="s">
        <v>331</v>
      </c>
      <c r="G2008" t="s">
        <v>277</v>
      </c>
      <c r="H2008" t="s">
        <v>239</v>
      </c>
      <c r="I2008">
        <v>219.06</v>
      </c>
      <c r="J2008" s="44"/>
      <c r="K2008" s="89">
        <f t="shared" si="119"/>
        <v>12345</v>
      </c>
      <c r="L2008" s="8">
        <v>12345</v>
      </c>
      <c r="M2008" s="10">
        <f t="shared" si="118"/>
        <v>1.7744835965978127</v>
      </c>
    </row>
    <row r="2009" spans="1:13" ht="15" hidden="1" customHeight="1" x14ac:dyDescent="0.3">
      <c r="A2009" s="9">
        <v>3069</v>
      </c>
      <c r="B2009" t="s">
        <v>236</v>
      </c>
      <c r="C2009" s="25">
        <v>44652</v>
      </c>
      <c r="D2009" s="26">
        <v>0.67509259259259258</v>
      </c>
      <c r="E2009" t="s">
        <v>27</v>
      </c>
      <c r="F2009" t="s">
        <v>532</v>
      </c>
      <c r="G2009" t="s">
        <v>494</v>
      </c>
      <c r="H2009" t="s">
        <v>239</v>
      </c>
      <c r="I2009" s="4">
        <v>100</v>
      </c>
      <c r="J2009" s="49"/>
      <c r="K2009" s="89">
        <f t="shared" si="119"/>
        <v>221224</v>
      </c>
      <c r="L2009" s="19">
        <v>221224</v>
      </c>
      <c r="M2009" s="10">
        <f t="shared" si="118"/>
        <v>4.5203052110078475E-2</v>
      </c>
    </row>
    <row r="2010" spans="1:13" ht="15" hidden="1" customHeight="1" x14ac:dyDescent="0.3">
      <c r="A2010" s="9">
        <v>3070</v>
      </c>
      <c r="B2010" t="s">
        <v>236</v>
      </c>
      <c r="C2010" s="25">
        <v>44653</v>
      </c>
      <c r="D2010" s="26">
        <v>6.7291666666666666E-2</v>
      </c>
      <c r="E2010" t="s">
        <v>27</v>
      </c>
      <c r="F2010" t="s">
        <v>419</v>
      </c>
      <c r="G2010" t="s">
        <v>238</v>
      </c>
      <c r="H2010" t="s">
        <v>239</v>
      </c>
      <c r="I2010" s="4">
        <v>288.68</v>
      </c>
      <c r="J2010" s="49"/>
      <c r="K2010" s="89">
        <f t="shared" si="119"/>
        <v>900000</v>
      </c>
      <c r="L2010" s="19">
        <v>900000</v>
      </c>
      <c r="M2010" s="10">
        <f t="shared" si="118"/>
        <v>3.2075555555555552E-2</v>
      </c>
    </row>
    <row r="2011" spans="1:13" ht="15" hidden="1" customHeight="1" x14ac:dyDescent="0.3">
      <c r="A2011" s="9">
        <v>3082</v>
      </c>
      <c r="B2011" t="s">
        <v>236</v>
      </c>
      <c r="C2011" s="25">
        <v>44657</v>
      </c>
      <c r="D2011" s="26">
        <v>0.82034722222222223</v>
      </c>
      <c r="E2011" t="s">
        <v>27</v>
      </c>
      <c r="F2011" t="s">
        <v>241</v>
      </c>
      <c r="G2011" t="s">
        <v>242</v>
      </c>
      <c r="H2011" t="s">
        <v>243</v>
      </c>
      <c r="I2011" s="4">
        <v>218.49</v>
      </c>
      <c r="J2011" s="8"/>
      <c r="K2011" s="89">
        <f t="shared" si="119"/>
        <v>22556</v>
      </c>
      <c r="L2011" s="19">
        <v>22556</v>
      </c>
      <c r="M2011" s="10">
        <f t="shared" si="118"/>
        <v>0.96865579003369384</v>
      </c>
    </row>
    <row r="2012" spans="1:13" ht="15" hidden="1" customHeight="1" x14ac:dyDescent="0.3">
      <c r="A2012" s="9">
        <v>3083</v>
      </c>
      <c r="B2012" t="s">
        <v>236</v>
      </c>
      <c r="C2012" s="25">
        <v>44658</v>
      </c>
      <c r="D2012" s="26">
        <v>0.48626157407407411</v>
      </c>
      <c r="E2012" t="s">
        <v>27</v>
      </c>
      <c r="F2012" t="s">
        <v>543</v>
      </c>
      <c r="G2012" t="s">
        <v>544</v>
      </c>
      <c r="H2012" t="s">
        <v>243</v>
      </c>
      <c r="I2012" s="4">
        <v>183.05</v>
      </c>
      <c r="J2012" s="8"/>
      <c r="K2012" s="89">
        <f t="shared" si="119"/>
        <v>1234</v>
      </c>
      <c r="L2012" s="19">
        <v>1234</v>
      </c>
      <c r="M2012" s="10">
        <f t="shared" si="118"/>
        <v>14.833873581847651</v>
      </c>
    </row>
    <row r="2013" spans="1:13" ht="15" hidden="1" customHeight="1" x14ac:dyDescent="0.3">
      <c r="A2013" s="9">
        <v>3084</v>
      </c>
      <c r="B2013" t="s">
        <v>236</v>
      </c>
      <c r="C2013" s="25">
        <v>44659</v>
      </c>
      <c r="D2013" s="26">
        <v>0.93876157407407401</v>
      </c>
      <c r="E2013" t="s">
        <v>27</v>
      </c>
      <c r="F2013" t="s">
        <v>205</v>
      </c>
      <c r="G2013" t="s">
        <v>206</v>
      </c>
      <c r="H2013" t="s">
        <v>243</v>
      </c>
      <c r="I2013" s="4">
        <v>100</v>
      </c>
      <c r="J2013" s="8"/>
      <c r="K2013" s="89">
        <f t="shared" si="119"/>
        <v>10000</v>
      </c>
      <c r="L2013" s="19">
        <v>10000</v>
      </c>
      <c r="M2013" s="10">
        <f t="shared" si="118"/>
        <v>1</v>
      </c>
    </row>
    <row r="2014" spans="1:13" ht="15" hidden="1" customHeight="1" x14ac:dyDescent="0.3">
      <c r="A2014" s="9">
        <v>3085</v>
      </c>
      <c r="B2014" t="s">
        <v>236</v>
      </c>
      <c r="C2014" s="25">
        <v>44662</v>
      </c>
      <c r="D2014" s="26">
        <v>0.59032407407407406</v>
      </c>
      <c r="E2014" t="s">
        <v>27</v>
      </c>
      <c r="F2014" t="s">
        <v>523</v>
      </c>
      <c r="G2014" t="s">
        <v>388</v>
      </c>
      <c r="H2014" t="s">
        <v>243</v>
      </c>
      <c r="I2014" s="4">
        <f>90.34+200</f>
        <v>290.34000000000003</v>
      </c>
      <c r="J2014" s="44"/>
      <c r="K2014" s="89">
        <f t="shared" si="119"/>
        <v>100000</v>
      </c>
      <c r="L2014" s="48">
        <v>100000</v>
      </c>
      <c r="M2014" s="10">
        <f t="shared" si="118"/>
        <v>0.29034000000000004</v>
      </c>
    </row>
    <row r="2015" spans="1:13" ht="15" hidden="1" customHeight="1" x14ac:dyDescent="0.3">
      <c r="A2015" s="9">
        <v>3086</v>
      </c>
      <c r="B2015" t="s">
        <v>236</v>
      </c>
      <c r="C2015" s="25">
        <v>44663</v>
      </c>
      <c r="D2015" s="26">
        <v>0.77542824074074079</v>
      </c>
      <c r="E2015" t="s">
        <v>27</v>
      </c>
      <c r="F2015" t="s">
        <v>291</v>
      </c>
      <c r="G2015" t="s">
        <v>514</v>
      </c>
      <c r="H2015" t="s">
        <v>243</v>
      </c>
      <c r="I2015" s="4">
        <v>228.02</v>
      </c>
      <c r="J2015" s="44"/>
      <c r="K2015" s="89">
        <f t="shared" si="119"/>
        <v>75431</v>
      </c>
      <c r="L2015" s="19">
        <v>75431</v>
      </c>
      <c r="M2015" s="10">
        <f t="shared" si="118"/>
        <v>0.30228950961806156</v>
      </c>
    </row>
    <row r="2016" spans="1:13" ht="15" hidden="1" customHeight="1" x14ac:dyDescent="0.3">
      <c r="A2016" s="9">
        <v>3087</v>
      </c>
      <c r="B2016" t="s">
        <v>236</v>
      </c>
      <c r="C2016" s="25">
        <v>44663</v>
      </c>
      <c r="D2016" s="26">
        <v>0.92097222222222219</v>
      </c>
      <c r="E2016" t="s">
        <v>27</v>
      </c>
      <c r="F2016" t="s">
        <v>234</v>
      </c>
      <c r="G2016" t="s">
        <v>235</v>
      </c>
      <c r="H2016" t="s">
        <v>243</v>
      </c>
      <c r="I2016" s="57">
        <v>78.31</v>
      </c>
      <c r="J2016" s="8"/>
      <c r="K2016" s="89">
        <f t="shared" si="119"/>
        <v>2541</v>
      </c>
      <c r="L2016" s="182">
        <v>2541</v>
      </c>
      <c r="M2016" s="10">
        <f t="shared" si="118"/>
        <v>3.0818575364029912</v>
      </c>
    </row>
    <row r="2017" spans="1:13" ht="15" hidden="1" customHeight="1" x14ac:dyDescent="0.3">
      <c r="A2017" s="9">
        <v>3088</v>
      </c>
      <c r="B2017" t="s">
        <v>236</v>
      </c>
      <c r="C2017" s="25">
        <v>44664</v>
      </c>
      <c r="D2017" s="26">
        <v>0.54158564814814814</v>
      </c>
      <c r="E2017" t="s">
        <v>27</v>
      </c>
      <c r="F2017" t="s">
        <v>430</v>
      </c>
      <c r="G2017" t="s">
        <v>431</v>
      </c>
      <c r="H2017" t="s">
        <v>243</v>
      </c>
      <c r="I2017" s="4">
        <v>185.33</v>
      </c>
      <c r="J2017" s="8"/>
      <c r="K2017" s="89">
        <f t="shared" si="119"/>
        <v>8465</v>
      </c>
      <c r="L2017" s="19">
        <v>8465</v>
      </c>
      <c r="M2017" s="10">
        <f t="shared" si="118"/>
        <v>2.1893679858239814</v>
      </c>
    </row>
    <row r="2018" spans="1:13" ht="15" hidden="1" customHeight="1" x14ac:dyDescent="0.3">
      <c r="A2018" s="9">
        <v>3089</v>
      </c>
      <c r="B2018" t="s">
        <v>236</v>
      </c>
      <c r="C2018" s="25">
        <v>44666</v>
      </c>
      <c r="D2018" s="26">
        <v>0.92258101851851848</v>
      </c>
      <c r="E2018" t="s">
        <v>27</v>
      </c>
      <c r="F2018" t="s">
        <v>226</v>
      </c>
      <c r="G2018" t="s">
        <v>227</v>
      </c>
      <c r="H2018" t="s">
        <v>243</v>
      </c>
      <c r="I2018" s="4">
        <v>200</v>
      </c>
      <c r="J2018" s="8"/>
      <c r="K2018" s="89">
        <f t="shared" si="119"/>
        <v>99988</v>
      </c>
      <c r="L2018" s="19">
        <v>99988</v>
      </c>
      <c r="M2018" s="10">
        <f t="shared" si="118"/>
        <v>0.20002400288034566</v>
      </c>
    </row>
    <row r="2019" spans="1:13" ht="15" hidden="1" customHeight="1" x14ac:dyDescent="0.3">
      <c r="A2019" s="9">
        <v>3090</v>
      </c>
      <c r="B2019" t="s">
        <v>236</v>
      </c>
      <c r="C2019" s="25">
        <v>44667</v>
      </c>
      <c r="D2019" s="26">
        <v>0.56662037037037039</v>
      </c>
      <c r="E2019" t="s">
        <v>27</v>
      </c>
      <c r="F2019" t="s">
        <v>291</v>
      </c>
      <c r="G2019" t="s">
        <v>514</v>
      </c>
      <c r="H2019" t="s">
        <v>243</v>
      </c>
      <c r="I2019" s="4">
        <f>57.89+112.15</f>
        <v>170.04000000000002</v>
      </c>
      <c r="J2019" s="8"/>
      <c r="K2019" s="89">
        <f t="shared" si="119"/>
        <v>969696</v>
      </c>
      <c r="L2019" s="19">
        <v>969696</v>
      </c>
      <c r="M2019" s="10">
        <f t="shared" si="118"/>
        <v>1.7535392535392536E-2</v>
      </c>
    </row>
    <row r="2020" spans="1:13" ht="15" hidden="1" customHeight="1" x14ac:dyDescent="0.3">
      <c r="A2020" s="9">
        <v>3091</v>
      </c>
      <c r="B2020" t="s">
        <v>236</v>
      </c>
      <c r="C2020" s="25">
        <v>44669</v>
      </c>
      <c r="D2020" s="26">
        <v>0.74692129629629633</v>
      </c>
      <c r="E2020" t="s">
        <v>27</v>
      </c>
      <c r="F2020" t="s">
        <v>226</v>
      </c>
      <c r="G2020" t="s">
        <v>227</v>
      </c>
      <c r="H2020" t="s">
        <v>243</v>
      </c>
      <c r="I2020" s="4">
        <v>135.08000000000001</v>
      </c>
      <c r="J2020" s="8"/>
      <c r="K2020" s="89">
        <f t="shared" si="119"/>
        <v>859669</v>
      </c>
      <c r="L2020" s="19">
        <v>859669</v>
      </c>
      <c r="M2020" s="10">
        <f t="shared" si="118"/>
        <v>1.571302443149631E-2</v>
      </c>
    </row>
    <row r="2021" spans="1:13" ht="15" hidden="1" customHeight="1" x14ac:dyDescent="0.3">
      <c r="A2021" s="9">
        <v>3092</v>
      </c>
      <c r="B2021" t="s">
        <v>236</v>
      </c>
      <c r="C2021" s="25">
        <v>44670</v>
      </c>
      <c r="D2021" s="26">
        <v>0.448275462962963</v>
      </c>
      <c r="E2021" t="s">
        <v>27</v>
      </c>
      <c r="F2021" t="s">
        <v>291</v>
      </c>
      <c r="G2021" t="s">
        <v>514</v>
      </c>
      <c r="H2021" t="s">
        <v>243</v>
      </c>
      <c r="I2021" s="4">
        <v>201.48</v>
      </c>
      <c r="J2021" s="8"/>
      <c r="K2021" s="89">
        <f t="shared" si="119"/>
        <v>1001</v>
      </c>
      <c r="L2021" s="19">
        <v>1001</v>
      </c>
      <c r="M2021" s="10">
        <f t="shared" si="118"/>
        <v>20.127872127872127</v>
      </c>
    </row>
    <row r="2022" spans="1:13" ht="15" hidden="1" customHeight="1" x14ac:dyDescent="0.3">
      <c r="A2022" s="9">
        <v>3093</v>
      </c>
      <c r="B2022" t="s">
        <v>236</v>
      </c>
      <c r="C2022" s="25">
        <v>44670</v>
      </c>
      <c r="D2022" s="26">
        <v>0.81375000000000008</v>
      </c>
      <c r="E2022" t="s">
        <v>27</v>
      </c>
      <c r="F2022" t="s">
        <v>226</v>
      </c>
      <c r="G2022" t="s">
        <v>227</v>
      </c>
      <c r="H2022" t="s">
        <v>243</v>
      </c>
      <c r="I2022" s="4">
        <v>122.68</v>
      </c>
      <c r="J2022" s="8"/>
      <c r="K2022" s="89">
        <f t="shared" si="119"/>
        <v>859889</v>
      </c>
      <c r="L2022" s="19">
        <v>859889</v>
      </c>
      <c r="M2022" s="10">
        <f t="shared" si="118"/>
        <v>1.4266957711983757E-2</v>
      </c>
    </row>
    <row r="2023" spans="1:13" ht="15" hidden="1" customHeight="1" x14ac:dyDescent="0.3">
      <c r="A2023" s="9">
        <v>3094</v>
      </c>
      <c r="B2023" t="s">
        <v>236</v>
      </c>
      <c r="C2023" s="25">
        <v>44671</v>
      </c>
      <c r="D2023" s="26">
        <v>0.93126157407407406</v>
      </c>
      <c r="E2023" t="s">
        <v>27</v>
      </c>
      <c r="F2023" t="s">
        <v>419</v>
      </c>
      <c r="G2023" t="s">
        <v>238</v>
      </c>
      <c r="H2023" t="s">
        <v>243</v>
      </c>
      <c r="I2023" s="4">
        <v>285.37</v>
      </c>
      <c r="J2023" s="8"/>
      <c r="K2023" s="89">
        <f t="shared" si="119"/>
        <v>980000</v>
      </c>
      <c r="L2023" s="19">
        <v>980000</v>
      </c>
      <c r="M2023" s="10">
        <f t="shared" si="118"/>
        <v>2.9119387755102043E-2</v>
      </c>
    </row>
    <row r="2024" spans="1:13" ht="15" hidden="1" customHeight="1" x14ac:dyDescent="0.3">
      <c r="A2024" s="9">
        <v>3095</v>
      </c>
      <c r="B2024" t="s">
        <v>236</v>
      </c>
      <c r="C2024" s="25">
        <v>44672</v>
      </c>
      <c r="D2024" s="26">
        <v>0.96755787037037033</v>
      </c>
      <c r="E2024" t="s">
        <v>27</v>
      </c>
      <c r="F2024" t="s">
        <v>237</v>
      </c>
      <c r="G2024" t="s">
        <v>238</v>
      </c>
      <c r="H2024" t="s">
        <v>243</v>
      </c>
      <c r="I2024" s="4">
        <v>186.28</v>
      </c>
      <c r="J2024" s="8"/>
      <c r="K2024" s="89">
        <f t="shared" si="119"/>
        <v>405200</v>
      </c>
      <c r="L2024" s="19">
        <v>405200</v>
      </c>
      <c r="M2024" s="10">
        <f t="shared" si="118"/>
        <v>4.5972359328726557E-2</v>
      </c>
    </row>
    <row r="2025" spans="1:13" ht="15" hidden="1" customHeight="1" x14ac:dyDescent="0.3">
      <c r="A2025" s="9">
        <v>3096</v>
      </c>
      <c r="B2025" t="s">
        <v>236</v>
      </c>
      <c r="C2025" s="25">
        <v>44673</v>
      </c>
      <c r="D2025" s="26">
        <v>0.84810185185185183</v>
      </c>
      <c r="E2025" t="s">
        <v>27</v>
      </c>
      <c r="F2025" t="s">
        <v>205</v>
      </c>
      <c r="G2025" t="s">
        <v>206</v>
      </c>
      <c r="H2025" t="s">
        <v>243</v>
      </c>
      <c r="I2025" s="4">
        <v>100</v>
      </c>
      <c r="J2025" s="54"/>
      <c r="K2025" s="89">
        <f t="shared" si="119"/>
        <v>100000</v>
      </c>
      <c r="L2025" s="19">
        <v>100000</v>
      </c>
      <c r="M2025" s="10">
        <f t="shared" si="118"/>
        <v>0.1</v>
      </c>
    </row>
    <row r="2026" spans="1:13" ht="15" hidden="1" customHeight="1" x14ac:dyDescent="0.3">
      <c r="A2026" s="9">
        <v>3097</v>
      </c>
      <c r="B2026" t="s">
        <v>236</v>
      </c>
      <c r="C2026" s="25">
        <v>44674</v>
      </c>
      <c r="D2026" s="26">
        <v>0.44255787037037037</v>
      </c>
      <c r="E2026" t="s">
        <v>27</v>
      </c>
      <c r="F2026" t="s">
        <v>226</v>
      </c>
      <c r="G2026" t="s">
        <v>227</v>
      </c>
      <c r="H2026" t="s">
        <v>243</v>
      </c>
      <c r="I2026" s="4">
        <v>199.41</v>
      </c>
      <c r="J2026" s="54"/>
      <c r="K2026" s="89">
        <f t="shared" si="119"/>
        <v>100000</v>
      </c>
      <c r="L2026" s="19">
        <v>100000</v>
      </c>
      <c r="M2026" s="10">
        <f t="shared" si="118"/>
        <v>0.19941</v>
      </c>
    </row>
    <row r="2027" spans="1:13" ht="15" hidden="1" customHeight="1" x14ac:dyDescent="0.3">
      <c r="A2027" s="9">
        <v>3098</v>
      </c>
      <c r="B2027" t="s">
        <v>236</v>
      </c>
      <c r="C2027" s="25">
        <v>44676</v>
      </c>
      <c r="D2027" s="26">
        <v>0.9425810185185185</v>
      </c>
      <c r="E2027" t="s">
        <v>27</v>
      </c>
      <c r="F2027" t="s">
        <v>241</v>
      </c>
      <c r="G2027" t="s">
        <v>242</v>
      </c>
      <c r="H2027" t="s">
        <v>243</v>
      </c>
      <c r="I2027">
        <v>47.53</v>
      </c>
      <c r="J2027" s="44"/>
      <c r="K2027" s="89">
        <f t="shared" si="119"/>
        <v>0</v>
      </c>
      <c r="L2027" s="7"/>
      <c r="M2027" s="10" t="e">
        <f t="shared" si="118"/>
        <v>#DIV/0!</v>
      </c>
    </row>
    <row r="2028" spans="1:13" ht="15" hidden="1" customHeight="1" x14ac:dyDescent="0.3">
      <c r="A2028" s="9">
        <v>3099</v>
      </c>
      <c r="B2028" t="s">
        <v>236</v>
      </c>
      <c r="C2028" s="25">
        <v>44677</v>
      </c>
      <c r="D2028" s="26">
        <v>0.6934027777777777</v>
      </c>
      <c r="E2028" t="s">
        <v>27</v>
      </c>
      <c r="F2028" t="s">
        <v>530</v>
      </c>
      <c r="G2028" t="s">
        <v>489</v>
      </c>
      <c r="H2028" t="s">
        <v>243</v>
      </c>
      <c r="I2028">
        <v>293.18</v>
      </c>
      <c r="J2028" s="44"/>
      <c r="K2028" s="89">
        <f t="shared" si="119"/>
        <v>0</v>
      </c>
      <c r="L2028" s="31"/>
      <c r="M2028" s="10" t="e">
        <f t="shared" ref="M2028:M2056" si="120">I2028/K2028*100</f>
        <v>#DIV/0!</v>
      </c>
    </row>
    <row r="2029" spans="1:13" ht="15" hidden="1" customHeight="1" x14ac:dyDescent="0.3">
      <c r="A2029" s="9">
        <v>3100</v>
      </c>
      <c r="B2029" t="s">
        <v>236</v>
      </c>
      <c r="C2029" s="25">
        <v>44677</v>
      </c>
      <c r="D2029" s="26">
        <v>0.8221412037037038</v>
      </c>
      <c r="E2029" t="s">
        <v>27</v>
      </c>
      <c r="F2029" t="s">
        <v>210</v>
      </c>
      <c r="G2029" t="s">
        <v>487</v>
      </c>
      <c r="H2029" t="s">
        <v>243</v>
      </c>
      <c r="I2029">
        <v>74.88</v>
      </c>
      <c r="J2029" s="44"/>
      <c r="K2029" s="89">
        <f t="shared" ref="K2029:K2031" si="121">+L2029-J2029</f>
        <v>0</v>
      </c>
      <c r="L2029" s="7"/>
      <c r="M2029" s="10" t="e">
        <f t="shared" si="120"/>
        <v>#DIV/0!</v>
      </c>
    </row>
    <row r="2030" spans="1:13" ht="15" hidden="1" customHeight="1" x14ac:dyDescent="0.3">
      <c r="A2030" s="9">
        <v>3101</v>
      </c>
      <c r="B2030" t="s">
        <v>236</v>
      </c>
      <c r="C2030" s="25">
        <v>44678</v>
      </c>
      <c r="D2030" s="26">
        <v>0.55815972222222221</v>
      </c>
      <c r="E2030" t="s">
        <v>27</v>
      </c>
      <c r="F2030" t="s">
        <v>278</v>
      </c>
      <c r="G2030" t="s">
        <v>279</v>
      </c>
      <c r="H2030" t="s">
        <v>243</v>
      </c>
      <c r="I2030">
        <v>211.03</v>
      </c>
      <c r="J2030" s="8"/>
      <c r="K2030" s="89">
        <f t="shared" si="121"/>
        <v>0</v>
      </c>
      <c r="L2030" s="7"/>
      <c r="M2030" s="10" t="e">
        <f t="shared" si="120"/>
        <v>#DIV/0!</v>
      </c>
    </row>
    <row r="2031" spans="1:13" ht="15" hidden="1" customHeight="1" x14ac:dyDescent="0.3">
      <c r="A2031" s="9">
        <v>3102</v>
      </c>
      <c r="B2031" t="s">
        <v>236</v>
      </c>
      <c r="C2031" s="25">
        <v>44679</v>
      </c>
      <c r="D2031" s="26">
        <v>0.63466435185185188</v>
      </c>
      <c r="E2031" t="s">
        <v>27</v>
      </c>
      <c r="F2031" t="s">
        <v>278</v>
      </c>
      <c r="G2031" t="s">
        <v>279</v>
      </c>
      <c r="H2031" t="s">
        <v>243</v>
      </c>
      <c r="I2031">
        <v>163.11000000000001</v>
      </c>
      <c r="J2031" s="8"/>
      <c r="K2031" s="89">
        <f t="shared" si="121"/>
        <v>0</v>
      </c>
      <c r="L2031" s="7"/>
      <c r="M2031" s="36" t="e">
        <f t="shared" si="120"/>
        <v>#DIV/0!</v>
      </c>
    </row>
    <row r="2032" spans="1:13" ht="15" hidden="1" customHeight="1" x14ac:dyDescent="0.3">
      <c r="A2032" s="9">
        <v>3772</v>
      </c>
      <c r="B2032" t="s">
        <v>236</v>
      </c>
      <c r="C2032" s="25">
        <v>44684</v>
      </c>
      <c r="D2032" s="26">
        <v>0.84011574074074069</v>
      </c>
      <c r="E2032" t="s">
        <v>28</v>
      </c>
      <c r="F2032" t="s">
        <v>420</v>
      </c>
      <c r="G2032" t="s">
        <v>417</v>
      </c>
      <c r="H2032" t="s">
        <v>243</v>
      </c>
      <c r="I2032">
        <v>171.85</v>
      </c>
      <c r="J2032" s="32">
        <v>0</v>
      </c>
      <c r="K2032" s="82"/>
      <c r="L2032" s="8">
        <v>10000</v>
      </c>
      <c r="M2032" s="36" t="e">
        <f t="shared" si="120"/>
        <v>#DIV/0!</v>
      </c>
    </row>
    <row r="2033" spans="1:13" ht="15" hidden="1" customHeight="1" x14ac:dyDescent="0.3">
      <c r="A2033" s="9">
        <v>3828</v>
      </c>
      <c r="B2033" t="s">
        <v>236</v>
      </c>
      <c r="C2033" s="25">
        <v>44685</v>
      </c>
      <c r="D2033" s="26">
        <v>0.26648148148148149</v>
      </c>
      <c r="E2033" t="s">
        <v>28</v>
      </c>
      <c r="F2033" t="s">
        <v>389</v>
      </c>
      <c r="G2033" t="s">
        <v>390</v>
      </c>
      <c r="H2033" t="s">
        <v>243</v>
      </c>
      <c r="I2033">
        <v>100</v>
      </c>
      <c r="J2033" s="8"/>
      <c r="K2033" s="82"/>
      <c r="L2033" s="44">
        <v>890000</v>
      </c>
      <c r="M2033" s="10" t="e">
        <f t="shared" si="120"/>
        <v>#DIV/0!</v>
      </c>
    </row>
    <row r="2034" spans="1:13" ht="15" hidden="1" customHeight="1" x14ac:dyDescent="0.3">
      <c r="A2034" s="9">
        <v>3886</v>
      </c>
      <c r="B2034" t="s">
        <v>236</v>
      </c>
      <c r="C2034" s="25">
        <v>44686</v>
      </c>
      <c r="D2034" s="26">
        <v>0.84244212962962972</v>
      </c>
      <c r="E2034" t="s">
        <v>28</v>
      </c>
      <c r="F2034" t="s">
        <v>309</v>
      </c>
      <c r="G2034" t="s">
        <v>310</v>
      </c>
      <c r="H2034" t="s">
        <v>243</v>
      </c>
      <c r="I2034">
        <f>100.03+276.24</f>
        <v>376.27</v>
      </c>
      <c r="J2034" s="8"/>
      <c r="K2034" s="82"/>
      <c r="L2034" s="44">
        <v>2331</v>
      </c>
      <c r="M2034" s="10" t="e">
        <f t="shared" si="120"/>
        <v>#DIV/0!</v>
      </c>
    </row>
    <row r="2035" spans="1:13" ht="15" hidden="1" customHeight="1" x14ac:dyDescent="0.3">
      <c r="A2035" s="9">
        <v>3945</v>
      </c>
      <c r="B2035" t="s">
        <v>236</v>
      </c>
      <c r="C2035" s="25">
        <v>44687</v>
      </c>
      <c r="D2035" s="26">
        <v>0.96218750000000008</v>
      </c>
      <c r="E2035" t="s">
        <v>28</v>
      </c>
      <c r="F2035" t="s">
        <v>419</v>
      </c>
      <c r="G2035" t="s">
        <v>238</v>
      </c>
      <c r="H2035" t="s">
        <v>243</v>
      </c>
      <c r="I2035">
        <v>163.98</v>
      </c>
      <c r="J2035" s="8"/>
      <c r="K2035" s="89">
        <f>+L2035-J2165</f>
        <v>60000</v>
      </c>
      <c r="L2035" s="8">
        <v>60000</v>
      </c>
      <c r="M2035" s="10">
        <f t="shared" si="120"/>
        <v>0.27329999999999999</v>
      </c>
    </row>
    <row r="2036" spans="1:13" ht="15" hidden="1" customHeight="1" x14ac:dyDescent="0.3">
      <c r="A2036" s="9">
        <v>3989</v>
      </c>
      <c r="B2036" t="s">
        <v>236</v>
      </c>
      <c r="C2036" s="25">
        <v>44688</v>
      </c>
      <c r="D2036" s="26">
        <v>9.2129629629629631E-2</v>
      </c>
      <c r="E2036" t="s">
        <v>28</v>
      </c>
      <c r="F2036" t="s">
        <v>226</v>
      </c>
      <c r="G2036" t="s">
        <v>227</v>
      </c>
      <c r="H2036" t="s">
        <v>243</v>
      </c>
      <c r="I2036">
        <v>80.2</v>
      </c>
      <c r="J2036" s="8"/>
      <c r="K2036" s="89">
        <f>+L2036-J2166</f>
        <v>10000</v>
      </c>
      <c r="L2036" s="8">
        <v>10000</v>
      </c>
      <c r="M2036" s="10">
        <f t="shared" si="120"/>
        <v>0.80200000000000016</v>
      </c>
    </row>
    <row r="2037" spans="1:13" ht="15" hidden="1" customHeight="1" x14ac:dyDescent="0.3">
      <c r="A2037" s="9">
        <v>4082</v>
      </c>
      <c r="B2037" t="s">
        <v>236</v>
      </c>
      <c r="C2037" s="25">
        <v>44690</v>
      </c>
      <c r="D2037" s="26">
        <v>0.1637962962962963</v>
      </c>
      <c r="E2037" t="s">
        <v>28</v>
      </c>
      <c r="F2037" t="s">
        <v>319</v>
      </c>
      <c r="G2037" t="s">
        <v>320</v>
      </c>
      <c r="H2037" t="s">
        <v>243</v>
      </c>
      <c r="I2037">
        <v>100</v>
      </c>
      <c r="J2037" s="54"/>
      <c r="K2037" s="89">
        <f>+L2037-J2167</f>
        <v>1234</v>
      </c>
      <c r="L2037" s="8">
        <v>1234</v>
      </c>
      <c r="M2037" s="10">
        <f t="shared" si="120"/>
        <v>8.1037277147487838</v>
      </c>
    </row>
    <row r="2038" spans="1:13" ht="15" hidden="1" customHeight="1" x14ac:dyDescent="0.3">
      <c r="A2038" s="9">
        <v>4083</v>
      </c>
      <c r="B2038" t="s">
        <v>236</v>
      </c>
      <c r="C2038" s="25">
        <v>44690</v>
      </c>
      <c r="D2038" s="26">
        <v>0.45291666666666663</v>
      </c>
      <c r="E2038" t="s">
        <v>28</v>
      </c>
      <c r="F2038" t="s">
        <v>406</v>
      </c>
      <c r="G2038" t="s">
        <v>407</v>
      </c>
      <c r="H2038" t="s">
        <v>243</v>
      </c>
      <c r="I2038">
        <v>200.05</v>
      </c>
      <c r="J2038" s="54"/>
      <c r="K2038" s="89">
        <f>+L2038-J2168</f>
        <v>15400</v>
      </c>
      <c r="L2038" s="8">
        <v>15400</v>
      </c>
      <c r="M2038" s="10">
        <f t="shared" si="120"/>
        <v>1.2990259740259742</v>
      </c>
    </row>
    <row r="2039" spans="1:13" ht="15" hidden="1" customHeight="1" x14ac:dyDescent="0.3">
      <c r="A2039" s="9">
        <v>4126</v>
      </c>
      <c r="B2039" t="s">
        <v>236</v>
      </c>
      <c r="C2039" s="25">
        <v>44691</v>
      </c>
      <c r="D2039" s="26">
        <v>0.1388425925925926</v>
      </c>
      <c r="E2039" t="s">
        <v>28</v>
      </c>
      <c r="F2039" t="s">
        <v>582</v>
      </c>
      <c r="G2039" t="s">
        <v>347</v>
      </c>
      <c r="H2039" t="s">
        <v>243</v>
      </c>
      <c r="I2039">
        <v>215.99</v>
      </c>
      <c r="J2039" s="8"/>
      <c r="K2039" s="89">
        <f>+L2039-J2170</f>
        <v>123455</v>
      </c>
      <c r="L2039" s="8">
        <v>123455</v>
      </c>
      <c r="M2039" s="10">
        <f t="shared" si="120"/>
        <v>0.17495443683933418</v>
      </c>
    </row>
    <row r="2040" spans="1:13" ht="15" hidden="1" customHeight="1" x14ac:dyDescent="0.3">
      <c r="A2040" s="9">
        <v>4218</v>
      </c>
      <c r="B2040" t="s">
        <v>236</v>
      </c>
      <c r="C2040" s="25">
        <v>44693</v>
      </c>
      <c r="D2040" s="26">
        <v>0.92958333333333332</v>
      </c>
      <c r="E2040" t="s">
        <v>28</v>
      </c>
      <c r="F2040" t="s">
        <v>443</v>
      </c>
      <c r="G2040" t="s">
        <v>444</v>
      </c>
      <c r="H2040" t="s">
        <v>243</v>
      </c>
      <c r="I2040">
        <v>182.06</v>
      </c>
      <c r="J2040" s="8"/>
      <c r="K2040" s="89">
        <f>+L2040-J2172</f>
        <v>12345</v>
      </c>
      <c r="L2040" s="8">
        <v>12345</v>
      </c>
      <c r="M2040" s="10">
        <f t="shared" si="120"/>
        <v>1.4747671121911705</v>
      </c>
    </row>
    <row r="2041" spans="1:13" ht="15" hidden="1" customHeight="1" x14ac:dyDescent="0.3">
      <c r="A2041" s="9">
        <v>4281</v>
      </c>
      <c r="B2041" t="s">
        <v>236</v>
      </c>
      <c r="C2041" s="25">
        <v>44694</v>
      </c>
      <c r="D2041" s="26">
        <v>0.13074074074074074</v>
      </c>
      <c r="E2041" t="s">
        <v>28</v>
      </c>
      <c r="F2041" t="s">
        <v>226</v>
      </c>
      <c r="G2041" t="s">
        <v>227</v>
      </c>
      <c r="H2041" t="s">
        <v>243</v>
      </c>
      <c r="I2041">
        <v>200</v>
      </c>
      <c r="J2041" s="8"/>
      <c r="K2041" s="89">
        <f>+L2041-J2314</f>
        <v>999988</v>
      </c>
      <c r="L2041" s="8">
        <v>999988</v>
      </c>
      <c r="M2041" s="10">
        <f t="shared" si="120"/>
        <v>2.0000240002880035E-2</v>
      </c>
    </row>
    <row r="2042" spans="1:13" ht="15" hidden="1" customHeight="1" x14ac:dyDescent="0.3">
      <c r="A2042" s="9">
        <v>4282</v>
      </c>
      <c r="B2042" t="s">
        <v>236</v>
      </c>
      <c r="C2042" s="25">
        <v>44694</v>
      </c>
      <c r="D2042" s="26">
        <v>0.95773148148148157</v>
      </c>
      <c r="E2042" t="s">
        <v>28</v>
      </c>
      <c r="F2042" t="s">
        <v>368</v>
      </c>
      <c r="G2042" t="s">
        <v>369</v>
      </c>
      <c r="H2042" t="s">
        <v>243</v>
      </c>
      <c r="I2042">
        <v>150</v>
      </c>
      <c r="J2042" s="44"/>
      <c r="K2042" s="89">
        <f>+L2042-J2315</f>
        <v>8465</v>
      </c>
      <c r="L2042" s="45">
        <v>8465</v>
      </c>
      <c r="M2042" s="10">
        <f t="shared" si="120"/>
        <v>1.7720023626698171</v>
      </c>
    </row>
    <row r="2043" spans="1:13" ht="15" hidden="1" customHeight="1" x14ac:dyDescent="0.3">
      <c r="A2043" s="9">
        <v>4332</v>
      </c>
      <c r="B2043" t="s">
        <v>236</v>
      </c>
      <c r="C2043" s="25">
        <v>44695</v>
      </c>
      <c r="D2043" s="26">
        <v>0.20525462962962962</v>
      </c>
      <c r="E2043" t="s">
        <v>28</v>
      </c>
      <c r="F2043" t="s">
        <v>368</v>
      </c>
      <c r="G2043" t="s">
        <v>369</v>
      </c>
      <c r="H2043" t="s">
        <v>243</v>
      </c>
      <c r="I2043">
        <f>150+150</f>
        <v>300</v>
      </c>
      <c r="J2043" s="44"/>
      <c r="K2043" s="89">
        <f>+L2043-J2316</f>
        <v>8465</v>
      </c>
      <c r="L2043" s="8">
        <v>8465</v>
      </c>
      <c r="M2043" s="10">
        <f t="shared" si="120"/>
        <v>3.5440047253396343</v>
      </c>
    </row>
    <row r="2044" spans="1:13" ht="15" hidden="1" customHeight="1" x14ac:dyDescent="0.3">
      <c r="A2044" s="9">
        <v>4333</v>
      </c>
      <c r="B2044" t="s">
        <v>236</v>
      </c>
      <c r="C2044" s="25">
        <v>44695</v>
      </c>
      <c r="D2044" s="26">
        <v>0.53114583333333332</v>
      </c>
      <c r="E2044" t="s">
        <v>28</v>
      </c>
      <c r="F2044" t="s">
        <v>226</v>
      </c>
      <c r="G2044" t="s">
        <v>227</v>
      </c>
      <c r="H2044" t="s">
        <v>243</v>
      </c>
      <c r="I2044">
        <v>200</v>
      </c>
      <c r="J2044" s="44"/>
      <c r="K2044" s="89" t="e">
        <f>+L2044-#REF!</f>
        <v>#REF!</v>
      </c>
      <c r="L2044" s="8">
        <v>10000</v>
      </c>
      <c r="M2044" s="10" t="e">
        <f t="shared" si="120"/>
        <v>#REF!</v>
      </c>
    </row>
    <row r="2045" spans="1:13" ht="15" hidden="1" customHeight="1" x14ac:dyDescent="0.3">
      <c r="A2045" s="9">
        <v>4463</v>
      </c>
      <c r="B2045" t="s">
        <v>236</v>
      </c>
      <c r="C2045" s="25">
        <v>44697</v>
      </c>
      <c r="D2045" s="26">
        <v>0.99412037037037038</v>
      </c>
      <c r="E2045" t="s">
        <v>28</v>
      </c>
      <c r="F2045" t="s">
        <v>319</v>
      </c>
      <c r="G2045" t="s">
        <v>320</v>
      </c>
      <c r="H2045" t="s">
        <v>243</v>
      </c>
      <c r="I2045">
        <v>100</v>
      </c>
      <c r="J2045" s="8"/>
      <c r="K2045" s="89">
        <f>+L2045-J2318</f>
        <v>12345</v>
      </c>
      <c r="L2045" s="44">
        <v>12345</v>
      </c>
      <c r="M2045" s="10">
        <f t="shared" si="120"/>
        <v>0.81004455245038476</v>
      </c>
    </row>
    <row r="2046" spans="1:13" ht="15" hidden="1" customHeight="1" x14ac:dyDescent="0.3">
      <c r="A2046" s="9">
        <v>4512</v>
      </c>
      <c r="B2046" t="s">
        <v>236</v>
      </c>
      <c r="C2046" s="25">
        <v>44698</v>
      </c>
      <c r="D2046" s="26">
        <v>0.12596064814814814</v>
      </c>
      <c r="E2046" t="s">
        <v>28</v>
      </c>
      <c r="F2046" t="s">
        <v>406</v>
      </c>
      <c r="G2046" t="s">
        <v>409</v>
      </c>
      <c r="H2046" t="s">
        <v>243</v>
      </c>
      <c r="I2046">
        <v>80</v>
      </c>
      <c r="J2046" s="23"/>
      <c r="K2046" s="89">
        <f>+L2046-J2318</f>
        <v>58699</v>
      </c>
      <c r="L2046" s="54">
        <v>58699</v>
      </c>
      <c r="M2046" s="10">
        <f t="shared" si="120"/>
        <v>0.13628852280277348</v>
      </c>
    </row>
    <row r="2047" spans="1:13" ht="15" hidden="1" customHeight="1" x14ac:dyDescent="0.3">
      <c r="A2047" s="9">
        <v>4513</v>
      </c>
      <c r="B2047" t="s">
        <v>236</v>
      </c>
      <c r="C2047" s="25">
        <v>44698</v>
      </c>
      <c r="D2047" s="26">
        <v>0.94387731481481474</v>
      </c>
      <c r="E2047" t="s">
        <v>28</v>
      </c>
      <c r="F2047" t="s">
        <v>582</v>
      </c>
      <c r="G2047" t="s">
        <v>347</v>
      </c>
      <c r="H2047" t="s">
        <v>243</v>
      </c>
      <c r="I2047">
        <v>207.3</v>
      </c>
      <c r="J2047" s="23"/>
      <c r="K2047" s="89">
        <f>+L2047-J2319</f>
        <v>265984</v>
      </c>
      <c r="L2047" s="8">
        <v>265984</v>
      </c>
      <c r="M2047" s="36">
        <f t="shared" si="120"/>
        <v>7.7937018768046207E-2</v>
      </c>
    </row>
    <row r="2048" spans="1:13" ht="15" hidden="1" customHeight="1" x14ac:dyDescent="0.3">
      <c r="A2048" s="9">
        <v>4563</v>
      </c>
      <c r="B2048" t="s">
        <v>236</v>
      </c>
      <c r="C2048" s="25">
        <v>44699</v>
      </c>
      <c r="D2048" s="26">
        <v>0.81174768518518514</v>
      </c>
      <c r="E2048" t="s">
        <v>28</v>
      </c>
      <c r="F2048" t="s">
        <v>582</v>
      </c>
      <c r="G2048" t="s">
        <v>347</v>
      </c>
      <c r="H2048" t="s">
        <v>243</v>
      </c>
      <c r="I2048" s="8">
        <v>70.98</v>
      </c>
      <c r="J2048" s="23"/>
      <c r="K2048" s="89">
        <f>+L2048-J2320</f>
        <v>1101</v>
      </c>
      <c r="L2048" s="8">
        <v>1101</v>
      </c>
      <c r="M2048" s="36">
        <f t="shared" si="120"/>
        <v>6.4468664850136248</v>
      </c>
    </row>
    <row r="2049" spans="1:13" ht="15" hidden="1" customHeight="1" x14ac:dyDescent="0.3">
      <c r="A2049" s="9">
        <v>4619</v>
      </c>
      <c r="B2049" t="s">
        <v>236</v>
      </c>
      <c r="C2049" s="25">
        <v>44700</v>
      </c>
      <c r="D2049" s="26">
        <v>0.61942129629629628</v>
      </c>
      <c r="E2049" t="s">
        <v>28</v>
      </c>
      <c r="F2049" t="s">
        <v>403</v>
      </c>
      <c r="G2049" t="s">
        <v>404</v>
      </c>
      <c r="H2049" t="s">
        <v>243</v>
      </c>
      <c r="I2049" s="8">
        <v>100</v>
      </c>
      <c r="J2049" s="8"/>
      <c r="K2049" s="89">
        <f>+L2049-J2320</f>
        <v>21546</v>
      </c>
      <c r="L2049" s="8">
        <v>21546</v>
      </c>
      <c r="M2049" s="36">
        <f t="shared" si="120"/>
        <v>0.46412327114081497</v>
      </c>
    </row>
    <row r="2050" spans="1:13" ht="15" hidden="1" customHeight="1" x14ac:dyDescent="0.3">
      <c r="A2050" s="9">
        <v>4620</v>
      </c>
      <c r="B2050" t="s">
        <v>236</v>
      </c>
      <c r="C2050" s="25">
        <v>44700</v>
      </c>
      <c r="D2050" s="26">
        <v>0.83332175925925922</v>
      </c>
      <c r="E2050" t="s">
        <v>28</v>
      </c>
      <c r="F2050" t="s">
        <v>621</v>
      </c>
      <c r="G2050" t="s">
        <v>622</v>
      </c>
      <c r="H2050" t="s">
        <v>243</v>
      </c>
      <c r="I2050" s="8">
        <v>198.76</v>
      </c>
      <c r="J2050" s="8"/>
      <c r="K2050" s="89">
        <f>+L2050-J2321</f>
        <v>200000</v>
      </c>
      <c r="L2050" s="8">
        <v>200000</v>
      </c>
      <c r="M2050" s="36">
        <f t="shared" si="120"/>
        <v>9.9379999999999996E-2</v>
      </c>
    </row>
    <row r="2051" spans="1:13" ht="15" hidden="1" customHeight="1" x14ac:dyDescent="0.3">
      <c r="A2051" s="9">
        <v>4671</v>
      </c>
      <c r="B2051" t="s">
        <v>236</v>
      </c>
      <c r="C2051" s="25">
        <v>44701</v>
      </c>
      <c r="D2051" s="26">
        <v>0.15046296296296297</v>
      </c>
      <c r="E2051" t="s">
        <v>28</v>
      </c>
      <c r="F2051" t="s">
        <v>568</v>
      </c>
      <c r="G2051" t="s">
        <v>569</v>
      </c>
      <c r="H2051" t="s">
        <v>243</v>
      </c>
      <c r="I2051">
        <v>150</v>
      </c>
      <c r="J2051" s="8"/>
      <c r="K2051" s="89" t="e">
        <f>+L2051-#REF!</f>
        <v>#REF!</v>
      </c>
      <c r="L2051" s="44">
        <v>85444</v>
      </c>
      <c r="M2051" s="10" t="e">
        <f t="shared" si="120"/>
        <v>#REF!</v>
      </c>
    </row>
    <row r="2052" spans="1:13" ht="15" hidden="1" customHeight="1" x14ac:dyDescent="0.3">
      <c r="A2052" s="9">
        <v>4777</v>
      </c>
      <c r="B2052" t="s">
        <v>236</v>
      </c>
      <c r="C2052" s="25">
        <v>44703</v>
      </c>
      <c r="D2052" s="26">
        <v>0.96244212962962961</v>
      </c>
      <c r="E2052" t="s">
        <v>28</v>
      </c>
      <c r="F2052" t="s">
        <v>226</v>
      </c>
      <c r="G2052" t="s">
        <v>227</v>
      </c>
      <c r="H2052" t="s">
        <v>243</v>
      </c>
      <c r="I2052">
        <v>246.74</v>
      </c>
      <c r="J2052" s="54"/>
      <c r="K2052" s="89">
        <f>+L2052-J2306</f>
        <v>238456</v>
      </c>
      <c r="L2052" s="54">
        <v>238456</v>
      </c>
      <c r="M2052" s="10">
        <f t="shared" si="120"/>
        <v>0.10347401617069817</v>
      </c>
    </row>
    <row r="2053" spans="1:13" ht="15" hidden="1" customHeight="1" x14ac:dyDescent="0.3">
      <c r="A2053" s="9">
        <v>5291</v>
      </c>
      <c r="B2053" t="s">
        <v>236</v>
      </c>
      <c r="C2053" s="25">
        <v>44713</v>
      </c>
      <c r="D2053" s="26">
        <v>0.60603009259259266</v>
      </c>
      <c r="E2053" t="s">
        <v>29</v>
      </c>
      <c r="F2053" t="s">
        <v>702</v>
      </c>
      <c r="G2053" t="s">
        <v>703</v>
      </c>
      <c r="H2053" t="s">
        <v>243</v>
      </c>
      <c r="I2053">
        <v>254.94</v>
      </c>
      <c r="J2053" s="32">
        <v>0</v>
      </c>
      <c r="K2053" s="90"/>
      <c r="L2053" s="23"/>
      <c r="M2053" s="10" t="e">
        <f t="shared" si="120"/>
        <v>#DIV/0!</v>
      </c>
    </row>
    <row r="2054" spans="1:13" ht="15" hidden="1" customHeight="1" x14ac:dyDescent="0.3">
      <c r="A2054" s="9">
        <v>5612</v>
      </c>
      <c r="B2054" t="s">
        <v>236</v>
      </c>
      <c r="C2054" s="25">
        <v>44719</v>
      </c>
      <c r="D2054" s="26">
        <v>8.3726851851851858E-2</v>
      </c>
      <c r="E2054" t="s">
        <v>29</v>
      </c>
      <c r="F2054" t="s">
        <v>652</v>
      </c>
      <c r="G2054" t="s">
        <v>535</v>
      </c>
      <c r="H2054" t="s">
        <v>243</v>
      </c>
      <c r="I2054">
        <v>190.41</v>
      </c>
      <c r="J2054" s="32">
        <v>0</v>
      </c>
      <c r="K2054" s="90">
        <f>+L2054-J1613</f>
        <v>0</v>
      </c>
      <c r="L2054" s="7"/>
      <c r="M2054" s="10" t="e">
        <f t="shared" si="120"/>
        <v>#DIV/0!</v>
      </c>
    </row>
    <row r="2055" spans="1:13" ht="15" hidden="1" customHeight="1" x14ac:dyDescent="0.3">
      <c r="A2055" s="9">
        <v>5613</v>
      </c>
      <c r="B2055" t="s">
        <v>236</v>
      </c>
      <c r="C2055" s="25">
        <v>44719</v>
      </c>
      <c r="D2055" s="26">
        <v>0.64650462962962962</v>
      </c>
      <c r="E2055" t="s">
        <v>29</v>
      </c>
      <c r="F2055" t="s">
        <v>675</v>
      </c>
      <c r="G2055" t="s">
        <v>227</v>
      </c>
      <c r="H2055" t="s">
        <v>243</v>
      </c>
      <c r="I2055">
        <v>155.87</v>
      </c>
      <c r="J2055" s="32">
        <v>0</v>
      </c>
      <c r="K2055" s="99">
        <f>+L2055-J1614</f>
        <v>0</v>
      </c>
      <c r="L2055" s="31"/>
      <c r="M2055" s="10" t="e">
        <f t="shared" si="120"/>
        <v>#DIV/0!</v>
      </c>
    </row>
    <row r="2056" spans="1:13" ht="15" hidden="1" customHeight="1" x14ac:dyDescent="0.3">
      <c r="A2056" s="9">
        <v>6607</v>
      </c>
      <c r="B2056" t="s">
        <v>236</v>
      </c>
      <c r="C2056" s="25">
        <v>44739</v>
      </c>
      <c r="D2056" s="26">
        <v>0.25090277777777775</v>
      </c>
      <c r="E2056" t="s">
        <v>29</v>
      </c>
      <c r="F2056" t="s">
        <v>761</v>
      </c>
      <c r="G2056" t="s">
        <v>415</v>
      </c>
      <c r="H2056" t="s">
        <v>243</v>
      </c>
      <c r="I2056">
        <v>178.42</v>
      </c>
      <c r="J2056" s="32">
        <v>0</v>
      </c>
      <c r="K2056" s="90"/>
      <c r="L2056" s="23"/>
      <c r="M2056" s="10" t="e">
        <f t="shared" si="120"/>
        <v>#DIV/0!</v>
      </c>
    </row>
    <row r="2057" spans="1:13" ht="15" hidden="1" customHeight="1" x14ac:dyDescent="0.3">
      <c r="A2057" s="9">
        <v>6664</v>
      </c>
      <c r="B2057" t="s">
        <v>236</v>
      </c>
      <c r="C2057" s="25">
        <v>44740</v>
      </c>
      <c r="D2057" s="26">
        <v>0.94777777777777772</v>
      </c>
      <c r="E2057" t="s">
        <v>29</v>
      </c>
      <c r="F2057" t="s">
        <v>723</v>
      </c>
      <c r="G2057" t="s">
        <v>238</v>
      </c>
      <c r="H2057" t="s">
        <v>243</v>
      </c>
      <c r="I2057">
        <v>162.41</v>
      </c>
      <c r="J2057" s="32">
        <v>0</v>
      </c>
      <c r="K2057" s="90"/>
      <c r="L2057" s="23"/>
      <c r="M2057" s="15"/>
    </row>
    <row r="2058" spans="1:13" ht="15" hidden="1" customHeight="1" x14ac:dyDescent="0.3">
      <c r="A2058" s="9">
        <v>6356</v>
      </c>
      <c r="B2058" t="s">
        <v>328</v>
      </c>
      <c r="C2058" s="25">
        <v>44734</v>
      </c>
      <c r="D2058" s="26">
        <v>0.64295138888888892</v>
      </c>
      <c r="E2058" t="s">
        <v>29</v>
      </c>
      <c r="F2058" t="s">
        <v>679</v>
      </c>
      <c r="G2058" t="s">
        <v>392</v>
      </c>
      <c r="H2058" t="s">
        <v>138</v>
      </c>
      <c r="I2058" s="148">
        <v>342.11</v>
      </c>
      <c r="J2058" s="193">
        <f>343+556+405+150+200+332</f>
        <v>1986</v>
      </c>
      <c r="K2058" s="203">
        <v>934</v>
      </c>
      <c r="L2058" s="154">
        <v>4857</v>
      </c>
      <c r="M2058" s="229">
        <f>+J2058/L2058*100</f>
        <v>40.889437924644845</v>
      </c>
    </row>
    <row r="2059" spans="1:13" ht="15" hidden="1" customHeight="1" x14ac:dyDescent="0.3">
      <c r="A2059" s="9">
        <v>6751</v>
      </c>
      <c r="B2059" t="s">
        <v>361</v>
      </c>
      <c r="C2059" s="25">
        <v>44748</v>
      </c>
      <c r="D2059" s="26">
        <v>0.76012731481481488</v>
      </c>
      <c r="E2059" t="s">
        <v>30</v>
      </c>
      <c r="F2059" t="s">
        <v>166</v>
      </c>
      <c r="G2059" t="s">
        <v>161</v>
      </c>
      <c r="H2059" t="s">
        <v>176</v>
      </c>
      <c r="I2059" s="160">
        <v>204.71</v>
      </c>
      <c r="J2059" s="8"/>
      <c r="K2059" s="8"/>
      <c r="L2059" s="8"/>
      <c r="M2059" s="91"/>
    </row>
    <row r="2060" spans="1:13" ht="15" hidden="1" customHeight="1" x14ac:dyDescent="0.3">
      <c r="A2060" s="9">
        <v>6751</v>
      </c>
      <c r="B2060" t="s">
        <v>361</v>
      </c>
      <c r="C2060" s="25">
        <v>44750</v>
      </c>
      <c r="D2060" s="26">
        <v>0.52068287037037042</v>
      </c>
      <c r="E2060" t="s">
        <v>30</v>
      </c>
      <c r="F2060" t="s">
        <v>210</v>
      </c>
      <c r="G2060" t="s">
        <v>211</v>
      </c>
      <c r="H2060" t="s">
        <v>176</v>
      </c>
      <c r="I2060" s="173" t="s">
        <v>786</v>
      </c>
      <c r="J2060" s="160">
        <f>399+205+463</f>
        <v>1067</v>
      </c>
      <c r="K2060" s="160"/>
      <c r="L2060" s="160">
        <v>2861</v>
      </c>
      <c r="M2060" s="149">
        <f>+J2060/L2060*100</f>
        <v>37.294652219503668</v>
      </c>
    </row>
    <row r="2061" spans="1:13" ht="15" hidden="1" customHeight="1" x14ac:dyDescent="0.3">
      <c r="A2061" s="9">
        <v>6751</v>
      </c>
      <c r="B2061" t="s">
        <v>361</v>
      </c>
      <c r="C2061" s="25">
        <v>44754</v>
      </c>
      <c r="D2061" s="26">
        <v>0.74858796296296293</v>
      </c>
      <c r="E2061" t="s">
        <v>30</v>
      </c>
      <c r="F2061" t="s">
        <v>492</v>
      </c>
      <c r="G2061" t="s">
        <v>44</v>
      </c>
      <c r="H2061" t="s">
        <v>176</v>
      </c>
      <c r="I2061" s="173" t="s">
        <v>891</v>
      </c>
      <c r="J2061" s="23"/>
      <c r="K2061" s="90"/>
      <c r="L2061" s="23"/>
      <c r="M2061" s="254"/>
    </row>
    <row r="2062" spans="1:13" ht="15" hidden="1" customHeight="1" x14ac:dyDescent="0.3">
      <c r="A2062" s="9">
        <v>6751</v>
      </c>
      <c r="B2062" t="s">
        <v>361</v>
      </c>
      <c r="C2062" s="25">
        <v>44755</v>
      </c>
      <c r="D2062" s="26">
        <v>0.48646990740740742</v>
      </c>
      <c r="E2062" t="s">
        <v>30</v>
      </c>
      <c r="F2062" t="s">
        <v>210</v>
      </c>
      <c r="G2062" t="s">
        <v>211</v>
      </c>
      <c r="H2062" t="s">
        <v>176</v>
      </c>
      <c r="I2062" s="173" t="s">
        <v>988</v>
      </c>
      <c r="J2062" s="233"/>
      <c r="K2062" s="90"/>
      <c r="L2062" s="23"/>
      <c r="M2062" s="254"/>
    </row>
    <row r="2063" spans="1:13" ht="15" hidden="1" customHeight="1" x14ac:dyDescent="0.3">
      <c r="A2063" s="9">
        <v>6751</v>
      </c>
      <c r="B2063" t="s">
        <v>361</v>
      </c>
      <c r="C2063" s="25">
        <v>44757</v>
      </c>
      <c r="D2063" s="26">
        <v>0.78219907407407396</v>
      </c>
      <c r="E2063" t="s">
        <v>30</v>
      </c>
      <c r="F2063" t="s">
        <v>210</v>
      </c>
      <c r="G2063" t="s">
        <v>211</v>
      </c>
      <c r="H2063" t="s">
        <v>176</v>
      </c>
      <c r="I2063" s="173" t="s">
        <v>987</v>
      </c>
      <c r="J2063" s="231">
        <f>398+261+450</f>
        <v>1109</v>
      </c>
      <c r="K2063" s="231"/>
      <c r="L2063" s="231">
        <v>2879</v>
      </c>
      <c r="M2063" s="150">
        <f>+J2063/L2063*100</f>
        <v>38.520319555401187</v>
      </c>
    </row>
    <row r="2064" spans="1:13" ht="15" hidden="1" customHeight="1" x14ac:dyDescent="0.3">
      <c r="B2064" t="s">
        <v>328</v>
      </c>
      <c r="C2064" s="25">
        <v>44570</v>
      </c>
      <c r="D2064" s="26">
        <v>0.85233796296296294</v>
      </c>
      <c r="E2064" t="s">
        <v>24</v>
      </c>
      <c r="F2064" t="s">
        <v>210</v>
      </c>
      <c r="G2064" t="s">
        <v>211</v>
      </c>
      <c r="H2064" t="s">
        <v>306</v>
      </c>
      <c r="I2064">
        <v>328.29</v>
      </c>
      <c r="J2064" s="7">
        <v>548863</v>
      </c>
      <c r="K2064" s="7">
        <f t="shared" ref="K2064:K2095" si="122">+L2064-J2064</f>
        <v>850</v>
      </c>
      <c r="L2064" s="7">
        <v>549713</v>
      </c>
      <c r="M2064" s="10">
        <f t="shared" ref="M2064:M2095" si="123">I2064/K2064*100</f>
        <v>38.622352941176473</v>
      </c>
    </row>
    <row r="2065" spans="1:13" ht="15" hidden="1" customHeight="1" x14ac:dyDescent="0.3">
      <c r="B2065" t="s">
        <v>328</v>
      </c>
      <c r="C2065" s="25">
        <v>44571</v>
      </c>
      <c r="D2065" s="26">
        <v>0.64402777777777775</v>
      </c>
      <c r="E2065" t="s">
        <v>24</v>
      </c>
      <c r="F2065" t="s">
        <v>165</v>
      </c>
      <c r="G2065" t="s">
        <v>185</v>
      </c>
      <c r="H2065" t="s">
        <v>306</v>
      </c>
      <c r="I2065">
        <v>100.03</v>
      </c>
      <c r="J2065" s="34">
        <v>549713</v>
      </c>
      <c r="K2065" s="34">
        <f t="shared" si="122"/>
        <v>542</v>
      </c>
      <c r="L2065" s="7">
        <v>550255</v>
      </c>
      <c r="M2065" s="10">
        <f t="shared" si="123"/>
        <v>18.455719557195572</v>
      </c>
    </row>
    <row r="2066" spans="1:13" ht="15" hidden="1" customHeight="1" x14ac:dyDescent="0.3">
      <c r="B2066" t="s">
        <v>328</v>
      </c>
      <c r="C2066" s="25">
        <v>44572</v>
      </c>
      <c r="D2066" s="26">
        <v>0.97928240740740735</v>
      </c>
      <c r="E2066" t="s">
        <v>24</v>
      </c>
      <c r="F2066" t="s">
        <v>210</v>
      </c>
      <c r="G2066" t="s">
        <v>211</v>
      </c>
      <c r="H2066" t="s">
        <v>306</v>
      </c>
      <c r="I2066">
        <v>371.16</v>
      </c>
      <c r="J2066" s="34">
        <v>550255</v>
      </c>
      <c r="K2066" s="34">
        <f t="shared" si="122"/>
        <v>566</v>
      </c>
      <c r="L2066" s="7">
        <v>550821</v>
      </c>
      <c r="M2066" s="10">
        <f t="shared" si="123"/>
        <v>65.575971731448774</v>
      </c>
    </row>
    <row r="2067" spans="1:13" ht="15" hidden="1" customHeight="1" x14ac:dyDescent="0.3">
      <c r="B2067" t="s">
        <v>328</v>
      </c>
      <c r="C2067" s="25">
        <v>44573</v>
      </c>
      <c r="D2067" s="26">
        <v>0.75229166666666669</v>
      </c>
      <c r="E2067" t="s">
        <v>24</v>
      </c>
      <c r="F2067" t="s">
        <v>171</v>
      </c>
      <c r="G2067" t="s">
        <v>172</v>
      </c>
      <c r="H2067" t="s">
        <v>306</v>
      </c>
      <c r="I2067">
        <v>311.42</v>
      </c>
      <c r="J2067" s="7">
        <v>550821</v>
      </c>
      <c r="K2067" s="7">
        <f t="shared" si="122"/>
        <v>940</v>
      </c>
      <c r="L2067" s="51">
        <v>551761</v>
      </c>
      <c r="M2067" s="10">
        <f t="shared" si="123"/>
        <v>33.12978723404256</v>
      </c>
    </row>
    <row r="2068" spans="1:13" ht="15" hidden="1" customHeight="1" x14ac:dyDescent="0.3">
      <c r="B2068" t="s">
        <v>328</v>
      </c>
      <c r="C2068" s="25">
        <v>44575</v>
      </c>
      <c r="D2068" s="26">
        <v>0.56910879629629629</v>
      </c>
      <c r="E2068" t="s">
        <v>24</v>
      </c>
      <c r="F2068" t="s">
        <v>210</v>
      </c>
      <c r="G2068" t="s">
        <v>211</v>
      </c>
      <c r="H2068" t="s">
        <v>306</v>
      </c>
      <c r="I2068">
        <v>353.44</v>
      </c>
      <c r="J2068" s="7">
        <v>551761</v>
      </c>
      <c r="K2068" s="7">
        <f t="shared" si="122"/>
        <v>802</v>
      </c>
      <c r="L2068" s="51">
        <v>552563</v>
      </c>
      <c r="M2068" s="10">
        <f t="shared" si="123"/>
        <v>44.069825436408976</v>
      </c>
    </row>
    <row r="2069" spans="1:13" ht="15" hidden="1" customHeight="1" x14ac:dyDescent="0.3">
      <c r="B2069" t="s">
        <v>328</v>
      </c>
      <c r="C2069" s="25">
        <v>44576</v>
      </c>
      <c r="D2069" s="26">
        <v>0.54076388888888893</v>
      </c>
      <c r="E2069" t="s">
        <v>24</v>
      </c>
      <c r="F2069" t="s">
        <v>210</v>
      </c>
      <c r="G2069" t="s">
        <v>211</v>
      </c>
      <c r="H2069" t="s">
        <v>306</v>
      </c>
      <c r="I2069">
        <v>392.54</v>
      </c>
      <c r="J2069" s="7">
        <v>552563</v>
      </c>
      <c r="K2069" s="7">
        <f t="shared" si="122"/>
        <v>1048</v>
      </c>
      <c r="L2069" s="11">
        <v>553611</v>
      </c>
      <c r="M2069" s="10">
        <f t="shared" si="123"/>
        <v>37.456106870229014</v>
      </c>
    </row>
    <row r="2070" spans="1:13" ht="15" hidden="1" customHeight="1" x14ac:dyDescent="0.3">
      <c r="B2070" t="s">
        <v>328</v>
      </c>
      <c r="C2070" s="25">
        <v>44579</v>
      </c>
      <c r="D2070" s="26">
        <v>0.61826388888888884</v>
      </c>
      <c r="E2070" t="s">
        <v>24</v>
      </c>
      <c r="F2070" t="s">
        <v>175</v>
      </c>
      <c r="G2070" t="s">
        <v>172</v>
      </c>
      <c r="H2070" t="s">
        <v>306</v>
      </c>
      <c r="I2070">
        <v>365.39</v>
      </c>
      <c r="J2070" s="7">
        <v>553611</v>
      </c>
      <c r="K2070" s="7">
        <f t="shared" si="122"/>
        <v>1017</v>
      </c>
      <c r="L2070" s="7">
        <v>554628</v>
      </c>
      <c r="M2070" s="36">
        <f t="shared" si="123"/>
        <v>35.928220255653883</v>
      </c>
    </row>
    <row r="2071" spans="1:13" ht="15" hidden="1" customHeight="1" x14ac:dyDescent="0.3">
      <c r="B2071" t="s">
        <v>328</v>
      </c>
      <c r="C2071" s="25">
        <v>44580</v>
      </c>
      <c r="D2071" s="26">
        <v>0.97680555555555559</v>
      </c>
      <c r="E2071" t="s">
        <v>24</v>
      </c>
      <c r="F2071" t="s">
        <v>210</v>
      </c>
      <c r="G2071" t="s">
        <v>211</v>
      </c>
      <c r="H2071" t="s">
        <v>306</v>
      </c>
      <c r="I2071">
        <v>326.64999999999998</v>
      </c>
      <c r="J2071" s="7">
        <v>554628</v>
      </c>
      <c r="K2071" s="7">
        <f t="shared" si="122"/>
        <v>829</v>
      </c>
      <c r="L2071" s="7">
        <v>555457</v>
      </c>
      <c r="M2071" s="36">
        <f t="shared" si="123"/>
        <v>39.402895054282268</v>
      </c>
    </row>
    <row r="2072" spans="1:13" ht="15" hidden="1" customHeight="1" x14ac:dyDescent="0.3">
      <c r="B2072" t="s">
        <v>328</v>
      </c>
      <c r="C2072" s="25">
        <v>44582</v>
      </c>
      <c r="D2072" s="26">
        <v>8.1319444444444444E-2</v>
      </c>
      <c r="E2072" t="s">
        <v>24</v>
      </c>
      <c r="F2072" t="s">
        <v>210</v>
      </c>
      <c r="G2072" t="s">
        <v>211</v>
      </c>
      <c r="H2072" t="s">
        <v>306</v>
      </c>
      <c r="I2072">
        <v>408.98</v>
      </c>
      <c r="J2072" s="7">
        <v>555457</v>
      </c>
      <c r="K2072" s="7">
        <f t="shared" si="122"/>
        <v>1049</v>
      </c>
      <c r="L2072" s="7">
        <v>556506</v>
      </c>
      <c r="M2072" s="36">
        <f t="shared" si="123"/>
        <v>38.987607244995239</v>
      </c>
    </row>
    <row r="2073" spans="1:13" ht="15" hidden="1" customHeight="1" x14ac:dyDescent="0.3">
      <c r="A2073" s="9">
        <v>408</v>
      </c>
      <c r="B2073" t="s">
        <v>328</v>
      </c>
      <c r="C2073" s="25">
        <v>44598</v>
      </c>
      <c r="D2073" s="26">
        <v>9.0659722222222225E-2</v>
      </c>
      <c r="E2073" t="s">
        <v>25</v>
      </c>
      <c r="F2073" t="s">
        <v>210</v>
      </c>
      <c r="G2073" t="s">
        <v>211</v>
      </c>
      <c r="H2073" t="s">
        <v>306</v>
      </c>
      <c r="I2073">
        <v>407.76</v>
      </c>
      <c r="J2073" s="7">
        <v>0</v>
      </c>
      <c r="K2073" s="7">
        <f t="shared" si="122"/>
        <v>828.62</v>
      </c>
      <c r="L2073" s="7">
        <v>828.62</v>
      </c>
      <c r="M2073" s="36">
        <f t="shared" si="123"/>
        <v>49.209529096570201</v>
      </c>
    </row>
    <row r="2074" spans="1:13" ht="15" hidden="1" customHeight="1" x14ac:dyDescent="0.3">
      <c r="A2074" s="9">
        <v>409</v>
      </c>
      <c r="B2074" t="s">
        <v>328</v>
      </c>
      <c r="C2074" s="25">
        <v>44599</v>
      </c>
      <c r="D2074" s="26">
        <v>0.74358796296296292</v>
      </c>
      <c r="E2074" t="s">
        <v>25</v>
      </c>
      <c r="F2074" t="s">
        <v>210</v>
      </c>
      <c r="G2074" t="s">
        <v>211</v>
      </c>
      <c r="H2074" t="s">
        <v>306</v>
      </c>
      <c r="I2074">
        <v>434.01</v>
      </c>
      <c r="J2074" s="7">
        <v>0</v>
      </c>
      <c r="K2074" s="7">
        <f t="shared" si="122"/>
        <v>1053.3699999999999</v>
      </c>
      <c r="L2074" s="7">
        <v>1053.3699999999999</v>
      </c>
      <c r="M2074" s="36">
        <f t="shared" si="123"/>
        <v>41.202046764194918</v>
      </c>
    </row>
    <row r="2075" spans="1:13" ht="15" hidden="1" customHeight="1" x14ac:dyDescent="0.3">
      <c r="A2075" s="9">
        <v>410</v>
      </c>
      <c r="B2075" t="s">
        <v>328</v>
      </c>
      <c r="C2075" s="25">
        <v>44601</v>
      </c>
      <c r="D2075" s="26">
        <v>0.39422453703703703</v>
      </c>
      <c r="E2075" t="s">
        <v>25</v>
      </c>
      <c r="F2075" t="s">
        <v>175</v>
      </c>
      <c r="G2075" t="s">
        <v>172</v>
      </c>
      <c r="H2075" t="s">
        <v>306</v>
      </c>
      <c r="I2075">
        <v>338.05</v>
      </c>
      <c r="J2075" s="7">
        <v>0</v>
      </c>
      <c r="K2075" s="7">
        <f t="shared" si="122"/>
        <v>933.49</v>
      </c>
      <c r="L2075" s="7">
        <v>933.49</v>
      </c>
      <c r="M2075" s="36">
        <f t="shared" si="123"/>
        <v>36.213564151731674</v>
      </c>
    </row>
    <row r="2076" spans="1:13" ht="15" hidden="1" customHeight="1" x14ac:dyDescent="0.3">
      <c r="A2076" s="9">
        <v>411</v>
      </c>
      <c r="B2076" t="s">
        <v>328</v>
      </c>
      <c r="C2076" s="25">
        <v>44602</v>
      </c>
      <c r="D2076" s="26">
        <v>0.13317129629629629</v>
      </c>
      <c r="E2076" t="s">
        <v>25</v>
      </c>
      <c r="F2076" t="s">
        <v>210</v>
      </c>
      <c r="G2076" t="s">
        <v>211</v>
      </c>
      <c r="H2076" t="s">
        <v>306</v>
      </c>
      <c r="I2076">
        <v>321.01</v>
      </c>
      <c r="J2076" s="7">
        <v>0</v>
      </c>
      <c r="K2076" s="7">
        <f t="shared" si="122"/>
        <v>814.63</v>
      </c>
      <c r="L2076" s="7">
        <v>814.63</v>
      </c>
      <c r="M2076" s="36">
        <f t="shared" si="123"/>
        <v>39.405619729202215</v>
      </c>
    </row>
    <row r="2077" spans="1:13" ht="15" hidden="1" customHeight="1" x14ac:dyDescent="0.3">
      <c r="A2077" s="9">
        <v>412</v>
      </c>
      <c r="B2077" t="s">
        <v>328</v>
      </c>
      <c r="C2077" s="25">
        <v>44602</v>
      </c>
      <c r="D2077" s="26">
        <v>0.84114583333333337</v>
      </c>
      <c r="E2077" t="s">
        <v>25</v>
      </c>
      <c r="F2077" t="s">
        <v>210</v>
      </c>
      <c r="G2077" t="s">
        <v>211</v>
      </c>
      <c r="H2077" t="s">
        <v>306</v>
      </c>
      <c r="I2077">
        <v>410.42</v>
      </c>
      <c r="J2077" s="7">
        <v>0</v>
      </c>
      <c r="K2077" s="7">
        <f t="shared" si="122"/>
        <v>1056.9100000000001</v>
      </c>
      <c r="L2077" s="7">
        <v>1056.9100000000001</v>
      </c>
      <c r="M2077" s="36">
        <f t="shared" si="123"/>
        <v>38.83206706342073</v>
      </c>
    </row>
    <row r="2078" spans="1:13" ht="15" hidden="1" customHeight="1" x14ac:dyDescent="0.3">
      <c r="A2078" s="9">
        <v>413</v>
      </c>
      <c r="B2078" t="s">
        <v>328</v>
      </c>
      <c r="C2078" s="25">
        <v>44604</v>
      </c>
      <c r="D2078" s="26">
        <v>0.76185185185185178</v>
      </c>
      <c r="E2078" t="s">
        <v>25</v>
      </c>
      <c r="F2078" t="s">
        <v>175</v>
      </c>
      <c r="G2078" t="s">
        <v>172</v>
      </c>
      <c r="H2078" t="s">
        <v>306</v>
      </c>
      <c r="I2078">
        <v>422.06</v>
      </c>
      <c r="J2078" s="7">
        <v>0</v>
      </c>
      <c r="K2078" s="7">
        <f t="shared" si="122"/>
        <v>2202.11</v>
      </c>
      <c r="L2078" s="32">
        <v>2202.11</v>
      </c>
      <c r="M2078" s="36">
        <f t="shared" si="123"/>
        <v>19.166163361503287</v>
      </c>
    </row>
    <row r="2079" spans="1:13" ht="15" hidden="1" customHeight="1" x14ac:dyDescent="0.3">
      <c r="A2079" s="9">
        <v>414</v>
      </c>
      <c r="B2079" t="s">
        <v>328</v>
      </c>
      <c r="C2079" s="25">
        <v>44606</v>
      </c>
      <c r="D2079" s="26">
        <v>0.11315972222222222</v>
      </c>
      <c r="E2079" t="s">
        <v>25</v>
      </c>
      <c r="F2079" t="s">
        <v>210</v>
      </c>
      <c r="G2079" t="s">
        <v>211</v>
      </c>
      <c r="H2079" t="s">
        <v>306</v>
      </c>
      <c r="I2079">
        <v>349.91</v>
      </c>
      <c r="J2079" s="7">
        <v>0</v>
      </c>
      <c r="K2079" s="7">
        <f t="shared" si="122"/>
        <v>817.95</v>
      </c>
      <c r="L2079" s="7">
        <v>817.95</v>
      </c>
      <c r="M2079" s="36">
        <f t="shared" si="123"/>
        <v>42.778898465676384</v>
      </c>
    </row>
    <row r="2080" spans="1:13" ht="15" hidden="1" customHeight="1" x14ac:dyDescent="0.3">
      <c r="A2080" s="9">
        <v>415</v>
      </c>
      <c r="B2080" t="s">
        <v>328</v>
      </c>
      <c r="C2080" s="25">
        <v>44607</v>
      </c>
      <c r="D2080" s="26">
        <v>4.1678240740740745E-2</v>
      </c>
      <c r="E2080" t="s">
        <v>25</v>
      </c>
      <c r="F2080" t="s">
        <v>210</v>
      </c>
      <c r="G2080" t="s">
        <v>211</v>
      </c>
      <c r="H2080" t="s">
        <v>306</v>
      </c>
      <c r="I2080">
        <v>381.36</v>
      </c>
      <c r="J2080" s="52">
        <v>0</v>
      </c>
      <c r="K2080" s="53">
        <f t="shared" si="122"/>
        <v>1054.53</v>
      </c>
      <c r="L2080" s="52">
        <v>1054.53</v>
      </c>
      <c r="M2080" s="10">
        <f t="shared" si="123"/>
        <v>36.163978265198715</v>
      </c>
    </row>
    <row r="2081" spans="1:13" ht="15" hidden="1" customHeight="1" x14ac:dyDescent="0.3">
      <c r="A2081" s="9">
        <v>416</v>
      </c>
      <c r="B2081" t="s">
        <v>328</v>
      </c>
      <c r="C2081" s="25">
        <v>44608</v>
      </c>
      <c r="D2081" s="26">
        <v>0.79677083333333332</v>
      </c>
      <c r="E2081" t="s">
        <v>25</v>
      </c>
      <c r="F2081" t="s">
        <v>175</v>
      </c>
      <c r="G2081" t="s">
        <v>172</v>
      </c>
      <c r="H2081" t="s">
        <v>306</v>
      </c>
      <c r="I2081">
        <v>364.46</v>
      </c>
      <c r="J2081" s="32">
        <v>0</v>
      </c>
      <c r="K2081" s="53">
        <f t="shared" si="122"/>
        <v>976.43</v>
      </c>
      <c r="L2081" s="32">
        <v>976.43</v>
      </c>
      <c r="M2081" s="10">
        <f t="shared" si="123"/>
        <v>37.325768360251118</v>
      </c>
    </row>
    <row r="2082" spans="1:13" ht="15" hidden="1" customHeight="1" x14ac:dyDescent="0.3">
      <c r="A2082" s="9">
        <v>417</v>
      </c>
      <c r="B2082" t="s">
        <v>328</v>
      </c>
      <c r="C2082" s="25">
        <v>44609</v>
      </c>
      <c r="D2082" s="26">
        <v>0.73165509259259265</v>
      </c>
      <c r="E2082" t="s">
        <v>25</v>
      </c>
      <c r="F2082" t="s">
        <v>210</v>
      </c>
      <c r="G2082" t="s">
        <v>211</v>
      </c>
      <c r="H2082" t="s">
        <v>306</v>
      </c>
      <c r="I2082">
        <v>337.25</v>
      </c>
      <c r="J2082" s="32">
        <v>0</v>
      </c>
      <c r="K2082" s="53">
        <f t="shared" si="122"/>
        <v>816.49</v>
      </c>
      <c r="L2082" s="32">
        <v>816.49</v>
      </c>
      <c r="M2082" s="10">
        <f t="shared" si="123"/>
        <v>41.304853703045964</v>
      </c>
    </row>
    <row r="2083" spans="1:13" ht="15" hidden="1" customHeight="1" x14ac:dyDescent="0.3">
      <c r="A2083" s="9">
        <v>418</v>
      </c>
      <c r="B2083" t="s">
        <v>328</v>
      </c>
      <c r="C2083" s="25">
        <v>44610</v>
      </c>
      <c r="D2083" s="26">
        <v>0.79583333333333339</v>
      </c>
      <c r="E2083" t="s">
        <v>25</v>
      </c>
      <c r="F2083" t="s">
        <v>210</v>
      </c>
      <c r="G2083" t="s">
        <v>211</v>
      </c>
      <c r="H2083" t="s">
        <v>306</v>
      </c>
      <c r="I2083">
        <v>373.76</v>
      </c>
      <c r="J2083" s="32">
        <v>0</v>
      </c>
      <c r="K2083" s="53">
        <f t="shared" si="122"/>
        <v>1056.1199999999999</v>
      </c>
      <c r="L2083" s="33">
        <v>1056.1199999999999</v>
      </c>
      <c r="M2083" s="10">
        <f t="shared" si="123"/>
        <v>35.389917812369809</v>
      </c>
    </row>
    <row r="2084" spans="1:13" ht="15" hidden="1" customHeight="1" x14ac:dyDescent="0.3">
      <c r="A2084" s="9">
        <v>419</v>
      </c>
      <c r="B2084" t="s">
        <v>328</v>
      </c>
      <c r="C2084" s="25">
        <v>44611</v>
      </c>
      <c r="D2084" s="26">
        <v>0.76915509259259263</v>
      </c>
      <c r="E2084" t="s">
        <v>25</v>
      </c>
      <c r="F2084" t="s">
        <v>175</v>
      </c>
      <c r="G2084" t="s">
        <v>172</v>
      </c>
      <c r="H2084" t="s">
        <v>306</v>
      </c>
      <c r="I2084">
        <v>340.74</v>
      </c>
      <c r="J2084" s="32">
        <v>0</v>
      </c>
      <c r="K2084" s="53">
        <f t="shared" si="122"/>
        <v>925.14</v>
      </c>
      <c r="L2084" s="32">
        <v>925.14</v>
      </c>
      <c r="M2084" s="10">
        <f t="shared" si="123"/>
        <v>36.83118230754264</v>
      </c>
    </row>
    <row r="2085" spans="1:13" ht="15" hidden="1" customHeight="1" x14ac:dyDescent="0.3">
      <c r="A2085" s="9">
        <v>420</v>
      </c>
      <c r="B2085" t="s">
        <v>328</v>
      </c>
      <c r="C2085" s="25">
        <v>44612</v>
      </c>
      <c r="D2085" s="26">
        <v>0.88828703703703704</v>
      </c>
      <c r="E2085" t="s">
        <v>25</v>
      </c>
      <c r="F2085" t="s">
        <v>210</v>
      </c>
      <c r="G2085" t="s">
        <v>211</v>
      </c>
      <c r="H2085" t="s">
        <v>306</v>
      </c>
      <c r="I2085">
        <v>357.83</v>
      </c>
      <c r="J2085" s="32">
        <v>0</v>
      </c>
      <c r="K2085" s="53">
        <f t="shared" si="122"/>
        <v>819.56</v>
      </c>
      <c r="L2085" s="37">
        <v>819.56</v>
      </c>
      <c r="M2085" s="10">
        <f t="shared" si="123"/>
        <v>43.661232856654792</v>
      </c>
    </row>
    <row r="2086" spans="1:13" ht="15" hidden="1" customHeight="1" x14ac:dyDescent="0.3">
      <c r="A2086" s="9">
        <v>421</v>
      </c>
      <c r="B2086" t="s">
        <v>328</v>
      </c>
      <c r="C2086" s="25">
        <v>44618</v>
      </c>
      <c r="D2086" s="26">
        <v>0.26745370370370369</v>
      </c>
      <c r="E2086" t="s">
        <v>25</v>
      </c>
      <c r="F2086" t="s">
        <v>210</v>
      </c>
      <c r="G2086" t="s">
        <v>211</v>
      </c>
      <c r="H2086" t="s">
        <v>306</v>
      </c>
      <c r="I2086">
        <v>315.36</v>
      </c>
      <c r="J2086" s="32">
        <v>0</v>
      </c>
      <c r="K2086" s="53">
        <f t="shared" si="122"/>
        <v>4350.42</v>
      </c>
      <c r="L2086" s="32">
        <v>4350.42</v>
      </c>
      <c r="M2086" s="10">
        <f t="shared" si="123"/>
        <v>7.2489552732839595</v>
      </c>
    </row>
    <row r="2087" spans="1:13" ht="15" hidden="1" customHeight="1" x14ac:dyDescent="0.3">
      <c r="A2087" s="9">
        <v>1315</v>
      </c>
      <c r="B2087" t="s">
        <v>328</v>
      </c>
      <c r="C2087" s="25">
        <v>44626</v>
      </c>
      <c r="D2087" s="26">
        <v>0.78090277777777783</v>
      </c>
      <c r="E2087" t="s">
        <v>26</v>
      </c>
      <c r="F2087" t="s">
        <v>210</v>
      </c>
      <c r="G2087" t="s">
        <v>211</v>
      </c>
      <c r="H2087" t="s">
        <v>187</v>
      </c>
      <c r="I2087">
        <v>356.46</v>
      </c>
      <c r="J2087" s="33">
        <v>704013</v>
      </c>
      <c r="K2087" s="89">
        <f t="shared" si="122"/>
        <v>869</v>
      </c>
      <c r="L2087" s="37">
        <v>704882</v>
      </c>
      <c r="M2087" s="10">
        <f t="shared" si="123"/>
        <v>41.019562715765247</v>
      </c>
    </row>
    <row r="2088" spans="1:13" ht="15" hidden="1" customHeight="1" x14ac:dyDescent="0.3">
      <c r="A2088" s="9">
        <v>1316</v>
      </c>
      <c r="B2088" t="s">
        <v>328</v>
      </c>
      <c r="C2088" s="25">
        <v>44627</v>
      </c>
      <c r="D2088" s="26">
        <v>0.97484953703703703</v>
      </c>
      <c r="E2088" t="s">
        <v>26</v>
      </c>
      <c r="F2088" t="s">
        <v>210</v>
      </c>
      <c r="G2088" t="s">
        <v>211</v>
      </c>
      <c r="H2088" t="s">
        <v>187</v>
      </c>
      <c r="I2088">
        <v>438.01</v>
      </c>
      <c r="J2088" s="33">
        <v>704882</v>
      </c>
      <c r="K2088" s="89">
        <f t="shared" si="122"/>
        <v>1148</v>
      </c>
      <c r="L2088" s="33">
        <v>706030</v>
      </c>
      <c r="M2088" s="10">
        <f t="shared" si="123"/>
        <v>38.154181184668992</v>
      </c>
    </row>
    <row r="2089" spans="1:13" ht="15" hidden="1" customHeight="1" x14ac:dyDescent="0.3">
      <c r="A2089" s="9">
        <v>1317</v>
      </c>
      <c r="B2089" t="s">
        <v>328</v>
      </c>
      <c r="C2089" s="25">
        <v>44629</v>
      </c>
      <c r="D2089" s="26">
        <v>0.54644675925925923</v>
      </c>
      <c r="E2089" t="s">
        <v>26</v>
      </c>
      <c r="F2089" t="s">
        <v>175</v>
      </c>
      <c r="G2089" t="s">
        <v>172</v>
      </c>
      <c r="H2089" t="s">
        <v>187</v>
      </c>
      <c r="I2089">
        <v>378.63</v>
      </c>
      <c r="J2089" s="33">
        <v>706030</v>
      </c>
      <c r="K2089" s="89">
        <f t="shared" si="122"/>
        <v>1010</v>
      </c>
      <c r="L2089" s="32">
        <v>707040</v>
      </c>
      <c r="M2089" s="10">
        <f t="shared" si="123"/>
        <v>37.488118811881186</v>
      </c>
    </row>
    <row r="2090" spans="1:13" ht="15" hidden="1" customHeight="1" x14ac:dyDescent="0.3">
      <c r="A2090" s="9">
        <v>1462</v>
      </c>
      <c r="B2090" t="s">
        <v>328</v>
      </c>
      <c r="C2090" s="25">
        <v>44642</v>
      </c>
      <c r="D2090" s="26">
        <v>0.53267361111111111</v>
      </c>
      <c r="E2090" t="s">
        <v>26</v>
      </c>
      <c r="F2090" t="s">
        <v>175</v>
      </c>
      <c r="G2090" t="s">
        <v>172</v>
      </c>
      <c r="H2090" t="s">
        <v>306</v>
      </c>
      <c r="I2090">
        <v>282.95</v>
      </c>
      <c r="J2090" s="33">
        <v>0</v>
      </c>
      <c r="K2090" s="89">
        <f t="shared" si="122"/>
        <v>849.92</v>
      </c>
      <c r="L2090" s="32">
        <v>849.92</v>
      </c>
      <c r="M2090" s="10">
        <f t="shared" si="123"/>
        <v>33.291368599397593</v>
      </c>
    </row>
    <row r="2091" spans="1:13" ht="15" hidden="1" customHeight="1" x14ac:dyDescent="0.3">
      <c r="A2091" s="9">
        <v>2256</v>
      </c>
      <c r="B2091" t="s">
        <v>328</v>
      </c>
      <c r="C2091" s="25">
        <v>44644</v>
      </c>
      <c r="D2091" s="26">
        <v>0.8513425925925926</v>
      </c>
      <c r="E2091" t="s">
        <v>26</v>
      </c>
      <c r="F2091" t="s">
        <v>210</v>
      </c>
      <c r="G2091" t="s">
        <v>211</v>
      </c>
      <c r="H2091" t="s">
        <v>138</v>
      </c>
      <c r="I2091">
        <v>528.1</v>
      </c>
      <c r="J2091" s="31">
        <v>0</v>
      </c>
      <c r="K2091" s="89">
        <f t="shared" si="122"/>
        <v>1066.79</v>
      </c>
      <c r="L2091" s="32">
        <v>1066.79</v>
      </c>
      <c r="M2091" s="10">
        <f t="shared" si="123"/>
        <v>49.503651140336899</v>
      </c>
    </row>
    <row r="2092" spans="1:13" ht="15" hidden="1" customHeight="1" x14ac:dyDescent="0.3">
      <c r="A2092" s="9">
        <v>2257</v>
      </c>
      <c r="B2092" t="s">
        <v>328</v>
      </c>
      <c r="C2092" s="25">
        <v>44645</v>
      </c>
      <c r="D2092" s="26">
        <v>0.8525462962962963</v>
      </c>
      <c r="E2092" t="s">
        <v>26</v>
      </c>
      <c r="F2092" t="s">
        <v>210</v>
      </c>
      <c r="G2092" t="s">
        <v>211</v>
      </c>
      <c r="H2092" t="s">
        <v>138</v>
      </c>
      <c r="I2092">
        <v>378.89</v>
      </c>
      <c r="J2092" s="7">
        <v>0</v>
      </c>
      <c r="K2092" s="89">
        <f t="shared" si="122"/>
        <v>885.69</v>
      </c>
      <c r="L2092" s="37">
        <v>885.69</v>
      </c>
      <c r="M2092" s="10">
        <f t="shared" si="123"/>
        <v>42.77907620047646</v>
      </c>
    </row>
    <row r="2093" spans="1:13" ht="15" hidden="1" customHeight="1" x14ac:dyDescent="0.3">
      <c r="A2093" s="9">
        <v>2258</v>
      </c>
      <c r="B2093" t="s">
        <v>328</v>
      </c>
      <c r="C2093" s="25">
        <v>44648</v>
      </c>
      <c r="D2093" s="26">
        <v>0.82586805555555554</v>
      </c>
      <c r="E2093" t="s">
        <v>26</v>
      </c>
      <c r="F2093" t="s">
        <v>171</v>
      </c>
      <c r="G2093" t="s">
        <v>172</v>
      </c>
      <c r="H2093" t="s">
        <v>138</v>
      </c>
      <c r="I2093">
        <v>465.51</v>
      </c>
      <c r="J2093" s="7">
        <v>0</v>
      </c>
      <c r="K2093" s="89">
        <f t="shared" si="122"/>
        <v>1229.1600000000001</v>
      </c>
      <c r="L2093" s="32">
        <v>1229.1600000000001</v>
      </c>
      <c r="M2093" s="10">
        <f t="shared" si="123"/>
        <v>37.872205408571702</v>
      </c>
    </row>
    <row r="2094" spans="1:13" ht="15" hidden="1" customHeight="1" x14ac:dyDescent="0.3">
      <c r="A2094" s="9">
        <v>2259</v>
      </c>
      <c r="B2094" t="s">
        <v>328</v>
      </c>
      <c r="C2094" s="25">
        <v>44649</v>
      </c>
      <c r="D2094" s="26">
        <v>0.23744212962962963</v>
      </c>
      <c r="E2094" t="s">
        <v>26</v>
      </c>
      <c r="F2094" t="s">
        <v>210</v>
      </c>
      <c r="G2094" t="s">
        <v>211</v>
      </c>
      <c r="H2094" t="s">
        <v>138</v>
      </c>
      <c r="I2094">
        <v>283.36</v>
      </c>
      <c r="J2094" s="7">
        <v>0</v>
      </c>
      <c r="K2094" s="89">
        <f t="shared" si="122"/>
        <v>693.62</v>
      </c>
      <c r="L2094" s="32">
        <v>693.62</v>
      </c>
      <c r="M2094" s="10">
        <f t="shared" si="123"/>
        <v>40.852339897926818</v>
      </c>
    </row>
    <row r="2095" spans="1:13" ht="15" hidden="1" customHeight="1" x14ac:dyDescent="0.3">
      <c r="A2095" s="9">
        <v>2260</v>
      </c>
      <c r="B2095" t="s">
        <v>328</v>
      </c>
      <c r="C2095" s="25">
        <v>44650</v>
      </c>
      <c r="D2095" s="26">
        <v>0.97015046296296292</v>
      </c>
      <c r="E2095" t="s">
        <v>26</v>
      </c>
      <c r="F2095" t="s">
        <v>210</v>
      </c>
      <c r="G2095" t="s">
        <v>211</v>
      </c>
      <c r="H2095" t="s">
        <v>138</v>
      </c>
      <c r="I2095">
        <v>494.12</v>
      </c>
      <c r="J2095" s="7">
        <v>0</v>
      </c>
      <c r="K2095" s="89">
        <f t="shared" si="122"/>
        <v>1069.99</v>
      </c>
      <c r="L2095" s="37">
        <v>1069.99</v>
      </c>
      <c r="M2095" s="10">
        <f t="shared" si="123"/>
        <v>46.179870839914393</v>
      </c>
    </row>
    <row r="2096" spans="1:13" ht="15" hidden="1" customHeight="1" x14ac:dyDescent="0.3">
      <c r="A2096" s="9">
        <v>3515</v>
      </c>
      <c r="B2096" t="s">
        <v>328</v>
      </c>
      <c r="C2096" s="25">
        <v>44653</v>
      </c>
      <c r="D2096" s="26">
        <v>0.55065972222222215</v>
      </c>
      <c r="E2096" t="s">
        <v>27</v>
      </c>
      <c r="F2096" t="s">
        <v>197</v>
      </c>
      <c r="G2096" t="s">
        <v>44</v>
      </c>
      <c r="H2096" t="s">
        <v>138</v>
      </c>
      <c r="I2096" s="4">
        <v>250</v>
      </c>
      <c r="J2096" s="7">
        <v>0</v>
      </c>
      <c r="K2096" s="89">
        <f t="shared" ref="K2096:K2117" si="124">+L2096-J2096</f>
        <v>1189.45</v>
      </c>
      <c r="L2096" s="32">
        <v>1189.45</v>
      </c>
      <c r="M2096" s="10">
        <f t="shared" ref="M2096:M2123" si="125">I2096/K2096*100</f>
        <v>21.018117617386185</v>
      </c>
    </row>
    <row r="2097" spans="1:13" ht="15" hidden="1" customHeight="1" x14ac:dyDescent="0.3">
      <c r="A2097" s="9">
        <v>3516</v>
      </c>
      <c r="B2097" t="s">
        <v>328</v>
      </c>
      <c r="C2097" s="25">
        <v>44653</v>
      </c>
      <c r="D2097" s="26">
        <v>0.86195601851851855</v>
      </c>
      <c r="E2097" t="s">
        <v>27</v>
      </c>
      <c r="F2097" t="s">
        <v>166</v>
      </c>
      <c r="G2097" t="s">
        <v>161</v>
      </c>
      <c r="H2097" t="s">
        <v>138</v>
      </c>
      <c r="I2097" s="4">
        <v>438.82</v>
      </c>
      <c r="J2097" s="7">
        <v>0</v>
      </c>
      <c r="K2097" s="89">
        <f t="shared" si="124"/>
        <v>1701</v>
      </c>
      <c r="L2097" s="32">
        <v>1701</v>
      </c>
      <c r="M2097" s="10">
        <f t="shared" si="125"/>
        <v>25.797766019988245</v>
      </c>
    </row>
    <row r="2098" spans="1:13" ht="15" hidden="1" customHeight="1" x14ac:dyDescent="0.3">
      <c r="A2098" s="9">
        <v>3517</v>
      </c>
      <c r="B2098" t="s">
        <v>328</v>
      </c>
      <c r="C2098" s="25">
        <v>44654</v>
      </c>
      <c r="D2098" s="26">
        <v>0.38336805555555559</v>
      </c>
      <c r="E2098" t="s">
        <v>27</v>
      </c>
      <c r="F2098" t="s">
        <v>533</v>
      </c>
      <c r="G2098" t="s">
        <v>45</v>
      </c>
      <c r="H2098" t="s">
        <v>138</v>
      </c>
      <c r="I2098" s="4">
        <v>100</v>
      </c>
      <c r="J2098" s="31">
        <v>0</v>
      </c>
      <c r="K2098" s="99">
        <f t="shared" si="124"/>
        <v>710.64</v>
      </c>
      <c r="L2098" s="33">
        <v>710.64</v>
      </c>
      <c r="M2098" s="10">
        <f t="shared" si="125"/>
        <v>14.07182258246088</v>
      </c>
    </row>
    <row r="2099" spans="1:13" ht="15" hidden="1" customHeight="1" x14ac:dyDescent="0.3">
      <c r="A2099" s="9">
        <v>3518</v>
      </c>
      <c r="B2099" t="s">
        <v>328</v>
      </c>
      <c r="C2099" s="25">
        <v>44655</v>
      </c>
      <c r="D2099" s="26">
        <v>0.68916666666666659</v>
      </c>
      <c r="E2099" t="s">
        <v>27</v>
      </c>
      <c r="F2099" t="s">
        <v>210</v>
      </c>
      <c r="G2099" t="s">
        <v>211</v>
      </c>
      <c r="H2099" t="s">
        <v>138</v>
      </c>
      <c r="I2099" s="4">
        <v>430.59</v>
      </c>
      <c r="J2099" s="32">
        <v>0</v>
      </c>
      <c r="K2099" s="90">
        <f t="shared" si="124"/>
        <v>493.29</v>
      </c>
      <c r="L2099" s="32">
        <v>493.29</v>
      </c>
      <c r="M2099" s="10">
        <f t="shared" si="125"/>
        <v>87.289424071033267</v>
      </c>
    </row>
    <row r="2100" spans="1:13" ht="15" hidden="1" customHeight="1" x14ac:dyDescent="0.3">
      <c r="A2100" s="9">
        <v>3519</v>
      </c>
      <c r="B2100" t="s">
        <v>328</v>
      </c>
      <c r="C2100" s="25">
        <v>44660</v>
      </c>
      <c r="D2100" s="26">
        <v>0.64577546296296295</v>
      </c>
      <c r="E2100" t="s">
        <v>27</v>
      </c>
      <c r="F2100" t="s">
        <v>175</v>
      </c>
      <c r="G2100" t="s">
        <v>172</v>
      </c>
      <c r="H2100" t="s">
        <v>138</v>
      </c>
      <c r="I2100" s="4">
        <v>346.53</v>
      </c>
      <c r="J2100" s="32">
        <v>0</v>
      </c>
      <c r="K2100" s="90">
        <f t="shared" si="124"/>
        <v>964.22</v>
      </c>
      <c r="L2100" s="32">
        <v>964.22</v>
      </c>
      <c r="M2100" s="10">
        <f t="shared" si="125"/>
        <v>35.938893613490691</v>
      </c>
    </row>
    <row r="2101" spans="1:13" ht="15" hidden="1" customHeight="1" x14ac:dyDescent="0.3">
      <c r="A2101" s="9">
        <v>3520</v>
      </c>
      <c r="B2101" t="s">
        <v>328</v>
      </c>
      <c r="C2101" s="25">
        <v>44661</v>
      </c>
      <c r="D2101" s="26">
        <v>0.92748842592592595</v>
      </c>
      <c r="E2101" t="s">
        <v>27</v>
      </c>
      <c r="F2101" t="s">
        <v>210</v>
      </c>
      <c r="G2101" t="s">
        <v>211</v>
      </c>
      <c r="H2101" t="s">
        <v>138</v>
      </c>
      <c r="I2101" s="4">
        <v>390.23</v>
      </c>
      <c r="J2101" s="32">
        <v>0</v>
      </c>
      <c r="K2101" s="90">
        <f t="shared" si="124"/>
        <v>833.63</v>
      </c>
      <c r="L2101" s="32">
        <v>833.63</v>
      </c>
      <c r="M2101" s="10">
        <f t="shared" si="125"/>
        <v>46.810935307030697</v>
      </c>
    </row>
    <row r="2102" spans="1:13" ht="15" hidden="1" customHeight="1" x14ac:dyDescent="0.3">
      <c r="A2102" s="9">
        <v>3521</v>
      </c>
      <c r="B2102" t="s">
        <v>328</v>
      </c>
      <c r="C2102" s="25">
        <v>44662</v>
      </c>
      <c r="D2102" s="26">
        <v>0.42633101851851851</v>
      </c>
      <c r="E2102" t="s">
        <v>27</v>
      </c>
      <c r="F2102" t="s">
        <v>533</v>
      </c>
      <c r="G2102" t="s">
        <v>45</v>
      </c>
      <c r="H2102" t="s">
        <v>138</v>
      </c>
      <c r="I2102" s="4">
        <v>80.05</v>
      </c>
      <c r="J2102" s="37">
        <v>0</v>
      </c>
      <c r="K2102" s="97">
        <f t="shared" si="124"/>
        <v>635.97</v>
      </c>
      <c r="L2102" s="37">
        <v>635.97</v>
      </c>
      <c r="M2102" s="10">
        <f t="shared" si="125"/>
        <v>12.587071717219365</v>
      </c>
    </row>
    <row r="2103" spans="1:13" ht="15" hidden="1" customHeight="1" x14ac:dyDescent="0.3">
      <c r="A2103" s="9">
        <v>3522</v>
      </c>
      <c r="B2103" t="s">
        <v>328</v>
      </c>
      <c r="C2103" s="25">
        <v>44662</v>
      </c>
      <c r="D2103" s="26">
        <v>0.73333333333333339</v>
      </c>
      <c r="E2103" t="s">
        <v>27</v>
      </c>
      <c r="F2103" t="s">
        <v>210</v>
      </c>
      <c r="G2103" t="s">
        <v>211</v>
      </c>
      <c r="H2103" t="s">
        <v>138</v>
      </c>
      <c r="I2103" s="4">
        <v>298.02</v>
      </c>
      <c r="J2103" s="32">
        <v>0</v>
      </c>
      <c r="K2103" s="90">
        <f t="shared" si="124"/>
        <v>1119</v>
      </c>
      <c r="L2103" s="32">
        <v>1119</v>
      </c>
      <c r="M2103" s="10">
        <f t="shared" si="125"/>
        <v>26.632707774798924</v>
      </c>
    </row>
    <row r="2104" spans="1:13" ht="15" hidden="1" customHeight="1" x14ac:dyDescent="0.3">
      <c r="A2104" s="9">
        <v>3523</v>
      </c>
      <c r="B2104" t="s">
        <v>328</v>
      </c>
      <c r="C2104" s="25">
        <v>44665</v>
      </c>
      <c r="D2104" s="26">
        <v>5.9027777777777783E-2</v>
      </c>
      <c r="E2104" t="s">
        <v>27</v>
      </c>
      <c r="F2104" t="s">
        <v>197</v>
      </c>
      <c r="G2104" t="s">
        <v>44</v>
      </c>
      <c r="H2104" t="s">
        <v>138</v>
      </c>
      <c r="I2104" s="4">
        <v>332</v>
      </c>
      <c r="J2104" s="32">
        <v>0</v>
      </c>
      <c r="K2104" s="90">
        <f t="shared" si="124"/>
        <v>1181.1400000000001</v>
      </c>
      <c r="L2104" s="32">
        <v>1181.1400000000001</v>
      </c>
      <c r="M2104" s="10">
        <f t="shared" si="125"/>
        <v>28.108437611121456</v>
      </c>
    </row>
    <row r="2105" spans="1:13" ht="15" hidden="1" customHeight="1" x14ac:dyDescent="0.3">
      <c r="A2105" s="9">
        <v>3524</v>
      </c>
      <c r="B2105" t="s">
        <v>328</v>
      </c>
      <c r="C2105" s="25">
        <v>44665</v>
      </c>
      <c r="D2105" s="26">
        <v>0.45578703703703699</v>
      </c>
      <c r="E2105" t="s">
        <v>27</v>
      </c>
      <c r="F2105" t="s">
        <v>166</v>
      </c>
      <c r="G2105" t="s">
        <v>161</v>
      </c>
      <c r="H2105" t="s">
        <v>138</v>
      </c>
      <c r="I2105" s="4">
        <v>323.33199999999999</v>
      </c>
      <c r="J2105" s="32">
        <v>0</v>
      </c>
      <c r="K2105" s="90">
        <f t="shared" si="124"/>
        <v>2175</v>
      </c>
      <c r="L2105" s="32">
        <v>2175</v>
      </c>
      <c r="M2105" s="10">
        <f t="shared" si="125"/>
        <v>14.86583908045977</v>
      </c>
    </row>
    <row r="2106" spans="1:13" ht="15" hidden="1" customHeight="1" x14ac:dyDescent="0.3">
      <c r="A2106" s="9">
        <v>3525</v>
      </c>
      <c r="B2106" t="s">
        <v>328</v>
      </c>
      <c r="C2106" s="25">
        <v>44666</v>
      </c>
      <c r="D2106" s="26">
        <v>0.57149305555555563</v>
      </c>
      <c r="E2106" t="s">
        <v>27</v>
      </c>
      <c r="F2106" t="s">
        <v>210</v>
      </c>
      <c r="G2106" t="s">
        <v>211</v>
      </c>
      <c r="H2106" t="s">
        <v>138</v>
      </c>
      <c r="I2106" s="4">
        <v>457.93</v>
      </c>
      <c r="J2106" s="32">
        <v>0</v>
      </c>
      <c r="K2106" s="99">
        <f t="shared" si="124"/>
        <v>1145.1199999999999</v>
      </c>
      <c r="L2106" s="33">
        <v>1145.1199999999999</v>
      </c>
      <c r="M2106" s="10">
        <f t="shared" si="125"/>
        <v>39.989695403101862</v>
      </c>
    </row>
    <row r="2107" spans="1:13" ht="15" hidden="1" customHeight="1" x14ac:dyDescent="0.3">
      <c r="A2107" s="9">
        <v>3526</v>
      </c>
      <c r="B2107" t="s">
        <v>328</v>
      </c>
      <c r="C2107" s="25">
        <v>44669</v>
      </c>
      <c r="D2107" s="26">
        <v>0.3409490740740741</v>
      </c>
      <c r="E2107" t="s">
        <v>27</v>
      </c>
      <c r="F2107" t="s">
        <v>171</v>
      </c>
      <c r="G2107" t="s">
        <v>172</v>
      </c>
      <c r="H2107" t="s">
        <v>138</v>
      </c>
      <c r="I2107" s="4">
        <v>415.16</v>
      </c>
      <c r="J2107" s="32">
        <v>0</v>
      </c>
      <c r="K2107" s="99">
        <f t="shared" si="124"/>
        <v>1101</v>
      </c>
      <c r="L2107" s="33">
        <v>1101</v>
      </c>
      <c r="M2107" s="10">
        <f t="shared" si="125"/>
        <v>37.707538601271573</v>
      </c>
    </row>
    <row r="2108" spans="1:13" ht="15" hidden="1" customHeight="1" x14ac:dyDescent="0.3">
      <c r="A2108" s="9">
        <v>3527</v>
      </c>
      <c r="B2108" t="s">
        <v>328</v>
      </c>
      <c r="C2108" s="25">
        <v>44670</v>
      </c>
      <c r="D2108" s="26">
        <v>0.55707175925925922</v>
      </c>
      <c r="E2108" t="s">
        <v>27</v>
      </c>
      <c r="F2108" t="s">
        <v>210</v>
      </c>
      <c r="G2108" t="s">
        <v>211</v>
      </c>
      <c r="H2108" t="s">
        <v>138</v>
      </c>
      <c r="I2108" s="4">
        <v>367.4</v>
      </c>
      <c r="J2108" s="32">
        <v>0</v>
      </c>
      <c r="K2108" s="90">
        <f t="shared" si="124"/>
        <v>878.35</v>
      </c>
      <c r="L2108" s="32">
        <v>878.35</v>
      </c>
      <c r="M2108" s="10">
        <f t="shared" si="125"/>
        <v>41.82842830306825</v>
      </c>
    </row>
    <row r="2109" spans="1:13" ht="15" hidden="1" customHeight="1" x14ac:dyDescent="0.3">
      <c r="A2109" s="9">
        <v>3528</v>
      </c>
      <c r="B2109" t="s">
        <v>328</v>
      </c>
      <c r="C2109" s="25">
        <v>44671</v>
      </c>
      <c r="D2109" s="26">
        <v>0.83387731481481486</v>
      </c>
      <c r="E2109" t="s">
        <v>27</v>
      </c>
      <c r="F2109" t="s">
        <v>210</v>
      </c>
      <c r="G2109" t="s">
        <v>211</v>
      </c>
      <c r="H2109" t="s">
        <v>138</v>
      </c>
      <c r="I2109" s="4">
        <v>369.63</v>
      </c>
      <c r="J2109" s="32">
        <v>0</v>
      </c>
      <c r="K2109" s="90">
        <f t="shared" si="124"/>
        <v>960</v>
      </c>
      <c r="L2109" s="32">
        <v>960</v>
      </c>
      <c r="M2109" s="10">
        <f t="shared" si="125"/>
        <v>38.503124999999997</v>
      </c>
    </row>
    <row r="2110" spans="1:13" ht="15" hidden="1" customHeight="1" x14ac:dyDescent="0.3">
      <c r="A2110" s="9">
        <v>3529</v>
      </c>
      <c r="B2110" t="s">
        <v>328</v>
      </c>
      <c r="C2110" s="25">
        <v>44674</v>
      </c>
      <c r="D2110" s="26">
        <v>0.59949074074074071</v>
      </c>
      <c r="E2110" t="s">
        <v>27</v>
      </c>
      <c r="F2110" t="s">
        <v>197</v>
      </c>
      <c r="G2110" t="s">
        <v>44</v>
      </c>
      <c r="H2110" t="s">
        <v>138</v>
      </c>
      <c r="I2110" s="4">
        <v>132.87</v>
      </c>
      <c r="J2110" s="32">
        <v>0</v>
      </c>
      <c r="K2110" s="90">
        <f t="shared" si="124"/>
        <v>1218.3399999999999</v>
      </c>
      <c r="L2110" s="32">
        <v>1218.3399999999999</v>
      </c>
      <c r="M2110" s="10">
        <f t="shared" si="125"/>
        <v>10.9058226767569</v>
      </c>
    </row>
    <row r="2111" spans="1:13" ht="15" hidden="1" customHeight="1" x14ac:dyDescent="0.3">
      <c r="A2111" s="9">
        <v>3530</v>
      </c>
      <c r="B2111" t="s">
        <v>328</v>
      </c>
      <c r="C2111" s="25">
        <v>44674</v>
      </c>
      <c r="D2111" s="26">
        <v>0.79957175925925927</v>
      </c>
      <c r="E2111" t="s">
        <v>27</v>
      </c>
      <c r="F2111" t="s">
        <v>456</v>
      </c>
      <c r="G2111" t="s">
        <v>457</v>
      </c>
      <c r="H2111" t="s">
        <v>138</v>
      </c>
      <c r="I2111" s="4">
        <v>100</v>
      </c>
      <c r="J2111" s="32">
        <v>0</v>
      </c>
      <c r="K2111" s="100">
        <f t="shared" si="124"/>
        <v>275.35000000000002</v>
      </c>
      <c r="L2111" s="38">
        <v>275.35000000000002</v>
      </c>
      <c r="M2111" s="10">
        <f t="shared" si="125"/>
        <v>36.317414200108949</v>
      </c>
    </row>
    <row r="2112" spans="1:13" ht="15" hidden="1" customHeight="1" x14ac:dyDescent="0.3">
      <c r="A2112" s="9">
        <v>3531</v>
      </c>
      <c r="B2112" t="s">
        <v>328</v>
      </c>
      <c r="C2112" s="25">
        <v>44674</v>
      </c>
      <c r="D2112" s="26">
        <v>0.84098379629629638</v>
      </c>
      <c r="E2112" t="s">
        <v>27</v>
      </c>
      <c r="F2112" t="s">
        <v>488</v>
      </c>
      <c r="G2112" t="s">
        <v>489</v>
      </c>
      <c r="H2112" t="s">
        <v>138</v>
      </c>
      <c r="I2112" s="4">
        <v>50</v>
      </c>
      <c r="J2112" s="32">
        <v>0</v>
      </c>
      <c r="K2112" s="90">
        <f t="shared" si="124"/>
        <v>1156</v>
      </c>
      <c r="L2112" s="32">
        <v>1156</v>
      </c>
      <c r="M2112" s="10">
        <f t="shared" si="125"/>
        <v>4.3252595155709344</v>
      </c>
    </row>
    <row r="2113" spans="1:13" ht="15" hidden="1" customHeight="1" x14ac:dyDescent="0.3">
      <c r="A2113" s="9">
        <v>3532</v>
      </c>
      <c r="B2113" t="s">
        <v>328</v>
      </c>
      <c r="C2113" s="25">
        <v>44675</v>
      </c>
      <c r="D2113" s="26">
        <v>1.3078703703703703E-2</v>
      </c>
      <c r="E2113" t="s">
        <v>27</v>
      </c>
      <c r="F2113" t="s">
        <v>210</v>
      </c>
      <c r="G2113" t="s">
        <v>211</v>
      </c>
      <c r="H2113" t="s">
        <v>138</v>
      </c>
      <c r="I2113" s="4">
        <v>430.19</v>
      </c>
      <c r="J2113" s="32">
        <v>0</v>
      </c>
      <c r="K2113" s="89">
        <f t="shared" si="124"/>
        <v>587</v>
      </c>
      <c r="L2113" s="33">
        <v>587</v>
      </c>
      <c r="M2113" s="10">
        <f t="shared" si="125"/>
        <v>73.2862010221465</v>
      </c>
    </row>
    <row r="2114" spans="1:13" ht="15" hidden="1" customHeight="1" x14ac:dyDescent="0.3">
      <c r="A2114" s="9">
        <v>3533</v>
      </c>
      <c r="B2114" t="s">
        <v>328</v>
      </c>
      <c r="C2114" s="25">
        <v>44676</v>
      </c>
      <c r="D2114" s="26">
        <v>0.30428240740740742</v>
      </c>
      <c r="E2114" t="s">
        <v>27</v>
      </c>
      <c r="F2114" t="s">
        <v>165</v>
      </c>
      <c r="G2114" t="s">
        <v>185</v>
      </c>
      <c r="H2114" t="s">
        <v>138</v>
      </c>
      <c r="I2114">
        <v>294</v>
      </c>
      <c r="J2114" s="32">
        <v>0</v>
      </c>
      <c r="K2114" s="89">
        <f t="shared" si="124"/>
        <v>549.86</v>
      </c>
      <c r="L2114" s="7">
        <v>549.86</v>
      </c>
      <c r="M2114" s="10">
        <f t="shared" si="125"/>
        <v>53.46815553049867</v>
      </c>
    </row>
    <row r="2115" spans="1:13" ht="15" hidden="1" customHeight="1" x14ac:dyDescent="0.3">
      <c r="A2115" s="9">
        <v>3534</v>
      </c>
      <c r="B2115" t="s">
        <v>328</v>
      </c>
      <c r="C2115" s="25">
        <v>44677</v>
      </c>
      <c r="D2115" s="26">
        <v>0.71884259259259264</v>
      </c>
      <c r="E2115" t="s">
        <v>27</v>
      </c>
      <c r="F2115" t="s">
        <v>202</v>
      </c>
      <c r="G2115" t="s">
        <v>203</v>
      </c>
      <c r="H2115" t="s">
        <v>138</v>
      </c>
      <c r="I2115">
        <v>100</v>
      </c>
      <c r="J2115" s="32">
        <v>0</v>
      </c>
      <c r="K2115" s="89">
        <f t="shared" si="124"/>
        <v>1055</v>
      </c>
      <c r="L2115" s="31">
        <v>1055</v>
      </c>
      <c r="M2115" s="10">
        <f t="shared" si="125"/>
        <v>9.4786729857819907</v>
      </c>
    </row>
    <row r="2116" spans="1:13" ht="15" hidden="1" customHeight="1" x14ac:dyDescent="0.3">
      <c r="A2116" s="9">
        <v>3535</v>
      </c>
      <c r="B2116" t="s">
        <v>328</v>
      </c>
      <c r="C2116" s="25">
        <v>44678</v>
      </c>
      <c r="D2116" s="26">
        <v>2.7743055555555559E-2</v>
      </c>
      <c r="E2116" t="s">
        <v>27</v>
      </c>
      <c r="F2116" t="s">
        <v>396</v>
      </c>
      <c r="G2116" t="s">
        <v>397</v>
      </c>
      <c r="H2116" t="s">
        <v>138</v>
      </c>
      <c r="I2116">
        <v>200</v>
      </c>
      <c r="J2116" s="33">
        <v>0</v>
      </c>
      <c r="K2116" s="89">
        <f t="shared" si="124"/>
        <v>351.85</v>
      </c>
      <c r="L2116" s="7">
        <v>351.85</v>
      </c>
      <c r="M2116" s="10">
        <f t="shared" si="125"/>
        <v>56.842404433707536</v>
      </c>
    </row>
    <row r="2117" spans="1:13" ht="15" hidden="1" customHeight="1" x14ac:dyDescent="0.3">
      <c r="A2117" s="9">
        <v>3536</v>
      </c>
      <c r="B2117" t="s">
        <v>328</v>
      </c>
      <c r="C2117" s="25">
        <v>44679</v>
      </c>
      <c r="D2117" s="26">
        <v>0.10194444444444445</v>
      </c>
      <c r="E2117" t="s">
        <v>27</v>
      </c>
      <c r="F2117" t="s">
        <v>210</v>
      </c>
      <c r="G2117" t="s">
        <v>211</v>
      </c>
      <c r="H2117" t="s">
        <v>138</v>
      </c>
      <c r="I2117">
        <v>487.09</v>
      </c>
      <c r="J2117" s="33">
        <v>0</v>
      </c>
      <c r="K2117" s="89">
        <f t="shared" si="124"/>
        <v>739.54</v>
      </c>
      <c r="L2117" s="7">
        <v>739.54</v>
      </c>
      <c r="M2117" s="10">
        <f t="shared" si="125"/>
        <v>65.86391540687454</v>
      </c>
    </row>
    <row r="2118" spans="1:13" ht="15" hidden="1" customHeight="1" x14ac:dyDescent="0.3">
      <c r="A2118" s="9">
        <v>3742</v>
      </c>
      <c r="B2118" t="s">
        <v>328</v>
      </c>
      <c r="C2118" s="25">
        <v>44683</v>
      </c>
      <c r="D2118" s="26">
        <v>0.95475694444444448</v>
      </c>
      <c r="E2118" t="s">
        <v>28</v>
      </c>
      <c r="F2118" t="s">
        <v>210</v>
      </c>
      <c r="G2118" t="s">
        <v>211</v>
      </c>
      <c r="H2118" t="s">
        <v>138</v>
      </c>
      <c r="I2118">
        <v>367.26</v>
      </c>
      <c r="J2118" s="33">
        <v>0</v>
      </c>
      <c r="K2118" s="89">
        <f>+L2118-J2249</f>
        <v>606.85</v>
      </c>
      <c r="L2118" s="32">
        <v>606.85</v>
      </c>
      <c r="M2118" s="10">
        <f t="shared" si="125"/>
        <v>60.519073906237118</v>
      </c>
    </row>
    <row r="2119" spans="1:13" ht="15" hidden="1" customHeight="1" x14ac:dyDescent="0.3">
      <c r="A2119" s="9">
        <v>3903</v>
      </c>
      <c r="B2119" t="s">
        <v>328</v>
      </c>
      <c r="C2119" s="25">
        <v>44686</v>
      </c>
      <c r="D2119" s="26">
        <v>0.79299768518518521</v>
      </c>
      <c r="E2119" t="s">
        <v>28</v>
      </c>
      <c r="F2119" t="s">
        <v>175</v>
      </c>
      <c r="G2119" t="s">
        <v>172</v>
      </c>
      <c r="H2119" t="s">
        <v>138</v>
      </c>
      <c r="I2119">
        <v>357.9</v>
      </c>
      <c r="J2119" s="33">
        <v>0</v>
      </c>
      <c r="K2119" s="89">
        <f>+L2119-J2247</f>
        <v>993</v>
      </c>
      <c r="L2119" s="32">
        <v>993</v>
      </c>
      <c r="M2119" s="10">
        <f t="shared" si="125"/>
        <v>36.042296072507554</v>
      </c>
    </row>
    <row r="2120" spans="1:13" ht="15" hidden="1" customHeight="1" x14ac:dyDescent="0.3">
      <c r="A2120" s="9">
        <v>3943</v>
      </c>
      <c r="B2120" t="s">
        <v>328</v>
      </c>
      <c r="C2120" s="25">
        <v>44687</v>
      </c>
      <c r="D2120" s="26">
        <v>0.50618055555555552</v>
      </c>
      <c r="E2120" t="s">
        <v>28</v>
      </c>
      <c r="F2120" t="s">
        <v>166</v>
      </c>
      <c r="G2120" t="s">
        <v>161</v>
      </c>
      <c r="H2120" t="s">
        <v>138</v>
      </c>
      <c r="I2120">
        <v>332.62</v>
      </c>
      <c r="J2120" s="33">
        <v>0</v>
      </c>
      <c r="K2120" s="89">
        <f>+L2120-J2248</f>
        <v>766</v>
      </c>
      <c r="L2120" s="32">
        <v>766</v>
      </c>
      <c r="M2120" s="10">
        <f t="shared" si="125"/>
        <v>43.422976501305484</v>
      </c>
    </row>
    <row r="2121" spans="1:13" ht="15" hidden="1" customHeight="1" x14ac:dyDescent="0.3">
      <c r="A2121" s="9">
        <v>4053</v>
      </c>
      <c r="B2121" t="s">
        <v>328</v>
      </c>
      <c r="C2121" s="25">
        <v>44689</v>
      </c>
      <c r="D2121" s="26">
        <v>0.33812500000000001</v>
      </c>
      <c r="E2121" t="s">
        <v>28</v>
      </c>
      <c r="F2121" t="s">
        <v>210</v>
      </c>
      <c r="G2121" t="s">
        <v>211</v>
      </c>
      <c r="H2121" t="s">
        <v>138</v>
      </c>
      <c r="I2121">
        <v>441.53</v>
      </c>
      <c r="J2121" s="32">
        <v>0</v>
      </c>
      <c r="K2121" s="89">
        <f>+L2121-J2249</f>
        <v>209</v>
      </c>
      <c r="L2121" s="32">
        <v>209</v>
      </c>
      <c r="M2121" s="10">
        <f t="shared" si="125"/>
        <v>211.25837320574163</v>
      </c>
    </row>
    <row r="2122" spans="1:13" ht="15" hidden="1" customHeight="1" x14ac:dyDescent="0.3">
      <c r="A2122" s="9">
        <v>4146</v>
      </c>
      <c r="B2122" t="s">
        <v>328</v>
      </c>
      <c r="C2122" s="25">
        <v>44691</v>
      </c>
      <c r="D2122" s="26">
        <v>0.36636574074074074</v>
      </c>
      <c r="E2122" t="s">
        <v>28</v>
      </c>
      <c r="F2122" t="s">
        <v>171</v>
      </c>
      <c r="G2122" t="s">
        <v>172</v>
      </c>
      <c r="H2122" t="s">
        <v>138</v>
      </c>
      <c r="I2122">
        <v>404.95</v>
      </c>
      <c r="J2122" s="55">
        <v>0</v>
      </c>
      <c r="K2122" s="89">
        <f>+L2122-J2252</f>
        <v>1209</v>
      </c>
      <c r="L2122" s="37">
        <v>1209</v>
      </c>
      <c r="M2122" s="10">
        <f t="shared" si="125"/>
        <v>33.494623655913983</v>
      </c>
    </row>
    <row r="2123" spans="1:13" ht="15" hidden="1" customHeight="1" x14ac:dyDescent="0.3">
      <c r="A2123" s="9">
        <v>4190</v>
      </c>
      <c r="B2123" t="s">
        <v>328</v>
      </c>
      <c r="C2123" s="25">
        <v>44692</v>
      </c>
      <c r="D2123" s="26">
        <v>0.54987268518518517</v>
      </c>
      <c r="E2123" t="s">
        <v>28</v>
      </c>
      <c r="F2123" t="s">
        <v>210</v>
      </c>
      <c r="G2123" t="s">
        <v>211</v>
      </c>
      <c r="H2123" t="s">
        <v>138</v>
      </c>
      <c r="I2123">
        <v>400.58</v>
      </c>
      <c r="J2123" s="55">
        <v>0</v>
      </c>
      <c r="K2123" s="89">
        <f>+L2123-J2254</f>
        <v>727</v>
      </c>
      <c r="L2123" s="32">
        <v>727</v>
      </c>
      <c r="M2123" s="10">
        <f t="shared" si="125"/>
        <v>55.100412654745526</v>
      </c>
    </row>
    <row r="2124" spans="1:13" ht="15" hidden="1" customHeight="1" x14ac:dyDescent="0.3">
      <c r="A2124" s="9">
        <v>4234</v>
      </c>
      <c r="B2124" t="s">
        <v>328</v>
      </c>
      <c r="C2124" s="25">
        <v>44693</v>
      </c>
      <c r="D2124" s="26">
        <v>0.95603009259259253</v>
      </c>
      <c r="E2124" t="s">
        <v>28</v>
      </c>
      <c r="F2124" t="s">
        <v>165</v>
      </c>
      <c r="G2124" t="s">
        <v>185</v>
      </c>
      <c r="H2124" t="s">
        <v>138</v>
      </c>
      <c r="I2124">
        <v>425.58</v>
      </c>
      <c r="J2124" s="55">
        <v>0</v>
      </c>
      <c r="K2124" s="89">
        <f>+L2124-J2255</f>
        <v>955</v>
      </c>
      <c r="L2124" s="32">
        <v>955</v>
      </c>
      <c r="M2124" s="10"/>
    </row>
    <row r="2125" spans="1:13" ht="15" hidden="1" customHeight="1" x14ac:dyDescent="0.3">
      <c r="A2125" s="9">
        <v>4354</v>
      </c>
      <c r="B2125" t="s">
        <v>328</v>
      </c>
      <c r="C2125" s="25">
        <v>44695</v>
      </c>
      <c r="D2125" s="26">
        <v>0.80776620370370367</v>
      </c>
      <c r="E2125" t="s">
        <v>28</v>
      </c>
      <c r="F2125" t="s">
        <v>165</v>
      </c>
      <c r="G2125" t="s">
        <v>185</v>
      </c>
      <c r="H2125" t="s">
        <v>138</v>
      </c>
      <c r="I2125">
        <v>384.01</v>
      </c>
      <c r="J2125" s="55">
        <v>0</v>
      </c>
      <c r="K2125" s="89">
        <f>+L2125-J2256</f>
        <v>915</v>
      </c>
      <c r="L2125" s="33">
        <v>915</v>
      </c>
      <c r="M2125" s="10">
        <f t="shared" ref="M2125:M2154" si="126">I2125/K2125*100</f>
        <v>41.968306010928963</v>
      </c>
    </row>
    <row r="2126" spans="1:13" ht="15" hidden="1" customHeight="1" x14ac:dyDescent="0.3">
      <c r="A2126" s="9">
        <v>4479</v>
      </c>
      <c r="B2126" t="s">
        <v>328</v>
      </c>
      <c r="C2126" s="25">
        <v>44697</v>
      </c>
      <c r="D2126" s="26">
        <v>0.71429398148148149</v>
      </c>
      <c r="E2126" t="s">
        <v>28</v>
      </c>
      <c r="F2126" t="s">
        <v>202</v>
      </c>
      <c r="G2126" t="s">
        <v>203</v>
      </c>
      <c r="H2126" t="s">
        <v>138</v>
      </c>
      <c r="I2126">
        <v>200</v>
      </c>
      <c r="J2126" s="55">
        <v>0</v>
      </c>
      <c r="K2126" s="89">
        <f>+L2126-J2257</f>
        <v>1054</v>
      </c>
      <c r="L2126" s="32">
        <v>1054</v>
      </c>
      <c r="M2126" s="10">
        <f t="shared" si="126"/>
        <v>18.975332068311197</v>
      </c>
    </row>
    <row r="2127" spans="1:13" ht="15" hidden="1" customHeight="1" x14ac:dyDescent="0.3">
      <c r="A2127" s="9">
        <v>4525</v>
      </c>
      <c r="B2127" t="s">
        <v>328</v>
      </c>
      <c r="C2127" s="25">
        <v>44698</v>
      </c>
      <c r="D2127" s="26">
        <v>0.36789351851851854</v>
      </c>
      <c r="E2127" t="s">
        <v>28</v>
      </c>
      <c r="F2127" t="s">
        <v>165</v>
      </c>
      <c r="G2127" t="s">
        <v>185</v>
      </c>
      <c r="H2127" t="s">
        <v>138</v>
      </c>
      <c r="I2127">
        <v>260.70999999999998</v>
      </c>
      <c r="J2127" s="55">
        <v>0</v>
      </c>
      <c r="K2127" s="89">
        <f>+L2127-J2398</f>
        <v>574</v>
      </c>
      <c r="L2127" s="33">
        <v>574</v>
      </c>
      <c r="M2127" s="10">
        <f t="shared" si="126"/>
        <v>45.419860627177698</v>
      </c>
    </row>
    <row r="2128" spans="1:13" ht="15" hidden="1" customHeight="1" x14ac:dyDescent="0.3">
      <c r="A2128" s="9">
        <v>4526</v>
      </c>
      <c r="B2128" t="s">
        <v>328</v>
      </c>
      <c r="C2128" s="25">
        <v>44698</v>
      </c>
      <c r="D2128" s="26">
        <v>0.94291666666666663</v>
      </c>
      <c r="E2128" t="s">
        <v>28</v>
      </c>
      <c r="F2128" t="s">
        <v>210</v>
      </c>
      <c r="G2128" t="s">
        <v>211</v>
      </c>
      <c r="H2128" t="s">
        <v>138</v>
      </c>
      <c r="I2128">
        <v>352.59</v>
      </c>
      <c r="J2128" s="32">
        <v>0</v>
      </c>
      <c r="K2128" s="89">
        <f>+L2128-J2399</f>
        <v>514</v>
      </c>
      <c r="L2128" s="32">
        <v>514</v>
      </c>
      <c r="M2128" s="10">
        <f t="shared" si="126"/>
        <v>68.597276264591429</v>
      </c>
    </row>
    <row r="2129" spans="1:13" ht="15" hidden="1" customHeight="1" x14ac:dyDescent="0.3">
      <c r="A2129" s="9">
        <v>4687</v>
      </c>
      <c r="B2129" t="s">
        <v>328</v>
      </c>
      <c r="C2129" s="25">
        <v>44701</v>
      </c>
      <c r="D2129" s="26">
        <v>0.42920138888888887</v>
      </c>
      <c r="E2129" t="s">
        <v>28</v>
      </c>
      <c r="F2129" t="s">
        <v>262</v>
      </c>
      <c r="G2129" t="s">
        <v>263</v>
      </c>
      <c r="H2129" t="s">
        <v>138</v>
      </c>
      <c r="I2129">
        <v>200</v>
      </c>
      <c r="J2129" s="32">
        <v>0</v>
      </c>
      <c r="K2129" s="99">
        <f>+L2129-J2349</f>
        <v>872</v>
      </c>
      <c r="L2129" s="33">
        <v>872</v>
      </c>
      <c r="M2129" s="10">
        <f t="shared" si="126"/>
        <v>22.935779816513762</v>
      </c>
    </row>
    <row r="2130" spans="1:13" ht="15" hidden="1" customHeight="1" x14ac:dyDescent="0.3">
      <c r="A2130" s="9">
        <v>4747</v>
      </c>
      <c r="B2130" t="s">
        <v>328</v>
      </c>
      <c r="C2130" s="25">
        <v>44702</v>
      </c>
      <c r="D2130" s="26">
        <v>0.86214120370370362</v>
      </c>
      <c r="E2130" t="s">
        <v>28</v>
      </c>
      <c r="F2130" t="s">
        <v>197</v>
      </c>
      <c r="G2130" t="s">
        <v>44</v>
      </c>
      <c r="H2130" t="s">
        <v>138</v>
      </c>
      <c r="I2130">
        <v>144.63999999999999</v>
      </c>
      <c r="J2130" s="37">
        <v>0</v>
      </c>
      <c r="K2130" s="97">
        <f>+L2130-J2350</f>
        <v>314</v>
      </c>
      <c r="L2130" s="32">
        <v>314</v>
      </c>
      <c r="M2130" s="10">
        <f t="shared" si="126"/>
        <v>46.06369426751592</v>
      </c>
    </row>
    <row r="2131" spans="1:13" ht="15" hidden="1" customHeight="1" x14ac:dyDescent="0.3">
      <c r="A2131" s="9">
        <v>4803</v>
      </c>
      <c r="B2131" t="s">
        <v>328</v>
      </c>
      <c r="C2131" s="25">
        <v>44703</v>
      </c>
      <c r="D2131" s="26">
        <v>0.21429398148148149</v>
      </c>
      <c r="E2131" t="s">
        <v>28</v>
      </c>
      <c r="F2131" t="s">
        <v>166</v>
      </c>
      <c r="G2131" t="s">
        <v>161</v>
      </c>
      <c r="H2131" t="s">
        <v>138</v>
      </c>
      <c r="I2131">
        <v>367.27</v>
      </c>
      <c r="J2131" s="37">
        <v>0</v>
      </c>
      <c r="K2131" s="97">
        <f>+L2131-J2343</f>
        <v>510</v>
      </c>
      <c r="L2131" s="32">
        <v>510</v>
      </c>
      <c r="M2131" s="10">
        <f t="shared" si="126"/>
        <v>72.01372549019608</v>
      </c>
    </row>
    <row r="2132" spans="1:13" ht="15" hidden="1" customHeight="1" x14ac:dyDescent="0.3">
      <c r="A2132" s="9">
        <v>4847</v>
      </c>
      <c r="B2132" t="s">
        <v>328</v>
      </c>
      <c r="C2132" s="25">
        <v>44704</v>
      </c>
      <c r="D2132" s="26">
        <v>0.57091435185185191</v>
      </c>
      <c r="E2132" t="s">
        <v>28</v>
      </c>
      <c r="F2132" t="s">
        <v>210</v>
      </c>
      <c r="G2132" t="s">
        <v>211</v>
      </c>
      <c r="H2132" t="s">
        <v>138</v>
      </c>
      <c r="I2132">
        <v>475.36</v>
      </c>
      <c r="J2132" s="55">
        <v>0</v>
      </c>
      <c r="K2132" s="93">
        <f>+L2132-J2344</f>
        <v>1147</v>
      </c>
      <c r="L2132" s="37">
        <v>1147</v>
      </c>
      <c r="M2132" s="10">
        <f t="shared" si="126"/>
        <v>41.443766346992156</v>
      </c>
    </row>
    <row r="2133" spans="1:13" ht="15" hidden="1" customHeight="1" x14ac:dyDescent="0.3">
      <c r="A2133" s="9">
        <v>5006</v>
      </c>
      <c r="B2133" t="s">
        <v>328</v>
      </c>
      <c r="C2133" s="25">
        <v>44707</v>
      </c>
      <c r="D2133" s="26">
        <v>0.36780092592592589</v>
      </c>
      <c r="E2133" t="s">
        <v>28</v>
      </c>
      <c r="F2133" t="s">
        <v>641</v>
      </c>
      <c r="G2133" t="s">
        <v>172</v>
      </c>
      <c r="H2133" t="s">
        <v>138</v>
      </c>
      <c r="I2133">
        <v>383.75</v>
      </c>
      <c r="J2133" s="55">
        <v>0</v>
      </c>
      <c r="K2133" s="96">
        <f>+L2133-J2345</f>
        <v>1187</v>
      </c>
      <c r="L2133" s="7">
        <v>1187</v>
      </c>
      <c r="M2133" s="10">
        <f t="shared" si="126"/>
        <v>32.329401853411966</v>
      </c>
    </row>
    <row r="2134" spans="1:13" ht="15" hidden="1" customHeight="1" x14ac:dyDescent="0.3">
      <c r="A2134" s="9">
        <v>5115</v>
      </c>
      <c r="B2134" t="s">
        <v>328</v>
      </c>
      <c r="C2134" s="25">
        <v>44709</v>
      </c>
      <c r="D2134" s="26">
        <v>0.8627083333333333</v>
      </c>
      <c r="E2134" t="s">
        <v>28</v>
      </c>
      <c r="F2134" t="s">
        <v>632</v>
      </c>
      <c r="G2134" t="s">
        <v>161</v>
      </c>
      <c r="H2134" t="s">
        <v>138</v>
      </c>
      <c r="I2134">
        <v>408.31</v>
      </c>
      <c r="J2134" s="53">
        <v>0</v>
      </c>
      <c r="K2134" s="96">
        <f>+L2134-J2346</f>
        <v>819</v>
      </c>
      <c r="L2134" s="31">
        <v>819</v>
      </c>
      <c r="M2134" s="10">
        <f t="shared" si="126"/>
        <v>49.854700854700859</v>
      </c>
    </row>
    <row r="2135" spans="1:13" ht="15" hidden="1" customHeight="1" x14ac:dyDescent="0.3">
      <c r="A2135" s="9">
        <v>5173</v>
      </c>
      <c r="B2135" t="s">
        <v>328</v>
      </c>
      <c r="C2135" s="25">
        <v>44710</v>
      </c>
      <c r="D2135" s="26">
        <v>0.83831018518518519</v>
      </c>
      <c r="E2135" t="s">
        <v>28</v>
      </c>
      <c r="F2135" t="s">
        <v>635</v>
      </c>
      <c r="G2135" t="s">
        <v>185</v>
      </c>
      <c r="H2135" t="s">
        <v>138</v>
      </c>
      <c r="I2135">
        <v>308.01</v>
      </c>
      <c r="J2135" s="37">
        <v>0</v>
      </c>
      <c r="K2135" s="97">
        <f>+L2135-J2420</f>
        <v>590</v>
      </c>
      <c r="L2135" s="7">
        <v>590</v>
      </c>
      <c r="M2135" s="10">
        <f t="shared" si="126"/>
        <v>52.205084745762711</v>
      </c>
    </row>
    <row r="2136" spans="1:13" ht="15" hidden="1" customHeight="1" x14ac:dyDescent="0.3">
      <c r="A2136" s="9">
        <v>5259</v>
      </c>
      <c r="B2136" t="s">
        <v>328</v>
      </c>
      <c r="C2136" s="25">
        <v>44712</v>
      </c>
      <c r="D2136" s="26">
        <v>3.7268518518518514E-3</v>
      </c>
      <c r="E2136" t="s">
        <v>28</v>
      </c>
      <c r="F2136" t="s">
        <v>634</v>
      </c>
      <c r="G2136" t="s">
        <v>211</v>
      </c>
      <c r="H2136" t="s">
        <v>138</v>
      </c>
      <c r="I2136">
        <v>264.77999999999997</v>
      </c>
      <c r="J2136" s="32">
        <v>0</v>
      </c>
      <c r="K2136" s="90">
        <f>+L2136-J2415</f>
        <v>607</v>
      </c>
      <c r="L2136" s="7">
        <v>607</v>
      </c>
      <c r="M2136" s="10">
        <f t="shared" si="126"/>
        <v>43.621087314662269</v>
      </c>
    </row>
    <row r="2137" spans="1:13" ht="15" hidden="1" customHeight="1" x14ac:dyDescent="0.3">
      <c r="A2137" s="9">
        <v>5377</v>
      </c>
      <c r="B2137" t="s">
        <v>328</v>
      </c>
      <c r="C2137" s="25">
        <v>44714</v>
      </c>
      <c r="D2137" s="26">
        <v>0.37906250000000002</v>
      </c>
      <c r="E2137" t="s">
        <v>29</v>
      </c>
      <c r="F2137" t="s">
        <v>651</v>
      </c>
      <c r="G2137" t="s">
        <v>172</v>
      </c>
      <c r="H2137" t="s">
        <v>138</v>
      </c>
      <c r="I2137">
        <v>427.54</v>
      </c>
      <c r="J2137" s="32">
        <v>0</v>
      </c>
      <c r="K2137" s="99">
        <f>+L2137-J2411</f>
        <v>1129</v>
      </c>
      <c r="L2137" s="31">
        <v>1129</v>
      </c>
      <c r="M2137" s="10">
        <f t="shared" si="126"/>
        <v>37.868910540301151</v>
      </c>
    </row>
    <row r="2138" spans="1:13" ht="15" hidden="1" customHeight="1" x14ac:dyDescent="0.3">
      <c r="A2138" s="9">
        <v>5431</v>
      </c>
      <c r="B2138" t="s">
        <v>328</v>
      </c>
      <c r="C2138" s="25">
        <v>44715</v>
      </c>
      <c r="D2138" s="26">
        <v>6.3530092592592582E-2</v>
      </c>
      <c r="E2138" t="s">
        <v>29</v>
      </c>
      <c r="F2138" t="s">
        <v>632</v>
      </c>
      <c r="G2138" t="s">
        <v>161</v>
      </c>
      <c r="H2138" t="s">
        <v>138</v>
      </c>
      <c r="I2138">
        <v>261.61</v>
      </c>
      <c r="J2138" s="53">
        <v>0</v>
      </c>
      <c r="K2138" s="89">
        <f>+L2138-J2401</f>
        <v>613</v>
      </c>
      <c r="L2138" s="7">
        <v>613</v>
      </c>
      <c r="M2138" s="10">
        <f t="shared" si="126"/>
        <v>42.676998368678632</v>
      </c>
    </row>
    <row r="2139" spans="1:13" ht="15" hidden="1" customHeight="1" x14ac:dyDescent="0.3">
      <c r="A2139" s="9">
        <v>5432</v>
      </c>
      <c r="B2139" t="s">
        <v>328</v>
      </c>
      <c r="C2139" s="25">
        <v>44715</v>
      </c>
      <c r="D2139" s="26">
        <v>0.83074074074074078</v>
      </c>
      <c r="E2139" t="s">
        <v>29</v>
      </c>
      <c r="F2139" t="s">
        <v>635</v>
      </c>
      <c r="G2139" t="s">
        <v>185</v>
      </c>
      <c r="H2139" t="s">
        <v>138</v>
      </c>
      <c r="I2139">
        <v>298.44</v>
      </c>
      <c r="J2139" s="53">
        <v>0</v>
      </c>
      <c r="K2139" s="89">
        <f>+L2139-J2402</f>
        <v>591</v>
      </c>
      <c r="L2139" s="7">
        <v>591</v>
      </c>
      <c r="M2139" s="10">
        <f t="shared" si="126"/>
        <v>50.497461928934008</v>
      </c>
    </row>
    <row r="2140" spans="1:13" ht="15" hidden="1" customHeight="1" x14ac:dyDescent="0.3">
      <c r="A2140" s="9">
        <v>5486</v>
      </c>
      <c r="B2140" t="s">
        <v>328</v>
      </c>
      <c r="C2140" s="25">
        <v>44716</v>
      </c>
      <c r="D2140" s="26">
        <v>0.82236111111111121</v>
      </c>
      <c r="E2140" t="s">
        <v>29</v>
      </c>
      <c r="F2140" t="s">
        <v>632</v>
      </c>
      <c r="G2140" t="s">
        <v>161</v>
      </c>
      <c r="H2140" t="s">
        <v>138</v>
      </c>
      <c r="I2140">
        <v>281.58999999999997</v>
      </c>
      <c r="J2140" s="53">
        <v>0</v>
      </c>
      <c r="K2140" s="96">
        <f>+L2140-J2403</f>
        <v>682</v>
      </c>
      <c r="L2140" s="31">
        <v>682</v>
      </c>
      <c r="M2140" s="10">
        <f t="shared" si="126"/>
        <v>41.28885630498533</v>
      </c>
    </row>
    <row r="2141" spans="1:13" ht="15" hidden="1" customHeight="1" x14ac:dyDescent="0.3">
      <c r="A2141" s="9">
        <v>5629</v>
      </c>
      <c r="B2141" t="s">
        <v>328</v>
      </c>
      <c r="C2141" s="25">
        <v>44719</v>
      </c>
      <c r="D2141" s="26">
        <v>0.23407407407407407</v>
      </c>
      <c r="E2141" t="s">
        <v>29</v>
      </c>
      <c r="F2141" t="s">
        <v>638</v>
      </c>
      <c r="G2141" t="s">
        <v>263</v>
      </c>
      <c r="H2141" t="s">
        <v>138</v>
      </c>
      <c r="I2141">
        <v>200</v>
      </c>
      <c r="J2141" s="53">
        <v>0</v>
      </c>
      <c r="K2141" s="89">
        <f>+L2141-J1700</f>
        <v>774</v>
      </c>
      <c r="L2141" s="7">
        <v>774</v>
      </c>
      <c r="M2141" s="10">
        <f t="shared" si="126"/>
        <v>25.839793281653744</v>
      </c>
    </row>
    <row r="2142" spans="1:13" ht="15" hidden="1" customHeight="1" x14ac:dyDescent="0.3">
      <c r="A2142" s="9">
        <v>5685</v>
      </c>
      <c r="B2142" t="s">
        <v>328</v>
      </c>
      <c r="C2142" s="25">
        <v>44720</v>
      </c>
      <c r="D2142" s="26">
        <v>0.59966435185185185</v>
      </c>
      <c r="E2142" t="s">
        <v>29</v>
      </c>
      <c r="F2142" t="s">
        <v>662</v>
      </c>
      <c r="G2142" t="s">
        <v>542</v>
      </c>
      <c r="H2142" t="s">
        <v>138</v>
      </c>
      <c r="I2142">
        <v>50</v>
      </c>
      <c r="J2142" s="33">
        <v>0</v>
      </c>
      <c r="K2142" s="100">
        <f t="shared" ref="K2142:K2148" si="127">+L2142-J1737</f>
        <v>93</v>
      </c>
      <c r="L2142" s="34">
        <v>93</v>
      </c>
      <c r="M2142" s="10">
        <f t="shared" si="126"/>
        <v>53.763440860215049</v>
      </c>
    </row>
    <row r="2143" spans="1:13" ht="15" hidden="1" customHeight="1" x14ac:dyDescent="0.3">
      <c r="A2143" s="9">
        <v>5686</v>
      </c>
      <c r="B2143" t="s">
        <v>328</v>
      </c>
      <c r="C2143" s="25">
        <v>44720</v>
      </c>
      <c r="D2143" s="26">
        <v>0.71232638888888899</v>
      </c>
      <c r="E2143" t="s">
        <v>29</v>
      </c>
      <c r="F2143" t="s">
        <v>654</v>
      </c>
      <c r="G2143" t="s">
        <v>303</v>
      </c>
      <c r="H2143" t="s">
        <v>138</v>
      </c>
      <c r="I2143">
        <v>150</v>
      </c>
      <c r="J2143" s="33">
        <v>0</v>
      </c>
      <c r="K2143" s="99">
        <f t="shared" si="127"/>
        <v>105</v>
      </c>
      <c r="L2143" s="7">
        <v>105</v>
      </c>
      <c r="M2143" s="10">
        <f t="shared" si="126"/>
        <v>142.85714285714286</v>
      </c>
    </row>
    <row r="2144" spans="1:13" ht="15" hidden="1" customHeight="1" x14ac:dyDescent="0.3">
      <c r="A2144" s="9">
        <v>5687</v>
      </c>
      <c r="B2144" t="s">
        <v>328</v>
      </c>
      <c r="C2144" s="25">
        <v>44720</v>
      </c>
      <c r="D2144" s="26">
        <v>0.85703703703703704</v>
      </c>
      <c r="E2144" t="s">
        <v>29</v>
      </c>
      <c r="F2144" t="s">
        <v>672</v>
      </c>
      <c r="G2144" t="s">
        <v>367</v>
      </c>
      <c r="H2144" t="s">
        <v>138</v>
      </c>
      <c r="I2144">
        <v>50.08</v>
      </c>
      <c r="J2144" s="33">
        <v>0</v>
      </c>
      <c r="K2144" s="99">
        <f t="shared" si="127"/>
        <v>231</v>
      </c>
      <c r="L2144" s="7">
        <v>231</v>
      </c>
      <c r="M2144" s="10">
        <f t="shared" si="126"/>
        <v>21.679653679653679</v>
      </c>
    </row>
    <row r="2145" spans="1:19" ht="15" hidden="1" customHeight="1" x14ac:dyDescent="0.3">
      <c r="A2145" s="9">
        <v>5688</v>
      </c>
      <c r="B2145" t="s">
        <v>328</v>
      </c>
      <c r="C2145" s="25">
        <v>44720</v>
      </c>
      <c r="D2145" s="26">
        <v>0.98326388888888883</v>
      </c>
      <c r="E2145" t="s">
        <v>29</v>
      </c>
      <c r="F2145" t="s">
        <v>634</v>
      </c>
      <c r="G2145" t="s">
        <v>211</v>
      </c>
      <c r="H2145" t="s">
        <v>138</v>
      </c>
      <c r="I2145">
        <v>261.69</v>
      </c>
      <c r="J2145" s="32">
        <v>0</v>
      </c>
      <c r="K2145" s="97">
        <f t="shared" si="127"/>
        <v>199</v>
      </c>
      <c r="L2145" s="34">
        <v>199</v>
      </c>
      <c r="M2145" s="10">
        <f t="shared" si="126"/>
        <v>131.50251256281408</v>
      </c>
    </row>
    <row r="2146" spans="1:19" ht="15" hidden="1" customHeight="1" x14ac:dyDescent="0.3">
      <c r="A2146" s="9">
        <v>5742</v>
      </c>
      <c r="B2146" t="s">
        <v>328</v>
      </c>
      <c r="C2146" s="25">
        <v>44721</v>
      </c>
      <c r="D2146" s="26">
        <v>0.94025462962962969</v>
      </c>
      <c r="E2146" t="s">
        <v>29</v>
      </c>
      <c r="F2146" t="s">
        <v>634</v>
      </c>
      <c r="G2146" t="s">
        <v>211</v>
      </c>
      <c r="H2146" t="s">
        <v>138</v>
      </c>
      <c r="I2146">
        <v>407.57</v>
      </c>
      <c r="J2146" s="33">
        <v>0</v>
      </c>
      <c r="K2146" s="89">
        <f t="shared" si="127"/>
        <v>1063</v>
      </c>
      <c r="L2146" s="31">
        <v>1063</v>
      </c>
      <c r="M2146" s="10">
        <f t="shared" si="126"/>
        <v>38.341486359360303</v>
      </c>
    </row>
    <row r="2147" spans="1:19" ht="15" hidden="1" customHeight="1" x14ac:dyDescent="0.3">
      <c r="A2147" s="9">
        <v>5846</v>
      </c>
      <c r="B2147" t="s">
        <v>328</v>
      </c>
      <c r="C2147" s="25">
        <v>44723</v>
      </c>
      <c r="D2147" s="26">
        <v>8.9953703703703702E-2</v>
      </c>
      <c r="E2147" t="s">
        <v>29</v>
      </c>
      <c r="F2147" t="s">
        <v>742</v>
      </c>
      <c r="G2147" t="s">
        <v>743</v>
      </c>
      <c r="H2147" t="s">
        <v>138</v>
      </c>
      <c r="I2147">
        <v>140</v>
      </c>
      <c r="J2147" s="32">
        <v>0</v>
      </c>
      <c r="K2147" s="89">
        <f t="shared" si="127"/>
        <v>750</v>
      </c>
      <c r="L2147" s="7">
        <v>750</v>
      </c>
      <c r="M2147" s="10">
        <f t="shared" si="126"/>
        <v>18.666666666666668</v>
      </c>
    </row>
    <row r="2148" spans="1:19" ht="15" hidden="1" customHeight="1" x14ac:dyDescent="0.3">
      <c r="A2148" s="9">
        <v>5895</v>
      </c>
      <c r="B2148" t="s">
        <v>328</v>
      </c>
      <c r="C2148" s="25">
        <v>44724</v>
      </c>
      <c r="D2148" s="26">
        <v>0.85452546296296295</v>
      </c>
      <c r="E2148" t="s">
        <v>29</v>
      </c>
      <c r="F2148" t="s">
        <v>663</v>
      </c>
      <c r="G2148" t="s">
        <v>344</v>
      </c>
      <c r="H2148" t="s">
        <v>138</v>
      </c>
      <c r="I2148">
        <v>200</v>
      </c>
      <c r="J2148" s="32">
        <v>0</v>
      </c>
      <c r="K2148" s="89">
        <f t="shared" si="127"/>
        <v>537</v>
      </c>
      <c r="L2148" s="7">
        <v>537</v>
      </c>
      <c r="M2148" s="10">
        <f t="shared" si="126"/>
        <v>37.243947858473</v>
      </c>
    </row>
    <row r="2149" spans="1:19" ht="15" hidden="1" customHeight="1" x14ac:dyDescent="0.3">
      <c r="A2149" s="9">
        <v>5955</v>
      </c>
      <c r="B2149" t="s">
        <v>328</v>
      </c>
      <c r="C2149" s="25">
        <v>44725</v>
      </c>
      <c r="D2149" s="26">
        <v>0.56406250000000002</v>
      </c>
      <c r="E2149" t="s">
        <v>29</v>
      </c>
      <c r="F2149" t="s">
        <v>634</v>
      </c>
      <c r="G2149" t="s">
        <v>211</v>
      </c>
      <c r="H2149" t="s">
        <v>138</v>
      </c>
      <c r="I2149">
        <v>408.28</v>
      </c>
      <c r="J2149" s="33">
        <v>0</v>
      </c>
      <c r="K2149" s="99">
        <f>+L2149-J1748</f>
        <v>502</v>
      </c>
      <c r="L2149" s="31">
        <v>502</v>
      </c>
      <c r="M2149" s="10">
        <f t="shared" si="126"/>
        <v>81.330677290836647</v>
      </c>
      <c r="N2149" s="2"/>
      <c r="O2149" s="2"/>
      <c r="P2149" s="2"/>
      <c r="Q2149" s="2"/>
      <c r="R2149" s="2"/>
      <c r="S2149" s="2"/>
    </row>
    <row r="2150" spans="1:19" ht="15" hidden="1" customHeight="1" x14ac:dyDescent="0.3">
      <c r="A2150" s="9">
        <v>6011</v>
      </c>
      <c r="B2150" t="s">
        <v>328</v>
      </c>
      <c r="C2150" s="25">
        <v>44726</v>
      </c>
      <c r="D2150" s="26">
        <v>0.18969907407407408</v>
      </c>
      <c r="E2150" t="s">
        <v>29</v>
      </c>
      <c r="F2150" t="s">
        <v>634</v>
      </c>
      <c r="G2150" t="s">
        <v>211</v>
      </c>
      <c r="H2150" t="s">
        <v>138</v>
      </c>
      <c r="I2150" s="148">
        <v>331.8</v>
      </c>
      <c r="J2150" s="32">
        <v>0</v>
      </c>
      <c r="K2150" s="90">
        <v>910</v>
      </c>
      <c r="L2150" s="7">
        <v>910</v>
      </c>
      <c r="M2150" s="10">
        <f t="shared" si="126"/>
        <v>36.46153846153846</v>
      </c>
    </row>
    <row r="2151" spans="1:19" ht="15" hidden="1" customHeight="1" x14ac:dyDescent="0.3">
      <c r="A2151" s="9">
        <v>6074</v>
      </c>
      <c r="B2151" t="s">
        <v>328</v>
      </c>
      <c r="C2151" s="25">
        <v>44727</v>
      </c>
      <c r="D2151" s="26">
        <v>0.50481481481481483</v>
      </c>
      <c r="E2151" t="s">
        <v>29</v>
      </c>
      <c r="F2151" t="s">
        <v>638</v>
      </c>
      <c r="G2151" t="s">
        <v>263</v>
      </c>
      <c r="H2151" t="s">
        <v>138</v>
      </c>
      <c r="I2151" s="148">
        <v>200</v>
      </c>
      <c r="J2151" s="52">
        <v>0</v>
      </c>
      <c r="K2151" s="90">
        <v>735</v>
      </c>
      <c r="L2151" s="51">
        <v>735</v>
      </c>
      <c r="M2151" s="10">
        <f t="shared" si="126"/>
        <v>27.210884353741498</v>
      </c>
    </row>
    <row r="2152" spans="1:19" ht="15" hidden="1" customHeight="1" x14ac:dyDescent="0.3">
      <c r="A2152" s="9">
        <v>6124</v>
      </c>
      <c r="B2152" t="s">
        <v>328</v>
      </c>
      <c r="C2152" s="25">
        <v>44728</v>
      </c>
      <c r="D2152" s="26">
        <v>0.68262731481481476</v>
      </c>
      <c r="E2152" t="s">
        <v>29</v>
      </c>
      <c r="F2152" t="s">
        <v>654</v>
      </c>
      <c r="G2152" t="s">
        <v>303</v>
      </c>
      <c r="H2152" t="s">
        <v>138</v>
      </c>
      <c r="I2152" s="148">
        <v>150</v>
      </c>
      <c r="J2152" s="41">
        <v>0</v>
      </c>
      <c r="K2152" s="90">
        <v>562</v>
      </c>
      <c r="L2152" s="11">
        <v>562</v>
      </c>
      <c r="M2152" s="10">
        <f t="shared" si="126"/>
        <v>26.690391459074732</v>
      </c>
    </row>
    <row r="2153" spans="1:19" ht="15" hidden="1" customHeight="1" x14ac:dyDescent="0.3">
      <c r="A2153" s="9">
        <v>6125</v>
      </c>
      <c r="B2153" t="s">
        <v>328</v>
      </c>
      <c r="C2153" s="25">
        <v>44728</v>
      </c>
      <c r="D2153" s="26">
        <v>0.98480324074074066</v>
      </c>
      <c r="E2153" t="s">
        <v>29</v>
      </c>
      <c r="F2153" t="s">
        <v>634</v>
      </c>
      <c r="G2153" t="s">
        <v>211</v>
      </c>
      <c r="H2153" t="s">
        <v>138</v>
      </c>
      <c r="I2153" s="148">
        <v>405.34</v>
      </c>
      <c r="J2153" s="69">
        <v>0</v>
      </c>
      <c r="K2153" s="90">
        <v>430</v>
      </c>
      <c r="L2153" s="11">
        <v>430</v>
      </c>
      <c r="M2153" s="10">
        <f t="shared" si="126"/>
        <v>94.265116279069758</v>
      </c>
    </row>
    <row r="2154" spans="1:19" ht="15" hidden="1" customHeight="1" x14ac:dyDescent="0.3">
      <c r="A2154" s="9">
        <v>6277</v>
      </c>
      <c r="B2154" t="s">
        <v>328</v>
      </c>
      <c r="C2154" s="25">
        <v>44732</v>
      </c>
      <c r="D2154" s="26">
        <v>0.86045138888888895</v>
      </c>
      <c r="E2154" t="s">
        <v>29</v>
      </c>
      <c r="F2154" t="s">
        <v>634</v>
      </c>
      <c r="G2154" t="s">
        <v>211</v>
      </c>
      <c r="H2154" t="s">
        <v>138</v>
      </c>
      <c r="I2154" s="148">
        <v>556</v>
      </c>
      <c r="J2154" s="112">
        <v>0</v>
      </c>
      <c r="K2154" s="99">
        <v>1159</v>
      </c>
      <c r="L2154" s="28">
        <v>1159</v>
      </c>
      <c r="M2154" s="131">
        <f t="shared" si="126"/>
        <v>47.97238999137187</v>
      </c>
    </row>
    <row r="2155" spans="1:19" ht="15" hidden="1" customHeight="1" x14ac:dyDescent="0.3">
      <c r="B2155" t="s">
        <v>361</v>
      </c>
      <c r="C2155" s="25">
        <v>44768</v>
      </c>
      <c r="D2155" s="26">
        <v>0.41789351851851847</v>
      </c>
      <c r="E2155" t="s">
        <v>30</v>
      </c>
      <c r="F2155" t="s">
        <v>492</v>
      </c>
      <c r="G2155" t="s">
        <v>44</v>
      </c>
      <c r="H2155" t="s">
        <v>176</v>
      </c>
      <c r="I2155" s="160">
        <v>400.31</v>
      </c>
      <c r="J2155" s="8"/>
      <c r="K2155" s="8"/>
      <c r="L2155" s="8"/>
      <c r="M2155" s="254"/>
    </row>
    <row r="2156" spans="1:19" ht="15" hidden="1" customHeight="1" x14ac:dyDescent="0.3">
      <c r="B2156" t="s">
        <v>361</v>
      </c>
      <c r="C2156" s="25">
        <v>44768</v>
      </c>
      <c r="D2156" s="26">
        <v>0.76165509259259256</v>
      </c>
      <c r="E2156" t="s">
        <v>30</v>
      </c>
      <c r="F2156" t="s">
        <v>166</v>
      </c>
      <c r="G2156" t="s">
        <v>161</v>
      </c>
      <c r="H2156" t="s">
        <v>176</v>
      </c>
      <c r="I2156" s="160">
        <v>222.09</v>
      </c>
      <c r="J2156" s="8"/>
      <c r="K2156" s="8"/>
      <c r="L2156" s="8"/>
      <c r="M2156" s="254"/>
    </row>
    <row r="2157" spans="1:19" ht="15" hidden="1" customHeight="1" x14ac:dyDescent="0.3">
      <c r="B2157" t="s">
        <v>361</v>
      </c>
      <c r="C2157" s="25">
        <v>44770</v>
      </c>
      <c r="D2157" s="26">
        <v>0.11269675925925926</v>
      </c>
      <c r="E2157" t="s">
        <v>30</v>
      </c>
      <c r="F2157" t="s">
        <v>210</v>
      </c>
      <c r="G2157" t="s">
        <v>211</v>
      </c>
      <c r="H2157" t="s">
        <v>176</v>
      </c>
      <c r="I2157" s="160">
        <v>412.99</v>
      </c>
      <c r="J2157" s="160">
        <f>400+222+413</f>
        <v>1035</v>
      </c>
      <c r="K2157" s="160">
        <v>5114</v>
      </c>
      <c r="L2157" s="160">
        <v>3049</v>
      </c>
      <c r="M2157" s="150">
        <f>+J2157/L2157*100</f>
        <v>33.945555919973764</v>
      </c>
    </row>
    <row r="2158" spans="1:19" ht="15" hidden="1" customHeight="1" x14ac:dyDescent="0.3">
      <c r="B2158" t="s">
        <v>361</v>
      </c>
      <c r="C2158" s="25">
        <v>44771</v>
      </c>
      <c r="D2158" s="26">
        <v>0.40038194444444447</v>
      </c>
      <c r="E2158" t="s">
        <v>30</v>
      </c>
      <c r="F2158" t="s">
        <v>536</v>
      </c>
      <c r="G2158" t="s">
        <v>415</v>
      </c>
      <c r="H2158" t="s">
        <v>176</v>
      </c>
      <c r="I2158" s="160">
        <v>290.11</v>
      </c>
      <c r="J2158" s="8"/>
      <c r="K2158" s="8"/>
      <c r="L2158" s="8"/>
      <c r="M2158" s="254"/>
    </row>
    <row r="2159" spans="1:19" ht="15" hidden="1" customHeight="1" x14ac:dyDescent="0.3">
      <c r="B2159" t="s">
        <v>361</v>
      </c>
      <c r="C2159" s="25">
        <v>44772</v>
      </c>
      <c r="D2159" s="26">
        <v>0.7181481481481482</v>
      </c>
      <c r="E2159" t="s">
        <v>30</v>
      </c>
      <c r="F2159" t="s">
        <v>210</v>
      </c>
      <c r="G2159" t="s">
        <v>211</v>
      </c>
      <c r="H2159" t="s">
        <v>176</v>
      </c>
      <c r="I2159" s="160">
        <v>364.8</v>
      </c>
      <c r="J2159" s="160">
        <f>365+290</f>
        <v>655</v>
      </c>
      <c r="K2159" s="160">
        <v>511408</v>
      </c>
      <c r="L2159" s="160">
        <v>1943</v>
      </c>
      <c r="M2159" s="198">
        <f>+J2159/L2159*100</f>
        <v>33.710756562017494</v>
      </c>
    </row>
    <row r="2160" spans="1:19" ht="15" hidden="1" customHeight="1" x14ac:dyDescent="0.3">
      <c r="A2160" s="9">
        <v>6751</v>
      </c>
      <c r="B2160" t="s">
        <v>356</v>
      </c>
      <c r="C2160" s="25">
        <v>44754</v>
      </c>
      <c r="D2160" s="26">
        <v>0.92283564814814811</v>
      </c>
      <c r="E2160" t="s">
        <v>30</v>
      </c>
      <c r="F2160" t="s">
        <v>175</v>
      </c>
      <c r="G2160" t="s">
        <v>172</v>
      </c>
      <c r="H2160" t="s">
        <v>178</v>
      </c>
      <c r="I2160" s="173" t="s">
        <v>887</v>
      </c>
      <c r="J2160" s="291"/>
      <c r="K2160" s="19"/>
      <c r="L2160" s="291"/>
      <c r="M2160" s="19"/>
    </row>
    <row r="2161" spans="1:13" ht="15" hidden="1" customHeight="1" x14ac:dyDescent="0.3">
      <c r="A2161" s="9">
        <v>6751</v>
      </c>
      <c r="B2161" t="s">
        <v>356</v>
      </c>
      <c r="C2161" s="25">
        <v>44755</v>
      </c>
      <c r="D2161" s="26">
        <v>0.74649305555555545</v>
      </c>
      <c r="E2161" t="s">
        <v>30</v>
      </c>
      <c r="F2161" t="s">
        <v>210</v>
      </c>
      <c r="G2161" t="s">
        <v>211</v>
      </c>
      <c r="H2161" t="s">
        <v>178</v>
      </c>
      <c r="I2161" s="173" t="s">
        <v>970</v>
      </c>
      <c r="J2161" s="23"/>
      <c r="K2161" s="48"/>
      <c r="L2161" s="23"/>
      <c r="M2161" s="48"/>
    </row>
    <row r="2162" spans="1:13" ht="15" hidden="1" customHeight="1" x14ac:dyDescent="0.3">
      <c r="A2162" s="9">
        <v>6263</v>
      </c>
      <c r="B2162" t="s">
        <v>252</v>
      </c>
      <c r="C2162" s="25">
        <v>44732</v>
      </c>
      <c r="D2162" s="26">
        <v>0.77503472222222225</v>
      </c>
      <c r="E2162" t="s">
        <v>29</v>
      </c>
      <c r="F2162" t="s">
        <v>634</v>
      </c>
      <c r="G2162" t="s">
        <v>211</v>
      </c>
      <c r="H2162" t="s">
        <v>220</v>
      </c>
      <c r="I2162" s="148">
        <v>206.94</v>
      </c>
      <c r="J2162" s="23">
        <f>207+260+371+83+207+140</f>
        <v>1268</v>
      </c>
      <c r="K2162" s="19">
        <v>572</v>
      </c>
      <c r="L2162" s="203">
        <v>3368</v>
      </c>
      <c r="M2162" s="243">
        <f>+J2162/L2162*100</f>
        <v>37.648456057007124</v>
      </c>
    </row>
    <row r="2163" spans="1:13" ht="15" hidden="1" customHeight="1" x14ac:dyDescent="0.3">
      <c r="A2163" s="9">
        <v>6751</v>
      </c>
      <c r="B2163" t="s">
        <v>356</v>
      </c>
      <c r="C2163" s="25">
        <v>44755</v>
      </c>
      <c r="D2163" s="26">
        <v>0.7638194444444445</v>
      </c>
      <c r="E2163" t="s">
        <v>30</v>
      </c>
      <c r="F2163" t="s">
        <v>210</v>
      </c>
      <c r="G2163" t="s">
        <v>211</v>
      </c>
      <c r="H2163" t="s">
        <v>178</v>
      </c>
      <c r="I2163" s="173" t="s">
        <v>969</v>
      </c>
      <c r="J2163" s="19"/>
      <c r="K2163" s="23"/>
      <c r="L2163" s="23"/>
      <c r="M2163" s="19"/>
    </row>
    <row r="2164" spans="1:13" ht="15" hidden="1" customHeight="1" x14ac:dyDescent="0.3">
      <c r="A2164" s="9">
        <v>6751</v>
      </c>
      <c r="B2164" t="s">
        <v>356</v>
      </c>
      <c r="C2164" s="25">
        <v>44757</v>
      </c>
      <c r="D2164" s="26">
        <v>0.80761574074074083</v>
      </c>
      <c r="E2164" t="s">
        <v>30</v>
      </c>
      <c r="F2164" t="s">
        <v>210</v>
      </c>
      <c r="G2164" t="s">
        <v>211</v>
      </c>
      <c r="H2164" t="s">
        <v>178</v>
      </c>
      <c r="I2164" s="173" t="s">
        <v>801</v>
      </c>
      <c r="J2164" s="261">
        <f>447+279+31+393+147</f>
        <v>1297</v>
      </c>
      <c r="K2164" s="151"/>
      <c r="L2164" s="261">
        <v>3177</v>
      </c>
      <c r="M2164" s="160">
        <f>+J2164/L2164*100</f>
        <v>40.824677368586713</v>
      </c>
    </row>
    <row r="2165" spans="1:13" ht="15" hidden="1" customHeight="1" x14ac:dyDescent="0.3">
      <c r="B2165" t="s">
        <v>252</v>
      </c>
      <c r="C2165" s="25">
        <v>44568</v>
      </c>
      <c r="D2165" s="26">
        <v>0.52278935185185182</v>
      </c>
      <c r="E2165" t="s">
        <v>24</v>
      </c>
      <c r="F2165" t="s">
        <v>205</v>
      </c>
      <c r="G2165" t="s">
        <v>206</v>
      </c>
      <c r="H2165" t="s">
        <v>251</v>
      </c>
      <c r="I2165">
        <v>290.68</v>
      </c>
      <c r="J2165" s="7">
        <v>0</v>
      </c>
      <c r="K2165" s="7">
        <f t="shared" ref="K2165:K2196" si="128">+L2165-J2165</f>
        <v>585.87</v>
      </c>
      <c r="L2165" s="7">
        <v>585.87</v>
      </c>
      <c r="M2165" s="10">
        <f t="shared" ref="M2165:M2196" si="129">I2165/K2165*100</f>
        <v>49.615102326454675</v>
      </c>
    </row>
    <row r="2166" spans="1:13" ht="15" hidden="1" customHeight="1" x14ac:dyDescent="0.3">
      <c r="B2166" t="s">
        <v>252</v>
      </c>
      <c r="C2166" s="25">
        <v>44569</v>
      </c>
      <c r="D2166" s="26">
        <v>0.88490740740740748</v>
      </c>
      <c r="E2166" t="s">
        <v>24</v>
      </c>
      <c r="F2166" t="s">
        <v>210</v>
      </c>
      <c r="G2166" t="s">
        <v>211</v>
      </c>
      <c r="H2166" t="s">
        <v>251</v>
      </c>
      <c r="I2166">
        <v>326.08999999999997</v>
      </c>
      <c r="J2166" s="7">
        <v>0</v>
      </c>
      <c r="K2166" s="7">
        <f t="shared" si="128"/>
        <v>743.45</v>
      </c>
      <c r="L2166" s="7">
        <v>743.45</v>
      </c>
      <c r="M2166" s="10">
        <f t="shared" si="129"/>
        <v>43.861725738112845</v>
      </c>
    </row>
    <row r="2167" spans="1:13" ht="15" hidden="1" customHeight="1" x14ac:dyDescent="0.3">
      <c r="B2167" t="s">
        <v>252</v>
      </c>
      <c r="C2167" s="25">
        <v>44570</v>
      </c>
      <c r="D2167" s="26">
        <v>0.44762731481481483</v>
      </c>
      <c r="E2167" t="s">
        <v>24</v>
      </c>
      <c r="F2167" t="s">
        <v>165</v>
      </c>
      <c r="G2167" t="s">
        <v>185</v>
      </c>
      <c r="H2167" t="s">
        <v>251</v>
      </c>
      <c r="I2167">
        <v>200</v>
      </c>
      <c r="J2167" s="31">
        <v>0</v>
      </c>
      <c r="K2167" s="11">
        <f t="shared" si="128"/>
        <v>548.11</v>
      </c>
      <c r="L2167" s="31">
        <v>548.11</v>
      </c>
      <c r="M2167" s="10">
        <f t="shared" si="129"/>
        <v>36.489025925452914</v>
      </c>
    </row>
    <row r="2168" spans="1:13" ht="15" hidden="1" customHeight="1" x14ac:dyDescent="0.3">
      <c r="B2168" t="s">
        <v>252</v>
      </c>
      <c r="C2168" s="25">
        <v>44570</v>
      </c>
      <c r="D2168" s="26">
        <v>0.89975694444444443</v>
      </c>
      <c r="E2168" t="s">
        <v>24</v>
      </c>
      <c r="F2168" t="s">
        <v>202</v>
      </c>
      <c r="G2168" t="s">
        <v>203</v>
      </c>
      <c r="H2168" t="s">
        <v>251</v>
      </c>
      <c r="I2168">
        <v>195.84</v>
      </c>
      <c r="J2168" s="7">
        <v>0</v>
      </c>
      <c r="K2168" s="11">
        <f t="shared" si="128"/>
        <v>552.55999999999995</v>
      </c>
      <c r="L2168" s="7">
        <v>552.55999999999995</v>
      </c>
      <c r="M2168" s="10">
        <f t="shared" si="129"/>
        <v>35.442304908064287</v>
      </c>
    </row>
    <row r="2169" spans="1:13" ht="15" hidden="1" customHeight="1" x14ac:dyDescent="0.3">
      <c r="B2169" t="s">
        <v>252</v>
      </c>
      <c r="C2169" s="25">
        <v>44571</v>
      </c>
      <c r="D2169" s="26">
        <v>0.92145833333333327</v>
      </c>
      <c r="E2169" t="s">
        <v>24</v>
      </c>
      <c r="F2169" t="s">
        <v>202</v>
      </c>
      <c r="G2169" t="s">
        <v>203</v>
      </c>
      <c r="H2169" t="s">
        <v>251</v>
      </c>
      <c r="I2169">
        <v>151.93</v>
      </c>
      <c r="J2169" s="7">
        <v>0</v>
      </c>
      <c r="K2169" s="11">
        <f t="shared" si="128"/>
        <v>512.9</v>
      </c>
      <c r="L2169" s="7">
        <v>512.9</v>
      </c>
      <c r="M2169" s="10">
        <f t="shared" si="129"/>
        <v>29.621758627412753</v>
      </c>
    </row>
    <row r="2170" spans="1:13" ht="15" hidden="1" customHeight="1" x14ac:dyDescent="0.3">
      <c r="B2170" t="s">
        <v>252</v>
      </c>
      <c r="C2170" s="25">
        <v>44572</v>
      </c>
      <c r="D2170" s="26">
        <v>0.90565972222222213</v>
      </c>
      <c r="E2170" t="s">
        <v>24</v>
      </c>
      <c r="F2170" t="s">
        <v>165</v>
      </c>
      <c r="G2170" t="s">
        <v>185</v>
      </c>
      <c r="H2170" t="s">
        <v>251</v>
      </c>
      <c r="I2170">
        <v>200.27</v>
      </c>
      <c r="J2170" s="7">
        <v>0</v>
      </c>
      <c r="K2170" s="11">
        <f t="shared" si="128"/>
        <v>573.76</v>
      </c>
      <c r="L2170" s="7">
        <v>573.76</v>
      </c>
      <c r="M2170" s="10">
        <f t="shared" si="129"/>
        <v>34.904838259899613</v>
      </c>
    </row>
    <row r="2171" spans="1:13" ht="15" hidden="1" customHeight="1" x14ac:dyDescent="0.3">
      <c r="B2171" t="s">
        <v>252</v>
      </c>
      <c r="C2171" s="25">
        <v>44574</v>
      </c>
      <c r="D2171" s="26">
        <v>8.306712962962963E-2</v>
      </c>
      <c r="E2171" t="s">
        <v>24</v>
      </c>
      <c r="F2171" t="s">
        <v>210</v>
      </c>
      <c r="G2171" t="s">
        <v>211</v>
      </c>
      <c r="H2171" t="s">
        <v>251</v>
      </c>
      <c r="I2171">
        <v>294.73</v>
      </c>
      <c r="J2171" s="31">
        <v>0</v>
      </c>
      <c r="K2171" s="11">
        <f t="shared" si="128"/>
        <v>584.87</v>
      </c>
      <c r="L2171" s="7">
        <v>584.87</v>
      </c>
      <c r="M2171" s="10">
        <f t="shared" si="129"/>
        <v>50.392394891172401</v>
      </c>
    </row>
    <row r="2172" spans="1:13" ht="15" hidden="1" customHeight="1" x14ac:dyDescent="0.3">
      <c r="B2172" t="s">
        <v>252</v>
      </c>
      <c r="C2172" s="25">
        <v>44575</v>
      </c>
      <c r="D2172" s="26">
        <v>0.5675</v>
      </c>
      <c r="E2172" t="s">
        <v>24</v>
      </c>
      <c r="F2172" t="s">
        <v>205</v>
      </c>
      <c r="G2172" t="s">
        <v>206</v>
      </c>
      <c r="H2172" t="s">
        <v>251</v>
      </c>
      <c r="I2172">
        <v>401.04</v>
      </c>
      <c r="J2172" s="7">
        <v>0</v>
      </c>
      <c r="K2172" s="11">
        <f t="shared" si="128"/>
        <v>993.33</v>
      </c>
      <c r="L2172" s="7">
        <v>993.33</v>
      </c>
      <c r="M2172" s="10">
        <f t="shared" si="129"/>
        <v>40.373289843254504</v>
      </c>
    </row>
    <row r="2173" spans="1:13" ht="15" hidden="1" customHeight="1" x14ac:dyDescent="0.3">
      <c r="B2173" t="s">
        <v>252</v>
      </c>
      <c r="C2173" s="25">
        <v>44576</v>
      </c>
      <c r="D2173" s="26">
        <v>0.49728009259259259</v>
      </c>
      <c r="E2173" t="s">
        <v>24</v>
      </c>
      <c r="F2173" t="s">
        <v>210</v>
      </c>
      <c r="G2173" t="s">
        <v>211</v>
      </c>
      <c r="H2173" t="s">
        <v>251</v>
      </c>
      <c r="I2173">
        <v>298.89</v>
      </c>
      <c r="J2173" s="34">
        <v>0</v>
      </c>
      <c r="K2173" s="11">
        <f t="shared" si="128"/>
        <v>742.33</v>
      </c>
      <c r="L2173" s="34">
        <v>742.33</v>
      </c>
      <c r="M2173" s="10">
        <f t="shared" si="129"/>
        <v>40.263764094136029</v>
      </c>
    </row>
    <row r="2174" spans="1:13" ht="15" hidden="1" customHeight="1" x14ac:dyDescent="0.3">
      <c r="B2174" t="s">
        <v>252</v>
      </c>
      <c r="C2174" s="25">
        <v>44577</v>
      </c>
      <c r="D2174" s="26">
        <v>0.11446759259259259</v>
      </c>
      <c r="E2174" t="s">
        <v>24</v>
      </c>
      <c r="F2174" t="s">
        <v>165</v>
      </c>
      <c r="G2174" t="s">
        <v>185</v>
      </c>
      <c r="H2174" t="s">
        <v>251</v>
      </c>
      <c r="I2174">
        <v>200</v>
      </c>
      <c r="J2174" s="7">
        <v>0</v>
      </c>
      <c r="K2174" s="11">
        <f t="shared" si="128"/>
        <v>548.22</v>
      </c>
      <c r="L2174" s="7">
        <v>548.22</v>
      </c>
      <c r="M2174" s="10">
        <f t="shared" si="129"/>
        <v>36.481704425230745</v>
      </c>
    </row>
    <row r="2175" spans="1:13" ht="15" hidden="1" customHeight="1" x14ac:dyDescent="0.3">
      <c r="B2175" t="s">
        <v>252</v>
      </c>
      <c r="C2175" s="25">
        <v>44578</v>
      </c>
      <c r="D2175" s="26">
        <v>0.74995370370370373</v>
      </c>
      <c r="E2175" t="s">
        <v>24</v>
      </c>
      <c r="F2175" t="s">
        <v>210</v>
      </c>
      <c r="G2175" t="s">
        <v>211</v>
      </c>
      <c r="H2175" t="s">
        <v>251</v>
      </c>
      <c r="I2175">
        <v>310.97000000000003</v>
      </c>
      <c r="J2175" s="31">
        <v>0</v>
      </c>
      <c r="K2175" s="11">
        <f t="shared" si="128"/>
        <v>574.70000000000005</v>
      </c>
      <c r="L2175" s="11">
        <v>574.70000000000005</v>
      </c>
      <c r="M2175" s="10">
        <f t="shared" si="129"/>
        <v>54.109970419349231</v>
      </c>
    </row>
    <row r="2176" spans="1:13" ht="15" hidden="1" customHeight="1" x14ac:dyDescent="0.3">
      <c r="B2176" t="s">
        <v>252</v>
      </c>
      <c r="C2176" s="25">
        <v>44579</v>
      </c>
      <c r="D2176" s="26">
        <v>0.92513888888888884</v>
      </c>
      <c r="E2176" t="s">
        <v>24</v>
      </c>
      <c r="F2176" t="s">
        <v>175</v>
      </c>
      <c r="G2176" t="s">
        <v>172</v>
      </c>
      <c r="H2176" t="s">
        <v>251</v>
      </c>
      <c r="I2176">
        <v>396.65</v>
      </c>
      <c r="J2176" s="7">
        <v>0</v>
      </c>
      <c r="K2176" s="11">
        <f t="shared" si="128"/>
        <v>922.17</v>
      </c>
      <c r="L2176" s="30">
        <v>922.17</v>
      </c>
      <c r="M2176" s="10">
        <f t="shared" si="129"/>
        <v>43.012676621447241</v>
      </c>
    </row>
    <row r="2177" spans="1:13" ht="15" hidden="1" customHeight="1" x14ac:dyDescent="0.3">
      <c r="B2177" t="s">
        <v>252</v>
      </c>
      <c r="C2177" s="25">
        <v>44588</v>
      </c>
      <c r="D2177" s="26">
        <v>0.4924189814814815</v>
      </c>
      <c r="E2177" t="s">
        <v>24</v>
      </c>
      <c r="F2177" t="s">
        <v>210</v>
      </c>
      <c r="G2177" t="s">
        <v>211</v>
      </c>
      <c r="H2177" t="s">
        <v>251</v>
      </c>
      <c r="I2177">
        <v>408.85</v>
      </c>
      <c r="J2177" s="34">
        <v>0</v>
      </c>
      <c r="K2177" s="11">
        <f t="shared" si="128"/>
        <v>862</v>
      </c>
      <c r="L2177" s="29">
        <v>862</v>
      </c>
      <c r="M2177" s="10">
        <f t="shared" si="129"/>
        <v>47.430394431554532</v>
      </c>
    </row>
    <row r="2178" spans="1:13" ht="15" hidden="1" customHeight="1" x14ac:dyDescent="0.3">
      <c r="B2178" t="s">
        <v>252</v>
      </c>
      <c r="C2178" s="25">
        <v>44588</v>
      </c>
      <c r="D2178" s="26">
        <v>0.99564814814814817</v>
      </c>
      <c r="E2178" t="s">
        <v>24</v>
      </c>
      <c r="F2178" t="s">
        <v>165</v>
      </c>
      <c r="G2178" t="s">
        <v>185</v>
      </c>
      <c r="H2178" t="s">
        <v>251</v>
      </c>
      <c r="I2178">
        <v>149.44999999999999</v>
      </c>
      <c r="J2178" s="31">
        <v>0</v>
      </c>
      <c r="K2178" s="11">
        <f t="shared" si="128"/>
        <v>548.69000000000005</v>
      </c>
      <c r="L2178" s="28">
        <v>548.69000000000005</v>
      </c>
      <c r="M2178" s="10">
        <f t="shared" si="129"/>
        <v>27.237602289088553</v>
      </c>
    </row>
    <row r="2179" spans="1:13" ht="15" hidden="1" customHeight="1" x14ac:dyDescent="0.3">
      <c r="B2179" t="s">
        <v>252</v>
      </c>
      <c r="C2179" s="25">
        <v>44589</v>
      </c>
      <c r="D2179" s="26">
        <v>0.70395833333333335</v>
      </c>
      <c r="E2179" t="s">
        <v>24</v>
      </c>
      <c r="F2179" t="s">
        <v>210</v>
      </c>
      <c r="G2179" t="s">
        <v>211</v>
      </c>
      <c r="H2179" t="s">
        <v>251</v>
      </c>
      <c r="I2179">
        <v>302.42</v>
      </c>
      <c r="J2179" s="7">
        <v>0</v>
      </c>
      <c r="K2179" s="11">
        <f t="shared" si="128"/>
        <v>516.51</v>
      </c>
      <c r="L2179" s="11">
        <v>516.51</v>
      </c>
      <c r="M2179" s="10">
        <f t="shared" si="129"/>
        <v>58.55065729608333</v>
      </c>
    </row>
    <row r="2180" spans="1:13" ht="15" hidden="1" customHeight="1" x14ac:dyDescent="0.3">
      <c r="B2180" t="s">
        <v>252</v>
      </c>
      <c r="C2180" s="25">
        <v>44590</v>
      </c>
      <c r="D2180" s="26">
        <v>0.60252314814814811</v>
      </c>
      <c r="E2180" t="s">
        <v>24</v>
      </c>
      <c r="F2180" t="s">
        <v>175</v>
      </c>
      <c r="G2180" t="s">
        <v>172</v>
      </c>
      <c r="H2180" t="s">
        <v>251</v>
      </c>
      <c r="I2180">
        <v>361.69</v>
      </c>
      <c r="J2180" s="34">
        <v>0</v>
      </c>
      <c r="K2180" s="11">
        <f t="shared" si="128"/>
        <v>921.15</v>
      </c>
      <c r="L2180" s="51">
        <v>921.15</v>
      </c>
      <c r="M2180" s="10">
        <f t="shared" si="129"/>
        <v>39.26504912337839</v>
      </c>
    </row>
    <row r="2181" spans="1:13" ht="15" hidden="1" customHeight="1" x14ac:dyDescent="0.3">
      <c r="B2181" t="s">
        <v>252</v>
      </c>
      <c r="C2181" s="25">
        <v>44591</v>
      </c>
      <c r="D2181" s="26">
        <v>0.72586805555555556</v>
      </c>
      <c r="E2181" t="s">
        <v>24</v>
      </c>
      <c r="F2181" t="s">
        <v>210</v>
      </c>
      <c r="G2181" t="s">
        <v>211</v>
      </c>
      <c r="H2181" t="s">
        <v>251</v>
      </c>
      <c r="I2181">
        <v>368.57</v>
      </c>
      <c r="J2181" s="7">
        <v>0</v>
      </c>
      <c r="K2181" s="11">
        <f t="shared" si="128"/>
        <v>840.82</v>
      </c>
      <c r="L2181" s="11">
        <v>840.82</v>
      </c>
      <c r="M2181" s="10">
        <f t="shared" si="129"/>
        <v>43.834590043053204</v>
      </c>
    </row>
    <row r="2182" spans="1:13" ht="15" hidden="1" customHeight="1" x14ac:dyDescent="0.3">
      <c r="B2182" t="s">
        <v>252</v>
      </c>
      <c r="C2182" s="25">
        <v>44592</v>
      </c>
      <c r="D2182" s="26">
        <v>0.75012731481481476</v>
      </c>
      <c r="E2182" t="s">
        <v>24</v>
      </c>
      <c r="F2182" t="s">
        <v>278</v>
      </c>
      <c r="G2182" t="s">
        <v>279</v>
      </c>
      <c r="H2182" t="s">
        <v>251</v>
      </c>
      <c r="I2182">
        <v>100</v>
      </c>
      <c r="J2182" s="7">
        <v>0</v>
      </c>
      <c r="K2182" s="11">
        <f t="shared" si="128"/>
        <v>712.55</v>
      </c>
      <c r="L2182" s="28">
        <v>712.55</v>
      </c>
      <c r="M2182" s="10">
        <f t="shared" si="129"/>
        <v>14.034102869974038</v>
      </c>
    </row>
    <row r="2183" spans="1:13" ht="15" hidden="1" customHeight="1" x14ac:dyDescent="0.3">
      <c r="A2183" s="9">
        <v>780</v>
      </c>
      <c r="B2183" t="s">
        <v>252</v>
      </c>
      <c r="C2183" s="25">
        <v>44593</v>
      </c>
      <c r="D2183" s="26">
        <v>2.6967592592592595E-2</v>
      </c>
      <c r="E2183" t="s">
        <v>25</v>
      </c>
      <c r="F2183" t="s">
        <v>210</v>
      </c>
      <c r="G2183" t="s">
        <v>211</v>
      </c>
      <c r="H2183" t="s">
        <v>251</v>
      </c>
      <c r="I2183">
        <v>332.72</v>
      </c>
      <c r="J2183" s="34">
        <v>0</v>
      </c>
      <c r="K2183" s="11">
        <f t="shared" si="128"/>
        <v>350.89</v>
      </c>
      <c r="L2183" s="11">
        <v>350.89</v>
      </c>
      <c r="M2183" s="10">
        <f t="shared" si="129"/>
        <v>94.821739006526272</v>
      </c>
    </row>
    <row r="2184" spans="1:13" ht="15" hidden="1" customHeight="1" x14ac:dyDescent="0.3">
      <c r="A2184" s="9">
        <v>781</v>
      </c>
      <c r="B2184" t="s">
        <v>252</v>
      </c>
      <c r="C2184" s="25">
        <v>44594</v>
      </c>
      <c r="D2184" s="26">
        <v>0.61071759259259262</v>
      </c>
      <c r="E2184" t="s">
        <v>25</v>
      </c>
      <c r="F2184" t="s">
        <v>175</v>
      </c>
      <c r="G2184" t="s">
        <v>172</v>
      </c>
      <c r="H2184" t="s">
        <v>251</v>
      </c>
      <c r="I2184">
        <v>364.75</v>
      </c>
      <c r="J2184" s="34">
        <v>0</v>
      </c>
      <c r="K2184" s="11">
        <f t="shared" si="128"/>
        <v>945.6</v>
      </c>
      <c r="L2184" s="51">
        <v>945.6</v>
      </c>
      <c r="M2184" s="10">
        <f t="shared" si="129"/>
        <v>38.573392554991536</v>
      </c>
    </row>
    <row r="2185" spans="1:13" ht="15" hidden="1" customHeight="1" x14ac:dyDescent="0.3">
      <c r="A2185" s="9">
        <v>782</v>
      </c>
      <c r="B2185" t="s">
        <v>252</v>
      </c>
      <c r="C2185" s="25">
        <v>44595</v>
      </c>
      <c r="D2185" s="26">
        <v>0.69006944444444451</v>
      </c>
      <c r="E2185" t="s">
        <v>25</v>
      </c>
      <c r="F2185" t="s">
        <v>210</v>
      </c>
      <c r="G2185" t="s">
        <v>211</v>
      </c>
      <c r="H2185" t="s">
        <v>251</v>
      </c>
      <c r="I2185">
        <v>366.58</v>
      </c>
      <c r="J2185" s="34">
        <v>0</v>
      </c>
      <c r="K2185" s="11">
        <f t="shared" si="128"/>
        <v>456.83</v>
      </c>
      <c r="L2185" s="11">
        <v>456.83</v>
      </c>
      <c r="M2185" s="10">
        <f t="shared" si="129"/>
        <v>80.244292187465788</v>
      </c>
    </row>
    <row r="2186" spans="1:13" ht="15" hidden="1" customHeight="1" x14ac:dyDescent="0.3">
      <c r="A2186" s="9">
        <v>783</v>
      </c>
      <c r="B2186" t="s">
        <v>252</v>
      </c>
      <c r="C2186" s="25">
        <v>44596</v>
      </c>
      <c r="D2186" s="26">
        <v>0.43824074074074071</v>
      </c>
      <c r="E2186" t="s">
        <v>25</v>
      </c>
      <c r="F2186" t="s">
        <v>165</v>
      </c>
      <c r="G2186" t="s">
        <v>185</v>
      </c>
      <c r="H2186" t="s">
        <v>251</v>
      </c>
      <c r="I2186">
        <v>150</v>
      </c>
      <c r="J2186" s="34">
        <v>0</v>
      </c>
      <c r="K2186" s="11">
        <f t="shared" si="128"/>
        <v>136.80000000000001</v>
      </c>
      <c r="L2186" s="30">
        <v>136.80000000000001</v>
      </c>
      <c r="M2186" s="10">
        <f t="shared" si="129"/>
        <v>109.64912280701753</v>
      </c>
    </row>
    <row r="2187" spans="1:13" ht="15" hidden="1" customHeight="1" x14ac:dyDescent="0.3">
      <c r="A2187" s="9">
        <v>784</v>
      </c>
      <c r="B2187" t="s">
        <v>252</v>
      </c>
      <c r="C2187" s="25">
        <v>44596</v>
      </c>
      <c r="D2187" s="26">
        <v>0.75271990740740735</v>
      </c>
      <c r="E2187" t="s">
        <v>25</v>
      </c>
      <c r="F2187" t="s">
        <v>210</v>
      </c>
      <c r="G2187" t="s">
        <v>211</v>
      </c>
      <c r="H2187" t="s">
        <v>251</v>
      </c>
      <c r="I2187">
        <v>324.83999999999997</v>
      </c>
      <c r="J2187" s="34">
        <v>0</v>
      </c>
      <c r="K2187" s="11">
        <f t="shared" si="128"/>
        <v>52.92</v>
      </c>
      <c r="L2187" s="30">
        <v>52.92</v>
      </c>
      <c r="M2187" s="10">
        <f t="shared" si="129"/>
        <v>613.83219954648519</v>
      </c>
    </row>
    <row r="2188" spans="1:13" ht="15" hidden="1" customHeight="1" x14ac:dyDescent="0.3">
      <c r="A2188" s="9">
        <v>785</v>
      </c>
      <c r="B2188" t="s">
        <v>252</v>
      </c>
      <c r="C2188" s="25">
        <v>44598</v>
      </c>
      <c r="D2188" s="26">
        <v>0.13008101851851853</v>
      </c>
      <c r="E2188" t="s">
        <v>25</v>
      </c>
      <c r="F2188" t="s">
        <v>175</v>
      </c>
      <c r="G2188" t="s">
        <v>172</v>
      </c>
      <c r="H2188" t="s">
        <v>251</v>
      </c>
      <c r="I2188">
        <v>417.07</v>
      </c>
      <c r="J2188" s="34">
        <v>0</v>
      </c>
      <c r="K2188" s="11">
        <f t="shared" si="128"/>
        <v>1026.6600000000001</v>
      </c>
      <c r="L2188" s="29">
        <v>1026.6600000000001</v>
      </c>
      <c r="M2188" s="10">
        <f t="shared" si="129"/>
        <v>40.623965090682404</v>
      </c>
    </row>
    <row r="2189" spans="1:13" ht="15" hidden="1" customHeight="1" x14ac:dyDescent="0.3">
      <c r="A2189" s="9">
        <v>786</v>
      </c>
      <c r="B2189" t="s">
        <v>252</v>
      </c>
      <c r="C2189" s="25">
        <v>44598</v>
      </c>
      <c r="D2189" s="26">
        <v>0.92513888888888884</v>
      </c>
      <c r="E2189" t="s">
        <v>25</v>
      </c>
      <c r="F2189" t="s">
        <v>210</v>
      </c>
      <c r="G2189" t="s">
        <v>211</v>
      </c>
      <c r="H2189" t="s">
        <v>251</v>
      </c>
      <c r="I2189">
        <v>320.10000000000002</v>
      </c>
      <c r="J2189" s="7">
        <v>0</v>
      </c>
      <c r="K2189" s="11">
        <f t="shared" si="128"/>
        <v>673.46</v>
      </c>
      <c r="L2189" s="11">
        <v>673.46</v>
      </c>
      <c r="M2189" s="10">
        <f t="shared" si="129"/>
        <v>47.530662548629465</v>
      </c>
    </row>
    <row r="2190" spans="1:13" ht="15" hidden="1" customHeight="1" x14ac:dyDescent="0.3">
      <c r="A2190" s="9">
        <v>787</v>
      </c>
      <c r="B2190" t="s">
        <v>252</v>
      </c>
      <c r="C2190" s="25">
        <v>44599</v>
      </c>
      <c r="D2190" s="26">
        <v>0.38108796296296293</v>
      </c>
      <c r="E2190" t="s">
        <v>25</v>
      </c>
      <c r="F2190" t="s">
        <v>165</v>
      </c>
      <c r="G2190" t="s">
        <v>185</v>
      </c>
      <c r="H2190" t="s">
        <v>251</v>
      </c>
      <c r="I2190">
        <v>150</v>
      </c>
      <c r="J2190" s="7">
        <v>0</v>
      </c>
      <c r="K2190" s="11">
        <f t="shared" si="128"/>
        <v>340.21</v>
      </c>
      <c r="L2190" s="11">
        <v>340.21</v>
      </c>
      <c r="M2190" s="10">
        <f t="shared" si="129"/>
        <v>44.090414743834693</v>
      </c>
    </row>
    <row r="2191" spans="1:13" ht="15" hidden="1" customHeight="1" x14ac:dyDescent="0.3">
      <c r="A2191" s="9">
        <v>788</v>
      </c>
      <c r="B2191" t="s">
        <v>252</v>
      </c>
      <c r="C2191" s="25">
        <v>44600</v>
      </c>
      <c r="D2191" s="26">
        <v>0.96925925925925915</v>
      </c>
      <c r="E2191" t="s">
        <v>25</v>
      </c>
      <c r="F2191" t="s">
        <v>210</v>
      </c>
      <c r="G2191" t="s">
        <v>211</v>
      </c>
      <c r="H2191" t="s">
        <v>251</v>
      </c>
      <c r="I2191">
        <v>402.18</v>
      </c>
      <c r="J2191" s="7">
        <v>0</v>
      </c>
      <c r="K2191" s="11">
        <f t="shared" si="128"/>
        <v>575.41</v>
      </c>
      <c r="L2191" s="34">
        <v>575.41</v>
      </c>
      <c r="M2191" s="10">
        <f t="shared" si="129"/>
        <v>69.8945100015641</v>
      </c>
    </row>
    <row r="2192" spans="1:13" ht="15" hidden="1" customHeight="1" x14ac:dyDescent="0.3">
      <c r="A2192" s="9">
        <v>789</v>
      </c>
      <c r="B2192" t="s">
        <v>252</v>
      </c>
      <c r="C2192" s="25">
        <v>44602</v>
      </c>
      <c r="D2192" s="26">
        <v>0.77825231481481483</v>
      </c>
      <c r="E2192" t="s">
        <v>25</v>
      </c>
      <c r="F2192" t="s">
        <v>175</v>
      </c>
      <c r="G2192" t="s">
        <v>172</v>
      </c>
      <c r="H2192" t="s">
        <v>251</v>
      </c>
      <c r="I2192">
        <v>435.25</v>
      </c>
      <c r="J2192" s="34">
        <v>0</v>
      </c>
      <c r="K2192" s="11">
        <f t="shared" si="128"/>
        <v>1095.33</v>
      </c>
      <c r="L2192" s="32">
        <v>1095.33</v>
      </c>
      <c r="M2192" s="10">
        <f t="shared" si="129"/>
        <v>39.736882948517795</v>
      </c>
    </row>
    <row r="2193" spans="1:13" ht="15" hidden="1" customHeight="1" x14ac:dyDescent="0.3">
      <c r="A2193" s="9">
        <v>790</v>
      </c>
      <c r="B2193" t="s">
        <v>252</v>
      </c>
      <c r="C2193" s="25">
        <v>44603</v>
      </c>
      <c r="D2193" s="26">
        <v>0.55873842592592593</v>
      </c>
      <c r="E2193" t="s">
        <v>25</v>
      </c>
      <c r="F2193" t="s">
        <v>210</v>
      </c>
      <c r="G2193" t="s">
        <v>211</v>
      </c>
      <c r="H2193" t="s">
        <v>251</v>
      </c>
      <c r="I2193">
        <v>324.86</v>
      </c>
      <c r="J2193" s="34">
        <v>0</v>
      </c>
      <c r="K2193" s="11">
        <f t="shared" si="128"/>
        <v>696.1</v>
      </c>
      <c r="L2193" s="7">
        <v>696.1</v>
      </c>
      <c r="M2193" s="10">
        <f t="shared" si="129"/>
        <v>46.66858210027295</v>
      </c>
    </row>
    <row r="2194" spans="1:13" ht="15" hidden="1" customHeight="1" x14ac:dyDescent="0.3">
      <c r="A2194" s="9">
        <v>791</v>
      </c>
      <c r="B2194" t="s">
        <v>252</v>
      </c>
      <c r="C2194" s="25">
        <v>44605</v>
      </c>
      <c r="D2194" s="26">
        <v>0.73093750000000002</v>
      </c>
      <c r="E2194" t="s">
        <v>25</v>
      </c>
      <c r="F2194" t="s">
        <v>278</v>
      </c>
      <c r="G2194" t="s">
        <v>279</v>
      </c>
      <c r="H2194" t="s">
        <v>251</v>
      </c>
      <c r="I2194">
        <v>176.01</v>
      </c>
      <c r="J2194" s="7">
        <v>0</v>
      </c>
      <c r="K2194" s="11">
        <f t="shared" si="128"/>
        <v>754.64</v>
      </c>
      <c r="L2194" s="34">
        <v>754.64</v>
      </c>
      <c r="M2194" s="10">
        <f t="shared" si="129"/>
        <v>23.323704017809817</v>
      </c>
    </row>
    <row r="2195" spans="1:13" ht="15" hidden="1" customHeight="1" x14ac:dyDescent="0.3">
      <c r="A2195" s="9">
        <v>792</v>
      </c>
      <c r="B2195" t="s">
        <v>252</v>
      </c>
      <c r="C2195" s="25">
        <v>44605</v>
      </c>
      <c r="D2195" s="26">
        <v>0.95890046296296294</v>
      </c>
      <c r="E2195" t="s">
        <v>25</v>
      </c>
      <c r="F2195" t="s">
        <v>202</v>
      </c>
      <c r="G2195" t="s">
        <v>203</v>
      </c>
      <c r="H2195" t="s">
        <v>251</v>
      </c>
      <c r="I2195">
        <v>287.24</v>
      </c>
      <c r="J2195" s="7">
        <v>0</v>
      </c>
      <c r="K2195" s="11">
        <f t="shared" si="128"/>
        <v>375.24</v>
      </c>
      <c r="L2195" s="31">
        <v>375.24</v>
      </c>
      <c r="M2195" s="10">
        <f t="shared" si="129"/>
        <v>76.548342394201043</v>
      </c>
    </row>
    <row r="2196" spans="1:13" ht="15" hidden="1" customHeight="1" x14ac:dyDescent="0.3">
      <c r="A2196" s="9">
        <v>793</v>
      </c>
      <c r="B2196" t="s">
        <v>252</v>
      </c>
      <c r="C2196" s="25">
        <v>44606</v>
      </c>
      <c r="D2196" s="26">
        <v>0.89174768518518521</v>
      </c>
      <c r="E2196" t="s">
        <v>25</v>
      </c>
      <c r="F2196" t="s">
        <v>202</v>
      </c>
      <c r="G2196" t="s">
        <v>203</v>
      </c>
      <c r="H2196" t="s">
        <v>251</v>
      </c>
      <c r="I2196">
        <v>187.6</v>
      </c>
      <c r="J2196" s="34">
        <v>0</v>
      </c>
      <c r="K2196" s="11">
        <f t="shared" si="128"/>
        <v>528.44000000000005</v>
      </c>
      <c r="L2196" s="32">
        <v>528.44000000000005</v>
      </c>
      <c r="M2196" s="10">
        <f t="shared" si="129"/>
        <v>35.500719097721586</v>
      </c>
    </row>
    <row r="2197" spans="1:13" ht="15" hidden="1" customHeight="1" x14ac:dyDescent="0.3">
      <c r="A2197" s="9">
        <v>794</v>
      </c>
      <c r="B2197" t="s">
        <v>252</v>
      </c>
      <c r="C2197" s="25">
        <v>44607</v>
      </c>
      <c r="D2197" s="26">
        <v>0.90276620370370375</v>
      </c>
      <c r="E2197" t="s">
        <v>25</v>
      </c>
      <c r="F2197" t="s">
        <v>396</v>
      </c>
      <c r="G2197" t="s">
        <v>397</v>
      </c>
      <c r="H2197" t="s">
        <v>251</v>
      </c>
      <c r="I2197">
        <v>158.83000000000001</v>
      </c>
      <c r="J2197" s="34">
        <v>0</v>
      </c>
      <c r="K2197" s="11">
        <f t="shared" ref="K2197:K2228" si="130">+L2197-J2197</f>
        <v>765.36</v>
      </c>
      <c r="L2197" s="7">
        <v>765.36</v>
      </c>
      <c r="M2197" s="10">
        <f t="shared" ref="M2197:M2228" si="131">I2197/K2197*100</f>
        <v>20.752325702937181</v>
      </c>
    </row>
    <row r="2198" spans="1:13" ht="15" hidden="1" customHeight="1" x14ac:dyDescent="0.3">
      <c r="A2198" s="9">
        <v>795</v>
      </c>
      <c r="B2198" t="s">
        <v>252</v>
      </c>
      <c r="C2198" s="25">
        <v>44608</v>
      </c>
      <c r="D2198" s="26">
        <v>7.3148148148148143E-2</v>
      </c>
      <c r="E2198" t="s">
        <v>25</v>
      </c>
      <c r="F2198" t="s">
        <v>210</v>
      </c>
      <c r="G2198" t="s">
        <v>211</v>
      </c>
      <c r="H2198" t="s">
        <v>251</v>
      </c>
      <c r="I2198">
        <v>255.1</v>
      </c>
      <c r="J2198" s="7">
        <v>0</v>
      </c>
      <c r="K2198" s="11">
        <f t="shared" si="130"/>
        <v>325.87</v>
      </c>
      <c r="L2198" s="37">
        <v>325.87</v>
      </c>
      <c r="M2198" s="10">
        <f t="shared" si="131"/>
        <v>78.282750790192395</v>
      </c>
    </row>
    <row r="2199" spans="1:13" ht="15" hidden="1" customHeight="1" x14ac:dyDescent="0.3">
      <c r="A2199" s="9">
        <v>796</v>
      </c>
      <c r="B2199" t="s">
        <v>252</v>
      </c>
      <c r="C2199" s="25">
        <v>44610</v>
      </c>
      <c r="D2199" s="26">
        <v>0.74116898148148147</v>
      </c>
      <c r="E2199" t="s">
        <v>25</v>
      </c>
      <c r="F2199" t="s">
        <v>175</v>
      </c>
      <c r="G2199" t="s">
        <v>172</v>
      </c>
      <c r="H2199" t="s">
        <v>251</v>
      </c>
      <c r="I2199">
        <v>381.45</v>
      </c>
      <c r="J2199" s="34">
        <v>0</v>
      </c>
      <c r="K2199" s="11">
        <f t="shared" si="130"/>
        <v>962.44</v>
      </c>
      <c r="L2199" s="34">
        <v>962.44</v>
      </c>
      <c r="M2199" s="10">
        <f t="shared" si="131"/>
        <v>39.633639499605167</v>
      </c>
    </row>
    <row r="2200" spans="1:13" ht="15" hidden="1" customHeight="1" x14ac:dyDescent="0.3">
      <c r="A2200" s="9">
        <v>797</v>
      </c>
      <c r="B2200" t="s">
        <v>252</v>
      </c>
      <c r="C2200" s="25">
        <v>44618</v>
      </c>
      <c r="D2200" s="26">
        <v>0.46216435185185184</v>
      </c>
      <c r="E2200" t="s">
        <v>25</v>
      </c>
      <c r="F2200" t="s">
        <v>175</v>
      </c>
      <c r="G2200" t="s">
        <v>172</v>
      </c>
      <c r="H2200" t="s">
        <v>251</v>
      </c>
      <c r="I2200">
        <v>179.92</v>
      </c>
      <c r="J2200" s="34">
        <v>0</v>
      </c>
      <c r="K2200" s="11">
        <f t="shared" si="130"/>
        <v>406.6</v>
      </c>
      <c r="L2200" s="32">
        <v>406.6</v>
      </c>
      <c r="M2200" s="10">
        <f t="shared" si="131"/>
        <v>44.249877029021143</v>
      </c>
    </row>
    <row r="2201" spans="1:13" ht="15" hidden="1" customHeight="1" x14ac:dyDescent="0.3">
      <c r="A2201" s="9">
        <v>798</v>
      </c>
      <c r="B2201" t="s">
        <v>252</v>
      </c>
      <c r="C2201" s="25">
        <v>44619</v>
      </c>
      <c r="D2201" s="26">
        <v>0.63733796296296297</v>
      </c>
      <c r="E2201" t="s">
        <v>25</v>
      </c>
      <c r="F2201" t="s">
        <v>210</v>
      </c>
      <c r="G2201" t="s">
        <v>211</v>
      </c>
      <c r="H2201" t="s">
        <v>251</v>
      </c>
      <c r="I2201">
        <v>386.05</v>
      </c>
      <c r="J2201" s="35">
        <v>0</v>
      </c>
      <c r="K2201" s="11">
        <f t="shared" si="130"/>
        <v>831.83</v>
      </c>
      <c r="L2201" s="31">
        <v>831.83</v>
      </c>
      <c r="M2201" s="10">
        <f t="shared" si="131"/>
        <v>46.409723140545545</v>
      </c>
    </row>
    <row r="2202" spans="1:13" ht="15" hidden="1" customHeight="1" x14ac:dyDescent="0.3">
      <c r="A2202" s="9">
        <v>799</v>
      </c>
      <c r="B2202" t="s">
        <v>252</v>
      </c>
      <c r="C2202" s="25">
        <v>44620</v>
      </c>
      <c r="D2202" s="26">
        <v>0.55143518518518519</v>
      </c>
      <c r="E2202" t="s">
        <v>25</v>
      </c>
      <c r="F2202" t="s">
        <v>278</v>
      </c>
      <c r="G2202" t="s">
        <v>279</v>
      </c>
      <c r="H2202" t="s">
        <v>251</v>
      </c>
      <c r="I2202">
        <v>175.41</v>
      </c>
      <c r="J2202" s="7">
        <v>0</v>
      </c>
      <c r="K2202" s="11">
        <f t="shared" si="130"/>
        <v>713.37</v>
      </c>
      <c r="L2202" s="32">
        <v>713.37</v>
      </c>
      <c r="M2202" s="10">
        <f t="shared" si="131"/>
        <v>24.588922999285082</v>
      </c>
    </row>
    <row r="2203" spans="1:13" ht="15" hidden="1" customHeight="1" x14ac:dyDescent="0.3">
      <c r="A2203" s="9">
        <v>1912</v>
      </c>
      <c r="B2203" t="s">
        <v>252</v>
      </c>
      <c r="C2203" s="25">
        <v>44621</v>
      </c>
      <c r="D2203" s="26">
        <v>0.70990740740740732</v>
      </c>
      <c r="E2203" t="s">
        <v>26</v>
      </c>
      <c r="F2203" t="s">
        <v>340</v>
      </c>
      <c r="G2203" t="s">
        <v>337</v>
      </c>
      <c r="H2203" t="s">
        <v>251</v>
      </c>
      <c r="I2203">
        <v>385.03</v>
      </c>
      <c r="J2203" s="7">
        <v>0</v>
      </c>
      <c r="K2203" s="89">
        <f t="shared" si="130"/>
        <v>666.72</v>
      </c>
      <c r="L2203" s="7">
        <v>666.72</v>
      </c>
      <c r="M2203" s="10">
        <f t="shared" si="131"/>
        <v>57.749880009599231</v>
      </c>
    </row>
    <row r="2204" spans="1:13" ht="15" hidden="1" customHeight="1" x14ac:dyDescent="0.3">
      <c r="A2204" s="9">
        <v>1913</v>
      </c>
      <c r="B2204" t="s">
        <v>252</v>
      </c>
      <c r="C2204" s="25">
        <v>44622</v>
      </c>
      <c r="D2204" s="26">
        <v>0.79918981481481488</v>
      </c>
      <c r="E2204" t="s">
        <v>26</v>
      </c>
      <c r="F2204" t="s">
        <v>278</v>
      </c>
      <c r="G2204" t="s">
        <v>279</v>
      </c>
      <c r="H2204" t="s">
        <v>251</v>
      </c>
      <c r="I2204">
        <v>207.13</v>
      </c>
      <c r="J2204" s="34">
        <v>0</v>
      </c>
      <c r="K2204" s="89">
        <f t="shared" si="130"/>
        <v>966.92</v>
      </c>
      <c r="L2204" s="35">
        <v>966.92</v>
      </c>
      <c r="M2204" s="10">
        <f t="shared" si="131"/>
        <v>21.42162743556861</v>
      </c>
    </row>
    <row r="2205" spans="1:13" ht="15" hidden="1" customHeight="1" x14ac:dyDescent="0.3">
      <c r="A2205" s="9">
        <v>1914</v>
      </c>
      <c r="B2205" t="s">
        <v>252</v>
      </c>
      <c r="C2205" s="25">
        <v>44623</v>
      </c>
      <c r="D2205" s="26">
        <v>4.4074074074074071E-2</v>
      </c>
      <c r="E2205" t="s">
        <v>26</v>
      </c>
      <c r="F2205" t="s">
        <v>210</v>
      </c>
      <c r="G2205" t="s">
        <v>211</v>
      </c>
      <c r="H2205" t="s">
        <v>251</v>
      </c>
      <c r="I2205">
        <v>315.62</v>
      </c>
      <c r="J2205" s="7">
        <v>0</v>
      </c>
      <c r="K2205" s="89">
        <f t="shared" si="130"/>
        <v>349.17</v>
      </c>
      <c r="L2205" s="28">
        <v>349.17</v>
      </c>
      <c r="M2205" s="10">
        <f t="shared" si="131"/>
        <v>90.391499842483597</v>
      </c>
    </row>
    <row r="2206" spans="1:13" ht="15" hidden="1" customHeight="1" x14ac:dyDescent="0.3">
      <c r="A2206" s="9">
        <v>1915</v>
      </c>
      <c r="B2206" t="s">
        <v>252</v>
      </c>
      <c r="C2206" s="25">
        <v>44625</v>
      </c>
      <c r="D2206" s="26">
        <v>7.8611111111111118E-2</v>
      </c>
      <c r="E2206" t="s">
        <v>26</v>
      </c>
      <c r="F2206" t="s">
        <v>175</v>
      </c>
      <c r="G2206" t="s">
        <v>172</v>
      </c>
      <c r="H2206" t="s">
        <v>251</v>
      </c>
      <c r="I2206">
        <v>419.47</v>
      </c>
      <c r="J2206" s="7">
        <v>0</v>
      </c>
      <c r="K2206" s="89">
        <f t="shared" si="130"/>
        <v>1119.23</v>
      </c>
      <c r="L2206" s="32">
        <v>1119.23</v>
      </c>
      <c r="M2206" s="36">
        <f t="shared" si="131"/>
        <v>37.4784450023677</v>
      </c>
    </row>
    <row r="2207" spans="1:13" ht="15" hidden="1" customHeight="1" x14ac:dyDescent="0.3">
      <c r="A2207" s="9">
        <v>1916</v>
      </c>
      <c r="B2207" t="s">
        <v>252</v>
      </c>
      <c r="C2207" s="25">
        <v>44626</v>
      </c>
      <c r="D2207" s="26">
        <v>9.9189814814814814E-2</v>
      </c>
      <c r="E2207" t="s">
        <v>26</v>
      </c>
      <c r="F2207" t="s">
        <v>210</v>
      </c>
      <c r="G2207" t="s">
        <v>211</v>
      </c>
      <c r="H2207" t="s">
        <v>251</v>
      </c>
      <c r="I2207">
        <v>330.01</v>
      </c>
      <c r="J2207" s="7">
        <v>0</v>
      </c>
      <c r="K2207" s="89">
        <f t="shared" si="130"/>
        <v>697.15</v>
      </c>
      <c r="L2207" s="7">
        <v>697.15</v>
      </c>
      <c r="M2207" s="36">
        <f t="shared" si="131"/>
        <v>47.337014989600519</v>
      </c>
    </row>
    <row r="2208" spans="1:13" ht="15" hidden="1" customHeight="1" x14ac:dyDescent="0.3">
      <c r="A2208" s="9">
        <v>1917</v>
      </c>
      <c r="B2208" t="s">
        <v>252</v>
      </c>
      <c r="C2208" s="25">
        <v>44627</v>
      </c>
      <c r="D2208" s="26">
        <v>2.1516203703703704E-2</v>
      </c>
      <c r="E2208" t="s">
        <v>26</v>
      </c>
      <c r="F2208" t="s">
        <v>278</v>
      </c>
      <c r="G2208" t="s">
        <v>279</v>
      </c>
      <c r="H2208" t="s">
        <v>251</v>
      </c>
      <c r="I2208">
        <v>160</v>
      </c>
      <c r="J2208" s="7">
        <v>0</v>
      </c>
      <c r="K2208" s="89">
        <f t="shared" si="130"/>
        <v>713.67</v>
      </c>
      <c r="L2208" s="32">
        <v>713.67</v>
      </c>
      <c r="M2208" s="36">
        <f t="shared" si="131"/>
        <v>22.419325458545266</v>
      </c>
    </row>
    <row r="2209" spans="1:13" ht="15" hidden="1" customHeight="1" x14ac:dyDescent="0.3">
      <c r="A2209" s="9">
        <v>1918</v>
      </c>
      <c r="B2209" t="s">
        <v>252</v>
      </c>
      <c r="C2209" s="25">
        <v>44628</v>
      </c>
      <c r="D2209" s="26">
        <v>0.42884259259259255</v>
      </c>
      <c r="E2209" t="s">
        <v>26</v>
      </c>
      <c r="F2209" t="s">
        <v>340</v>
      </c>
      <c r="G2209" t="s">
        <v>337</v>
      </c>
      <c r="H2209" t="s">
        <v>251</v>
      </c>
      <c r="I2209">
        <v>380.25</v>
      </c>
      <c r="J2209" s="34">
        <v>0</v>
      </c>
      <c r="K2209" s="89">
        <f t="shared" si="130"/>
        <v>664.94</v>
      </c>
      <c r="L2209" s="7">
        <v>664.94</v>
      </c>
      <c r="M2209" s="36">
        <f t="shared" si="131"/>
        <v>57.185610731795343</v>
      </c>
    </row>
    <row r="2210" spans="1:13" ht="15" hidden="1" customHeight="1" x14ac:dyDescent="0.3">
      <c r="A2210" s="9">
        <v>1919</v>
      </c>
      <c r="B2210" t="s">
        <v>252</v>
      </c>
      <c r="C2210" s="25">
        <v>44629</v>
      </c>
      <c r="D2210" s="26">
        <v>0.5897337962962963</v>
      </c>
      <c r="E2210" t="s">
        <v>26</v>
      </c>
      <c r="F2210" t="s">
        <v>278</v>
      </c>
      <c r="G2210" t="s">
        <v>279</v>
      </c>
      <c r="H2210" t="s">
        <v>251</v>
      </c>
      <c r="I2210">
        <v>202.1</v>
      </c>
      <c r="J2210" s="31">
        <v>0</v>
      </c>
      <c r="K2210" s="89">
        <f t="shared" si="130"/>
        <v>967.8</v>
      </c>
      <c r="L2210" s="37">
        <v>967.8</v>
      </c>
      <c r="M2210" s="10">
        <f t="shared" si="131"/>
        <v>20.882413721843356</v>
      </c>
    </row>
    <row r="2211" spans="1:13" ht="15" hidden="1" customHeight="1" x14ac:dyDescent="0.3">
      <c r="A2211" s="9">
        <v>1920</v>
      </c>
      <c r="B2211" t="s">
        <v>252</v>
      </c>
      <c r="C2211" s="25">
        <v>44629</v>
      </c>
      <c r="D2211" s="26">
        <v>0.86214120370370362</v>
      </c>
      <c r="E2211" t="s">
        <v>26</v>
      </c>
      <c r="F2211" t="s">
        <v>210</v>
      </c>
      <c r="G2211" t="s">
        <v>211</v>
      </c>
      <c r="H2211" t="s">
        <v>251</v>
      </c>
      <c r="I2211">
        <v>313.20999999999998</v>
      </c>
      <c r="J2211" s="31">
        <v>0</v>
      </c>
      <c r="K2211" s="89">
        <f t="shared" si="130"/>
        <v>350.77</v>
      </c>
      <c r="L2211" s="7">
        <v>350.77</v>
      </c>
      <c r="M2211" s="10">
        <f t="shared" si="131"/>
        <v>89.292128745331695</v>
      </c>
    </row>
    <row r="2212" spans="1:13" ht="15" hidden="1" customHeight="1" x14ac:dyDescent="0.3">
      <c r="A2212" s="9">
        <v>1921</v>
      </c>
      <c r="B2212" t="s">
        <v>252</v>
      </c>
      <c r="C2212" s="25">
        <v>44631</v>
      </c>
      <c r="D2212" s="26">
        <v>0.47559027777777779</v>
      </c>
      <c r="E2212" t="s">
        <v>26</v>
      </c>
      <c r="F2212" t="s">
        <v>175</v>
      </c>
      <c r="G2212" t="s">
        <v>172</v>
      </c>
      <c r="H2212" t="s">
        <v>251</v>
      </c>
      <c r="I2212">
        <v>367.01</v>
      </c>
      <c r="J2212" s="34">
        <v>0</v>
      </c>
      <c r="K2212" s="90">
        <f t="shared" si="130"/>
        <v>922.19</v>
      </c>
      <c r="L2212" s="32">
        <v>922.19</v>
      </c>
      <c r="M2212" s="10">
        <f t="shared" si="131"/>
        <v>39.797655580737157</v>
      </c>
    </row>
    <row r="2213" spans="1:13" ht="15" hidden="1" customHeight="1" x14ac:dyDescent="0.3">
      <c r="A2213" s="9">
        <v>1922</v>
      </c>
      <c r="B2213" t="s">
        <v>252</v>
      </c>
      <c r="C2213" s="25">
        <v>44632</v>
      </c>
      <c r="D2213" s="26">
        <v>0.71237268518518515</v>
      </c>
      <c r="E2213" t="s">
        <v>26</v>
      </c>
      <c r="F2213" t="s">
        <v>210</v>
      </c>
      <c r="G2213" t="s">
        <v>211</v>
      </c>
      <c r="H2213" t="s">
        <v>251</v>
      </c>
      <c r="I2213">
        <v>386.69</v>
      </c>
      <c r="J2213" s="35">
        <v>0</v>
      </c>
      <c r="K2213" s="90">
        <f t="shared" si="130"/>
        <v>872.8</v>
      </c>
      <c r="L2213" s="7">
        <v>872.8</v>
      </c>
      <c r="M2213" s="10">
        <f t="shared" si="131"/>
        <v>44.304537121906513</v>
      </c>
    </row>
    <row r="2214" spans="1:13" ht="15" hidden="1" customHeight="1" x14ac:dyDescent="0.3">
      <c r="A2214" s="9">
        <v>1923</v>
      </c>
      <c r="B2214" t="s">
        <v>252</v>
      </c>
      <c r="C2214" s="25">
        <v>44633</v>
      </c>
      <c r="D2214" s="26">
        <v>0.66319444444444442</v>
      </c>
      <c r="E2214" t="s">
        <v>26</v>
      </c>
      <c r="F2214" t="s">
        <v>210</v>
      </c>
      <c r="G2214" t="s">
        <v>211</v>
      </c>
      <c r="H2214" t="s">
        <v>251</v>
      </c>
      <c r="I2214">
        <v>329.77</v>
      </c>
      <c r="J2214" s="7">
        <v>0</v>
      </c>
      <c r="K2214" s="90">
        <f t="shared" si="130"/>
        <v>893.3</v>
      </c>
      <c r="L2214" s="38">
        <v>893.3</v>
      </c>
      <c r="M2214" s="10">
        <f t="shared" si="131"/>
        <v>36.915929698869363</v>
      </c>
    </row>
    <row r="2215" spans="1:13" ht="15" hidden="1" customHeight="1" x14ac:dyDescent="0.3">
      <c r="A2215" s="9">
        <v>2070</v>
      </c>
      <c r="B2215" t="s">
        <v>252</v>
      </c>
      <c r="C2215" s="25">
        <v>44651</v>
      </c>
      <c r="D2215" s="26">
        <v>0.29025462962962961</v>
      </c>
      <c r="E2215" t="s">
        <v>26</v>
      </c>
      <c r="F2215" t="s">
        <v>175</v>
      </c>
      <c r="G2215" t="s">
        <v>172</v>
      </c>
      <c r="H2215" t="s">
        <v>110</v>
      </c>
      <c r="I2215">
        <v>315.83999999999997</v>
      </c>
      <c r="J2215" s="34">
        <v>0</v>
      </c>
      <c r="K2215" s="97">
        <f t="shared" si="130"/>
        <v>804.96</v>
      </c>
      <c r="L2215" s="7">
        <v>804.96</v>
      </c>
      <c r="M2215" s="10">
        <f t="shared" si="131"/>
        <v>39.236732259988067</v>
      </c>
    </row>
    <row r="2216" spans="1:13" ht="15" hidden="1" customHeight="1" x14ac:dyDescent="0.3">
      <c r="A2216" s="9">
        <v>2071</v>
      </c>
      <c r="B2216" t="s">
        <v>252</v>
      </c>
      <c r="C2216" s="25">
        <v>44651</v>
      </c>
      <c r="D2216" s="26">
        <v>0.758275462962963</v>
      </c>
      <c r="E2216" t="s">
        <v>26</v>
      </c>
      <c r="F2216" t="s">
        <v>210</v>
      </c>
      <c r="G2216" t="s">
        <v>211</v>
      </c>
      <c r="H2216" t="s">
        <v>110</v>
      </c>
      <c r="I2216">
        <v>283.79000000000002</v>
      </c>
      <c r="J2216" s="7">
        <v>0</v>
      </c>
      <c r="K2216" s="97">
        <f t="shared" si="130"/>
        <v>429.16</v>
      </c>
      <c r="L2216" s="37">
        <v>429.16</v>
      </c>
      <c r="M2216" s="10">
        <f t="shared" si="131"/>
        <v>66.126852455960488</v>
      </c>
    </row>
    <row r="2217" spans="1:13" ht="15" hidden="1" customHeight="1" x14ac:dyDescent="0.3">
      <c r="A2217" s="9">
        <v>3335</v>
      </c>
      <c r="B2217" t="s">
        <v>252</v>
      </c>
      <c r="C2217" s="25">
        <v>44652</v>
      </c>
      <c r="D2217" s="26">
        <v>0.6834027777777778</v>
      </c>
      <c r="E2217" t="s">
        <v>27</v>
      </c>
      <c r="F2217" t="s">
        <v>165</v>
      </c>
      <c r="G2217" t="s">
        <v>185</v>
      </c>
      <c r="H2217" t="s">
        <v>110</v>
      </c>
      <c r="I2217" s="4">
        <v>254.64</v>
      </c>
      <c r="J2217" s="31">
        <v>0</v>
      </c>
      <c r="K2217" s="99">
        <f t="shared" si="130"/>
        <v>550.82000000000005</v>
      </c>
      <c r="L2217" s="7">
        <v>550.82000000000005</v>
      </c>
      <c r="M2217" s="10">
        <f t="shared" si="131"/>
        <v>46.229258196870113</v>
      </c>
    </row>
    <row r="2218" spans="1:13" ht="15" hidden="1" customHeight="1" x14ac:dyDescent="0.3">
      <c r="A2218" s="9">
        <v>3336</v>
      </c>
      <c r="B2218" t="s">
        <v>252</v>
      </c>
      <c r="C2218" s="25">
        <v>44653</v>
      </c>
      <c r="D2218" s="26">
        <v>0.82328703703703709</v>
      </c>
      <c r="E2218" t="s">
        <v>27</v>
      </c>
      <c r="F2218" t="s">
        <v>335</v>
      </c>
      <c r="G2218" t="s">
        <v>336</v>
      </c>
      <c r="H2218" t="s">
        <v>110</v>
      </c>
      <c r="I2218" s="4">
        <v>318.37</v>
      </c>
      <c r="J2218" s="34">
        <v>0</v>
      </c>
      <c r="K2218" s="97">
        <f t="shared" si="130"/>
        <v>1005.58</v>
      </c>
      <c r="L2218" s="7">
        <v>1005.58</v>
      </c>
      <c r="M2218" s="10">
        <f t="shared" si="131"/>
        <v>31.660335328864932</v>
      </c>
    </row>
    <row r="2219" spans="1:13" ht="15.75" hidden="1" customHeight="1" x14ac:dyDescent="0.3">
      <c r="A2219" s="9">
        <v>3337</v>
      </c>
      <c r="B2219" t="s">
        <v>252</v>
      </c>
      <c r="C2219" s="25">
        <v>44654</v>
      </c>
      <c r="D2219" s="26">
        <v>0.68671296296296302</v>
      </c>
      <c r="E2219" t="s">
        <v>27</v>
      </c>
      <c r="F2219" t="s">
        <v>165</v>
      </c>
      <c r="G2219" t="s">
        <v>185</v>
      </c>
      <c r="H2219" t="s">
        <v>110</v>
      </c>
      <c r="I2219" s="4">
        <v>279.63</v>
      </c>
      <c r="J2219" s="34">
        <v>0</v>
      </c>
      <c r="K2219" s="97">
        <f t="shared" si="130"/>
        <v>621.71</v>
      </c>
      <c r="L2219" s="7">
        <v>621.71</v>
      </c>
      <c r="M2219" s="10">
        <f t="shared" si="131"/>
        <v>44.977561885766669</v>
      </c>
    </row>
    <row r="2220" spans="1:13" ht="14.25" hidden="1" customHeight="1" x14ac:dyDescent="0.3">
      <c r="A2220" s="9">
        <v>3338</v>
      </c>
      <c r="B2220" t="s">
        <v>252</v>
      </c>
      <c r="C2220" s="25">
        <v>44655</v>
      </c>
      <c r="D2220" s="26">
        <v>0.84361111111111109</v>
      </c>
      <c r="E2220" t="s">
        <v>27</v>
      </c>
      <c r="F2220" t="s">
        <v>210</v>
      </c>
      <c r="G2220" t="s">
        <v>211</v>
      </c>
      <c r="H2220" t="s">
        <v>110</v>
      </c>
      <c r="I2220" s="4">
        <v>245.99</v>
      </c>
      <c r="J2220" s="38">
        <v>0</v>
      </c>
      <c r="K2220" s="100">
        <f t="shared" si="130"/>
        <v>579.42999999999995</v>
      </c>
      <c r="L2220" s="32">
        <v>579.42999999999995</v>
      </c>
      <c r="M2220" s="10">
        <f t="shared" si="131"/>
        <v>42.453790794401399</v>
      </c>
    </row>
    <row r="2221" spans="1:13" ht="15" hidden="1" customHeight="1" x14ac:dyDescent="0.3">
      <c r="A2221" s="9">
        <v>3339</v>
      </c>
      <c r="B2221" t="s">
        <v>252</v>
      </c>
      <c r="C2221" s="25">
        <v>44657</v>
      </c>
      <c r="D2221" s="26">
        <v>0.42887731481481484</v>
      </c>
      <c r="E2221" t="s">
        <v>27</v>
      </c>
      <c r="F2221" t="s">
        <v>175</v>
      </c>
      <c r="G2221" t="s">
        <v>172</v>
      </c>
      <c r="H2221" t="s">
        <v>110</v>
      </c>
      <c r="I2221" s="4">
        <v>387.51</v>
      </c>
      <c r="J2221" s="32">
        <v>0</v>
      </c>
      <c r="K2221" s="97">
        <f t="shared" si="130"/>
        <v>1051.6400000000001</v>
      </c>
      <c r="L2221" s="37">
        <v>1051.6400000000001</v>
      </c>
      <c r="M2221" s="10">
        <f t="shared" si="131"/>
        <v>36.848160967631507</v>
      </c>
    </row>
    <row r="2222" spans="1:13" ht="15" hidden="1" customHeight="1" x14ac:dyDescent="0.3">
      <c r="A2222" s="9">
        <v>3340</v>
      </c>
      <c r="B2222" t="s">
        <v>252</v>
      </c>
      <c r="C2222" s="25">
        <v>44658</v>
      </c>
      <c r="D2222" s="26">
        <v>0.17700231481481479</v>
      </c>
      <c r="E2222" t="s">
        <v>27</v>
      </c>
      <c r="F2222" t="s">
        <v>210</v>
      </c>
      <c r="G2222" t="s">
        <v>211</v>
      </c>
      <c r="H2222" t="s">
        <v>110</v>
      </c>
      <c r="I2222" s="4">
        <v>322.91000000000003</v>
      </c>
      <c r="J2222" s="32">
        <v>0</v>
      </c>
      <c r="K2222" s="90">
        <f t="shared" si="130"/>
        <v>629</v>
      </c>
      <c r="L2222" s="7">
        <v>629</v>
      </c>
      <c r="M2222" s="10">
        <f t="shared" si="131"/>
        <v>51.337042925278219</v>
      </c>
    </row>
    <row r="2223" spans="1:13" ht="15" hidden="1" customHeight="1" x14ac:dyDescent="0.3">
      <c r="A2223" s="9">
        <v>3341</v>
      </c>
      <c r="B2223" t="s">
        <v>252</v>
      </c>
      <c r="C2223" s="25">
        <v>44658</v>
      </c>
      <c r="D2223" s="26">
        <v>0.93943287037037038</v>
      </c>
      <c r="E2223" t="s">
        <v>27</v>
      </c>
      <c r="F2223" t="s">
        <v>278</v>
      </c>
      <c r="G2223" t="s">
        <v>279</v>
      </c>
      <c r="H2223" t="s">
        <v>110</v>
      </c>
      <c r="I2223" s="4">
        <v>284.88</v>
      </c>
      <c r="J2223" s="37">
        <v>0</v>
      </c>
      <c r="K2223" s="97">
        <f t="shared" si="130"/>
        <v>712.32</v>
      </c>
      <c r="L2223" s="34">
        <v>712.32</v>
      </c>
      <c r="M2223" s="10">
        <f t="shared" si="131"/>
        <v>39.993261455525605</v>
      </c>
    </row>
    <row r="2224" spans="1:13" ht="15" hidden="1" customHeight="1" x14ac:dyDescent="0.3">
      <c r="A2224" s="9">
        <v>3342</v>
      </c>
      <c r="B2224" t="s">
        <v>252</v>
      </c>
      <c r="C2224" s="25">
        <v>44659</v>
      </c>
      <c r="D2224" s="26">
        <v>0.84423611111111108</v>
      </c>
      <c r="E2224" t="s">
        <v>27</v>
      </c>
      <c r="F2224" t="s">
        <v>335</v>
      </c>
      <c r="G2224" t="s">
        <v>336</v>
      </c>
      <c r="H2224" t="s">
        <v>110</v>
      </c>
      <c r="I2224" s="4">
        <v>256</v>
      </c>
      <c r="J2224" s="37">
        <v>0</v>
      </c>
      <c r="K2224" s="97">
        <f t="shared" si="130"/>
        <v>843.3</v>
      </c>
      <c r="L2224" s="7">
        <v>843.3</v>
      </c>
      <c r="M2224" s="10">
        <f t="shared" si="131"/>
        <v>30.35693110399621</v>
      </c>
    </row>
    <row r="2225" spans="1:13" ht="15" hidden="1" customHeight="1" x14ac:dyDescent="0.3">
      <c r="A2225" s="9">
        <v>3343</v>
      </c>
      <c r="B2225" t="s">
        <v>252</v>
      </c>
      <c r="C2225" s="25">
        <v>44661</v>
      </c>
      <c r="D2225" s="26">
        <v>7.8530092592592596E-2</v>
      </c>
      <c r="E2225" t="s">
        <v>27</v>
      </c>
      <c r="F2225" t="s">
        <v>210</v>
      </c>
      <c r="G2225" t="s">
        <v>211</v>
      </c>
      <c r="H2225" t="s">
        <v>110</v>
      </c>
      <c r="I2225" s="4">
        <v>128</v>
      </c>
      <c r="J2225" s="32">
        <v>0</v>
      </c>
      <c r="K2225" s="90">
        <f t="shared" si="130"/>
        <v>1001</v>
      </c>
      <c r="L2225" s="7">
        <v>1001</v>
      </c>
      <c r="M2225" s="10">
        <f t="shared" si="131"/>
        <v>12.787212787212788</v>
      </c>
    </row>
    <row r="2226" spans="1:13" ht="15" hidden="1" customHeight="1" x14ac:dyDescent="0.3">
      <c r="A2226" s="9">
        <v>3344</v>
      </c>
      <c r="B2226" t="s">
        <v>252</v>
      </c>
      <c r="C2226" s="25">
        <v>44663</v>
      </c>
      <c r="D2226" s="26">
        <v>0.12989583333333335</v>
      </c>
      <c r="E2226" t="s">
        <v>27</v>
      </c>
      <c r="F2226" t="s">
        <v>175</v>
      </c>
      <c r="G2226" t="s">
        <v>172</v>
      </c>
      <c r="H2226" t="s">
        <v>110</v>
      </c>
      <c r="I2226" s="4">
        <v>432.49</v>
      </c>
      <c r="J2226" s="32">
        <v>0</v>
      </c>
      <c r="K2226" s="99">
        <f t="shared" si="130"/>
        <v>1051</v>
      </c>
      <c r="L2226" s="33">
        <v>1051</v>
      </c>
      <c r="M2226" s="10">
        <f t="shared" si="131"/>
        <v>41.150333016175075</v>
      </c>
    </row>
    <row r="2227" spans="1:13" ht="15" hidden="1" customHeight="1" x14ac:dyDescent="0.3">
      <c r="A2227" s="9">
        <v>3345</v>
      </c>
      <c r="B2227" t="s">
        <v>252</v>
      </c>
      <c r="C2227" s="25">
        <v>44664</v>
      </c>
      <c r="D2227" s="26">
        <v>0.14211805555555554</v>
      </c>
      <c r="E2227" t="s">
        <v>27</v>
      </c>
      <c r="F2227" t="s">
        <v>210</v>
      </c>
      <c r="G2227" t="s">
        <v>211</v>
      </c>
      <c r="H2227" t="s">
        <v>110</v>
      </c>
      <c r="I2227" s="4">
        <v>296.08999999999997</v>
      </c>
      <c r="J2227" s="53">
        <v>0</v>
      </c>
      <c r="K2227" s="89">
        <f t="shared" si="130"/>
        <v>696</v>
      </c>
      <c r="L2227" s="7">
        <v>696</v>
      </c>
      <c r="M2227" s="10">
        <f t="shared" si="131"/>
        <v>42.541666666666664</v>
      </c>
    </row>
    <row r="2228" spans="1:13" ht="15" hidden="1" customHeight="1" x14ac:dyDescent="0.3">
      <c r="A2228" s="9">
        <v>3346</v>
      </c>
      <c r="B2228" t="s">
        <v>252</v>
      </c>
      <c r="C2228" s="25">
        <v>44664</v>
      </c>
      <c r="D2228" s="26">
        <v>0.94356481481481491</v>
      </c>
      <c r="E2228" t="s">
        <v>27</v>
      </c>
      <c r="F2228" t="s">
        <v>165</v>
      </c>
      <c r="G2228" t="s">
        <v>185</v>
      </c>
      <c r="H2228" t="s">
        <v>110</v>
      </c>
      <c r="I2228" s="4">
        <v>243.15</v>
      </c>
      <c r="J2228" s="53">
        <v>0</v>
      </c>
      <c r="K2228" s="89">
        <f t="shared" si="130"/>
        <v>548.19000000000005</v>
      </c>
      <c r="L2228" s="7">
        <v>548.19000000000005</v>
      </c>
      <c r="M2228" s="10">
        <f t="shared" si="131"/>
        <v>44.35505937722322</v>
      </c>
    </row>
    <row r="2229" spans="1:13" ht="15" hidden="1" customHeight="1" x14ac:dyDescent="0.3">
      <c r="A2229" s="9">
        <v>3347</v>
      </c>
      <c r="B2229" t="s">
        <v>252</v>
      </c>
      <c r="C2229" s="25">
        <v>44665</v>
      </c>
      <c r="D2229" s="26">
        <v>0.84819444444444436</v>
      </c>
      <c r="E2229" t="s">
        <v>27</v>
      </c>
      <c r="F2229" t="s">
        <v>210</v>
      </c>
      <c r="G2229" t="s">
        <v>211</v>
      </c>
      <c r="H2229" t="s">
        <v>110</v>
      </c>
      <c r="I2229" s="4">
        <v>228.79</v>
      </c>
      <c r="J2229" s="33">
        <v>0</v>
      </c>
      <c r="K2229" s="100">
        <f t="shared" ref="K2229:K2239" si="132">+L2229-J2229</f>
        <v>579</v>
      </c>
      <c r="L2229" s="34">
        <v>579</v>
      </c>
      <c r="M2229" s="10">
        <f t="shared" ref="M2229:M2260" si="133">I2229/K2229*100</f>
        <v>39.5146804835924</v>
      </c>
    </row>
    <row r="2230" spans="1:13" ht="15" hidden="1" customHeight="1" x14ac:dyDescent="0.3">
      <c r="A2230" s="9">
        <v>3348</v>
      </c>
      <c r="B2230" t="s">
        <v>252</v>
      </c>
      <c r="C2230" s="25">
        <v>44666</v>
      </c>
      <c r="D2230" s="26">
        <v>0.75209490740740748</v>
      </c>
      <c r="E2230" t="s">
        <v>27</v>
      </c>
      <c r="F2230" t="s">
        <v>175</v>
      </c>
      <c r="G2230" t="s">
        <v>172</v>
      </c>
      <c r="H2230" t="s">
        <v>110</v>
      </c>
      <c r="I2230" s="4">
        <v>329.71</v>
      </c>
      <c r="J2230" s="33">
        <v>0</v>
      </c>
      <c r="K2230" s="99">
        <f t="shared" si="132"/>
        <v>920</v>
      </c>
      <c r="L2230" s="7">
        <v>920</v>
      </c>
      <c r="M2230" s="10">
        <f t="shared" si="133"/>
        <v>35.838043478260865</v>
      </c>
    </row>
    <row r="2231" spans="1:13" ht="15" hidden="1" customHeight="1" x14ac:dyDescent="0.3">
      <c r="A2231" s="9">
        <v>3349</v>
      </c>
      <c r="B2231" t="s">
        <v>252</v>
      </c>
      <c r="C2231" s="25">
        <v>44667</v>
      </c>
      <c r="D2231" s="26">
        <v>0.9067708333333333</v>
      </c>
      <c r="E2231" t="s">
        <v>27</v>
      </c>
      <c r="F2231" t="s">
        <v>210</v>
      </c>
      <c r="G2231" t="s">
        <v>211</v>
      </c>
      <c r="H2231" t="s">
        <v>110</v>
      </c>
      <c r="I2231" s="4">
        <v>317.20999999999998</v>
      </c>
      <c r="J2231" s="32">
        <v>0</v>
      </c>
      <c r="K2231" s="97">
        <f t="shared" si="132"/>
        <v>824.56</v>
      </c>
      <c r="L2231" s="34">
        <v>824.56</v>
      </c>
      <c r="M2231" s="10">
        <f t="shared" si="133"/>
        <v>38.470214417386245</v>
      </c>
    </row>
    <row r="2232" spans="1:13" ht="15" hidden="1" customHeight="1" x14ac:dyDescent="0.3">
      <c r="A2232" s="9">
        <v>3350</v>
      </c>
      <c r="B2232" t="s">
        <v>252</v>
      </c>
      <c r="C2232" s="25">
        <v>44669</v>
      </c>
      <c r="D2232" s="26">
        <v>0.9027546296296296</v>
      </c>
      <c r="E2232" t="s">
        <v>27</v>
      </c>
      <c r="F2232" t="s">
        <v>165</v>
      </c>
      <c r="G2232" t="s">
        <v>185</v>
      </c>
      <c r="H2232" t="s">
        <v>110</v>
      </c>
      <c r="I2232" s="4">
        <v>414.01</v>
      </c>
      <c r="J2232" s="32">
        <v>0</v>
      </c>
      <c r="K2232" s="90">
        <f t="shared" si="132"/>
        <v>997</v>
      </c>
      <c r="L2232" s="32">
        <v>997</v>
      </c>
      <c r="M2232" s="10">
        <f t="shared" si="133"/>
        <v>41.525576730190572</v>
      </c>
    </row>
    <row r="2233" spans="1:13" ht="15" hidden="1" customHeight="1" x14ac:dyDescent="0.3">
      <c r="A2233" s="9">
        <v>3351</v>
      </c>
      <c r="B2233" t="s">
        <v>252</v>
      </c>
      <c r="C2233" s="25">
        <v>44671</v>
      </c>
      <c r="D2233" s="26">
        <v>0.87927083333333333</v>
      </c>
      <c r="E2233" t="s">
        <v>27</v>
      </c>
      <c r="F2233" t="s">
        <v>165</v>
      </c>
      <c r="G2233" t="s">
        <v>185</v>
      </c>
      <c r="H2233" t="s">
        <v>110</v>
      </c>
      <c r="I2233" s="4">
        <v>355.11</v>
      </c>
      <c r="J2233" s="37">
        <v>0</v>
      </c>
      <c r="K2233" s="89">
        <f t="shared" si="132"/>
        <v>880.46</v>
      </c>
      <c r="L2233" s="34">
        <v>880.46</v>
      </c>
      <c r="M2233" s="10">
        <f t="shared" si="133"/>
        <v>40.332326283987911</v>
      </c>
    </row>
    <row r="2234" spans="1:13" ht="15" hidden="1" customHeight="1" x14ac:dyDescent="0.3">
      <c r="A2234" s="9">
        <v>3352</v>
      </c>
      <c r="B2234" t="s">
        <v>252</v>
      </c>
      <c r="C2234" s="25">
        <v>44672</v>
      </c>
      <c r="D2234" s="26">
        <v>0.84149305555555554</v>
      </c>
      <c r="E2234" t="s">
        <v>27</v>
      </c>
      <c r="F2234" t="s">
        <v>210</v>
      </c>
      <c r="G2234" t="s">
        <v>211</v>
      </c>
      <c r="H2234" t="s">
        <v>110</v>
      </c>
      <c r="I2234" s="4">
        <v>241.64</v>
      </c>
      <c r="J2234" s="37">
        <v>0</v>
      </c>
      <c r="K2234" s="89">
        <f t="shared" si="132"/>
        <v>579</v>
      </c>
      <c r="L2234" s="38">
        <v>579</v>
      </c>
      <c r="M2234" s="10">
        <f t="shared" si="133"/>
        <v>41.734024179620036</v>
      </c>
    </row>
    <row r="2235" spans="1:13" ht="15" hidden="1" customHeight="1" x14ac:dyDescent="0.3">
      <c r="A2235" s="9">
        <v>3353</v>
      </c>
      <c r="B2235" t="s">
        <v>252</v>
      </c>
      <c r="C2235" s="25">
        <v>44674</v>
      </c>
      <c r="D2235" s="26">
        <v>0.8863078703703704</v>
      </c>
      <c r="E2235" t="s">
        <v>27</v>
      </c>
      <c r="F2235" t="s">
        <v>414</v>
      </c>
      <c r="G2235" t="s">
        <v>449</v>
      </c>
      <c r="H2235" t="s">
        <v>110</v>
      </c>
      <c r="I2235" s="4">
        <v>150</v>
      </c>
      <c r="J2235" s="37">
        <v>0</v>
      </c>
      <c r="K2235" s="89">
        <f t="shared" si="132"/>
        <v>1134.72</v>
      </c>
      <c r="L2235" s="7">
        <v>1134.72</v>
      </c>
      <c r="M2235" s="10">
        <f t="shared" si="133"/>
        <v>13.21912013536379</v>
      </c>
    </row>
    <row r="2236" spans="1:13" ht="15" hidden="1" customHeight="1" x14ac:dyDescent="0.3">
      <c r="A2236" s="9">
        <v>3354</v>
      </c>
      <c r="B2236" t="s">
        <v>252</v>
      </c>
      <c r="C2236" s="25">
        <v>44675</v>
      </c>
      <c r="D2236" s="26">
        <v>1.1967592592592592E-2</v>
      </c>
      <c r="E2236" t="s">
        <v>27</v>
      </c>
      <c r="F2236" t="s">
        <v>459</v>
      </c>
      <c r="G2236" t="s">
        <v>303</v>
      </c>
      <c r="H2236" t="s">
        <v>110</v>
      </c>
      <c r="I2236" s="4">
        <v>331.29</v>
      </c>
      <c r="J2236" s="32">
        <v>0</v>
      </c>
      <c r="K2236" s="89">
        <f t="shared" si="132"/>
        <v>187.63</v>
      </c>
      <c r="L2236" s="37">
        <v>187.63</v>
      </c>
      <c r="M2236" s="10">
        <f t="shared" si="133"/>
        <v>176.56558119703675</v>
      </c>
    </row>
    <row r="2237" spans="1:13" ht="15" hidden="1" customHeight="1" x14ac:dyDescent="0.3">
      <c r="A2237" s="9">
        <v>3355</v>
      </c>
      <c r="B2237" t="s">
        <v>252</v>
      </c>
      <c r="C2237" s="25">
        <v>44675</v>
      </c>
      <c r="D2237" s="26">
        <v>0.61079861111111111</v>
      </c>
      <c r="E2237" t="s">
        <v>27</v>
      </c>
      <c r="F2237" t="s">
        <v>210</v>
      </c>
      <c r="G2237" t="s">
        <v>211</v>
      </c>
      <c r="H2237" t="s">
        <v>110</v>
      </c>
      <c r="I2237" s="4">
        <v>191.18</v>
      </c>
      <c r="J2237" s="37">
        <v>0</v>
      </c>
      <c r="K2237" s="89">
        <f t="shared" si="132"/>
        <v>431.57</v>
      </c>
      <c r="L2237" s="7">
        <v>431.57</v>
      </c>
      <c r="M2237" s="10">
        <f t="shared" si="133"/>
        <v>44.298723266214054</v>
      </c>
    </row>
    <row r="2238" spans="1:13" ht="15" hidden="1" customHeight="1" x14ac:dyDescent="0.3">
      <c r="A2238" s="9">
        <v>3356</v>
      </c>
      <c r="B2238" t="s">
        <v>252</v>
      </c>
      <c r="C2238" s="25">
        <v>44676</v>
      </c>
      <c r="D2238" s="26">
        <v>0.79159722222222229</v>
      </c>
      <c r="E2238" t="s">
        <v>27</v>
      </c>
      <c r="F2238" t="s">
        <v>210</v>
      </c>
      <c r="G2238" t="s">
        <v>211</v>
      </c>
      <c r="H2238" t="s">
        <v>110</v>
      </c>
      <c r="I2238">
        <v>400.72</v>
      </c>
      <c r="J2238" s="32">
        <v>0</v>
      </c>
      <c r="K2238" s="89">
        <f t="shared" si="132"/>
        <v>1063.1300000000001</v>
      </c>
      <c r="L2238" s="7">
        <v>1063.1300000000001</v>
      </c>
      <c r="M2238" s="10">
        <f t="shared" si="133"/>
        <v>37.69247410946921</v>
      </c>
    </row>
    <row r="2239" spans="1:13" ht="15" hidden="1" customHeight="1" x14ac:dyDescent="0.3">
      <c r="A2239" s="9">
        <v>3898</v>
      </c>
      <c r="B2239" t="s">
        <v>252</v>
      </c>
      <c r="C2239" s="25">
        <v>44686</v>
      </c>
      <c r="D2239" s="26">
        <v>0.86105324074074074</v>
      </c>
      <c r="E2239" t="s">
        <v>28</v>
      </c>
      <c r="F2239" t="s">
        <v>171</v>
      </c>
      <c r="G2239" t="s">
        <v>172</v>
      </c>
      <c r="H2239" t="s">
        <v>110</v>
      </c>
      <c r="I2239">
        <v>446.55</v>
      </c>
      <c r="J2239" s="37">
        <v>0</v>
      </c>
      <c r="K2239" s="89">
        <f t="shared" si="132"/>
        <v>1113.8399999999999</v>
      </c>
      <c r="L2239" s="32">
        <v>1113.8399999999999</v>
      </c>
      <c r="M2239" s="10">
        <f t="shared" si="133"/>
        <v>40.091036414565828</v>
      </c>
    </row>
    <row r="2240" spans="1:13" ht="15" hidden="1" customHeight="1" x14ac:dyDescent="0.3">
      <c r="A2240" s="9">
        <v>3939</v>
      </c>
      <c r="B2240" t="s">
        <v>252</v>
      </c>
      <c r="C2240" s="25">
        <v>44687</v>
      </c>
      <c r="D2240" s="26">
        <v>0.59987268518518522</v>
      </c>
      <c r="E2240" t="s">
        <v>28</v>
      </c>
      <c r="F2240" t="s">
        <v>166</v>
      </c>
      <c r="G2240" t="s">
        <v>161</v>
      </c>
      <c r="H2240" t="s">
        <v>110</v>
      </c>
      <c r="I2240">
        <v>248.52</v>
      </c>
      <c r="J2240" s="37">
        <v>0</v>
      </c>
      <c r="K2240" s="89">
        <f>+L2240-J2370</f>
        <v>616</v>
      </c>
      <c r="L2240" s="32">
        <v>616</v>
      </c>
      <c r="M2240" s="10">
        <f t="shared" si="133"/>
        <v>40.344155844155843</v>
      </c>
    </row>
    <row r="2241" spans="1:13" ht="15" hidden="1" customHeight="1" x14ac:dyDescent="0.3">
      <c r="A2241" s="9">
        <v>4001</v>
      </c>
      <c r="B2241" t="s">
        <v>252</v>
      </c>
      <c r="C2241" s="25">
        <v>44688</v>
      </c>
      <c r="D2241" s="26">
        <v>0.96976851851851853</v>
      </c>
      <c r="E2241" t="s">
        <v>28</v>
      </c>
      <c r="F2241" t="s">
        <v>210</v>
      </c>
      <c r="G2241" t="s">
        <v>211</v>
      </c>
      <c r="H2241" t="s">
        <v>110</v>
      </c>
      <c r="I2241">
        <v>401.83</v>
      </c>
      <c r="J2241" s="37">
        <v>0</v>
      </c>
      <c r="K2241" s="89">
        <f>+L2241-J2371</f>
        <v>1147</v>
      </c>
      <c r="L2241" s="32">
        <v>1147</v>
      </c>
      <c r="M2241" s="10">
        <f t="shared" si="133"/>
        <v>35.033129904097642</v>
      </c>
    </row>
    <row r="2242" spans="1:13" ht="15" hidden="1" customHeight="1" x14ac:dyDescent="0.3">
      <c r="A2242" s="9">
        <v>4137</v>
      </c>
      <c r="B2242" t="s">
        <v>252</v>
      </c>
      <c r="C2242" s="25">
        <v>44691</v>
      </c>
      <c r="D2242" s="26">
        <v>0.85636574074074068</v>
      </c>
      <c r="E2242" t="s">
        <v>28</v>
      </c>
      <c r="F2242" t="s">
        <v>166</v>
      </c>
      <c r="G2242" t="s">
        <v>161</v>
      </c>
      <c r="H2242" t="s">
        <v>110</v>
      </c>
      <c r="I2242">
        <v>240.94</v>
      </c>
      <c r="J2242" s="32">
        <v>0</v>
      </c>
      <c r="K2242" s="89">
        <f>+L2242-J2374</f>
        <v>620</v>
      </c>
      <c r="L2242" s="32">
        <v>620</v>
      </c>
      <c r="M2242" s="10">
        <f t="shared" si="133"/>
        <v>38.861290322580643</v>
      </c>
    </row>
    <row r="2243" spans="1:13" ht="15" hidden="1" customHeight="1" x14ac:dyDescent="0.3">
      <c r="A2243" s="9">
        <v>4139</v>
      </c>
      <c r="B2243" t="s">
        <v>252</v>
      </c>
      <c r="C2243" s="25">
        <v>44691</v>
      </c>
      <c r="D2243" s="26">
        <v>0.43997685185185187</v>
      </c>
      <c r="E2243" t="s">
        <v>28</v>
      </c>
      <c r="F2243" t="s">
        <v>175</v>
      </c>
      <c r="G2243" t="s">
        <v>172</v>
      </c>
      <c r="H2243" t="s">
        <v>110</v>
      </c>
      <c r="I2243">
        <v>389.13</v>
      </c>
      <c r="J2243" s="33">
        <v>0</v>
      </c>
      <c r="K2243" s="89">
        <f>+L2243-J2375</f>
        <v>1057</v>
      </c>
      <c r="L2243" s="33">
        <v>1057</v>
      </c>
      <c r="M2243" s="10">
        <f t="shared" si="133"/>
        <v>36.814569536423839</v>
      </c>
    </row>
    <row r="2244" spans="1:13" ht="15" hidden="1" customHeight="1" x14ac:dyDescent="0.3">
      <c r="A2244" s="9">
        <v>4228</v>
      </c>
      <c r="B2244" t="s">
        <v>252</v>
      </c>
      <c r="C2244" s="25">
        <v>44693</v>
      </c>
      <c r="D2244" s="26">
        <v>0.48570601851851852</v>
      </c>
      <c r="E2244" t="s">
        <v>28</v>
      </c>
      <c r="F2244" t="s">
        <v>210</v>
      </c>
      <c r="G2244" t="s">
        <v>211</v>
      </c>
      <c r="H2244" t="s">
        <v>110</v>
      </c>
      <c r="I2244">
        <v>438</v>
      </c>
      <c r="J2244" s="32">
        <v>0</v>
      </c>
      <c r="K2244" s="89">
        <f>+L2244-J2376</f>
        <v>1146</v>
      </c>
      <c r="L2244" s="32">
        <v>1146</v>
      </c>
      <c r="M2244" s="10">
        <f t="shared" si="133"/>
        <v>38.219895287958117</v>
      </c>
    </row>
    <row r="2245" spans="1:13" ht="15" hidden="1" customHeight="1" x14ac:dyDescent="0.3">
      <c r="A2245" s="9">
        <v>4284</v>
      </c>
      <c r="B2245" t="s">
        <v>252</v>
      </c>
      <c r="C2245" s="25">
        <v>44694</v>
      </c>
      <c r="D2245" s="26">
        <v>0.60993055555555553</v>
      </c>
      <c r="E2245" t="s">
        <v>28</v>
      </c>
      <c r="F2245" t="s">
        <v>428</v>
      </c>
      <c r="G2245" t="s">
        <v>429</v>
      </c>
      <c r="H2245" t="s">
        <v>110</v>
      </c>
      <c r="I2245">
        <v>100.12</v>
      </c>
      <c r="J2245" s="32">
        <v>0</v>
      </c>
      <c r="K2245" s="89">
        <f t="shared" ref="K2245:K2252" si="134">+L2245-J2516</f>
        <v>925</v>
      </c>
      <c r="L2245" s="32">
        <v>925</v>
      </c>
      <c r="M2245" s="10">
        <f t="shared" si="133"/>
        <v>10.823783783783785</v>
      </c>
    </row>
    <row r="2246" spans="1:13" ht="15" hidden="1" customHeight="1" x14ac:dyDescent="0.3">
      <c r="A2246" s="9">
        <v>4320</v>
      </c>
      <c r="B2246" t="s">
        <v>252</v>
      </c>
      <c r="C2246" s="25">
        <v>44695</v>
      </c>
      <c r="D2246" s="26">
        <v>0.84646990740740735</v>
      </c>
      <c r="E2246" t="s">
        <v>28</v>
      </c>
      <c r="F2246" t="s">
        <v>166</v>
      </c>
      <c r="G2246" t="s">
        <v>161</v>
      </c>
      <c r="H2246" t="s">
        <v>110</v>
      </c>
      <c r="I2246">
        <v>100</v>
      </c>
      <c r="J2246" s="32">
        <v>0</v>
      </c>
      <c r="K2246" s="89">
        <f t="shared" si="134"/>
        <v>620</v>
      </c>
      <c r="L2246" s="32">
        <v>620</v>
      </c>
      <c r="M2246" s="10">
        <f t="shared" si="133"/>
        <v>16.129032258064516</v>
      </c>
    </row>
    <row r="2247" spans="1:13" ht="15" hidden="1" customHeight="1" x14ac:dyDescent="0.3">
      <c r="A2247" s="9">
        <v>4346</v>
      </c>
      <c r="B2247" t="s">
        <v>252</v>
      </c>
      <c r="C2247" s="25">
        <v>44695</v>
      </c>
      <c r="D2247" s="26">
        <v>0.36821759259259257</v>
      </c>
      <c r="E2247" t="s">
        <v>28</v>
      </c>
      <c r="F2247" t="s">
        <v>175</v>
      </c>
      <c r="G2247" t="s">
        <v>172</v>
      </c>
      <c r="H2247" t="s">
        <v>110</v>
      </c>
      <c r="I2247">
        <v>347.78</v>
      </c>
      <c r="J2247" s="33">
        <v>0</v>
      </c>
      <c r="K2247" s="89">
        <f t="shared" si="134"/>
        <v>281</v>
      </c>
      <c r="L2247" s="33">
        <v>281</v>
      </c>
      <c r="M2247" s="10">
        <f t="shared" si="133"/>
        <v>123.76512455516013</v>
      </c>
    </row>
    <row r="2248" spans="1:13" ht="15" hidden="1" customHeight="1" x14ac:dyDescent="0.3">
      <c r="A2248" s="9">
        <v>4347</v>
      </c>
      <c r="B2248" t="s">
        <v>252</v>
      </c>
      <c r="C2248" s="25">
        <v>44695</v>
      </c>
      <c r="D2248" s="26">
        <v>0.92245370370370372</v>
      </c>
      <c r="E2248" t="s">
        <v>28</v>
      </c>
      <c r="F2248" t="s">
        <v>210</v>
      </c>
      <c r="G2248" t="s">
        <v>211</v>
      </c>
      <c r="H2248" t="s">
        <v>110</v>
      </c>
      <c r="I2248">
        <v>176.67</v>
      </c>
      <c r="J2248" s="32">
        <v>0</v>
      </c>
      <c r="K2248" s="89">
        <f t="shared" si="134"/>
        <v>76</v>
      </c>
      <c r="L2248" s="32">
        <v>76</v>
      </c>
      <c r="M2248" s="10">
        <f t="shared" si="133"/>
        <v>232.46052631578945</v>
      </c>
    </row>
    <row r="2249" spans="1:13" ht="15" hidden="1" customHeight="1" x14ac:dyDescent="0.3">
      <c r="A2249" s="9">
        <v>4416</v>
      </c>
      <c r="B2249" t="s">
        <v>252</v>
      </c>
      <c r="C2249" s="25">
        <v>44696</v>
      </c>
      <c r="D2249" s="26">
        <v>0.74091435185185184</v>
      </c>
      <c r="E2249" t="s">
        <v>28</v>
      </c>
      <c r="F2249" t="s">
        <v>165</v>
      </c>
      <c r="G2249" t="s">
        <v>185</v>
      </c>
      <c r="H2249" t="s">
        <v>110</v>
      </c>
      <c r="I2249">
        <v>240.94</v>
      </c>
      <c r="J2249" s="37">
        <v>0</v>
      </c>
      <c r="K2249" s="89">
        <f t="shared" si="134"/>
        <v>550</v>
      </c>
      <c r="L2249" s="37">
        <v>550</v>
      </c>
      <c r="M2249" s="10">
        <f t="shared" si="133"/>
        <v>43.807272727272725</v>
      </c>
    </row>
    <row r="2250" spans="1:13" ht="15" hidden="1" customHeight="1" x14ac:dyDescent="0.3">
      <c r="A2250" s="9">
        <v>4470</v>
      </c>
      <c r="B2250" t="s">
        <v>252</v>
      </c>
      <c r="C2250" s="25">
        <v>44697</v>
      </c>
      <c r="D2250" s="26">
        <v>0.80526620370370372</v>
      </c>
      <c r="E2250" t="s">
        <v>28</v>
      </c>
      <c r="F2250" t="s">
        <v>210</v>
      </c>
      <c r="G2250" t="s">
        <v>211</v>
      </c>
      <c r="H2250" t="s">
        <v>110</v>
      </c>
      <c r="I2250">
        <v>211.69</v>
      </c>
      <c r="J2250" s="33">
        <v>0</v>
      </c>
      <c r="K2250" s="89">
        <f t="shared" si="134"/>
        <v>566</v>
      </c>
      <c r="L2250" s="32">
        <v>566</v>
      </c>
      <c r="M2250" s="10">
        <f t="shared" si="133"/>
        <v>37.401060070671377</v>
      </c>
    </row>
    <row r="2251" spans="1:13" ht="15" hidden="1" customHeight="1" x14ac:dyDescent="0.3">
      <c r="A2251" s="9">
        <v>4575</v>
      </c>
      <c r="B2251" t="s">
        <v>252</v>
      </c>
      <c r="C2251" s="25">
        <v>44699</v>
      </c>
      <c r="D2251" s="26">
        <v>0.49715277777777778</v>
      </c>
      <c r="E2251" t="s">
        <v>28</v>
      </c>
      <c r="F2251" t="s">
        <v>534</v>
      </c>
      <c r="G2251" t="s">
        <v>535</v>
      </c>
      <c r="H2251" t="s">
        <v>110</v>
      </c>
      <c r="I2251">
        <v>406.25</v>
      </c>
      <c r="J2251" s="32">
        <v>0</v>
      </c>
      <c r="K2251" s="89">
        <f t="shared" si="134"/>
        <v>940</v>
      </c>
      <c r="L2251" s="37">
        <v>940</v>
      </c>
      <c r="M2251" s="10">
        <f t="shared" si="133"/>
        <v>43.218085106382979</v>
      </c>
    </row>
    <row r="2252" spans="1:13" ht="15" hidden="1" customHeight="1" x14ac:dyDescent="0.3">
      <c r="A2252" s="9">
        <v>4628</v>
      </c>
      <c r="B2252" t="s">
        <v>252</v>
      </c>
      <c r="C2252" s="25">
        <v>44700</v>
      </c>
      <c r="D2252" s="26">
        <v>0.77077546296296295</v>
      </c>
      <c r="E2252" t="s">
        <v>28</v>
      </c>
      <c r="F2252" t="s">
        <v>166</v>
      </c>
      <c r="G2252" t="s">
        <v>161</v>
      </c>
      <c r="H2252" t="s">
        <v>110</v>
      </c>
      <c r="I2252">
        <v>320.83</v>
      </c>
      <c r="J2252" s="32">
        <v>0</v>
      </c>
      <c r="K2252" s="89">
        <f t="shared" si="134"/>
        <v>810</v>
      </c>
      <c r="L2252" s="32">
        <v>810</v>
      </c>
      <c r="M2252" s="10">
        <f t="shared" si="133"/>
        <v>39.608641975308636</v>
      </c>
    </row>
    <row r="2253" spans="1:13" ht="15" hidden="1" customHeight="1" x14ac:dyDescent="0.3">
      <c r="A2253" s="9">
        <v>4681</v>
      </c>
      <c r="B2253" t="s">
        <v>252</v>
      </c>
      <c r="C2253" s="25">
        <v>44701</v>
      </c>
      <c r="D2253" s="26">
        <v>0.95502314814814815</v>
      </c>
      <c r="E2253" t="s">
        <v>28</v>
      </c>
      <c r="F2253" t="s">
        <v>210</v>
      </c>
      <c r="G2253" t="s">
        <v>211</v>
      </c>
      <c r="H2253" t="s">
        <v>110</v>
      </c>
      <c r="I2253">
        <v>414.54</v>
      </c>
      <c r="J2253" s="41">
        <v>0</v>
      </c>
      <c r="K2253" s="89">
        <f t="shared" ref="K2253:K2260" si="135">+L2253-J2488</f>
        <v>1147</v>
      </c>
      <c r="L2253" s="32">
        <v>1147</v>
      </c>
      <c r="M2253" s="10">
        <f t="shared" si="133"/>
        <v>36.141238012205754</v>
      </c>
    </row>
    <row r="2254" spans="1:13" ht="15" hidden="1" customHeight="1" x14ac:dyDescent="0.3">
      <c r="A2254" s="9">
        <v>4739</v>
      </c>
      <c r="B2254" t="s">
        <v>252</v>
      </c>
      <c r="C2254" s="25">
        <v>44702</v>
      </c>
      <c r="D2254" s="26">
        <v>0.75197916666666664</v>
      </c>
      <c r="E2254" t="s">
        <v>28</v>
      </c>
      <c r="F2254" t="s">
        <v>262</v>
      </c>
      <c r="G2254" t="s">
        <v>263</v>
      </c>
      <c r="H2254" t="s">
        <v>110</v>
      </c>
      <c r="I2254">
        <v>200</v>
      </c>
      <c r="J2254" s="69">
        <v>0</v>
      </c>
      <c r="K2254" s="89">
        <f t="shared" si="135"/>
        <v>904</v>
      </c>
      <c r="L2254" s="32">
        <v>904</v>
      </c>
      <c r="M2254" s="10">
        <f t="shared" si="133"/>
        <v>22.123893805309734</v>
      </c>
    </row>
    <row r="2255" spans="1:13" ht="15" hidden="1" customHeight="1" x14ac:dyDescent="0.3">
      <c r="A2255" s="9">
        <v>4790</v>
      </c>
      <c r="B2255" t="s">
        <v>252</v>
      </c>
      <c r="C2255" s="25">
        <v>44703</v>
      </c>
      <c r="D2255" s="26">
        <v>0.58171296296296293</v>
      </c>
      <c r="E2255" t="s">
        <v>28</v>
      </c>
      <c r="F2255" t="s">
        <v>197</v>
      </c>
      <c r="G2255" t="s">
        <v>44</v>
      </c>
      <c r="H2255" t="s">
        <v>110</v>
      </c>
      <c r="I2255">
        <v>115.68</v>
      </c>
      <c r="J2255" s="69">
        <v>0</v>
      </c>
      <c r="K2255" s="89">
        <f t="shared" si="135"/>
        <v>302</v>
      </c>
      <c r="L2255" s="32">
        <v>302</v>
      </c>
      <c r="M2255" s="10">
        <f t="shared" si="133"/>
        <v>38.30463576158941</v>
      </c>
    </row>
    <row r="2256" spans="1:13" ht="15" hidden="1" customHeight="1" x14ac:dyDescent="0.3">
      <c r="A2256" s="9">
        <v>4791</v>
      </c>
      <c r="B2256" t="s">
        <v>252</v>
      </c>
      <c r="C2256" s="25">
        <v>44703</v>
      </c>
      <c r="D2256" s="26">
        <v>0.96313657407407405</v>
      </c>
      <c r="E2256" t="s">
        <v>28</v>
      </c>
      <c r="F2256" t="s">
        <v>210</v>
      </c>
      <c r="G2256" t="s">
        <v>211</v>
      </c>
      <c r="H2256" t="s">
        <v>110</v>
      </c>
      <c r="I2256">
        <v>326.7</v>
      </c>
      <c r="J2256" s="69">
        <v>0</v>
      </c>
      <c r="K2256" s="89">
        <f t="shared" si="135"/>
        <v>241</v>
      </c>
      <c r="L2256" s="32">
        <v>579</v>
      </c>
      <c r="M2256" s="10">
        <f t="shared" si="133"/>
        <v>135.56016597510373</v>
      </c>
    </row>
    <row r="2257" spans="1:19" ht="15" hidden="1" customHeight="1" x14ac:dyDescent="0.3">
      <c r="A2257" s="9">
        <v>4841</v>
      </c>
      <c r="B2257" t="s">
        <v>252</v>
      </c>
      <c r="C2257" s="25">
        <v>44704</v>
      </c>
      <c r="D2257" s="26">
        <v>0.73532407407407396</v>
      </c>
      <c r="E2257" t="s">
        <v>28</v>
      </c>
      <c r="F2257" t="s">
        <v>165</v>
      </c>
      <c r="G2257" t="s">
        <v>185</v>
      </c>
      <c r="H2257" t="s">
        <v>110</v>
      </c>
      <c r="I2257">
        <v>244</v>
      </c>
      <c r="J2257" s="69">
        <v>0</v>
      </c>
      <c r="K2257" s="89">
        <f t="shared" si="135"/>
        <v>552</v>
      </c>
      <c r="L2257" s="32">
        <v>552</v>
      </c>
      <c r="M2257" s="10">
        <f t="shared" si="133"/>
        <v>44.20289855072464</v>
      </c>
    </row>
    <row r="2258" spans="1:19" ht="15" hidden="1" customHeight="1" x14ac:dyDescent="0.3">
      <c r="A2258" s="9">
        <v>4898</v>
      </c>
      <c r="B2258" t="s">
        <v>252</v>
      </c>
      <c r="C2258" s="25">
        <v>44705</v>
      </c>
      <c r="D2258" s="26">
        <v>0.7400578703703703</v>
      </c>
      <c r="E2258" t="s">
        <v>28</v>
      </c>
      <c r="F2258" t="s">
        <v>165</v>
      </c>
      <c r="G2258" t="s">
        <v>185</v>
      </c>
      <c r="H2258" t="s">
        <v>110</v>
      </c>
      <c r="I2258">
        <v>211.62</v>
      </c>
      <c r="J2258" s="69">
        <v>0</v>
      </c>
      <c r="K2258" s="89">
        <f t="shared" si="135"/>
        <v>443</v>
      </c>
      <c r="L2258" s="32">
        <v>443</v>
      </c>
      <c r="M2258" s="10">
        <f t="shared" si="133"/>
        <v>47.769751693002263</v>
      </c>
    </row>
    <row r="2259" spans="1:19" ht="15" hidden="1" customHeight="1" x14ac:dyDescent="0.3">
      <c r="A2259" s="9">
        <v>4958</v>
      </c>
      <c r="B2259" t="s">
        <v>252</v>
      </c>
      <c r="C2259" s="25">
        <v>44706</v>
      </c>
      <c r="D2259" s="26">
        <v>0.76870370370370367</v>
      </c>
      <c r="E2259" t="s">
        <v>28</v>
      </c>
      <c r="F2259" t="s">
        <v>210</v>
      </c>
      <c r="G2259" t="s">
        <v>211</v>
      </c>
      <c r="H2259" t="s">
        <v>110</v>
      </c>
      <c r="I2259">
        <v>225.19</v>
      </c>
      <c r="J2259" s="52">
        <v>0</v>
      </c>
      <c r="K2259" s="89">
        <f t="shared" si="135"/>
        <v>172</v>
      </c>
      <c r="L2259" s="32">
        <v>570</v>
      </c>
      <c r="M2259" s="10">
        <f t="shared" si="133"/>
        <v>130.92441860465115</v>
      </c>
    </row>
    <row r="2260" spans="1:19" ht="15" hidden="1" customHeight="1" x14ac:dyDescent="0.3">
      <c r="A2260" s="9">
        <v>5000</v>
      </c>
      <c r="B2260" t="s">
        <v>252</v>
      </c>
      <c r="C2260" s="25">
        <v>44707</v>
      </c>
      <c r="D2260" s="26">
        <v>0.82285879629629621</v>
      </c>
      <c r="E2260" t="s">
        <v>28</v>
      </c>
      <c r="F2260" t="s">
        <v>649</v>
      </c>
      <c r="G2260" t="s">
        <v>500</v>
      </c>
      <c r="H2260" t="s">
        <v>110</v>
      </c>
      <c r="I2260">
        <v>257.05</v>
      </c>
      <c r="J2260" s="52">
        <v>0</v>
      </c>
      <c r="K2260" s="89">
        <f t="shared" si="135"/>
        <v>704</v>
      </c>
      <c r="L2260" s="7">
        <v>704</v>
      </c>
      <c r="M2260" s="10">
        <f t="shared" si="133"/>
        <v>36.512784090909093</v>
      </c>
    </row>
    <row r="2261" spans="1:19" ht="15" hidden="1" customHeight="1" x14ac:dyDescent="0.3">
      <c r="A2261" s="9">
        <v>5424</v>
      </c>
      <c r="B2261" t="s">
        <v>252</v>
      </c>
      <c r="C2261" s="25">
        <v>44715</v>
      </c>
      <c r="D2261" s="26">
        <v>0.74230324074074072</v>
      </c>
      <c r="E2261" t="s">
        <v>29</v>
      </c>
      <c r="F2261" t="s">
        <v>639</v>
      </c>
      <c r="G2261" t="s">
        <v>44</v>
      </c>
      <c r="H2261" t="s">
        <v>110</v>
      </c>
      <c r="I2261">
        <v>218</v>
      </c>
      <c r="J2261" s="41">
        <v>0</v>
      </c>
      <c r="K2261" s="89">
        <f>+L2261-J2487</f>
        <v>412</v>
      </c>
      <c r="L2261" s="7">
        <v>412</v>
      </c>
      <c r="M2261" s="10">
        <f t="shared" ref="M2261:M2279" si="136">I2261/K2261*100</f>
        <v>52.912621359223301</v>
      </c>
    </row>
    <row r="2262" spans="1:19" ht="15" hidden="1" customHeight="1" x14ac:dyDescent="0.3">
      <c r="A2262" s="9">
        <v>5477</v>
      </c>
      <c r="B2262" t="s">
        <v>252</v>
      </c>
      <c r="C2262" s="25">
        <v>44716</v>
      </c>
      <c r="D2262" s="26">
        <v>0.49365740740740738</v>
      </c>
      <c r="E2262" t="s">
        <v>29</v>
      </c>
      <c r="F2262" t="s">
        <v>634</v>
      </c>
      <c r="G2262" t="s">
        <v>211</v>
      </c>
      <c r="H2262" t="s">
        <v>110</v>
      </c>
      <c r="I2262">
        <v>240</v>
      </c>
      <c r="J2262" s="71">
        <v>0</v>
      </c>
      <c r="K2262" s="89">
        <f>+L2262-J2488</f>
        <v>586</v>
      </c>
      <c r="L2262" s="7">
        <v>586</v>
      </c>
      <c r="M2262" s="10">
        <f t="shared" si="136"/>
        <v>40.955631399317404</v>
      </c>
    </row>
    <row r="2263" spans="1:19" ht="15" hidden="1" customHeight="1" x14ac:dyDescent="0.3">
      <c r="A2263" s="9">
        <v>5523</v>
      </c>
      <c r="B2263" t="s">
        <v>252</v>
      </c>
      <c r="C2263" s="25">
        <v>44717</v>
      </c>
      <c r="D2263" s="26">
        <v>8.6921296296296312E-3</v>
      </c>
      <c r="E2263" t="s">
        <v>29</v>
      </c>
      <c r="F2263" t="s">
        <v>635</v>
      </c>
      <c r="G2263" t="s">
        <v>185</v>
      </c>
      <c r="H2263" t="s">
        <v>110</v>
      </c>
      <c r="I2263">
        <v>241.03</v>
      </c>
      <c r="J2263" s="71">
        <v>0</v>
      </c>
      <c r="K2263" s="89">
        <f>+L2263-J2489</f>
        <v>548</v>
      </c>
      <c r="L2263" s="7">
        <v>548</v>
      </c>
      <c r="M2263" s="10">
        <f t="shared" si="136"/>
        <v>43.983576642335763</v>
      </c>
    </row>
    <row r="2264" spans="1:19" ht="15" hidden="1" customHeight="1" x14ac:dyDescent="0.3">
      <c r="A2264" s="9">
        <v>5524</v>
      </c>
      <c r="B2264" t="s">
        <v>252</v>
      </c>
      <c r="C2264" s="25">
        <v>44717</v>
      </c>
      <c r="D2264" s="26">
        <v>0.53740740740740744</v>
      </c>
      <c r="E2264" t="s">
        <v>29</v>
      </c>
      <c r="F2264" t="s">
        <v>634</v>
      </c>
      <c r="G2264" t="s">
        <v>211</v>
      </c>
      <c r="H2264" t="s">
        <v>110</v>
      </c>
      <c r="I2264">
        <v>147.96</v>
      </c>
      <c r="J2264" s="32">
        <v>0</v>
      </c>
      <c r="K2264" s="89">
        <f>+L2264-J2490</f>
        <v>514</v>
      </c>
      <c r="L2264" s="7">
        <v>514</v>
      </c>
      <c r="M2264" s="10">
        <f t="shared" si="136"/>
        <v>28.785992217898837</v>
      </c>
    </row>
    <row r="2265" spans="1:19" ht="15" hidden="1" customHeight="1" x14ac:dyDescent="0.3">
      <c r="A2265" s="9">
        <v>5622</v>
      </c>
      <c r="B2265" t="s">
        <v>252</v>
      </c>
      <c r="C2265" s="25">
        <v>44719</v>
      </c>
      <c r="D2265" s="26">
        <v>0.62153935185185183</v>
      </c>
      <c r="E2265" t="s">
        <v>29</v>
      </c>
      <c r="F2265" t="s">
        <v>638</v>
      </c>
      <c r="G2265" t="s">
        <v>263</v>
      </c>
      <c r="H2265" t="s">
        <v>110</v>
      </c>
      <c r="I2265">
        <v>399</v>
      </c>
      <c r="J2265" s="37">
        <v>0</v>
      </c>
      <c r="K2265" s="89">
        <f>+L2265-J1822</f>
        <v>1092</v>
      </c>
      <c r="L2265" s="7">
        <v>1092</v>
      </c>
      <c r="M2265" s="10">
        <f t="shared" si="136"/>
        <v>36.538461538461533</v>
      </c>
    </row>
    <row r="2266" spans="1:19" ht="15" hidden="1" customHeight="1" x14ac:dyDescent="0.3">
      <c r="A2266" s="9">
        <v>5623</v>
      </c>
      <c r="B2266" t="s">
        <v>252</v>
      </c>
      <c r="C2266" s="25">
        <v>44719</v>
      </c>
      <c r="D2266" s="26">
        <v>0.87326388888888884</v>
      </c>
      <c r="E2266" t="s">
        <v>29</v>
      </c>
      <c r="F2266" t="s">
        <v>661</v>
      </c>
      <c r="G2266" t="s">
        <v>457</v>
      </c>
      <c r="H2266" t="s">
        <v>110</v>
      </c>
      <c r="I2266">
        <v>50.02</v>
      </c>
      <c r="J2266" s="32">
        <v>0</v>
      </c>
      <c r="K2266" s="89">
        <f>+L2266-J1824</f>
        <v>339</v>
      </c>
      <c r="L2266" s="7">
        <v>339</v>
      </c>
      <c r="M2266" s="10">
        <f t="shared" si="136"/>
        <v>14.755162241887906</v>
      </c>
    </row>
    <row r="2267" spans="1:19" ht="15" hidden="1" customHeight="1" x14ac:dyDescent="0.3">
      <c r="A2267" s="9">
        <v>5763</v>
      </c>
      <c r="B2267" t="s">
        <v>252</v>
      </c>
      <c r="C2267" s="25">
        <v>44722</v>
      </c>
      <c r="D2267" s="26">
        <v>0.65129629629629626</v>
      </c>
      <c r="E2267" t="s">
        <v>29</v>
      </c>
      <c r="F2267" t="s">
        <v>639</v>
      </c>
      <c r="G2267" t="s">
        <v>44</v>
      </c>
      <c r="H2267" t="s">
        <v>220</v>
      </c>
      <c r="I2267">
        <v>536</v>
      </c>
      <c r="J2267" s="32">
        <v>0</v>
      </c>
      <c r="K2267" s="89">
        <f>+L2267-J2518</f>
        <v>463</v>
      </c>
      <c r="L2267" s="34">
        <v>463</v>
      </c>
      <c r="M2267" s="10">
        <f t="shared" si="136"/>
        <v>115.76673866090712</v>
      </c>
    </row>
    <row r="2268" spans="1:19" ht="15" hidden="1" customHeight="1" x14ac:dyDescent="0.3">
      <c r="A2268" s="9">
        <v>5876</v>
      </c>
      <c r="B2268" t="s">
        <v>252</v>
      </c>
      <c r="C2268" s="25">
        <v>44724</v>
      </c>
      <c r="D2268" s="26">
        <v>0.84793981481481484</v>
      </c>
      <c r="E2268" t="s">
        <v>29</v>
      </c>
      <c r="F2268" t="s">
        <v>634</v>
      </c>
      <c r="G2268" t="s">
        <v>211</v>
      </c>
      <c r="H2268" t="s">
        <v>220</v>
      </c>
      <c r="I2268">
        <v>428.71</v>
      </c>
      <c r="J2268" s="32">
        <v>0</v>
      </c>
      <c r="K2268" s="89">
        <f>+L2268-J2519</f>
        <v>1654</v>
      </c>
      <c r="L2268" s="29">
        <v>1654</v>
      </c>
      <c r="M2268" s="10">
        <f t="shared" si="136"/>
        <v>25.919588875453449</v>
      </c>
    </row>
    <row r="2269" spans="1:19" ht="15" hidden="1" customHeight="1" x14ac:dyDescent="0.3">
      <c r="A2269" s="9">
        <v>5932</v>
      </c>
      <c r="B2269" t="s">
        <v>252</v>
      </c>
      <c r="C2269" s="25">
        <v>44725</v>
      </c>
      <c r="D2269" s="26">
        <v>0.76309027777777771</v>
      </c>
      <c r="E2269" t="s">
        <v>29</v>
      </c>
      <c r="F2269" t="s">
        <v>637</v>
      </c>
      <c r="G2269" t="s">
        <v>196</v>
      </c>
      <c r="H2269" t="s">
        <v>220</v>
      </c>
      <c r="I2269">
        <v>183.33</v>
      </c>
      <c r="J2269" s="32">
        <v>0</v>
      </c>
      <c r="K2269" s="89">
        <f>+L2269-J2512</f>
        <v>-279364</v>
      </c>
      <c r="L2269" s="28">
        <v>489</v>
      </c>
      <c r="M2269" s="10">
        <f t="shared" si="136"/>
        <v>-6.5624060365687784E-2</v>
      </c>
      <c r="N2269" s="2"/>
      <c r="O2269" s="2"/>
      <c r="P2269" s="2"/>
      <c r="Q2269" s="2"/>
      <c r="R2269" s="2"/>
      <c r="S2269" s="2"/>
    </row>
    <row r="2270" spans="1:19" ht="15" hidden="1" customHeight="1" x14ac:dyDescent="0.3">
      <c r="A2270" s="9">
        <v>5978</v>
      </c>
      <c r="B2270" t="s">
        <v>252</v>
      </c>
      <c r="C2270" s="25">
        <v>44726</v>
      </c>
      <c r="D2270" s="26">
        <v>0.87350694444444443</v>
      </c>
      <c r="E2270" t="s">
        <v>29</v>
      </c>
      <c r="F2270" t="s">
        <v>639</v>
      </c>
      <c r="G2270" t="s">
        <v>44</v>
      </c>
      <c r="H2270" t="s">
        <v>220</v>
      </c>
      <c r="I2270">
        <v>250.03</v>
      </c>
      <c r="J2270" s="32">
        <v>0</v>
      </c>
      <c r="K2270" s="89">
        <v>681</v>
      </c>
      <c r="L2270" s="11">
        <v>681</v>
      </c>
      <c r="M2270" s="10">
        <f t="shared" si="136"/>
        <v>36.715124816446405</v>
      </c>
      <c r="N2270" s="2"/>
      <c r="O2270" s="2"/>
      <c r="P2270" s="2"/>
      <c r="Q2270" s="2"/>
      <c r="R2270" s="2"/>
      <c r="S2270" s="2"/>
    </row>
    <row r="2271" spans="1:19" ht="15" hidden="1" customHeight="1" x14ac:dyDescent="0.3">
      <c r="A2271" s="9">
        <v>6043</v>
      </c>
      <c r="B2271" t="s">
        <v>252</v>
      </c>
      <c r="C2271" s="25">
        <v>44727</v>
      </c>
      <c r="D2271" s="26">
        <v>0.19081018518518519</v>
      </c>
      <c r="E2271" t="s">
        <v>29</v>
      </c>
      <c r="F2271" t="s">
        <v>632</v>
      </c>
      <c r="G2271" t="s">
        <v>161</v>
      </c>
      <c r="H2271" t="s">
        <v>220</v>
      </c>
      <c r="I2271">
        <v>206.34</v>
      </c>
      <c r="J2271" s="32">
        <v>0</v>
      </c>
      <c r="K2271" s="93">
        <v>511</v>
      </c>
      <c r="L2271" s="29">
        <v>511</v>
      </c>
      <c r="M2271" s="10">
        <f t="shared" si="136"/>
        <v>40.379647749510767</v>
      </c>
    </row>
    <row r="2272" spans="1:19" ht="15" hidden="1" customHeight="1" x14ac:dyDescent="0.3">
      <c r="A2272" s="9">
        <v>6044</v>
      </c>
      <c r="B2272" t="s">
        <v>252</v>
      </c>
      <c r="C2272" s="25">
        <v>44727</v>
      </c>
      <c r="D2272" s="26">
        <v>0.9727662037037037</v>
      </c>
      <c r="E2272" t="s">
        <v>29</v>
      </c>
      <c r="F2272" t="s">
        <v>640</v>
      </c>
      <c r="G2272" t="s">
        <v>185</v>
      </c>
      <c r="H2272" t="s">
        <v>220</v>
      </c>
      <c r="I2272">
        <v>300.01</v>
      </c>
      <c r="J2272" s="32">
        <v>0</v>
      </c>
      <c r="K2272" s="89">
        <v>626</v>
      </c>
      <c r="L2272" s="11">
        <v>626</v>
      </c>
      <c r="M2272" s="10">
        <f t="shared" si="136"/>
        <v>47.924920127795531</v>
      </c>
    </row>
    <row r="2273" spans="1:13" ht="15" hidden="1" customHeight="1" x14ac:dyDescent="0.3">
      <c r="A2273" s="9">
        <v>6101</v>
      </c>
      <c r="B2273" t="s">
        <v>252</v>
      </c>
      <c r="C2273" s="25">
        <v>44728</v>
      </c>
      <c r="D2273" s="26">
        <v>0.26144675925925925</v>
      </c>
      <c r="E2273" t="s">
        <v>29</v>
      </c>
      <c r="F2273" t="s">
        <v>634</v>
      </c>
      <c r="G2273" t="s">
        <v>211</v>
      </c>
      <c r="H2273" t="s">
        <v>220</v>
      </c>
      <c r="I2273" s="148">
        <v>139.99</v>
      </c>
      <c r="J2273" s="32">
        <v>0</v>
      </c>
      <c r="K2273" s="89">
        <v>512</v>
      </c>
      <c r="L2273" s="11">
        <v>512</v>
      </c>
      <c r="M2273" s="10">
        <f t="shared" si="136"/>
        <v>27.341796875</v>
      </c>
    </row>
    <row r="2274" spans="1:13" ht="15" hidden="1" customHeight="1" x14ac:dyDescent="0.3">
      <c r="A2274" s="9">
        <v>6102</v>
      </c>
      <c r="B2274" t="s">
        <v>252</v>
      </c>
      <c r="C2274" s="25">
        <v>44728</v>
      </c>
      <c r="D2274" s="26">
        <v>0.9906018518518519</v>
      </c>
      <c r="E2274" t="s">
        <v>29</v>
      </c>
      <c r="F2274" t="s">
        <v>680</v>
      </c>
      <c r="G2274" t="s">
        <v>402</v>
      </c>
      <c r="H2274" t="s">
        <v>220</v>
      </c>
      <c r="I2274" s="148">
        <v>207.48</v>
      </c>
      <c r="J2274" s="32">
        <v>0</v>
      </c>
      <c r="K2274" s="92">
        <v>659</v>
      </c>
      <c r="L2274" s="30">
        <v>659</v>
      </c>
      <c r="M2274" s="10">
        <f t="shared" si="136"/>
        <v>31.484066767830043</v>
      </c>
    </row>
    <row r="2275" spans="1:13" ht="15" hidden="1" customHeight="1" x14ac:dyDescent="0.3">
      <c r="A2275" s="9">
        <v>6154</v>
      </c>
      <c r="B2275" t="s">
        <v>252</v>
      </c>
      <c r="C2275" s="25">
        <v>44729</v>
      </c>
      <c r="D2275" s="26">
        <v>0.60243055555555558</v>
      </c>
      <c r="E2275" t="s">
        <v>29</v>
      </c>
      <c r="F2275" t="s">
        <v>638</v>
      </c>
      <c r="G2275" t="s">
        <v>263</v>
      </c>
      <c r="H2275" t="s">
        <v>220</v>
      </c>
      <c r="I2275" s="148">
        <v>83.18</v>
      </c>
      <c r="J2275" s="32">
        <v>0</v>
      </c>
      <c r="K2275" s="89">
        <v>186</v>
      </c>
      <c r="L2275" s="11">
        <v>186</v>
      </c>
      <c r="M2275" s="10">
        <f t="shared" si="136"/>
        <v>44.720430107526887</v>
      </c>
    </row>
    <row r="2276" spans="1:13" ht="15" hidden="1" customHeight="1" x14ac:dyDescent="0.3">
      <c r="A2276" s="9">
        <v>6207</v>
      </c>
      <c r="B2276" t="s">
        <v>252</v>
      </c>
      <c r="C2276" s="25">
        <v>44730</v>
      </c>
      <c r="D2276" s="26">
        <v>0.80431712962962953</v>
      </c>
      <c r="E2276" t="s">
        <v>29</v>
      </c>
      <c r="F2276" t="s">
        <v>634</v>
      </c>
      <c r="G2276" t="s">
        <v>211</v>
      </c>
      <c r="H2276" t="s">
        <v>220</v>
      </c>
      <c r="I2276" s="148">
        <v>371.22</v>
      </c>
      <c r="J2276" s="32">
        <v>0</v>
      </c>
      <c r="K2276" s="92">
        <v>885</v>
      </c>
      <c r="L2276" s="30">
        <v>885</v>
      </c>
      <c r="M2276" s="10">
        <f t="shared" si="136"/>
        <v>41.945762711864411</v>
      </c>
    </row>
    <row r="2277" spans="1:13" ht="15" hidden="1" customHeight="1" x14ac:dyDescent="0.3">
      <c r="A2277" s="9">
        <v>6237</v>
      </c>
      <c r="B2277" t="s">
        <v>252</v>
      </c>
      <c r="C2277" s="25">
        <v>44731</v>
      </c>
      <c r="D2277" s="26">
        <v>0.71072916666666675</v>
      </c>
      <c r="E2277" t="s">
        <v>29</v>
      </c>
      <c r="F2277" t="s">
        <v>640</v>
      </c>
      <c r="G2277" t="s">
        <v>185</v>
      </c>
      <c r="H2277" t="s">
        <v>220</v>
      </c>
      <c r="I2277" s="148">
        <v>260</v>
      </c>
      <c r="J2277" s="32">
        <v>0</v>
      </c>
      <c r="K2277" s="90">
        <v>551</v>
      </c>
      <c r="L2277" s="30">
        <v>551</v>
      </c>
      <c r="M2277" s="10">
        <f t="shared" si="136"/>
        <v>47.186932849364794</v>
      </c>
    </row>
    <row r="2278" spans="1:13" ht="15" hidden="1" customHeight="1" x14ac:dyDescent="0.3">
      <c r="A2278" s="9">
        <v>6295</v>
      </c>
      <c r="B2278" t="s">
        <v>252</v>
      </c>
      <c r="C2278" s="25">
        <v>44733</v>
      </c>
      <c r="D2278" s="26">
        <v>0.82579861111111119</v>
      </c>
      <c r="E2278" t="s">
        <v>29</v>
      </c>
      <c r="F2278" t="s">
        <v>649</v>
      </c>
      <c r="G2278" t="s">
        <v>500</v>
      </c>
      <c r="H2278" t="s">
        <v>220</v>
      </c>
      <c r="I2278" s="148">
        <v>219.8</v>
      </c>
      <c r="J2278" s="32">
        <v>0</v>
      </c>
      <c r="K2278" s="90">
        <v>705</v>
      </c>
      <c r="L2278" s="28">
        <v>705</v>
      </c>
      <c r="M2278" s="10">
        <f t="shared" si="136"/>
        <v>31.177304964539012</v>
      </c>
    </row>
    <row r="2279" spans="1:13" ht="15" hidden="1" customHeight="1" x14ac:dyDescent="0.3">
      <c r="A2279" s="9">
        <v>6712</v>
      </c>
      <c r="B2279" t="s">
        <v>252</v>
      </c>
      <c r="C2279" s="25">
        <v>44741</v>
      </c>
      <c r="D2279" s="26">
        <v>0.92189814814814808</v>
      </c>
      <c r="E2279" t="s">
        <v>29</v>
      </c>
      <c r="F2279" t="s">
        <v>638</v>
      </c>
      <c r="G2279" t="s">
        <v>263</v>
      </c>
      <c r="H2279" t="s">
        <v>220</v>
      </c>
      <c r="I2279" s="148">
        <v>243.96</v>
      </c>
      <c r="J2279" s="32">
        <v>0</v>
      </c>
      <c r="K2279" s="90">
        <v>488</v>
      </c>
      <c r="L2279" s="11">
        <v>488</v>
      </c>
      <c r="M2279" s="10">
        <f t="shared" si="136"/>
        <v>49.991803278688522</v>
      </c>
    </row>
    <row r="2280" spans="1:13" ht="15" hidden="1" customHeight="1" x14ac:dyDescent="0.3">
      <c r="A2280" s="9">
        <v>6751</v>
      </c>
      <c r="B2280" t="s">
        <v>252</v>
      </c>
      <c r="C2280" s="25">
        <v>44742</v>
      </c>
      <c r="D2280" s="26">
        <v>0.75701388888888888</v>
      </c>
      <c r="E2280" t="s">
        <v>29</v>
      </c>
      <c r="F2280" t="s">
        <v>210</v>
      </c>
      <c r="G2280" t="s">
        <v>211</v>
      </c>
      <c r="H2280" t="s">
        <v>220</v>
      </c>
      <c r="I2280" s="148">
        <v>254.58</v>
      </c>
      <c r="J2280" s="54"/>
      <c r="K2280" s="54">
        <v>4205</v>
      </c>
      <c r="L2280" s="56">
        <f>+K2280-J2280</f>
        <v>4205</v>
      </c>
      <c r="M2280" s="131">
        <f>I2280/L2280*100</f>
        <v>6.0542211652794293</v>
      </c>
    </row>
    <row r="2281" spans="1:13" ht="15" hidden="1" customHeight="1" x14ac:dyDescent="0.3">
      <c r="A2281" s="9">
        <v>6751</v>
      </c>
      <c r="B2281" t="s">
        <v>356</v>
      </c>
      <c r="C2281" s="25">
        <v>44758</v>
      </c>
      <c r="D2281" s="26">
        <v>0.26023148148148151</v>
      </c>
      <c r="E2281" t="s">
        <v>30</v>
      </c>
      <c r="F2281" t="s">
        <v>169</v>
      </c>
      <c r="G2281" t="s">
        <v>196</v>
      </c>
      <c r="H2281" t="s">
        <v>178</v>
      </c>
      <c r="I2281" s="173" t="s">
        <v>968</v>
      </c>
      <c r="J2281" s="23"/>
      <c r="K2281" s="23"/>
      <c r="L2281" s="23"/>
      <c r="M2281" s="254"/>
    </row>
    <row r="2282" spans="1:13" ht="15" hidden="1" customHeight="1" x14ac:dyDescent="0.3">
      <c r="B2282" t="s">
        <v>356</v>
      </c>
      <c r="C2282" s="25">
        <v>44762</v>
      </c>
      <c r="D2282" s="26">
        <v>0.82592592592592595</v>
      </c>
      <c r="E2282" t="s">
        <v>30</v>
      </c>
      <c r="F2282" t="s">
        <v>541</v>
      </c>
      <c r="G2282" t="s">
        <v>542</v>
      </c>
      <c r="H2282" t="s">
        <v>178</v>
      </c>
      <c r="I2282" s="160">
        <v>50.04</v>
      </c>
      <c r="J2282" s="23"/>
      <c r="K2282" s="8"/>
      <c r="L2282" s="8"/>
      <c r="M2282" s="254"/>
    </row>
    <row r="2283" spans="1:13" ht="15" hidden="1" customHeight="1" x14ac:dyDescent="0.3">
      <c r="B2283" t="s">
        <v>356</v>
      </c>
      <c r="C2283" s="25">
        <v>44762</v>
      </c>
      <c r="D2283" s="26">
        <v>0.83468749999999992</v>
      </c>
      <c r="E2283" t="s">
        <v>30</v>
      </c>
      <c r="F2283" t="s">
        <v>541</v>
      </c>
      <c r="G2283" t="s">
        <v>542</v>
      </c>
      <c r="H2283" t="s">
        <v>178</v>
      </c>
      <c r="I2283" s="160">
        <v>270.16000000000003</v>
      </c>
      <c r="J2283" s="8"/>
      <c r="K2283" s="8"/>
      <c r="L2283" s="8"/>
      <c r="M2283" s="254"/>
    </row>
    <row r="2284" spans="1:13" ht="15.75" hidden="1" customHeight="1" x14ac:dyDescent="0.3">
      <c r="B2284" t="s">
        <v>356</v>
      </c>
      <c r="C2284" s="25">
        <v>44764</v>
      </c>
      <c r="D2284" s="26">
        <v>0.65484953703703697</v>
      </c>
      <c r="E2284" t="s">
        <v>30</v>
      </c>
      <c r="F2284" t="s">
        <v>210</v>
      </c>
      <c r="G2284" t="s">
        <v>211</v>
      </c>
      <c r="H2284" t="s">
        <v>178</v>
      </c>
      <c r="I2284" s="164">
        <v>143.69999999999999</v>
      </c>
      <c r="J2284" s="160">
        <f>144+319</f>
        <v>463</v>
      </c>
      <c r="K2284" s="160">
        <v>8796</v>
      </c>
      <c r="L2284" s="160">
        <v>1056</v>
      </c>
      <c r="M2284" s="150">
        <f>+J2284/L2284*100</f>
        <v>43.844696969696969</v>
      </c>
    </row>
    <row r="2285" spans="1:13" ht="15" hidden="1" customHeight="1" x14ac:dyDescent="0.3">
      <c r="A2285" s="9">
        <v>5541</v>
      </c>
      <c r="B2285" t="s">
        <v>510</v>
      </c>
      <c r="C2285" s="25">
        <v>44718</v>
      </c>
      <c r="D2285" s="26">
        <v>0.86131944444444442</v>
      </c>
      <c r="E2285" t="s">
        <v>29</v>
      </c>
      <c r="F2285" t="s">
        <v>694</v>
      </c>
      <c r="G2285" t="s">
        <v>489</v>
      </c>
      <c r="H2285" t="s">
        <v>178</v>
      </c>
      <c r="I2285" s="236">
        <v>200.06</v>
      </c>
      <c r="J2285" s="11">
        <v>0</v>
      </c>
      <c r="K2285" s="90">
        <v>337</v>
      </c>
      <c r="L2285" s="7">
        <v>337</v>
      </c>
      <c r="M2285" s="91">
        <f>I2285/K2285*100</f>
        <v>59.36498516320475</v>
      </c>
    </row>
    <row r="2286" spans="1:13" ht="15" hidden="1" customHeight="1" x14ac:dyDescent="0.3">
      <c r="B2286" t="s">
        <v>356</v>
      </c>
      <c r="C2286" s="25">
        <v>44765</v>
      </c>
      <c r="D2286" s="26">
        <v>0.60753472222222216</v>
      </c>
      <c r="E2286" t="s">
        <v>30</v>
      </c>
      <c r="F2286" t="s">
        <v>769</v>
      </c>
      <c r="G2286" t="s">
        <v>521</v>
      </c>
      <c r="H2286" t="s">
        <v>178</v>
      </c>
      <c r="I2286" s="161">
        <v>198.27</v>
      </c>
      <c r="J2286" s="8"/>
      <c r="K2286" s="8"/>
      <c r="L2286" s="8"/>
      <c r="M2286" s="254"/>
    </row>
    <row r="2287" spans="1:13" ht="15" hidden="1" customHeight="1" x14ac:dyDescent="0.3">
      <c r="B2287" t="s">
        <v>373</v>
      </c>
      <c r="C2287" s="25">
        <v>44563</v>
      </c>
      <c r="D2287" s="26">
        <v>0.34203703703703708</v>
      </c>
      <c r="E2287" t="s">
        <v>24</v>
      </c>
      <c r="F2287" t="s">
        <v>241</v>
      </c>
      <c r="G2287" t="s">
        <v>242</v>
      </c>
      <c r="H2287" t="s">
        <v>233</v>
      </c>
      <c r="I2287">
        <v>315.54000000000002</v>
      </c>
      <c r="J2287" s="34">
        <v>0</v>
      </c>
      <c r="K2287" s="34">
        <f t="shared" ref="K2287:K2314" si="137">+L2287-J2287</f>
        <v>734.22</v>
      </c>
      <c r="L2287" s="34">
        <v>734.22</v>
      </c>
      <c r="M2287" s="61">
        <f t="shared" ref="M2287:M2330" si="138">I2287/K2287*100</f>
        <v>42.976219661681789</v>
      </c>
    </row>
    <row r="2288" spans="1:13" ht="15" hidden="1" customHeight="1" x14ac:dyDescent="0.3">
      <c r="B2288" t="s">
        <v>373</v>
      </c>
      <c r="C2288" s="25">
        <v>44564</v>
      </c>
      <c r="D2288" s="26">
        <v>1.252314814814815E-2</v>
      </c>
      <c r="E2288" t="s">
        <v>24</v>
      </c>
      <c r="F2288" t="s">
        <v>298</v>
      </c>
      <c r="G2288" t="s">
        <v>299</v>
      </c>
      <c r="H2288" t="s">
        <v>233</v>
      </c>
      <c r="I2288">
        <v>271.7</v>
      </c>
      <c r="J2288" s="34">
        <v>0</v>
      </c>
      <c r="K2288" s="34">
        <f t="shared" si="137"/>
        <v>705.81</v>
      </c>
      <c r="L2288" s="7">
        <v>705.81</v>
      </c>
      <c r="M2288" s="10">
        <f t="shared" si="138"/>
        <v>38.494779048185777</v>
      </c>
    </row>
    <row r="2289" spans="1:13" ht="15" hidden="1" customHeight="1" x14ac:dyDescent="0.3">
      <c r="B2289" t="s">
        <v>373</v>
      </c>
      <c r="C2289" s="25">
        <v>44564</v>
      </c>
      <c r="D2289" s="26">
        <v>0.94622685185185185</v>
      </c>
      <c r="E2289" t="s">
        <v>24</v>
      </c>
      <c r="F2289" t="s">
        <v>363</v>
      </c>
      <c r="G2289" t="s">
        <v>364</v>
      </c>
      <c r="H2289" t="s">
        <v>233</v>
      </c>
      <c r="I2289">
        <v>281.73</v>
      </c>
      <c r="J2289" s="34">
        <v>0</v>
      </c>
      <c r="K2289" s="34">
        <f t="shared" si="137"/>
        <v>732.82</v>
      </c>
      <c r="L2289" s="34">
        <v>732.82</v>
      </c>
      <c r="M2289" s="10">
        <f t="shared" si="138"/>
        <v>38.444638519691054</v>
      </c>
    </row>
    <row r="2290" spans="1:13" ht="15" hidden="1" customHeight="1" x14ac:dyDescent="0.3">
      <c r="B2290" t="s">
        <v>373</v>
      </c>
      <c r="C2290" s="25">
        <v>44566</v>
      </c>
      <c r="D2290" s="26">
        <v>0.91943287037037036</v>
      </c>
      <c r="E2290" t="s">
        <v>24</v>
      </c>
      <c r="F2290" t="s">
        <v>241</v>
      </c>
      <c r="G2290" t="s">
        <v>242</v>
      </c>
      <c r="H2290" t="s">
        <v>233</v>
      </c>
      <c r="I2290">
        <v>316.8</v>
      </c>
      <c r="J2290" s="34">
        <v>0</v>
      </c>
      <c r="K2290" s="34">
        <f t="shared" si="137"/>
        <v>847.81</v>
      </c>
      <c r="L2290" s="7">
        <v>847.81</v>
      </c>
      <c r="M2290" s="10">
        <f t="shared" si="138"/>
        <v>37.366862858423474</v>
      </c>
    </row>
    <row r="2291" spans="1:13" ht="15" hidden="1" customHeight="1" x14ac:dyDescent="0.3">
      <c r="B2291" t="s">
        <v>373</v>
      </c>
      <c r="C2291" s="25">
        <v>44568</v>
      </c>
      <c r="D2291" s="26">
        <v>0.85609953703703701</v>
      </c>
      <c r="E2291" t="s">
        <v>24</v>
      </c>
      <c r="F2291" t="s">
        <v>234</v>
      </c>
      <c r="G2291" t="s">
        <v>235</v>
      </c>
      <c r="H2291" t="s">
        <v>233</v>
      </c>
      <c r="I2291">
        <v>319.89</v>
      </c>
      <c r="J2291" s="34">
        <v>0</v>
      </c>
      <c r="K2291" s="34">
        <f t="shared" si="137"/>
        <v>873.79</v>
      </c>
      <c r="L2291" s="7">
        <v>873.79</v>
      </c>
      <c r="M2291" s="10">
        <f t="shared" si="138"/>
        <v>36.60948282768171</v>
      </c>
    </row>
    <row r="2292" spans="1:13" ht="15" hidden="1" customHeight="1" x14ac:dyDescent="0.3">
      <c r="B2292" t="s">
        <v>373</v>
      </c>
      <c r="C2292" s="25">
        <v>44578</v>
      </c>
      <c r="D2292" s="26">
        <v>0.82060185185185175</v>
      </c>
      <c r="E2292" t="s">
        <v>24</v>
      </c>
      <c r="F2292" t="s">
        <v>234</v>
      </c>
      <c r="G2292" t="s">
        <v>235</v>
      </c>
      <c r="H2292" t="s">
        <v>233</v>
      </c>
      <c r="I2292">
        <v>448.7</v>
      </c>
      <c r="J2292" s="31">
        <v>0</v>
      </c>
      <c r="K2292" s="31">
        <f t="shared" si="137"/>
        <v>1326.82</v>
      </c>
      <c r="L2292" s="7">
        <v>1326.82</v>
      </c>
      <c r="M2292" s="10">
        <f t="shared" si="138"/>
        <v>33.817699461871243</v>
      </c>
    </row>
    <row r="2293" spans="1:13" ht="15" hidden="1" customHeight="1" x14ac:dyDescent="0.3">
      <c r="B2293" t="s">
        <v>373</v>
      </c>
      <c r="C2293" s="25">
        <v>44580</v>
      </c>
      <c r="D2293" s="26">
        <v>0.91422453703703699</v>
      </c>
      <c r="E2293" t="s">
        <v>24</v>
      </c>
      <c r="F2293" t="s">
        <v>389</v>
      </c>
      <c r="G2293" t="s">
        <v>390</v>
      </c>
      <c r="H2293" t="s">
        <v>233</v>
      </c>
      <c r="I2293">
        <v>476.35</v>
      </c>
      <c r="J2293" s="31">
        <v>0</v>
      </c>
      <c r="K2293" s="11">
        <f t="shared" si="137"/>
        <v>1199.24</v>
      </c>
      <c r="L2293" s="7">
        <v>1199.24</v>
      </c>
      <c r="M2293" s="10">
        <f t="shared" si="138"/>
        <v>39.720989960308195</v>
      </c>
    </row>
    <row r="2294" spans="1:13" ht="15" hidden="1" customHeight="1" x14ac:dyDescent="0.3">
      <c r="B2294" t="s">
        <v>373</v>
      </c>
      <c r="C2294" s="25">
        <v>44587</v>
      </c>
      <c r="D2294" s="26">
        <v>0.62829861111111118</v>
      </c>
      <c r="E2294" t="s">
        <v>24</v>
      </c>
      <c r="F2294" t="s">
        <v>324</v>
      </c>
      <c r="G2294" t="s">
        <v>325</v>
      </c>
      <c r="H2294" t="s">
        <v>233</v>
      </c>
      <c r="I2294">
        <v>390.29</v>
      </c>
      <c r="J2294" s="7">
        <v>0</v>
      </c>
      <c r="K2294" s="11">
        <f t="shared" si="137"/>
        <v>982.1</v>
      </c>
      <c r="L2294" s="32">
        <v>982.1</v>
      </c>
      <c r="M2294" s="10">
        <f t="shared" si="138"/>
        <v>39.740352306282453</v>
      </c>
    </row>
    <row r="2295" spans="1:13" ht="15" hidden="1" customHeight="1" x14ac:dyDescent="0.3">
      <c r="B2295" t="s">
        <v>373</v>
      </c>
      <c r="C2295" s="25">
        <v>44588</v>
      </c>
      <c r="D2295" s="26">
        <v>0.91136574074074073</v>
      </c>
      <c r="E2295" t="s">
        <v>24</v>
      </c>
      <c r="F2295" t="s">
        <v>331</v>
      </c>
      <c r="G2295" t="s">
        <v>277</v>
      </c>
      <c r="H2295" t="s">
        <v>233</v>
      </c>
      <c r="I2295">
        <v>292.06</v>
      </c>
      <c r="J2295" s="7">
        <v>0</v>
      </c>
      <c r="K2295" s="11">
        <f t="shared" si="137"/>
        <v>762.11</v>
      </c>
      <c r="L2295" s="7">
        <v>762.11</v>
      </c>
      <c r="M2295" s="10">
        <f t="shared" si="138"/>
        <v>38.322551862592015</v>
      </c>
    </row>
    <row r="2296" spans="1:13" ht="15" hidden="1" customHeight="1" x14ac:dyDescent="0.3">
      <c r="B2296" t="s">
        <v>373</v>
      </c>
      <c r="C2296" s="25">
        <v>44573</v>
      </c>
      <c r="D2296" s="26">
        <v>0.51447916666666671</v>
      </c>
      <c r="E2296" t="s">
        <v>24</v>
      </c>
      <c r="F2296" t="s">
        <v>268</v>
      </c>
      <c r="G2296" t="s">
        <v>269</v>
      </c>
      <c r="H2296" t="s">
        <v>247</v>
      </c>
      <c r="I2296">
        <v>249.22</v>
      </c>
      <c r="J2296" s="7">
        <v>0</v>
      </c>
      <c r="K2296" s="11">
        <f t="shared" si="137"/>
        <v>597.66999999999996</v>
      </c>
      <c r="L2296" s="7">
        <v>597.66999999999996</v>
      </c>
      <c r="M2296" s="10">
        <f t="shared" si="138"/>
        <v>41.698596215302764</v>
      </c>
    </row>
    <row r="2297" spans="1:13" ht="15" hidden="1" customHeight="1" x14ac:dyDescent="0.3">
      <c r="B2297" t="s">
        <v>373</v>
      </c>
      <c r="C2297" s="25">
        <v>44575</v>
      </c>
      <c r="D2297" s="26">
        <v>0.77642361111111102</v>
      </c>
      <c r="E2297" t="s">
        <v>24</v>
      </c>
      <c r="F2297" t="s">
        <v>360</v>
      </c>
      <c r="G2297" t="s">
        <v>334</v>
      </c>
      <c r="H2297" t="s">
        <v>247</v>
      </c>
      <c r="I2297">
        <v>287.74</v>
      </c>
      <c r="J2297" s="34">
        <v>0</v>
      </c>
      <c r="K2297" s="11">
        <f t="shared" si="137"/>
        <v>849.45</v>
      </c>
      <c r="L2297" s="7">
        <v>849.45</v>
      </c>
      <c r="M2297" s="10">
        <f t="shared" si="138"/>
        <v>33.873682971334389</v>
      </c>
    </row>
    <row r="2298" spans="1:13" ht="15" hidden="1" customHeight="1" x14ac:dyDescent="0.3">
      <c r="A2298" s="9">
        <v>671</v>
      </c>
      <c r="B2298" t="s">
        <v>373</v>
      </c>
      <c r="C2298" s="25">
        <v>44603</v>
      </c>
      <c r="D2298" s="26">
        <v>0.92311342592592593</v>
      </c>
      <c r="E2298" t="s">
        <v>25</v>
      </c>
      <c r="F2298" t="s">
        <v>226</v>
      </c>
      <c r="G2298" t="s">
        <v>227</v>
      </c>
      <c r="H2298" t="s">
        <v>228</v>
      </c>
      <c r="I2298">
        <v>345.81</v>
      </c>
      <c r="J2298" s="7">
        <v>0</v>
      </c>
      <c r="K2298" s="11">
        <f t="shared" si="137"/>
        <v>742.47</v>
      </c>
      <c r="L2298" s="32">
        <v>742.47</v>
      </c>
      <c r="M2298" s="10">
        <f t="shared" si="138"/>
        <v>46.575619216938058</v>
      </c>
    </row>
    <row r="2299" spans="1:13" ht="15" hidden="1" customHeight="1" x14ac:dyDescent="0.3">
      <c r="A2299" s="9">
        <v>672</v>
      </c>
      <c r="B2299" t="s">
        <v>373</v>
      </c>
      <c r="C2299" s="25">
        <v>44608</v>
      </c>
      <c r="D2299" s="26">
        <v>9.7939814814814827E-2</v>
      </c>
      <c r="E2299" t="s">
        <v>25</v>
      </c>
      <c r="F2299" t="s">
        <v>226</v>
      </c>
      <c r="G2299" t="s">
        <v>227</v>
      </c>
      <c r="H2299" t="s">
        <v>228</v>
      </c>
      <c r="I2299">
        <v>329.38</v>
      </c>
      <c r="J2299" s="7">
        <v>0</v>
      </c>
      <c r="K2299" s="11">
        <f t="shared" si="137"/>
        <v>775.79</v>
      </c>
      <c r="L2299" s="32">
        <v>775.79</v>
      </c>
      <c r="M2299" s="10">
        <f t="shared" si="138"/>
        <v>42.457366039778812</v>
      </c>
    </row>
    <row r="2300" spans="1:13" ht="15" hidden="1" customHeight="1" x14ac:dyDescent="0.3">
      <c r="A2300" s="9">
        <v>680</v>
      </c>
      <c r="B2300" t="s">
        <v>373</v>
      </c>
      <c r="C2300" s="25">
        <v>44616</v>
      </c>
      <c r="D2300" s="26">
        <v>0.36409722222222224</v>
      </c>
      <c r="E2300" t="s">
        <v>25</v>
      </c>
      <c r="F2300" t="s">
        <v>226</v>
      </c>
      <c r="G2300" t="s">
        <v>227</v>
      </c>
      <c r="H2300" t="s">
        <v>230</v>
      </c>
      <c r="I2300">
        <v>353.01</v>
      </c>
      <c r="J2300" s="8"/>
      <c r="K2300" s="82">
        <f t="shared" si="137"/>
        <v>235816</v>
      </c>
      <c r="L2300" s="8">
        <v>235816</v>
      </c>
      <c r="M2300" s="10">
        <f t="shared" si="138"/>
        <v>0.1496972215625742</v>
      </c>
    </row>
    <row r="2301" spans="1:13" ht="15" hidden="1" customHeight="1" x14ac:dyDescent="0.3">
      <c r="A2301" s="9">
        <v>681</v>
      </c>
      <c r="B2301" t="s">
        <v>373</v>
      </c>
      <c r="C2301" s="25">
        <v>44616</v>
      </c>
      <c r="D2301" s="26">
        <v>0.36409722222222224</v>
      </c>
      <c r="E2301" t="s">
        <v>25</v>
      </c>
      <c r="F2301" t="s">
        <v>226</v>
      </c>
      <c r="G2301" t="s">
        <v>227</v>
      </c>
      <c r="H2301" t="s">
        <v>230</v>
      </c>
      <c r="I2301">
        <v>353.01</v>
      </c>
      <c r="J2301" s="8"/>
      <c r="K2301" s="82">
        <f t="shared" si="137"/>
        <v>235816</v>
      </c>
      <c r="L2301" s="8">
        <v>235816</v>
      </c>
      <c r="M2301" s="10">
        <f t="shared" si="138"/>
        <v>0.1496972215625742</v>
      </c>
    </row>
    <row r="2302" spans="1:13" ht="15" hidden="1" customHeight="1" x14ac:dyDescent="0.3">
      <c r="A2302" s="9">
        <v>682</v>
      </c>
      <c r="B2302" t="s">
        <v>373</v>
      </c>
      <c r="C2302" s="25">
        <v>44620</v>
      </c>
      <c r="D2302" s="26">
        <v>0.4082175925925926</v>
      </c>
      <c r="E2302" t="s">
        <v>25</v>
      </c>
      <c r="F2302" t="s">
        <v>226</v>
      </c>
      <c r="G2302" t="s">
        <v>227</v>
      </c>
      <c r="H2302" t="s">
        <v>230</v>
      </c>
      <c r="I2302">
        <v>368.98</v>
      </c>
      <c r="J2302" s="44"/>
      <c r="K2302" s="82">
        <f t="shared" si="137"/>
        <v>100000</v>
      </c>
      <c r="L2302" s="8">
        <v>100000</v>
      </c>
      <c r="M2302" s="10">
        <f t="shared" si="138"/>
        <v>0.36897999999999997</v>
      </c>
    </row>
    <row r="2303" spans="1:13" ht="15" hidden="1" customHeight="1" x14ac:dyDescent="0.3">
      <c r="A2303" s="9">
        <v>1756</v>
      </c>
      <c r="B2303" t="s">
        <v>373</v>
      </c>
      <c r="C2303" s="25">
        <v>44631</v>
      </c>
      <c r="D2303" s="26">
        <v>0.7860300925925926</v>
      </c>
      <c r="E2303" t="s">
        <v>26</v>
      </c>
      <c r="F2303" t="s">
        <v>226</v>
      </c>
      <c r="G2303" t="s">
        <v>227</v>
      </c>
      <c r="H2303" t="s">
        <v>228</v>
      </c>
      <c r="I2303">
        <v>209.86</v>
      </c>
      <c r="J2303" s="33">
        <v>0</v>
      </c>
      <c r="K2303" s="89">
        <f t="shared" si="137"/>
        <v>0</v>
      </c>
      <c r="L2303" s="70"/>
      <c r="M2303" s="10" t="e">
        <f t="shared" si="138"/>
        <v>#DIV/0!</v>
      </c>
    </row>
    <row r="2304" spans="1:13" ht="15" hidden="1" customHeight="1" x14ac:dyDescent="0.3">
      <c r="A2304" s="9">
        <v>1757</v>
      </c>
      <c r="B2304" t="s">
        <v>373</v>
      </c>
      <c r="C2304" s="25">
        <v>44635</v>
      </c>
      <c r="D2304" s="26">
        <v>6.0439814814814814E-2</v>
      </c>
      <c r="E2304" t="s">
        <v>26</v>
      </c>
      <c r="F2304" t="s">
        <v>226</v>
      </c>
      <c r="G2304" t="s">
        <v>227</v>
      </c>
      <c r="H2304" t="s">
        <v>228</v>
      </c>
      <c r="I2304">
        <v>332.58</v>
      </c>
      <c r="J2304" s="32">
        <v>0</v>
      </c>
      <c r="K2304" s="89">
        <f t="shared" si="137"/>
        <v>0</v>
      </c>
      <c r="L2304" s="42"/>
      <c r="M2304" s="10" t="e">
        <f t="shared" si="138"/>
        <v>#DIV/0!</v>
      </c>
    </row>
    <row r="2305" spans="1:13" ht="15" hidden="1" customHeight="1" x14ac:dyDescent="0.3">
      <c r="A2305" s="9">
        <v>2442</v>
      </c>
      <c r="B2305" t="s">
        <v>373</v>
      </c>
      <c r="C2305" s="25">
        <v>44645</v>
      </c>
      <c r="D2305" s="26">
        <v>0.49819444444444444</v>
      </c>
      <c r="E2305" t="s">
        <v>26</v>
      </c>
      <c r="F2305" t="s">
        <v>319</v>
      </c>
      <c r="G2305" t="s">
        <v>320</v>
      </c>
      <c r="H2305" t="s">
        <v>290</v>
      </c>
      <c r="I2305">
        <v>407.16</v>
      </c>
      <c r="J2305" s="8"/>
      <c r="K2305" s="89">
        <f t="shared" si="137"/>
        <v>1234</v>
      </c>
      <c r="L2305" s="8">
        <v>1234</v>
      </c>
      <c r="M2305" s="10">
        <f t="shared" si="138"/>
        <v>32.995137763371154</v>
      </c>
    </row>
    <row r="2306" spans="1:13" ht="15" hidden="1" customHeight="1" x14ac:dyDescent="0.3">
      <c r="A2306" s="9">
        <v>2443</v>
      </c>
      <c r="B2306" t="s">
        <v>373</v>
      </c>
      <c r="C2306" s="25">
        <v>44647</v>
      </c>
      <c r="D2306" s="26">
        <v>0.46612268518518518</v>
      </c>
      <c r="E2306" t="s">
        <v>26</v>
      </c>
      <c r="F2306" t="s">
        <v>472</v>
      </c>
      <c r="G2306" t="s">
        <v>473</v>
      </c>
      <c r="H2306" t="s">
        <v>290</v>
      </c>
      <c r="I2306">
        <v>363.51</v>
      </c>
      <c r="J2306" s="8"/>
      <c r="K2306" s="89">
        <f t="shared" si="137"/>
        <v>2000</v>
      </c>
      <c r="L2306" s="44">
        <v>2000</v>
      </c>
      <c r="M2306" s="10">
        <f t="shared" si="138"/>
        <v>18.1755</v>
      </c>
    </row>
    <row r="2307" spans="1:13" ht="15" hidden="1" customHeight="1" x14ac:dyDescent="0.3">
      <c r="A2307" s="9">
        <v>3071</v>
      </c>
      <c r="B2307" t="s">
        <v>373</v>
      </c>
      <c r="C2307" s="25">
        <v>44666</v>
      </c>
      <c r="D2307" s="26">
        <v>0.39885416666666668</v>
      </c>
      <c r="E2307" t="s">
        <v>27</v>
      </c>
      <c r="F2307" t="s">
        <v>553</v>
      </c>
      <c r="G2307" t="s">
        <v>554</v>
      </c>
      <c r="H2307" t="s">
        <v>239</v>
      </c>
      <c r="I2307" s="4">
        <v>50.01</v>
      </c>
      <c r="J2307" s="8"/>
      <c r="K2307" s="89">
        <f t="shared" si="137"/>
        <v>1236</v>
      </c>
      <c r="L2307" s="19">
        <v>1236</v>
      </c>
      <c r="M2307" s="10">
        <f t="shared" si="138"/>
        <v>4.0461165048543695</v>
      </c>
    </row>
    <row r="2308" spans="1:13" ht="15" hidden="1" customHeight="1" x14ac:dyDescent="0.3">
      <c r="A2308" s="9">
        <v>3072</v>
      </c>
      <c r="B2308" t="s">
        <v>373</v>
      </c>
      <c r="C2308" s="25">
        <v>44666</v>
      </c>
      <c r="D2308" s="26">
        <v>0.72938657407407403</v>
      </c>
      <c r="E2308" t="s">
        <v>27</v>
      </c>
      <c r="F2308" t="s">
        <v>268</v>
      </c>
      <c r="G2308" t="s">
        <v>269</v>
      </c>
      <c r="H2308" t="s">
        <v>239</v>
      </c>
      <c r="I2308" s="4">
        <v>236.22</v>
      </c>
      <c r="J2308" s="8"/>
      <c r="K2308" s="89">
        <f t="shared" si="137"/>
        <v>1233</v>
      </c>
      <c r="L2308" s="19">
        <v>1233</v>
      </c>
      <c r="M2308" s="10">
        <f t="shared" si="138"/>
        <v>19.15815085158151</v>
      </c>
    </row>
    <row r="2309" spans="1:13" ht="15" hidden="1" customHeight="1" x14ac:dyDescent="0.3">
      <c r="A2309" s="9">
        <v>3073</v>
      </c>
      <c r="B2309" t="s">
        <v>373</v>
      </c>
      <c r="C2309" s="25">
        <v>44671</v>
      </c>
      <c r="D2309" s="26">
        <v>0.65863425925925922</v>
      </c>
      <c r="E2309" t="s">
        <v>27</v>
      </c>
      <c r="F2309" t="s">
        <v>291</v>
      </c>
      <c r="G2309" t="s">
        <v>514</v>
      </c>
      <c r="H2309" t="s">
        <v>239</v>
      </c>
      <c r="I2309" s="4">
        <v>276.83999999999997</v>
      </c>
      <c r="J2309" s="8"/>
      <c r="K2309" s="89">
        <f t="shared" si="137"/>
        <v>1001</v>
      </c>
      <c r="L2309" s="19">
        <v>1001</v>
      </c>
      <c r="M2309" s="10">
        <f t="shared" si="138"/>
        <v>27.656343656343651</v>
      </c>
    </row>
    <row r="2310" spans="1:13" ht="15" hidden="1" customHeight="1" x14ac:dyDescent="0.3">
      <c r="A2310" s="9">
        <v>3074</v>
      </c>
      <c r="B2310" t="s">
        <v>373</v>
      </c>
      <c r="C2310" s="25">
        <v>44677</v>
      </c>
      <c r="D2310" s="26">
        <v>0.64334490740740746</v>
      </c>
      <c r="E2310" t="s">
        <v>27</v>
      </c>
      <c r="F2310" t="s">
        <v>241</v>
      </c>
      <c r="G2310" t="s">
        <v>242</v>
      </c>
      <c r="H2310" t="s">
        <v>239</v>
      </c>
      <c r="I2310">
        <v>263.3</v>
      </c>
      <c r="J2310" s="8"/>
      <c r="K2310" s="89">
        <f t="shared" si="137"/>
        <v>0</v>
      </c>
      <c r="L2310" s="7"/>
      <c r="M2310" s="10" t="e">
        <f t="shared" si="138"/>
        <v>#DIV/0!</v>
      </c>
    </row>
    <row r="2311" spans="1:13" ht="15" hidden="1" customHeight="1" x14ac:dyDescent="0.3">
      <c r="A2311" s="9">
        <v>3075</v>
      </c>
      <c r="B2311" t="s">
        <v>373</v>
      </c>
      <c r="C2311" s="25">
        <v>44678</v>
      </c>
      <c r="D2311" s="26">
        <v>0.50376157407407407</v>
      </c>
      <c r="E2311" t="s">
        <v>27</v>
      </c>
      <c r="F2311" t="s">
        <v>530</v>
      </c>
      <c r="G2311" t="s">
        <v>489</v>
      </c>
      <c r="H2311" t="s">
        <v>239</v>
      </c>
      <c r="I2311">
        <v>228.51</v>
      </c>
      <c r="J2311" s="8"/>
      <c r="K2311" s="89">
        <f t="shared" si="137"/>
        <v>0</v>
      </c>
      <c r="L2311" s="7"/>
      <c r="M2311" s="10" t="e">
        <f t="shared" si="138"/>
        <v>#DIV/0!</v>
      </c>
    </row>
    <row r="2312" spans="1:13" ht="15" hidden="1" customHeight="1" x14ac:dyDescent="0.3">
      <c r="A2312" s="9">
        <v>3076</v>
      </c>
      <c r="B2312" t="s">
        <v>373</v>
      </c>
      <c r="C2312" s="25">
        <v>44678</v>
      </c>
      <c r="D2312" s="26">
        <v>0.6750694444444445</v>
      </c>
      <c r="E2312" t="s">
        <v>27</v>
      </c>
      <c r="F2312" t="s">
        <v>210</v>
      </c>
      <c r="G2312" t="s">
        <v>211</v>
      </c>
      <c r="H2312" t="s">
        <v>239</v>
      </c>
      <c r="I2312">
        <v>65.23</v>
      </c>
      <c r="J2312" s="8"/>
      <c r="K2312" s="89">
        <f t="shared" si="137"/>
        <v>0</v>
      </c>
      <c r="L2312" s="34"/>
      <c r="M2312" s="10" t="e">
        <f t="shared" si="138"/>
        <v>#DIV/0!</v>
      </c>
    </row>
    <row r="2313" spans="1:13" ht="15" hidden="1" customHeight="1" x14ac:dyDescent="0.3">
      <c r="A2313" s="9">
        <v>3077</v>
      </c>
      <c r="B2313" t="s">
        <v>373</v>
      </c>
      <c r="C2313" s="25">
        <v>44679</v>
      </c>
      <c r="D2313" s="26">
        <v>0.40347222222222223</v>
      </c>
      <c r="E2313" t="s">
        <v>27</v>
      </c>
      <c r="F2313" t="s">
        <v>396</v>
      </c>
      <c r="G2313" t="s">
        <v>397</v>
      </c>
      <c r="H2313" t="s">
        <v>239</v>
      </c>
      <c r="I2313">
        <v>176.81</v>
      </c>
      <c r="J2313" s="8"/>
      <c r="K2313" s="89">
        <f t="shared" si="137"/>
        <v>0</v>
      </c>
      <c r="L2313" s="7"/>
      <c r="M2313" s="10" t="e">
        <f t="shared" si="138"/>
        <v>#DIV/0!</v>
      </c>
    </row>
    <row r="2314" spans="1:13" ht="15" hidden="1" customHeight="1" x14ac:dyDescent="0.3">
      <c r="A2314" s="9">
        <v>3688</v>
      </c>
      <c r="B2314" t="s">
        <v>373</v>
      </c>
      <c r="C2314" s="25">
        <v>44652</v>
      </c>
      <c r="D2314" s="26">
        <v>0.86760416666666673</v>
      </c>
      <c r="E2314" t="s">
        <v>27</v>
      </c>
      <c r="F2314" t="s">
        <v>419</v>
      </c>
      <c r="G2314" t="s">
        <v>238</v>
      </c>
      <c r="H2314" t="s">
        <v>290</v>
      </c>
      <c r="I2314" s="4">
        <v>471.17</v>
      </c>
      <c r="J2314" s="23"/>
      <c r="K2314" s="89">
        <f t="shared" si="137"/>
        <v>696969</v>
      </c>
      <c r="L2314" s="32">
        <v>696969</v>
      </c>
      <c r="M2314" s="10">
        <f t="shared" si="138"/>
        <v>6.7602719776632819E-2</v>
      </c>
    </row>
    <row r="2315" spans="1:13" ht="15" hidden="1" customHeight="1" x14ac:dyDescent="0.3">
      <c r="A2315" s="9">
        <v>3730</v>
      </c>
      <c r="B2315" t="s">
        <v>373</v>
      </c>
      <c r="C2315" s="25">
        <v>44683</v>
      </c>
      <c r="D2315" s="26">
        <v>0.79734953703703704</v>
      </c>
      <c r="E2315" t="s">
        <v>28</v>
      </c>
      <c r="F2315" t="s">
        <v>331</v>
      </c>
      <c r="G2315" t="s">
        <v>277</v>
      </c>
      <c r="H2315" t="s">
        <v>239</v>
      </c>
      <c r="I2315">
        <v>140.97</v>
      </c>
      <c r="J2315" s="23"/>
      <c r="K2315" s="89">
        <f>+L2315-J2447</f>
        <v>12345</v>
      </c>
      <c r="L2315" s="8">
        <v>12345</v>
      </c>
      <c r="M2315" s="10">
        <f t="shared" si="138"/>
        <v>1.1419198055893074</v>
      </c>
    </row>
    <row r="2316" spans="1:13" ht="15" hidden="1" customHeight="1" x14ac:dyDescent="0.3">
      <c r="A2316" s="9">
        <v>3885</v>
      </c>
      <c r="B2316" t="s">
        <v>373</v>
      </c>
      <c r="C2316" s="25">
        <v>44686</v>
      </c>
      <c r="D2316" s="26">
        <v>0.8615624999999999</v>
      </c>
      <c r="E2316" t="s">
        <v>28</v>
      </c>
      <c r="F2316" t="s">
        <v>590</v>
      </c>
      <c r="G2316" t="s">
        <v>591</v>
      </c>
      <c r="H2316" t="s">
        <v>239</v>
      </c>
      <c r="I2316">
        <v>239.78</v>
      </c>
      <c r="J2316" s="8"/>
      <c r="K2316" s="82"/>
      <c r="L2316" s="8">
        <v>9289</v>
      </c>
      <c r="M2316" s="10" t="e">
        <f t="shared" si="138"/>
        <v>#DIV/0!</v>
      </c>
    </row>
    <row r="2317" spans="1:13" ht="15" hidden="1" customHeight="1" x14ac:dyDescent="0.3">
      <c r="A2317" s="9">
        <v>3987</v>
      </c>
      <c r="B2317" t="s">
        <v>373</v>
      </c>
      <c r="C2317" s="25">
        <v>44688</v>
      </c>
      <c r="D2317" s="26">
        <v>0.51497685185185182</v>
      </c>
      <c r="E2317" t="s">
        <v>28</v>
      </c>
      <c r="F2317" t="s">
        <v>598</v>
      </c>
      <c r="G2317" t="s">
        <v>599</v>
      </c>
      <c r="H2317" t="s">
        <v>239</v>
      </c>
      <c r="I2317">
        <v>100</v>
      </c>
      <c r="J2317" s="8"/>
      <c r="K2317" s="89">
        <f>+L2317-J2447</f>
        <v>9876</v>
      </c>
      <c r="L2317" s="8">
        <v>9876</v>
      </c>
      <c r="M2317" s="10">
        <f t="shared" si="138"/>
        <v>1.0125556905629809</v>
      </c>
    </row>
    <row r="2318" spans="1:13" ht="15" hidden="1" customHeight="1" x14ac:dyDescent="0.3">
      <c r="A2318" s="9">
        <v>3988</v>
      </c>
      <c r="B2318" t="s">
        <v>373</v>
      </c>
      <c r="C2318" s="25">
        <v>44688</v>
      </c>
      <c r="D2318" s="26">
        <v>0.6060416666666667</v>
      </c>
      <c r="E2318" t="s">
        <v>28</v>
      </c>
      <c r="F2318" t="s">
        <v>600</v>
      </c>
      <c r="G2318" t="s">
        <v>601</v>
      </c>
      <c r="H2318" t="s">
        <v>239</v>
      </c>
      <c r="I2318">
        <v>100</v>
      </c>
      <c r="J2318" s="8"/>
      <c r="K2318" s="89">
        <f>+L2318-J2448</f>
        <v>1234</v>
      </c>
      <c r="L2318" s="44">
        <v>1234</v>
      </c>
      <c r="M2318" s="10">
        <f t="shared" si="138"/>
        <v>8.1037277147487838</v>
      </c>
    </row>
    <row r="2319" spans="1:13" ht="15" hidden="1" customHeight="1" x14ac:dyDescent="0.3">
      <c r="A2319" s="9">
        <v>4033</v>
      </c>
      <c r="B2319" t="s">
        <v>373</v>
      </c>
      <c r="C2319" s="25">
        <v>44689</v>
      </c>
      <c r="D2319" s="26">
        <v>0.70265046296296296</v>
      </c>
      <c r="E2319" t="s">
        <v>28</v>
      </c>
      <c r="F2319" t="s">
        <v>291</v>
      </c>
      <c r="G2319" t="s">
        <v>408</v>
      </c>
      <c r="H2319" t="s">
        <v>239</v>
      </c>
      <c r="I2319">
        <v>163.01</v>
      </c>
      <c r="J2319" s="8"/>
      <c r="K2319" s="89">
        <f>+L2319-J2449</f>
        <v>636852</v>
      </c>
      <c r="L2319" s="8">
        <v>636852</v>
      </c>
      <c r="M2319" s="10">
        <f t="shared" si="138"/>
        <v>2.5596213877007529E-2</v>
      </c>
    </row>
    <row r="2320" spans="1:13" ht="15" hidden="1" customHeight="1" x14ac:dyDescent="0.3">
      <c r="A2320" s="9">
        <v>4125</v>
      </c>
      <c r="B2320" t="s">
        <v>373</v>
      </c>
      <c r="C2320" s="25">
        <v>44691</v>
      </c>
      <c r="D2320" s="26">
        <v>0.78276620370370376</v>
      </c>
      <c r="E2320" t="s">
        <v>28</v>
      </c>
      <c r="F2320" t="s">
        <v>291</v>
      </c>
      <c r="G2320" t="s">
        <v>445</v>
      </c>
      <c r="H2320" t="s">
        <v>239</v>
      </c>
      <c r="I2320">
        <f>27.96+112.02</f>
        <v>139.97999999999999</v>
      </c>
      <c r="J2320" s="8"/>
      <c r="K2320" s="89">
        <f>+L2320-J2451</f>
        <v>1234</v>
      </c>
      <c r="L2320" s="54">
        <v>1234</v>
      </c>
      <c r="M2320" s="10">
        <f t="shared" si="138"/>
        <v>11.343598055105348</v>
      </c>
    </row>
    <row r="2321" spans="1:13" ht="15" hidden="1" customHeight="1" x14ac:dyDescent="0.3">
      <c r="A2321" s="9">
        <v>4280</v>
      </c>
      <c r="B2321" t="s">
        <v>373</v>
      </c>
      <c r="C2321" s="25">
        <v>44694</v>
      </c>
      <c r="D2321" s="26">
        <v>0.7088310185185186</v>
      </c>
      <c r="E2321" t="s">
        <v>28</v>
      </c>
      <c r="F2321" t="s">
        <v>568</v>
      </c>
      <c r="G2321" t="s">
        <v>569</v>
      </c>
      <c r="H2321" t="s">
        <v>239</v>
      </c>
      <c r="I2321">
        <v>150</v>
      </c>
      <c r="J2321" s="54"/>
      <c r="K2321" s="89">
        <f>+L2321-J2594</f>
        <v>-579675</v>
      </c>
      <c r="L2321" s="54">
        <v>85444</v>
      </c>
      <c r="M2321" s="10">
        <f t="shared" si="138"/>
        <v>-2.5876568766981495E-2</v>
      </c>
    </row>
    <row r="2322" spans="1:13" ht="15" hidden="1" customHeight="1" x14ac:dyDescent="0.3">
      <c r="A2322" s="9">
        <v>4331</v>
      </c>
      <c r="B2322" t="s">
        <v>373</v>
      </c>
      <c r="C2322" s="25">
        <v>44695</v>
      </c>
      <c r="D2322" s="26">
        <v>0.72039351851851852</v>
      </c>
      <c r="E2322" t="s">
        <v>28</v>
      </c>
      <c r="F2322" t="s">
        <v>568</v>
      </c>
      <c r="G2322" t="s">
        <v>569</v>
      </c>
      <c r="H2322" t="s">
        <v>239</v>
      </c>
      <c r="I2322">
        <v>149.25</v>
      </c>
      <c r="J2322" s="8"/>
      <c r="K2322" s="89">
        <f>+L2322-J2595</f>
        <v>-606915</v>
      </c>
      <c r="L2322" s="8">
        <v>58844</v>
      </c>
      <c r="M2322" s="10">
        <f t="shared" si="138"/>
        <v>-2.459158201725118E-2</v>
      </c>
    </row>
    <row r="2323" spans="1:13" ht="15" hidden="1" customHeight="1" x14ac:dyDescent="0.3">
      <c r="A2323" s="9">
        <v>4669</v>
      </c>
      <c r="B2323" t="s">
        <v>373</v>
      </c>
      <c r="C2323" s="25">
        <v>44701</v>
      </c>
      <c r="D2323" s="26">
        <v>0.48980324074074072</v>
      </c>
      <c r="E2323" t="s">
        <v>28</v>
      </c>
      <c r="F2323" t="s">
        <v>226</v>
      </c>
      <c r="G2323" t="s">
        <v>227</v>
      </c>
      <c r="H2323" t="s">
        <v>239</v>
      </c>
      <c r="I2323">
        <v>200</v>
      </c>
      <c r="J2323" s="8"/>
      <c r="K2323" s="90">
        <f>+L2323-J2580</f>
        <v>-7989</v>
      </c>
      <c r="L2323" s="8">
        <v>645707</v>
      </c>
      <c r="M2323" s="10">
        <f t="shared" si="138"/>
        <v>-2.503442233070472</v>
      </c>
    </row>
    <row r="2324" spans="1:13" ht="15" hidden="1" customHeight="1" x14ac:dyDescent="0.3">
      <c r="A2324" s="9">
        <v>4670</v>
      </c>
      <c r="B2324" t="s">
        <v>373</v>
      </c>
      <c r="C2324" s="25">
        <v>44701</v>
      </c>
      <c r="D2324" s="26">
        <v>0.90190972222222221</v>
      </c>
      <c r="E2324" t="s">
        <v>28</v>
      </c>
      <c r="F2324" t="s">
        <v>319</v>
      </c>
      <c r="G2324" t="s">
        <v>320</v>
      </c>
      <c r="H2324" t="s">
        <v>239</v>
      </c>
      <c r="I2324">
        <v>100</v>
      </c>
      <c r="J2324" s="8"/>
      <c r="K2324" s="90" t="e">
        <f>+L2324-#REF!</f>
        <v>#REF!</v>
      </c>
      <c r="L2324" s="8">
        <v>1234</v>
      </c>
      <c r="M2324" s="10" t="e">
        <f t="shared" si="138"/>
        <v>#REF!</v>
      </c>
    </row>
    <row r="2325" spans="1:13" ht="15" hidden="1" customHeight="1" x14ac:dyDescent="0.3">
      <c r="A2325" s="9">
        <v>4730</v>
      </c>
      <c r="B2325" t="s">
        <v>373</v>
      </c>
      <c r="C2325" s="25">
        <v>44702</v>
      </c>
      <c r="D2325" s="26">
        <v>0.58481481481481479</v>
      </c>
      <c r="E2325" t="s">
        <v>28</v>
      </c>
      <c r="F2325" t="s">
        <v>441</v>
      </c>
      <c r="G2325" t="s">
        <v>442</v>
      </c>
      <c r="H2325" t="s">
        <v>239</v>
      </c>
      <c r="I2325">
        <v>200</v>
      </c>
      <c r="J2325" s="44"/>
      <c r="K2325" s="97">
        <f>+L2325-J2581</f>
        <v>-284874</v>
      </c>
      <c r="L2325" s="8">
        <v>369852</v>
      </c>
      <c r="M2325" s="10">
        <f t="shared" si="138"/>
        <v>-7.0206477249591046E-2</v>
      </c>
    </row>
    <row r="2326" spans="1:13" ht="15" hidden="1" customHeight="1" x14ac:dyDescent="0.3">
      <c r="A2326" s="9">
        <v>4776</v>
      </c>
      <c r="B2326" t="s">
        <v>373</v>
      </c>
      <c r="C2326" s="25">
        <v>44703</v>
      </c>
      <c r="D2326" s="26">
        <v>2.6053240740740738E-2</v>
      </c>
      <c r="E2326" t="s">
        <v>28</v>
      </c>
      <c r="F2326" t="s">
        <v>291</v>
      </c>
      <c r="G2326" t="s">
        <v>408</v>
      </c>
      <c r="H2326" t="s">
        <v>239</v>
      </c>
      <c r="I2326">
        <v>167.48</v>
      </c>
      <c r="J2326" s="54"/>
      <c r="K2326" s="100" t="e">
        <f>+L2326-#REF!</f>
        <v>#REF!</v>
      </c>
      <c r="L2326" s="45">
        <v>5223</v>
      </c>
      <c r="M2326" s="10" t="e">
        <f t="shared" si="138"/>
        <v>#REF!</v>
      </c>
    </row>
    <row r="2327" spans="1:13" ht="15" hidden="1" customHeight="1" x14ac:dyDescent="0.3">
      <c r="A2327" s="9">
        <v>5210</v>
      </c>
      <c r="B2327" t="s">
        <v>373</v>
      </c>
      <c r="C2327" s="25">
        <v>44711</v>
      </c>
      <c r="D2327" s="26">
        <v>0.89410879629629625</v>
      </c>
      <c r="E2327" t="s">
        <v>28</v>
      </c>
      <c r="F2327" t="s">
        <v>660</v>
      </c>
      <c r="G2327" t="s">
        <v>397</v>
      </c>
      <c r="H2327" t="s">
        <v>239</v>
      </c>
      <c r="I2327">
        <v>83.61</v>
      </c>
      <c r="J2327" s="32">
        <v>0</v>
      </c>
      <c r="K2327" s="99"/>
      <c r="L2327" s="31"/>
      <c r="M2327" s="10" t="e">
        <f t="shared" si="138"/>
        <v>#DIV/0!</v>
      </c>
    </row>
    <row r="2328" spans="1:13" ht="15" hidden="1" customHeight="1" x14ac:dyDescent="0.3">
      <c r="A2328" s="9">
        <v>5211</v>
      </c>
      <c r="B2328" t="s">
        <v>373</v>
      </c>
      <c r="C2328" s="25">
        <v>44711</v>
      </c>
      <c r="D2328" s="26">
        <v>0.90324074074074068</v>
      </c>
      <c r="E2328" t="s">
        <v>28</v>
      </c>
      <c r="F2328" t="s">
        <v>660</v>
      </c>
      <c r="G2328" t="s">
        <v>397</v>
      </c>
      <c r="H2328" t="s">
        <v>239</v>
      </c>
      <c r="I2328">
        <v>69.680000000000007</v>
      </c>
      <c r="J2328" s="32">
        <v>0</v>
      </c>
      <c r="K2328" s="90"/>
      <c r="L2328" s="7"/>
      <c r="M2328" s="10" t="e">
        <f t="shared" si="138"/>
        <v>#DIV/0!</v>
      </c>
    </row>
    <row r="2329" spans="1:13" ht="15" hidden="1" customHeight="1" x14ac:dyDescent="0.3">
      <c r="A2329" s="9">
        <v>6606</v>
      </c>
      <c r="B2329" t="s">
        <v>373</v>
      </c>
      <c r="C2329" s="25">
        <v>44739</v>
      </c>
      <c r="D2329" s="26">
        <v>0.56269675925925922</v>
      </c>
      <c r="E2329" t="s">
        <v>29</v>
      </c>
      <c r="F2329" t="s">
        <v>664</v>
      </c>
      <c r="G2329" t="s">
        <v>388</v>
      </c>
      <c r="H2329" t="s">
        <v>239</v>
      </c>
      <c r="I2329">
        <v>195.02</v>
      </c>
      <c r="J2329" s="33">
        <v>0</v>
      </c>
      <c r="K2329" s="99"/>
      <c r="L2329" s="23"/>
      <c r="M2329" s="10" t="e">
        <f t="shared" si="138"/>
        <v>#DIV/0!</v>
      </c>
    </row>
    <row r="2330" spans="1:13" ht="15" hidden="1" customHeight="1" x14ac:dyDescent="0.3">
      <c r="A2330" s="9">
        <v>4070</v>
      </c>
      <c r="B2330" t="s">
        <v>596</v>
      </c>
      <c r="C2330" s="25">
        <v>44690</v>
      </c>
      <c r="D2330" s="26">
        <v>0.60932870370370373</v>
      </c>
      <c r="E2330" t="s">
        <v>28</v>
      </c>
      <c r="F2330" t="s">
        <v>391</v>
      </c>
      <c r="G2330" t="s">
        <v>392</v>
      </c>
      <c r="H2330" t="s">
        <v>306</v>
      </c>
      <c r="I2330">
        <v>271.39</v>
      </c>
      <c r="J2330" s="33">
        <v>0</v>
      </c>
      <c r="K2330" s="99">
        <f>+L2330-J2330</f>
        <v>610</v>
      </c>
      <c r="L2330" s="33">
        <v>610</v>
      </c>
      <c r="M2330" s="131">
        <f t="shared" si="138"/>
        <v>44.490163934426228</v>
      </c>
    </row>
    <row r="2331" spans="1:13" ht="15" hidden="1" customHeight="1" x14ac:dyDescent="0.3">
      <c r="B2331" t="s">
        <v>356</v>
      </c>
      <c r="C2331" s="25">
        <v>44766</v>
      </c>
      <c r="D2331" s="26">
        <v>0.61116898148148147</v>
      </c>
      <c r="E2331" t="s">
        <v>30</v>
      </c>
      <c r="F2331" t="s">
        <v>210</v>
      </c>
      <c r="G2331" t="s">
        <v>211</v>
      </c>
      <c r="H2331" t="s">
        <v>178</v>
      </c>
      <c r="I2331" s="160">
        <v>209.54</v>
      </c>
      <c r="J2331" s="160">
        <f>209+198+176</f>
        <v>583</v>
      </c>
      <c r="K2331" s="160">
        <v>8796</v>
      </c>
      <c r="L2331" s="160">
        <v>1743</v>
      </c>
      <c r="M2331" s="150">
        <f>+J2331/L2331*100</f>
        <v>33.448078026391279</v>
      </c>
    </row>
    <row r="2332" spans="1:13" ht="15" hidden="1" customHeight="1" x14ac:dyDescent="0.3">
      <c r="B2332" t="s">
        <v>356</v>
      </c>
      <c r="C2332" s="25">
        <v>44766</v>
      </c>
      <c r="D2332" s="26">
        <v>0.62422453703703706</v>
      </c>
      <c r="E2332" t="s">
        <v>30</v>
      </c>
      <c r="F2332" t="s">
        <v>210</v>
      </c>
      <c r="G2332" t="s">
        <v>211</v>
      </c>
      <c r="H2332" t="s">
        <v>178</v>
      </c>
      <c r="I2332" s="160">
        <v>160.69999999999999</v>
      </c>
      <c r="J2332" s="8"/>
      <c r="K2332" s="8"/>
      <c r="L2332" s="8"/>
      <c r="M2332" s="254"/>
    </row>
    <row r="2333" spans="1:13" ht="15" hidden="1" customHeight="1" x14ac:dyDescent="0.3">
      <c r="A2333" s="9">
        <v>46</v>
      </c>
      <c r="B2333" t="s">
        <v>283</v>
      </c>
      <c r="C2333" s="25">
        <v>44574</v>
      </c>
      <c r="D2333" s="26">
        <v>0.63070601851851849</v>
      </c>
      <c r="E2333" t="s">
        <v>24</v>
      </c>
      <c r="F2333" t="s">
        <v>175</v>
      </c>
      <c r="G2333" t="s">
        <v>172</v>
      </c>
      <c r="H2333" t="s">
        <v>123</v>
      </c>
      <c r="I2333">
        <v>155.43</v>
      </c>
      <c r="J2333" s="34">
        <v>0</v>
      </c>
      <c r="K2333" s="34">
        <f t="shared" ref="K2333:K2364" si="139">+L2333-J2333</f>
        <v>411.95</v>
      </c>
      <c r="L2333" s="34">
        <v>411.95</v>
      </c>
      <c r="M2333" s="61">
        <f t="shared" ref="M2333:M2364" si="140">I2333/K2333*100</f>
        <v>37.730307076101468</v>
      </c>
    </row>
    <row r="2334" spans="1:13" ht="15" hidden="1" customHeight="1" x14ac:dyDescent="0.3">
      <c r="A2334" s="9">
        <v>47</v>
      </c>
      <c r="B2334" t="s">
        <v>283</v>
      </c>
      <c r="C2334" s="25">
        <v>44576</v>
      </c>
      <c r="D2334" s="26">
        <v>2.1446759259259259E-2</v>
      </c>
      <c r="E2334" t="s">
        <v>24</v>
      </c>
      <c r="F2334" t="s">
        <v>210</v>
      </c>
      <c r="G2334" t="s">
        <v>211</v>
      </c>
      <c r="H2334" t="s">
        <v>123</v>
      </c>
      <c r="I2334">
        <v>352.85</v>
      </c>
      <c r="J2334" s="34">
        <v>0</v>
      </c>
      <c r="K2334" s="34">
        <f t="shared" si="139"/>
        <v>832.75</v>
      </c>
      <c r="L2334" s="34">
        <v>832.75</v>
      </c>
      <c r="M2334" s="10">
        <f t="shared" si="140"/>
        <v>42.371660162113486</v>
      </c>
    </row>
    <row r="2335" spans="1:13" ht="15" hidden="1" customHeight="1" x14ac:dyDescent="0.3">
      <c r="A2335" s="9">
        <v>48</v>
      </c>
      <c r="B2335" t="s">
        <v>283</v>
      </c>
      <c r="C2335" s="25">
        <v>44577</v>
      </c>
      <c r="D2335" s="26">
        <v>0.70453703703703707</v>
      </c>
      <c r="E2335" t="s">
        <v>24</v>
      </c>
      <c r="F2335" t="s">
        <v>210</v>
      </c>
      <c r="G2335" t="s">
        <v>211</v>
      </c>
      <c r="H2335" t="s">
        <v>123</v>
      </c>
      <c r="I2335">
        <v>420.69</v>
      </c>
      <c r="J2335" s="34">
        <v>0</v>
      </c>
      <c r="K2335" s="34">
        <f t="shared" si="139"/>
        <v>1065.1600000000001</v>
      </c>
      <c r="L2335" s="7">
        <v>1065.1600000000001</v>
      </c>
      <c r="M2335" s="10">
        <f t="shared" si="140"/>
        <v>39.495474858237259</v>
      </c>
    </row>
    <row r="2336" spans="1:13" ht="15" hidden="1" customHeight="1" x14ac:dyDescent="0.3">
      <c r="A2336" s="9">
        <v>49</v>
      </c>
      <c r="B2336" t="s">
        <v>283</v>
      </c>
      <c r="C2336" s="25">
        <v>44578</v>
      </c>
      <c r="D2336" s="26">
        <v>0.69054398148148144</v>
      </c>
      <c r="E2336" t="s">
        <v>24</v>
      </c>
      <c r="F2336" t="s">
        <v>175</v>
      </c>
      <c r="G2336" t="s">
        <v>172</v>
      </c>
      <c r="H2336" t="s">
        <v>123</v>
      </c>
      <c r="I2336">
        <v>383.4</v>
      </c>
      <c r="J2336" s="7">
        <v>0</v>
      </c>
      <c r="K2336" s="7">
        <f t="shared" si="139"/>
        <v>929.93</v>
      </c>
      <c r="L2336" s="7">
        <v>929.93</v>
      </c>
      <c r="M2336" s="10">
        <f t="shared" si="140"/>
        <v>41.228909702880863</v>
      </c>
    </row>
    <row r="2337" spans="1:13" ht="15" hidden="1" customHeight="1" x14ac:dyDescent="0.3">
      <c r="A2337" s="9">
        <v>50</v>
      </c>
      <c r="B2337" t="s">
        <v>283</v>
      </c>
      <c r="C2337" s="25">
        <v>44580</v>
      </c>
      <c r="D2337" s="26">
        <v>0.49902777777777779</v>
      </c>
      <c r="E2337" t="s">
        <v>24</v>
      </c>
      <c r="F2337" t="s">
        <v>210</v>
      </c>
      <c r="G2337" t="s">
        <v>211</v>
      </c>
      <c r="H2337" t="s">
        <v>123</v>
      </c>
      <c r="I2337">
        <v>360.87</v>
      </c>
      <c r="J2337" s="7">
        <v>0</v>
      </c>
      <c r="K2337" s="35">
        <f t="shared" si="139"/>
        <v>825.92</v>
      </c>
      <c r="L2337" s="35">
        <v>825.92</v>
      </c>
      <c r="M2337" s="10">
        <f t="shared" si="140"/>
        <v>43.693093762107715</v>
      </c>
    </row>
    <row r="2338" spans="1:13" ht="15" hidden="1" customHeight="1" x14ac:dyDescent="0.3">
      <c r="A2338" s="9">
        <v>51</v>
      </c>
      <c r="B2338" t="s">
        <v>283</v>
      </c>
      <c r="C2338" s="25">
        <v>44580</v>
      </c>
      <c r="D2338" s="26">
        <v>0.96078703703703694</v>
      </c>
      <c r="E2338" t="s">
        <v>24</v>
      </c>
      <c r="F2338" t="s">
        <v>165</v>
      </c>
      <c r="G2338" t="s">
        <v>185</v>
      </c>
      <c r="H2338" t="s">
        <v>123</v>
      </c>
      <c r="I2338">
        <v>257.38</v>
      </c>
      <c r="J2338" s="7">
        <v>0</v>
      </c>
      <c r="K2338" s="7">
        <f t="shared" si="139"/>
        <v>548.28</v>
      </c>
      <c r="L2338" s="7">
        <v>548.28</v>
      </c>
      <c r="M2338" s="10">
        <f t="shared" si="140"/>
        <v>46.943167724520322</v>
      </c>
    </row>
    <row r="2339" spans="1:13" ht="15" hidden="1" customHeight="1" x14ac:dyDescent="0.3">
      <c r="A2339" s="9">
        <v>52</v>
      </c>
      <c r="B2339" t="s">
        <v>283</v>
      </c>
      <c r="C2339" s="25">
        <v>44582</v>
      </c>
      <c r="D2339" s="26">
        <v>0.59489583333333329</v>
      </c>
      <c r="E2339" t="s">
        <v>24</v>
      </c>
      <c r="F2339" t="s">
        <v>202</v>
      </c>
      <c r="G2339" t="s">
        <v>203</v>
      </c>
      <c r="H2339" t="s">
        <v>123</v>
      </c>
      <c r="I2339">
        <v>150</v>
      </c>
      <c r="J2339" s="7">
        <v>0</v>
      </c>
      <c r="K2339" s="31">
        <f t="shared" si="139"/>
        <v>1608.58</v>
      </c>
      <c r="L2339" s="31">
        <v>1608.58</v>
      </c>
      <c r="M2339" s="10">
        <f t="shared" si="140"/>
        <v>9.3249947158363273</v>
      </c>
    </row>
    <row r="2340" spans="1:13" ht="15" hidden="1" customHeight="1" x14ac:dyDescent="0.3">
      <c r="A2340" s="9">
        <v>53</v>
      </c>
      <c r="B2340" t="s">
        <v>283</v>
      </c>
      <c r="C2340" s="25">
        <v>44583</v>
      </c>
      <c r="D2340" s="26">
        <v>4.1932870370370377E-2</v>
      </c>
      <c r="E2340" t="s">
        <v>24</v>
      </c>
      <c r="F2340" t="s">
        <v>396</v>
      </c>
      <c r="G2340" t="s">
        <v>397</v>
      </c>
      <c r="H2340" t="s">
        <v>123</v>
      </c>
      <c r="I2340">
        <v>181.57</v>
      </c>
      <c r="J2340" s="7">
        <v>0</v>
      </c>
      <c r="K2340" s="7">
        <f t="shared" si="139"/>
        <v>350.22</v>
      </c>
      <c r="L2340" s="7">
        <v>350.22</v>
      </c>
      <c r="M2340" s="10">
        <f t="shared" si="140"/>
        <v>51.84455485123636</v>
      </c>
    </row>
    <row r="2341" spans="1:13" ht="15" hidden="1" customHeight="1" x14ac:dyDescent="0.3">
      <c r="A2341" s="9">
        <v>54</v>
      </c>
      <c r="B2341" t="s">
        <v>283</v>
      </c>
      <c r="C2341" s="25">
        <v>44583</v>
      </c>
      <c r="D2341" s="26">
        <v>0.62195601851851856</v>
      </c>
      <c r="E2341" t="s">
        <v>24</v>
      </c>
      <c r="F2341" t="s">
        <v>165</v>
      </c>
      <c r="G2341" t="s">
        <v>185</v>
      </c>
      <c r="H2341" t="s">
        <v>123</v>
      </c>
      <c r="I2341">
        <v>103.95</v>
      </c>
      <c r="J2341" s="7">
        <v>0</v>
      </c>
      <c r="K2341" s="7">
        <f t="shared" si="139"/>
        <v>223.22</v>
      </c>
      <c r="L2341" s="7">
        <v>223.22</v>
      </c>
      <c r="M2341" s="10">
        <f t="shared" si="140"/>
        <v>46.568407848759072</v>
      </c>
    </row>
    <row r="2342" spans="1:13" ht="15" hidden="1" customHeight="1" x14ac:dyDescent="0.3">
      <c r="A2342" s="9">
        <v>55</v>
      </c>
      <c r="B2342" t="s">
        <v>283</v>
      </c>
      <c r="C2342" s="25">
        <v>44583</v>
      </c>
      <c r="D2342" s="26">
        <v>0.94094907407407413</v>
      </c>
      <c r="E2342" t="s">
        <v>24</v>
      </c>
      <c r="F2342" t="s">
        <v>210</v>
      </c>
      <c r="G2342" t="s">
        <v>211</v>
      </c>
      <c r="H2342" t="s">
        <v>123</v>
      </c>
      <c r="I2342">
        <v>363.7</v>
      </c>
      <c r="J2342" s="34">
        <v>0</v>
      </c>
      <c r="K2342" s="34">
        <f t="shared" si="139"/>
        <v>514.51</v>
      </c>
      <c r="L2342" s="7">
        <v>514.51</v>
      </c>
      <c r="M2342" s="10">
        <f t="shared" si="140"/>
        <v>70.688616353423654</v>
      </c>
    </row>
    <row r="2343" spans="1:13" ht="15" hidden="1" customHeight="1" x14ac:dyDescent="0.3">
      <c r="A2343" s="9">
        <v>56</v>
      </c>
      <c r="B2343" t="s">
        <v>283</v>
      </c>
      <c r="C2343" s="25">
        <v>44586</v>
      </c>
      <c r="D2343" s="26">
        <v>0.65366898148148145</v>
      </c>
      <c r="E2343" t="s">
        <v>24</v>
      </c>
      <c r="F2343" t="s">
        <v>175</v>
      </c>
      <c r="G2343" t="s">
        <v>172</v>
      </c>
      <c r="H2343" t="s">
        <v>123</v>
      </c>
      <c r="I2343">
        <v>352.33</v>
      </c>
      <c r="J2343" s="34">
        <v>0</v>
      </c>
      <c r="K2343" s="11">
        <f t="shared" si="139"/>
        <v>1006.63</v>
      </c>
      <c r="L2343" s="51">
        <v>1006.63</v>
      </c>
      <c r="M2343" s="10">
        <f t="shared" si="140"/>
        <v>35.000943742984013</v>
      </c>
    </row>
    <row r="2344" spans="1:13" ht="15" hidden="1" customHeight="1" x14ac:dyDescent="0.3">
      <c r="A2344" s="9">
        <v>57</v>
      </c>
      <c r="B2344" t="s">
        <v>283</v>
      </c>
      <c r="C2344" s="25">
        <v>44587</v>
      </c>
      <c r="D2344" s="26">
        <v>0.51640046296296294</v>
      </c>
      <c r="E2344" t="s">
        <v>24</v>
      </c>
      <c r="F2344" t="s">
        <v>210</v>
      </c>
      <c r="G2344" t="s">
        <v>211</v>
      </c>
      <c r="H2344" t="s">
        <v>123</v>
      </c>
      <c r="I2344">
        <v>371.16</v>
      </c>
      <c r="J2344" s="34">
        <v>0</v>
      </c>
      <c r="K2344" s="11">
        <f t="shared" si="139"/>
        <v>830.78</v>
      </c>
      <c r="L2344" s="51">
        <v>830.78</v>
      </c>
      <c r="M2344" s="10">
        <f t="shared" si="140"/>
        <v>44.676087532198657</v>
      </c>
    </row>
    <row r="2345" spans="1:13" ht="15" hidden="1" customHeight="1" x14ac:dyDescent="0.3">
      <c r="A2345" s="9">
        <v>58</v>
      </c>
      <c r="B2345" t="s">
        <v>283</v>
      </c>
      <c r="C2345" s="25">
        <v>44588</v>
      </c>
      <c r="D2345" s="26">
        <v>0.90543981481481473</v>
      </c>
      <c r="E2345" t="s">
        <v>24</v>
      </c>
      <c r="F2345" t="s">
        <v>210</v>
      </c>
      <c r="G2345" t="s">
        <v>211</v>
      </c>
      <c r="H2345" t="s">
        <v>123</v>
      </c>
      <c r="I2345">
        <v>425.43</v>
      </c>
      <c r="J2345" s="34">
        <v>0</v>
      </c>
      <c r="K2345" s="11">
        <f t="shared" si="139"/>
        <v>1064.18</v>
      </c>
      <c r="L2345" s="51">
        <v>1064.18</v>
      </c>
      <c r="M2345" s="10">
        <f t="shared" si="140"/>
        <v>39.977259486177147</v>
      </c>
    </row>
    <row r="2346" spans="1:13" ht="15" hidden="1" customHeight="1" x14ac:dyDescent="0.3">
      <c r="A2346" s="9">
        <v>59</v>
      </c>
      <c r="B2346" t="s">
        <v>283</v>
      </c>
      <c r="C2346" s="25">
        <v>44590</v>
      </c>
      <c r="D2346" s="26">
        <v>0.3893287037037037</v>
      </c>
      <c r="E2346" t="s">
        <v>24</v>
      </c>
      <c r="F2346" t="s">
        <v>175</v>
      </c>
      <c r="G2346" t="s">
        <v>172</v>
      </c>
      <c r="H2346" t="s">
        <v>123</v>
      </c>
      <c r="I2346">
        <v>343.96</v>
      </c>
      <c r="J2346" s="34">
        <v>0</v>
      </c>
      <c r="K2346" s="11">
        <f t="shared" si="139"/>
        <v>907.8</v>
      </c>
      <c r="L2346" s="7">
        <v>907.8</v>
      </c>
      <c r="M2346" s="10">
        <f t="shared" si="140"/>
        <v>37.889402952192114</v>
      </c>
    </row>
    <row r="2347" spans="1:13" ht="15" hidden="1" customHeight="1" x14ac:dyDescent="0.3">
      <c r="A2347" s="9">
        <v>60</v>
      </c>
      <c r="B2347" t="s">
        <v>283</v>
      </c>
      <c r="C2347" s="25">
        <v>44591</v>
      </c>
      <c r="D2347" s="26">
        <v>0.41385416666666663</v>
      </c>
      <c r="E2347" t="s">
        <v>24</v>
      </c>
      <c r="F2347" t="s">
        <v>210</v>
      </c>
      <c r="G2347" t="s">
        <v>211</v>
      </c>
      <c r="H2347" t="s">
        <v>123</v>
      </c>
      <c r="I2347">
        <v>356.88</v>
      </c>
      <c r="J2347" s="34">
        <v>0</v>
      </c>
      <c r="K2347" s="11">
        <f t="shared" si="139"/>
        <v>831.75</v>
      </c>
      <c r="L2347" s="7">
        <v>831.75</v>
      </c>
      <c r="M2347" s="10">
        <f t="shared" si="140"/>
        <v>42.907123534715957</v>
      </c>
    </row>
    <row r="2348" spans="1:13" ht="15" hidden="1" customHeight="1" x14ac:dyDescent="0.3">
      <c r="A2348" s="9">
        <v>61</v>
      </c>
      <c r="B2348" t="s">
        <v>283</v>
      </c>
      <c r="C2348" s="25">
        <v>44592</v>
      </c>
      <c r="D2348" s="26">
        <v>0.58704861111111117</v>
      </c>
      <c r="E2348" t="s">
        <v>24</v>
      </c>
      <c r="F2348" t="s">
        <v>210</v>
      </c>
      <c r="G2348" t="s">
        <v>211</v>
      </c>
      <c r="H2348" t="s">
        <v>123</v>
      </c>
      <c r="I2348">
        <v>457.51</v>
      </c>
      <c r="J2348" s="34">
        <v>0</v>
      </c>
      <c r="K2348" s="11">
        <f t="shared" si="139"/>
        <v>1063.49</v>
      </c>
      <c r="L2348" s="7">
        <v>1063.49</v>
      </c>
      <c r="M2348" s="10">
        <f t="shared" si="140"/>
        <v>43.019680485947212</v>
      </c>
    </row>
    <row r="2349" spans="1:13" ht="15" hidden="1" customHeight="1" x14ac:dyDescent="0.3">
      <c r="A2349" s="9">
        <v>1159</v>
      </c>
      <c r="B2349" t="s">
        <v>283</v>
      </c>
      <c r="C2349" s="25">
        <v>44593</v>
      </c>
      <c r="D2349" s="26">
        <v>0.84013888888888888</v>
      </c>
      <c r="E2349" t="s">
        <v>25</v>
      </c>
      <c r="F2349" t="s">
        <v>175</v>
      </c>
      <c r="G2349" t="s">
        <v>172</v>
      </c>
      <c r="H2349" t="s">
        <v>123</v>
      </c>
      <c r="I2349">
        <v>398.55</v>
      </c>
      <c r="J2349" s="76">
        <v>0</v>
      </c>
      <c r="K2349" s="11">
        <f t="shared" si="139"/>
        <v>1057.0999999999999</v>
      </c>
      <c r="L2349" s="30">
        <v>1057.0999999999999</v>
      </c>
      <c r="M2349" s="10">
        <f t="shared" si="140"/>
        <v>37.702204143411223</v>
      </c>
    </row>
    <row r="2350" spans="1:13" ht="15" hidden="1" customHeight="1" x14ac:dyDescent="0.3">
      <c r="A2350" s="9">
        <v>1160</v>
      </c>
      <c r="B2350" t="s">
        <v>283</v>
      </c>
      <c r="C2350" s="25">
        <v>44595</v>
      </c>
      <c r="D2350" s="26">
        <v>0.68800925925925915</v>
      </c>
      <c r="E2350" t="s">
        <v>25</v>
      </c>
      <c r="F2350" t="s">
        <v>210</v>
      </c>
      <c r="G2350" t="s">
        <v>211</v>
      </c>
      <c r="H2350" t="s">
        <v>123</v>
      </c>
      <c r="I2350">
        <v>383.32</v>
      </c>
      <c r="J2350" s="7">
        <v>0</v>
      </c>
      <c r="K2350" s="11">
        <f t="shared" si="139"/>
        <v>1454.16</v>
      </c>
      <c r="L2350" s="11">
        <v>1454.16</v>
      </c>
      <c r="M2350" s="10">
        <f t="shared" si="140"/>
        <v>26.360235462397537</v>
      </c>
    </row>
    <row r="2351" spans="1:13" ht="15" hidden="1" customHeight="1" x14ac:dyDescent="0.3">
      <c r="A2351" s="9">
        <v>1161</v>
      </c>
      <c r="B2351" t="s">
        <v>283</v>
      </c>
      <c r="C2351" s="25">
        <v>44596</v>
      </c>
      <c r="D2351" s="26">
        <v>0.67280092592592589</v>
      </c>
      <c r="E2351" t="s">
        <v>25</v>
      </c>
      <c r="F2351" t="s">
        <v>210</v>
      </c>
      <c r="G2351" t="s">
        <v>211</v>
      </c>
      <c r="H2351" t="s">
        <v>123</v>
      </c>
      <c r="I2351">
        <v>413.65</v>
      </c>
      <c r="J2351" s="7">
        <v>0</v>
      </c>
      <c r="K2351" s="11">
        <f t="shared" si="139"/>
        <v>1063.5999999999999</v>
      </c>
      <c r="L2351" s="7">
        <v>1063.5999999999999</v>
      </c>
      <c r="M2351" s="36">
        <f t="shared" si="140"/>
        <v>38.891500564121849</v>
      </c>
    </row>
    <row r="2352" spans="1:13" ht="15" hidden="1" customHeight="1" x14ac:dyDescent="0.3">
      <c r="A2352" s="9">
        <v>1162</v>
      </c>
      <c r="B2352" t="s">
        <v>283</v>
      </c>
      <c r="C2352" s="25">
        <v>44599</v>
      </c>
      <c r="D2352" s="26">
        <v>0.42358796296296292</v>
      </c>
      <c r="E2352" t="s">
        <v>25</v>
      </c>
      <c r="F2352" t="s">
        <v>175</v>
      </c>
      <c r="G2352" t="s">
        <v>172</v>
      </c>
      <c r="H2352" t="s">
        <v>123</v>
      </c>
      <c r="I2352">
        <v>403.52</v>
      </c>
      <c r="J2352" s="7">
        <v>0</v>
      </c>
      <c r="K2352" s="11">
        <f t="shared" si="139"/>
        <v>1017.23</v>
      </c>
      <c r="L2352" s="7">
        <v>1017.23</v>
      </c>
      <c r="M2352" s="36">
        <f t="shared" si="140"/>
        <v>39.66851154606136</v>
      </c>
    </row>
    <row r="2353" spans="1:13" ht="15" hidden="1" customHeight="1" x14ac:dyDescent="0.3">
      <c r="A2353" s="9">
        <v>2355</v>
      </c>
      <c r="B2353" t="s">
        <v>283</v>
      </c>
      <c r="C2353" s="25">
        <v>44624</v>
      </c>
      <c r="D2353" s="26">
        <v>0.4516087962962963</v>
      </c>
      <c r="E2353" t="s">
        <v>26</v>
      </c>
      <c r="F2353" t="s">
        <v>175</v>
      </c>
      <c r="G2353" t="s">
        <v>172</v>
      </c>
      <c r="H2353" t="s">
        <v>123</v>
      </c>
      <c r="I2353">
        <v>190.32</v>
      </c>
      <c r="J2353" s="7">
        <v>0</v>
      </c>
      <c r="K2353" s="89">
        <f t="shared" si="139"/>
        <v>462.54</v>
      </c>
      <c r="L2353" s="7">
        <v>462.54</v>
      </c>
      <c r="M2353" s="36">
        <f t="shared" si="140"/>
        <v>41.146711635750414</v>
      </c>
    </row>
    <row r="2354" spans="1:13" ht="15" hidden="1" customHeight="1" x14ac:dyDescent="0.3">
      <c r="A2354" s="9">
        <v>2356</v>
      </c>
      <c r="B2354" t="s">
        <v>283</v>
      </c>
      <c r="C2354" s="25">
        <v>44625</v>
      </c>
      <c r="D2354" s="26">
        <v>0.70540509259259254</v>
      </c>
      <c r="E2354" t="s">
        <v>26</v>
      </c>
      <c r="F2354" t="s">
        <v>210</v>
      </c>
      <c r="G2354" t="s">
        <v>211</v>
      </c>
      <c r="H2354" t="s">
        <v>123</v>
      </c>
      <c r="I2354">
        <v>361.92</v>
      </c>
      <c r="J2354" s="39">
        <v>0</v>
      </c>
      <c r="K2354" s="89">
        <f t="shared" si="139"/>
        <v>832.4</v>
      </c>
      <c r="L2354" s="11">
        <v>832.4</v>
      </c>
      <c r="M2354" s="10">
        <f t="shared" si="140"/>
        <v>43.479096588178763</v>
      </c>
    </row>
    <row r="2355" spans="1:13" ht="15" hidden="1" customHeight="1" x14ac:dyDescent="0.3">
      <c r="A2355" s="9">
        <v>2357</v>
      </c>
      <c r="B2355" t="s">
        <v>283</v>
      </c>
      <c r="C2355" s="25">
        <v>44626</v>
      </c>
      <c r="D2355" s="26">
        <v>0.2182523148148148</v>
      </c>
      <c r="E2355" t="s">
        <v>26</v>
      </c>
      <c r="F2355" t="s">
        <v>165</v>
      </c>
      <c r="G2355" t="s">
        <v>185</v>
      </c>
      <c r="H2355" t="s">
        <v>123</v>
      </c>
      <c r="I2355">
        <v>250.9</v>
      </c>
      <c r="J2355" s="51">
        <v>0</v>
      </c>
      <c r="K2355" s="89">
        <f t="shared" si="139"/>
        <v>548.41</v>
      </c>
      <c r="L2355" s="51">
        <v>548.41</v>
      </c>
      <c r="M2355" s="10">
        <f t="shared" si="140"/>
        <v>45.750442187414528</v>
      </c>
    </row>
    <row r="2356" spans="1:13" ht="15" hidden="1" customHeight="1" x14ac:dyDescent="0.3">
      <c r="A2356" s="9">
        <v>2358</v>
      </c>
      <c r="B2356" t="s">
        <v>283</v>
      </c>
      <c r="C2356" s="25">
        <v>44627</v>
      </c>
      <c r="D2356" s="26">
        <v>0.79918981481481488</v>
      </c>
      <c r="E2356" t="s">
        <v>26</v>
      </c>
      <c r="F2356" t="s">
        <v>202</v>
      </c>
      <c r="G2356" t="s">
        <v>203</v>
      </c>
      <c r="H2356" t="s">
        <v>123</v>
      </c>
      <c r="I2356">
        <v>356.26</v>
      </c>
      <c r="J2356" s="40">
        <v>0</v>
      </c>
      <c r="K2356" s="89">
        <f t="shared" si="139"/>
        <v>1055.23</v>
      </c>
      <c r="L2356" s="11">
        <v>1055.23</v>
      </c>
      <c r="M2356" s="10">
        <f t="shared" si="140"/>
        <v>33.76136008263601</v>
      </c>
    </row>
    <row r="2357" spans="1:13" ht="15" hidden="1" customHeight="1" x14ac:dyDescent="0.3">
      <c r="A2357" s="9">
        <v>2359</v>
      </c>
      <c r="B2357" t="s">
        <v>283</v>
      </c>
      <c r="C2357" s="25">
        <v>44629</v>
      </c>
      <c r="D2357" s="26">
        <v>6.2500000000000001E-4</v>
      </c>
      <c r="E2357" t="s">
        <v>26</v>
      </c>
      <c r="F2357" t="s">
        <v>210</v>
      </c>
      <c r="G2357" t="s">
        <v>211</v>
      </c>
      <c r="H2357" t="s">
        <v>123</v>
      </c>
      <c r="I2357">
        <v>424.37</v>
      </c>
      <c r="J2357" s="40">
        <v>0</v>
      </c>
      <c r="K2357" s="89">
        <f t="shared" si="139"/>
        <v>1092.1300000000001</v>
      </c>
      <c r="L2357" s="11">
        <v>1092.1300000000001</v>
      </c>
      <c r="M2357" s="10">
        <f t="shared" si="140"/>
        <v>38.857095766987442</v>
      </c>
    </row>
    <row r="2358" spans="1:13" ht="15" hidden="1" customHeight="1" x14ac:dyDescent="0.3">
      <c r="A2358" s="9">
        <v>2360</v>
      </c>
      <c r="B2358" t="s">
        <v>283</v>
      </c>
      <c r="C2358" s="25">
        <v>44634</v>
      </c>
      <c r="D2358" s="26">
        <v>0.74700231481481483</v>
      </c>
      <c r="E2358" t="s">
        <v>26</v>
      </c>
      <c r="F2358" t="s">
        <v>175</v>
      </c>
      <c r="G2358" t="s">
        <v>172</v>
      </c>
      <c r="H2358" t="s">
        <v>123</v>
      </c>
      <c r="I2358">
        <v>406.25</v>
      </c>
      <c r="J2358" s="34">
        <v>0</v>
      </c>
      <c r="K2358" s="89">
        <f t="shared" si="139"/>
        <v>1053.8699999999999</v>
      </c>
      <c r="L2358" s="7">
        <v>1053.8699999999999</v>
      </c>
      <c r="M2358" s="10">
        <f t="shared" si="140"/>
        <v>38.548397809976564</v>
      </c>
    </row>
    <row r="2359" spans="1:13" ht="15" hidden="1" customHeight="1" x14ac:dyDescent="0.3">
      <c r="A2359" s="9">
        <v>2361</v>
      </c>
      <c r="B2359" t="s">
        <v>283</v>
      </c>
      <c r="C2359" s="25">
        <v>44635</v>
      </c>
      <c r="D2359" s="26">
        <v>0.93252314814814818</v>
      </c>
      <c r="E2359" t="s">
        <v>26</v>
      </c>
      <c r="F2359" t="s">
        <v>210</v>
      </c>
      <c r="G2359" t="s">
        <v>211</v>
      </c>
      <c r="H2359" t="s">
        <v>123</v>
      </c>
      <c r="I2359">
        <v>356.56</v>
      </c>
      <c r="J2359" s="34">
        <v>0</v>
      </c>
      <c r="K2359" s="89">
        <f t="shared" si="139"/>
        <v>832.22</v>
      </c>
      <c r="L2359" s="7">
        <v>832.22</v>
      </c>
      <c r="M2359" s="10">
        <f t="shared" si="140"/>
        <v>42.844440172069888</v>
      </c>
    </row>
    <row r="2360" spans="1:13" ht="15" hidden="1" customHeight="1" x14ac:dyDescent="0.3">
      <c r="A2360" s="9">
        <v>2362</v>
      </c>
      <c r="B2360" t="s">
        <v>283</v>
      </c>
      <c r="C2360" s="25">
        <v>44637</v>
      </c>
      <c r="D2360" s="26">
        <v>0.53758101851851847</v>
      </c>
      <c r="E2360" t="s">
        <v>26</v>
      </c>
      <c r="F2360" t="s">
        <v>210</v>
      </c>
      <c r="G2360" t="s">
        <v>211</v>
      </c>
      <c r="H2360" t="s">
        <v>123</v>
      </c>
      <c r="I2360">
        <f>82.79+363.49</f>
        <v>446.28000000000003</v>
      </c>
      <c r="J2360" s="37">
        <v>0</v>
      </c>
      <c r="K2360" s="89">
        <f t="shared" si="139"/>
        <v>1211</v>
      </c>
      <c r="L2360" s="52">
        <v>1211</v>
      </c>
      <c r="M2360" s="10">
        <f t="shared" si="140"/>
        <v>36.852188274153598</v>
      </c>
    </row>
    <row r="2361" spans="1:13" ht="15" hidden="1" customHeight="1" x14ac:dyDescent="0.3">
      <c r="A2361" s="9">
        <v>2363</v>
      </c>
      <c r="B2361" t="s">
        <v>283</v>
      </c>
      <c r="C2361" s="25">
        <v>44638</v>
      </c>
      <c r="D2361" s="26">
        <v>0.79232638888888884</v>
      </c>
      <c r="E2361" t="s">
        <v>26</v>
      </c>
      <c r="F2361" t="s">
        <v>428</v>
      </c>
      <c r="G2361" t="s">
        <v>429</v>
      </c>
      <c r="H2361" t="s">
        <v>123</v>
      </c>
      <c r="I2361">
        <v>253</v>
      </c>
      <c r="J2361" s="32">
        <v>0</v>
      </c>
      <c r="K2361" s="89">
        <f t="shared" si="139"/>
        <v>895.59</v>
      </c>
      <c r="L2361" s="51">
        <v>895.59</v>
      </c>
      <c r="M2361" s="10">
        <f t="shared" si="140"/>
        <v>28.249533826862738</v>
      </c>
    </row>
    <row r="2362" spans="1:13" ht="15" hidden="1" customHeight="1" x14ac:dyDescent="0.3">
      <c r="A2362" s="9">
        <v>2364</v>
      </c>
      <c r="B2362" t="s">
        <v>283</v>
      </c>
      <c r="C2362" s="25">
        <v>44639</v>
      </c>
      <c r="D2362" s="26">
        <v>0.72837962962962965</v>
      </c>
      <c r="E2362" t="s">
        <v>26</v>
      </c>
      <c r="F2362" t="s">
        <v>197</v>
      </c>
      <c r="G2362" t="s">
        <v>44</v>
      </c>
      <c r="H2362" t="s">
        <v>123</v>
      </c>
      <c r="I2362">
        <v>150.59</v>
      </c>
      <c r="J2362" s="32">
        <v>0</v>
      </c>
      <c r="K2362" s="89">
        <f t="shared" si="139"/>
        <v>435.39</v>
      </c>
      <c r="L2362" s="51">
        <v>435.39</v>
      </c>
      <c r="M2362" s="10">
        <f t="shared" si="140"/>
        <v>34.58738142814488</v>
      </c>
    </row>
    <row r="2363" spans="1:13" ht="15" hidden="1" customHeight="1" x14ac:dyDescent="0.3">
      <c r="A2363" s="9">
        <v>2365</v>
      </c>
      <c r="B2363" t="s">
        <v>283</v>
      </c>
      <c r="C2363" s="25">
        <v>44640</v>
      </c>
      <c r="D2363" s="26">
        <v>0.14372685185185186</v>
      </c>
      <c r="E2363" t="s">
        <v>26</v>
      </c>
      <c r="F2363" t="s">
        <v>210</v>
      </c>
      <c r="G2363" t="s">
        <v>211</v>
      </c>
      <c r="H2363" t="s">
        <v>123</v>
      </c>
      <c r="I2363">
        <v>356.33</v>
      </c>
      <c r="J2363" s="32">
        <v>0</v>
      </c>
      <c r="K2363" s="89">
        <f t="shared" si="139"/>
        <v>583.35</v>
      </c>
      <c r="L2363" s="51">
        <v>583.35</v>
      </c>
      <c r="M2363" s="10">
        <f t="shared" si="140"/>
        <v>61.083397617210935</v>
      </c>
    </row>
    <row r="2364" spans="1:13" ht="15" hidden="1" customHeight="1" x14ac:dyDescent="0.3">
      <c r="A2364" s="9">
        <v>2366</v>
      </c>
      <c r="B2364" t="s">
        <v>283</v>
      </c>
      <c r="C2364" s="25">
        <v>44641</v>
      </c>
      <c r="D2364" s="26">
        <v>0.55650462962962965</v>
      </c>
      <c r="E2364" t="s">
        <v>26</v>
      </c>
      <c r="F2364" t="s">
        <v>278</v>
      </c>
      <c r="G2364" t="s">
        <v>279</v>
      </c>
      <c r="H2364" t="s">
        <v>123</v>
      </c>
      <c r="I2364">
        <v>259.93</v>
      </c>
      <c r="J2364" s="32">
        <v>0</v>
      </c>
      <c r="K2364" s="89">
        <f t="shared" si="139"/>
        <v>598.95000000000005</v>
      </c>
      <c r="L2364" s="51">
        <v>598.95000000000005</v>
      </c>
      <c r="M2364" s="10">
        <f t="shared" si="140"/>
        <v>43.397612488521574</v>
      </c>
    </row>
    <row r="2365" spans="1:13" ht="15" hidden="1" customHeight="1" x14ac:dyDescent="0.3">
      <c r="A2365" s="9">
        <v>2367</v>
      </c>
      <c r="B2365" t="s">
        <v>283</v>
      </c>
      <c r="C2365" s="25">
        <v>44642</v>
      </c>
      <c r="D2365" s="26">
        <v>0.58710648148148148</v>
      </c>
      <c r="E2365" t="s">
        <v>26</v>
      </c>
      <c r="F2365" t="s">
        <v>202</v>
      </c>
      <c r="G2365" t="s">
        <v>203</v>
      </c>
      <c r="H2365" t="s">
        <v>123</v>
      </c>
      <c r="I2365">
        <v>150.01</v>
      </c>
      <c r="J2365" s="32">
        <v>0</v>
      </c>
      <c r="K2365" s="89">
        <f t="shared" ref="K2365:K2381" si="141">+L2365-J2365</f>
        <v>887.92</v>
      </c>
      <c r="L2365" s="51">
        <v>887.92</v>
      </c>
      <c r="M2365" s="10">
        <f t="shared" ref="M2365:M2383" si="142">I2365/K2365*100</f>
        <v>16.894540048653031</v>
      </c>
    </row>
    <row r="2366" spans="1:13" ht="15" hidden="1" customHeight="1" x14ac:dyDescent="0.3">
      <c r="A2366" s="9">
        <v>2368</v>
      </c>
      <c r="B2366" t="s">
        <v>283</v>
      </c>
      <c r="C2366" s="25">
        <v>44642</v>
      </c>
      <c r="D2366" s="26">
        <v>0.85410879629629621</v>
      </c>
      <c r="E2366" t="s">
        <v>26</v>
      </c>
      <c r="F2366" t="s">
        <v>278</v>
      </c>
      <c r="G2366" t="s">
        <v>279</v>
      </c>
      <c r="H2366" t="s">
        <v>123</v>
      </c>
      <c r="I2366">
        <v>153.55000000000001</v>
      </c>
      <c r="J2366" s="32">
        <v>0</v>
      </c>
      <c r="K2366" s="89">
        <f t="shared" si="141"/>
        <v>377.67</v>
      </c>
      <c r="L2366" s="51">
        <v>377.67</v>
      </c>
      <c r="M2366" s="10">
        <f t="shared" si="142"/>
        <v>40.65718749172558</v>
      </c>
    </row>
    <row r="2367" spans="1:13" ht="15" hidden="1" customHeight="1" x14ac:dyDescent="0.3">
      <c r="A2367" s="9">
        <v>2369</v>
      </c>
      <c r="B2367" t="s">
        <v>283</v>
      </c>
      <c r="C2367" s="25">
        <v>44643</v>
      </c>
      <c r="D2367" s="26">
        <v>0.79175925925925927</v>
      </c>
      <c r="E2367" t="s">
        <v>26</v>
      </c>
      <c r="F2367" t="s">
        <v>210</v>
      </c>
      <c r="G2367" t="s">
        <v>211</v>
      </c>
      <c r="H2367" t="s">
        <v>123</v>
      </c>
      <c r="I2367">
        <v>395.06</v>
      </c>
      <c r="J2367" s="32">
        <v>0</v>
      </c>
      <c r="K2367" s="89">
        <f t="shared" si="141"/>
        <v>713.71</v>
      </c>
      <c r="L2367" s="51">
        <v>713.71</v>
      </c>
      <c r="M2367" s="10">
        <f t="shared" si="142"/>
        <v>55.35301452971094</v>
      </c>
    </row>
    <row r="2368" spans="1:13" ht="15" hidden="1" customHeight="1" x14ac:dyDescent="0.3">
      <c r="A2368" s="9">
        <v>2370</v>
      </c>
      <c r="B2368" t="s">
        <v>283</v>
      </c>
      <c r="C2368" s="25">
        <v>44645</v>
      </c>
      <c r="D2368" s="26">
        <v>0.39994212962962966</v>
      </c>
      <c r="E2368" t="s">
        <v>26</v>
      </c>
      <c r="F2368" t="s">
        <v>205</v>
      </c>
      <c r="G2368" t="s">
        <v>206</v>
      </c>
      <c r="H2368" t="s">
        <v>123</v>
      </c>
      <c r="I2368">
        <f>100+100</f>
        <v>200</v>
      </c>
      <c r="J2368" s="32">
        <v>0</v>
      </c>
      <c r="K2368" s="89">
        <f t="shared" si="141"/>
        <v>972.63</v>
      </c>
      <c r="L2368" s="7">
        <v>972.63</v>
      </c>
      <c r="M2368" s="10">
        <f t="shared" si="142"/>
        <v>20.562803943945795</v>
      </c>
    </row>
    <row r="2369" spans="1:13" ht="15" hidden="1" customHeight="1" x14ac:dyDescent="0.3">
      <c r="A2369" s="9">
        <v>2371</v>
      </c>
      <c r="B2369" t="s">
        <v>283</v>
      </c>
      <c r="C2369" s="25">
        <v>44645</v>
      </c>
      <c r="D2369" s="26">
        <v>0.66469907407407403</v>
      </c>
      <c r="E2369" t="s">
        <v>26</v>
      </c>
      <c r="F2369" t="s">
        <v>197</v>
      </c>
      <c r="G2369" t="s">
        <v>44</v>
      </c>
      <c r="H2369" t="s">
        <v>123</v>
      </c>
      <c r="I2369">
        <v>200.01</v>
      </c>
      <c r="J2369" s="32">
        <v>0</v>
      </c>
      <c r="K2369" s="89">
        <f t="shared" si="141"/>
        <v>149.66999999999999</v>
      </c>
      <c r="L2369" s="7">
        <v>149.66999999999999</v>
      </c>
      <c r="M2369" s="10">
        <f t="shared" si="142"/>
        <v>133.63399478853478</v>
      </c>
    </row>
    <row r="2370" spans="1:13" ht="15" hidden="1" customHeight="1" x14ac:dyDescent="0.3">
      <c r="A2370" s="9">
        <v>2372</v>
      </c>
      <c r="B2370" t="s">
        <v>283</v>
      </c>
      <c r="C2370" s="25">
        <v>44646</v>
      </c>
      <c r="D2370" s="26">
        <v>0.42770833333333336</v>
      </c>
      <c r="E2370" t="s">
        <v>26</v>
      </c>
      <c r="F2370" t="s">
        <v>210</v>
      </c>
      <c r="G2370" t="s">
        <v>211</v>
      </c>
      <c r="H2370" t="s">
        <v>123</v>
      </c>
      <c r="I2370">
        <v>391.22</v>
      </c>
      <c r="J2370" s="32">
        <v>0</v>
      </c>
      <c r="K2370" s="89">
        <f t="shared" si="141"/>
        <v>587.65</v>
      </c>
      <c r="L2370" s="7">
        <v>587.65</v>
      </c>
      <c r="M2370" s="10">
        <f t="shared" si="142"/>
        <v>66.573640772568709</v>
      </c>
    </row>
    <row r="2371" spans="1:13" ht="15" hidden="1" customHeight="1" x14ac:dyDescent="0.3">
      <c r="A2371" s="9">
        <v>2373</v>
      </c>
      <c r="B2371" t="s">
        <v>283</v>
      </c>
      <c r="C2371" s="25">
        <v>44647</v>
      </c>
      <c r="D2371" s="26">
        <v>0.59682870370370367</v>
      </c>
      <c r="E2371" t="s">
        <v>26</v>
      </c>
      <c r="F2371" t="s">
        <v>165</v>
      </c>
      <c r="G2371" t="s">
        <v>185</v>
      </c>
      <c r="H2371" t="s">
        <v>123</v>
      </c>
      <c r="I2371">
        <v>268.01</v>
      </c>
      <c r="J2371" s="32">
        <v>0</v>
      </c>
      <c r="K2371" s="89">
        <f t="shared" si="141"/>
        <v>551.58000000000004</v>
      </c>
      <c r="L2371" s="35">
        <v>551.58000000000004</v>
      </c>
      <c r="M2371" s="10">
        <f t="shared" si="142"/>
        <v>48.589506508575361</v>
      </c>
    </row>
    <row r="2372" spans="1:13" ht="15" hidden="1" customHeight="1" x14ac:dyDescent="0.3">
      <c r="A2372" s="9">
        <v>2374</v>
      </c>
      <c r="B2372" t="s">
        <v>283</v>
      </c>
      <c r="C2372" s="25">
        <v>44648</v>
      </c>
      <c r="D2372" s="26">
        <v>0.83151620370370372</v>
      </c>
      <c r="E2372" t="s">
        <v>26</v>
      </c>
      <c r="F2372" t="s">
        <v>202</v>
      </c>
      <c r="G2372" t="s">
        <v>203</v>
      </c>
      <c r="H2372" t="s">
        <v>123</v>
      </c>
      <c r="I2372">
        <v>300</v>
      </c>
      <c r="J2372" s="32">
        <v>0</v>
      </c>
      <c r="K2372" s="89">
        <f t="shared" si="141"/>
        <v>1050.3900000000001</v>
      </c>
      <c r="L2372" s="32">
        <v>1050.3900000000001</v>
      </c>
      <c r="M2372" s="10">
        <f t="shared" si="142"/>
        <v>28.560820266758057</v>
      </c>
    </row>
    <row r="2373" spans="1:13" ht="15" hidden="1" customHeight="1" x14ac:dyDescent="0.3">
      <c r="A2373" s="9">
        <v>2375</v>
      </c>
      <c r="B2373" t="s">
        <v>283</v>
      </c>
      <c r="C2373" s="25">
        <v>44649</v>
      </c>
      <c r="D2373" s="26">
        <v>0.71439814814814817</v>
      </c>
      <c r="E2373" t="s">
        <v>26</v>
      </c>
      <c r="F2373" t="s">
        <v>165</v>
      </c>
      <c r="G2373" t="s">
        <v>185</v>
      </c>
      <c r="H2373" t="s">
        <v>123</v>
      </c>
      <c r="I2373">
        <v>100</v>
      </c>
      <c r="J2373" s="32">
        <v>0</v>
      </c>
      <c r="K2373" s="89">
        <f t="shared" si="141"/>
        <v>575.74</v>
      </c>
      <c r="L2373" s="7">
        <v>575.74</v>
      </c>
      <c r="M2373" s="10">
        <f t="shared" si="142"/>
        <v>17.368951262722756</v>
      </c>
    </row>
    <row r="2374" spans="1:13" ht="15" hidden="1" customHeight="1" x14ac:dyDescent="0.3">
      <c r="A2374" s="9">
        <v>2376</v>
      </c>
      <c r="B2374" t="s">
        <v>283</v>
      </c>
      <c r="C2374" s="25">
        <v>44650</v>
      </c>
      <c r="D2374" s="26">
        <v>2.4247685185185181E-2</v>
      </c>
      <c r="E2374" t="s">
        <v>26</v>
      </c>
      <c r="F2374" t="s">
        <v>210</v>
      </c>
      <c r="G2374" t="s">
        <v>211</v>
      </c>
      <c r="H2374" t="s">
        <v>123</v>
      </c>
      <c r="I2374">
        <v>386.59</v>
      </c>
      <c r="J2374" s="32">
        <v>0</v>
      </c>
      <c r="K2374" s="89">
        <f t="shared" si="141"/>
        <v>207.83</v>
      </c>
      <c r="L2374" s="33">
        <v>207.83</v>
      </c>
      <c r="M2374" s="10">
        <f t="shared" si="142"/>
        <v>186.01260645720058</v>
      </c>
    </row>
    <row r="2375" spans="1:13" ht="15" hidden="1" customHeight="1" x14ac:dyDescent="0.3">
      <c r="A2375" s="9">
        <v>3609</v>
      </c>
      <c r="B2375" t="s">
        <v>283</v>
      </c>
      <c r="C2375" s="25">
        <v>44653</v>
      </c>
      <c r="D2375" s="26">
        <v>7.9363425925925921E-2</v>
      </c>
      <c r="E2375" t="s">
        <v>27</v>
      </c>
      <c r="F2375" t="s">
        <v>197</v>
      </c>
      <c r="G2375" t="s">
        <v>44</v>
      </c>
      <c r="H2375" t="s">
        <v>123</v>
      </c>
      <c r="I2375" s="4">
        <f>170.01+200.01</f>
        <v>370.02</v>
      </c>
      <c r="J2375" s="33">
        <v>0</v>
      </c>
      <c r="K2375" s="89">
        <f t="shared" si="141"/>
        <v>1328.25</v>
      </c>
      <c r="L2375" s="7">
        <v>1328.25</v>
      </c>
      <c r="M2375" s="10">
        <f t="shared" si="142"/>
        <v>27.857707509881426</v>
      </c>
    </row>
    <row r="2376" spans="1:13" ht="15" hidden="1" customHeight="1" x14ac:dyDescent="0.3">
      <c r="A2376" s="9">
        <v>3610</v>
      </c>
      <c r="B2376" t="s">
        <v>283</v>
      </c>
      <c r="C2376" s="25">
        <v>44653</v>
      </c>
      <c r="D2376" s="26">
        <v>0.65366898148148145</v>
      </c>
      <c r="E2376" t="s">
        <v>27</v>
      </c>
      <c r="F2376" t="s">
        <v>166</v>
      </c>
      <c r="G2376" t="s">
        <v>161</v>
      </c>
      <c r="H2376" t="s">
        <v>123</v>
      </c>
      <c r="I2376" s="4">
        <v>322.89</v>
      </c>
      <c r="J2376" s="33">
        <v>0</v>
      </c>
      <c r="K2376" s="89">
        <f t="shared" si="141"/>
        <v>1840</v>
      </c>
      <c r="L2376" s="32">
        <v>1840</v>
      </c>
      <c r="M2376" s="10">
        <f t="shared" si="142"/>
        <v>17.548369565217389</v>
      </c>
    </row>
    <row r="2377" spans="1:13" ht="15" hidden="1" customHeight="1" x14ac:dyDescent="0.3">
      <c r="A2377" s="9">
        <v>3611</v>
      </c>
      <c r="B2377" t="s">
        <v>283</v>
      </c>
      <c r="C2377" s="25">
        <v>44654</v>
      </c>
      <c r="D2377" s="26">
        <v>0.75947916666666659</v>
      </c>
      <c r="E2377" t="s">
        <v>27</v>
      </c>
      <c r="F2377" t="s">
        <v>165</v>
      </c>
      <c r="G2377" t="s">
        <v>185</v>
      </c>
      <c r="H2377" t="s">
        <v>123</v>
      </c>
      <c r="I2377" s="4">
        <v>312.02</v>
      </c>
      <c r="J2377" s="33">
        <v>0</v>
      </c>
      <c r="K2377" s="89">
        <f t="shared" si="141"/>
        <v>1150.55</v>
      </c>
      <c r="L2377" s="7">
        <v>1150.55</v>
      </c>
      <c r="M2377" s="10">
        <f t="shared" si="142"/>
        <v>27.119203859023944</v>
      </c>
    </row>
    <row r="2378" spans="1:13" ht="15" hidden="1" customHeight="1" x14ac:dyDescent="0.3">
      <c r="A2378" s="9">
        <v>3612</v>
      </c>
      <c r="B2378" t="s">
        <v>283</v>
      </c>
      <c r="C2378" s="25">
        <v>44655</v>
      </c>
      <c r="D2378" s="26">
        <v>0.86562499999999998</v>
      </c>
      <c r="E2378" t="s">
        <v>27</v>
      </c>
      <c r="F2378" t="s">
        <v>210</v>
      </c>
      <c r="G2378" t="s">
        <v>211</v>
      </c>
      <c r="H2378" t="s">
        <v>123</v>
      </c>
      <c r="I2378" s="4">
        <v>236.05</v>
      </c>
      <c r="J2378" s="32">
        <v>0</v>
      </c>
      <c r="K2378" s="89">
        <f t="shared" si="141"/>
        <v>573.20000000000005</v>
      </c>
      <c r="L2378" s="37">
        <v>573.20000000000005</v>
      </c>
      <c r="M2378" s="10">
        <f t="shared" si="142"/>
        <v>41.181088625261687</v>
      </c>
    </row>
    <row r="2379" spans="1:13" ht="15" hidden="1" customHeight="1" x14ac:dyDescent="0.3">
      <c r="A2379" s="9">
        <v>3613</v>
      </c>
      <c r="B2379" t="s">
        <v>283</v>
      </c>
      <c r="C2379" s="25">
        <v>44657</v>
      </c>
      <c r="D2379" s="26">
        <v>0.46012731481481484</v>
      </c>
      <c r="E2379" t="s">
        <v>27</v>
      </c>
      <c r="F2379" t="s">
        <v>175</v>
      </c>
      <c r="G2379" t="s">
        <v>172</v>
      </c>
      <c r="H2379" t="s">
        <v>123</v>
      </c>
      <c r="I2379" s="4">
        <v>364.88</v>
      </c>
      <c r="J2379" s="32">
        <v>0</v>
      </c>
      <c r="K2379" s="89">
        <f t="shared" si="141"/>
        <v>946.51</v>
      </c>
      <c r="L2379" s="31">
        <v>946.51</v>
      </c>
      <c r="M2379" s="10">
        <f t="shared" si="142"/>
        <v>38.550041732258506</v>
      </c>
    </row>
    <row r="2380" spans="1:13" ht="15" hidden="1" customHeight="1" x14ac:dyDescent="0.3">
      <c r="B2380" t="s">
        <v>410</v>
      </c>
      <c r="C2380" s="25">
        <v>44592</v>
      </c>
      <c r="D2380" s="26">
        <v>0.55414351851851851</v>
      </c>
      <c r="E2380" t="s">
        <v>24</v>
      </c>
      <c r="F2380" t="s">
        <v>387</v>
      </c>
      <c r="G2380" t="s">
        <v>388</v>
      </c>
      <c r="H2380" t="s">
        <v>411</v>
      </c>
      <c r="I2380">
        <v>24.01</v>
      </c>
      <c r="J2380" s="7">
        <v>0</v>
      </c>
      <c r="K2380" s="11">
        <f t="shared" si="141"/>
        <v>149000</v>
      </c>
      <c r="L2380" s="7">
        <v>149000</v>
      </c>
      <c r="M2380" s="10">
        <f t="shared" si="142"/>
        <v>1.6114093959731544E-2</v>
      </c>
    </row>
    <row r="2381" spans="1:13" ht="15" hidden="1" customHeight="1" x14ac:dyDescent="0.3">
      <c r="B2381" t="s">
        <v>410</v>
      </c>
      <c r="C2381" s="25">
        <v>44592</v>
      </c>
      <c r="D2381" s="26">
        <v>0.65394675925925927</v>
      </c>
      <c r="E2381" t="s">
        <v>24</v>
      </c>
      <c r="F2381" t="s">
        <v>296</v>
      </c>
      <c r="G2381" t="s">
        <v>297</v>
      </c>
      <c r="H2381" t="s">
        <v>411</v>
      </c>
      <c r="I2381">
        <v>22.01</v>
      </c>
      <c r="J2381" s="7">
        <v>0</v>
      </c>
      <c r="K2381" s="11">
        <f t="shared" si="141"/>
        <v>258000</v>
      </c>
      <c r="L2381" s="34">
        <v>258000</v>
      </c>
      <c r="M2381" s="10">
        <f t="shared" si="142"/>
        <v>8.531007751937986E-3</v>
      </c>
    </row>
    <row r="2382" spans="1:13" ht="15" hidden="1" customHeight="1" x14ac:dyDescent="0.3">
      <c r="A2382" s="9">
        <v>6617</v>
      </c>
      <c r="B2382" t="s">
        <v>410</v>
      </c>
      <c r="C2382" s="25">
        <v>44739</v>
      </c>
      <c r="D2382" s="26">
        <v>0.46251157407407412</v>
      </c>
      <c r="E2382" t="s">
        <v>29</v>
      </c>
      <c r="F2382" t="s">
        <v>753</v>
      </c>
      <c r="G2382" t="s">
        <v>388</v>
      </c>
      <c r="H2382" t="s">
        <v>763</v>
      </c>
      <c r="I2382">
        <v>51.27</v>
      </c>
      <c r="J2382" s="32">
        <v>0</v>
      </c>
      <c r="K2382" s="89"/>
      <c r="L2382" s="23"/>
      <c r="M2382" s="10" t="e">
        <f t="shared" si="142"/>
        <v>#DIV/0!</v>
      </c>
    </row>
    <row r="2383" spans="1:13" ht="15" hidden="1" customHeight="1" x14ac:dyDescent="0.3">
      <c r="A2383" s="9">
        <v>6618</v>
      </c>
      <c r="B2383" t="s">
        <v>410</v>
      </c>
      <c r="C2383" s="25">
        <v>44739</v>
      </c>
      <c r="D2383" s="26">
        <v>0.78927083333333325</v>
      </c>
      <c r="E2383" t="s">
        <v>29</v>
      </c>
      <c r="F2383" t="s">
        <v>764</v>
      </c>
      <c r="G2383" t="s">
        <v>426</v>
      </c>
      <c r="H2383" t="s">
        <v>763</v>
      </c>
      <c r="I2383">
        <v>32.06</v>
      </c>
      <c r="J2383" s="32">
        <v>0</v>
      </c>
      <c r="K2383" s="89"/>
      <c r="L2383" s="23"/>
      <c r="M2383" s="10" t="e">
        <f t="shared" si="142"/>
        <v>#DIV/0!</v>
      </c>
    </row>
    <row r="2384" spans="1:13" ht="15" hidden="1" customHeight="1" x14ac:dyDescent="0.3">
      <c r="B2384" t="s">
        <v>177</v>
      </c>
      <c r="C2384" s="25">
        <v>44565</v>
      </c>
      <c r="D2384" s="26">
        <v>0.60707175925925927</v>
      </c>
      <c r="E2384" t="s">
        <v>24</v>
      </c>
      <c r="F2384" t="s">
        <v>205</v>
      </c>
      <c r="G2384" t="s">
        <v>206</v>
      </c>
      <c r="H2384" t="s">
        <v>178</v>
      </c>
      <c r="I2384">
        <v>73.09</v>
      </c>
      <c r="J2384" s="31">
        <v>0</v>
      </c>
      <c r="K2384" s="11"/>
      <c r="L2384" s="7">
        <v>137.28</v>
      </c>
      <c r="M2384" s="10">
        <f t="shared" ref="M2384:M2395" si="143">I2384/L2384*100</f>
        <v>53.241550116550115</v>
      </c>
    </row>
    <row r="2385" spans="2:13" ht="15" hidden="1" customHeight="1" x14ac:dyDescent="0.3">
      <c r="B2385" t="s">
        <v>177</v>
      </c>
      <c r="C2385" s="25">
        <v>44566</v>
      </c>
      <c r="D2385" s="26">
        <v>0.40168981481481486</v>
      </c>
      <c r="E2385" t="s">
        <v>24</v>
      </c>
      <c r="F2385" t="s">
        <v>210</v>
      </c>
      <c r="G2385" t="s">
        <v>211</v>
      </c>
      <c r="H2385" t="s">
        <v>178</v>
      </c>
      <c r="I2385">
        <v>300.01</v>
      </c>
      <c r="J2385" s="7">
        <v>0</v>
      </c>
      <c r="K2385" s="11"/>
      <c r="L2385" s="7">
        <v>687.98</v>
      </c>
      <c r="M2385" s="10">
        <f t="shared" si="143"/>
        <v>43.607372307334515</v>
      </c>
    </row>
    <row r="2386" spans="2:13" ht="15" hidden="1" customHeight="1" x14ac:dyDescent="0.3">
      <c r="B2386" t="s">
        <v>177</v>
      </c>
      <c r="C2386" s="25">
        <v>44567</v>
      </c>
      <c r="D2386" s="26">
        <v>0.60240740740740739</v>
      </c>
      <c r="E2386" t="s">
        <v>24</v>
      </c>
      <c r="F2386" t="s">
        <v>210</v>
      </c>
      <c r="G2386" t="s">
        <v>211</v>
      </c>
      <c r="H2386" t="s">
        <v>178</v>
      </c>
      <c r="I2386">
        <v>427.27</v>
      </c>
      <c r="J2386" s="7">
        <v>0</v>
      </c>
      <c r="K2386" s="11"/>
      <c r="L2386" s="31">
        <v>1055.8</v>
      </c>
      <c r="M2386" s="10">
        <f t="shared" si="143"/>
        <v>40.468838795226368</v>
      </c>
    </row>
    <row r="2387" spans="2:13" ht="15" hidden="1" customHeight="1" x14ac:dyDescent="0.3">
      <c r="B2387" t="s">
        <v>177</v>
      </c>
      <c r="C2387" s="25">
        <v>44568</v>
      </c>
      <c r="D2387" s="26">
        <v>0.97049768518518509</v>
      </c>
      <c r="E2387" t="s">
        <v>24</v>
      </c>
      <c r="F2387" t="s">
        <v>205</v>
      </c>
      <c r="G2387" t="s">
        <v>206</v>
      </c>
      <c r="H2387" t="s">
        <v>178</v>
      </c>
      <c r="I2387">
        <v>379.37</v>
      </c>
      <c r="J2387" s="7">
        <v>0</v>
      </c>
      <c r="K2387" s="11"/>
      <c r="L2387" s="7">
        <v>998.84</v>
      </c>
      <c r="M2387" s="10">
        <f t="shared" si="143"/>
        <v>37.981058027311683</v>
      </c>
    </row>
    <row r="2388" spans="2:13" ht="15" hidden="1" customHeight="1" x14ac:dyDescent="0.3">
      <c r="B2388" t="s">
        <v>177</v>
      </c>
      <c r="C2388" s="25">
        <v>44569</v>
      </c>
      <c r="D2388" s="26">
        <v>0.98744212962962974</v>
      </c>
      <c r="E2388" t="s">
        <v>24</v>
      </c>
      <c r="F2388" t="s">
        <v>210</v>
      </c>
      <c r="G2388" t="s">
        <v>211</v>
      </c>
      <c r="H2388" t="s">
        <v>178</v>
      </c>
      <c r="I2388">
        <v>280.08</v>
      </c>
      <c r="J2388" s="7">
        <v>0</v>
      </c>
      <c r="K2388" s="11"/>
      <c r="L2388" s="34">
        <v>688.36</v>
      </c>
      <c r="M2388" s="10">
        <f t="shared" si="143"/>
        <v>40.688012086698819</v>
      </c>
    </row>
    <row r="2389" spans="2:13" ht="15" hidden="1" customHeight="1" x14ac:dyDescent="0.3">
      <c r="B2389" t="s">
        <v>177</v>
      </c>
      <c r="C2389" s="25">
        <v>44570</v>
      </c>
      <c r="D2389" s="26">
        <v>0.99109953703703713</v>
      </c>
      <c r="E2389" t="s">
        <v>24</v>
      </c>
      <c r="F2389" t="s">
        <v>210</v>
      </c>
      <c r="G2389" t="s">
        <v>211</v>
      </c>
      <c r="H2389" t="s">
        <v>178</v>
      </c>
      <c r="I2389">
        <v>400.02</v>
      </c>
      <c r="J2389" s="31">
        <v>0</v>
      </c>
      <c r="K2389" s="11"/>
      <c r="L2389" s="7">
        <v>1057.25</v>
      </c>
      <c r="M2389" s="10">
        <f t="shared" si="143"/>
        <v>37.835895010640812</v>
      </c>
    </row>
    <row r="2390" spans="2:13" ht="15" hidden="1" customHeight="1" x14ac:dyDescent="0.3">
      <c r="B2390" t="s">
        <v>177</v>
      </c>
      <c r="C2390" s="25">
        <v>44572</v>
      </c>
      <c r="D2390" s="26">
        <v>6.6018518518518518E-2</v>
      </c>
      <c r="E2390" t="s">
        <v>24</v>
      </c>
      <c r="F2390" t="s">
        <v>175</v>
      </c>
      <c r="G2390" t="s">
        <v>172</v>
      </c>
      <c r="H2390" t="s">
        <v>178</v>
      </c>
      <c r="I2390">
        <v>416.77</v>
      </c>
      <c r="J2390" s="7">
        <v>0</v>
      </c>
      <c r="K2390" s="11"/>
      <c r="L2390" s="7">
        <v>1056.8699999999999</v>
      </c>
      <c r="M2390" s="10">
        <f t="shared" si="143"/>
        <v>39.434367519184008</v>
      </c>
    </row>
    <row r="2391" spans="2:13" ht="15" hidden="1" customHeight="1" x14ac:dyDescent="0.3">
      <c r="B2391" t="s">
        <v>177</v>
      </c>
      <c r="C2391" s="25">
        <v>44572</v>
      </c>
      <c r="D2391" s="26">
        <v>0.96317129629629628</v>
      </c>
      <c r="E2391" t="s">
        <v>24</v>
      </c>
      <c r="F2391" t="s">
        <v>210</v>
      </c>
      <c r="G2391" t="s">
        <v>211</v>
      </c>
      <c r="H2391" t="s">
        <v>178</v>
      </c>
      <c r="I2391">
        <v>306.39999999999998</v>
      </c>
      <c r="J2391" s="7">
        <v>0</v>
      </c>
      <c r="K2391" s="11"/>
      <c r="L2391" s="7">
        <v>687.84</v>
      </c>
      <c r="M2391" s="10">
        <f t="shared" si="143"/>
        <v>44.54524307978599</v>
      </c>
    </row>
    <row r="2392" spans="2:13" ht="15" hidden="1" customHeight="1" x14ac:dyDescent="0.3">
      <c r="B2392" t="s">
        <v>177</v>
      </c>
      <c r="C2392" s="25">
        <v>44574</v>
      </c>
      <c r="D2392" s="26">
        <v>2.6875E-2</v>
      </c>
      <c r="E2392" t="s">
        <v>24</v>
      </c>
      <c r="F2392" t="s">
        <v>166</v>
      </c>
      <c r="G2392" t="s">
        <v>161</v>
      </c>
      <c r="H2392" t="s">
        <v>178</v>
      </c>
      <c r="I2392">
        <v>426.75</v>
      </c>
      <c r="J2392" s="34">
        <v>0</v>
      </c>
      <c r="K2392" s="11"/>
      <c r="L2392" s="34">
        <v>1131.32</v>
      </c>
      <c r="M2392" s="10">
        <f t="shared" si="143"/>
        <v>37.721422762790368</v>
      </c>
    </row>
    <row r="2393" spans="2:13" ht="15" hidden="1" customHeight="1" x14ac:dyDescent="0.3">
      <c r="B2393" t="s">
        <v>177</v>
      </c>
      <c r="C2393" s="25">
        <v>44575</v>
      </c>
      <c r="D2393" s="26">
        <v>0.40481481481481479</v>
      </c>
      <c r="E2393" t="s">
        <v>24</v>
      </c>
      <c r="F2393" t="s">
        <v>175</v>
      </c>
      <c r="G2393" t="s">
        <v>172</v>
      </c>
      <c r="H2393" t="s">
        <v>178</v>
      </c>
      <c r="I2393">
        <v>333</v>
      </c>
      <c r="J2393" s="7">
        <v>0</v>
      </c>
      <c r="K2393" s="31"/>
      <c r="L2393" s="31">
        <v>845.62</v>
      </c>
      <c r="M2393" s="10">
        <f t="shared" si="143"/>
        <v>39.379390269861162</v>
      </c>
    </row>
    <row r="2394" spans="2:13" ht="15" hidden="1" customHeight="1" x14ac:dyDescent="0.3">
      <c r="B2394" t="s">
        <v>177</v>
      </c>
      <c r="C2394" s="25">
        <v>44576</v>
      </c>
      <c r="D2394" s="26">
        <v>0.67865740740740732</v>
      </c>
      <c r="E2394" t="s">
        <v>24</v>
      </c>
      <c r="F2394" t="s">
        <v>210</v>
      </c>
      <c r="G2394" t="s">
        <v>211</v>
      </c>
      <c r="H2394" t="s">
        <v>178</v>
      </c>
      <c r="I2394">
        <v>350.01</v>
      </c>
      <c r="J2394" s="34">
        <v>0</v>
      </c>
      <c r="K2394" s="34"/>
      <c r="L2394" s="7">
        <v>819.71</v>
      </c>
      <c r="M2394" s="10">
        <f t="shared" si="143"/>
        <v>42.699247294774977</v>
      </c>
    </row>
    <row r="2395" spans="2:13" ht="15" hidden="1" customHeight="1" x14ac:dyDescent="0.3">
      <c r="B2395" t="s">
        <v>177</v>
      </c>
      <c r="C2395" s="25">
        <v>44577</v>
      </c>
      <c r="D2395" s="26">
        <v>0.88107638888888884</v>
      </c>
      <c r="E2395" t="s">
        <v>24</v>
      </c>
      <c r="F2395" t="s">
        <v>210</v>
      </c>
      <c r="G2395" t="s">
        <v>211</v>
      </c>
      <c r="H2395" t="s">
        <v>178</v>
      </c>
      <c r="I2395">
        <v>430.01</v>
      </c>
      <c r="J2395" s="31">
        <v>0</v>
      </c>
      <c r="K2395" s="35"/>
      <c r="L2395" s="35">
        <v>1054.98</v>
      </c>
      <c r="M2395" s="131">
        <f t="shared" si="143"/>
        <v>40.760014407856069</v>
      </c>
    </row>
    <row r="2396" spans="2:13" ht="15" hidden="1" customHeight="1" x14ac:dyDescent="0.3">
      <c r="B2396" t="s">
        <v>356</v>
      </c>
      <c r="C2396" s="25">
        <v>44767</v>
      </c>
      <c r="D2396" s="26">
        <v>0.9382638888888889</v>
      </c>
      <c r="E2396" t="s">
        <v>30</v>
      </c>
      <c r="F2396" t="s">
        <v>210</v>
      </c>
      <c r="G2396" t="s">
        <v>211</v>
      </c>
      <c r="H2396" t="s">
        <v>178</v>
      </c>
      <c r="I2396" s="160">
        <v>246.7</v>
      </c>
      <c r="J2396" s="160">
        <f>245+281+161</f>
        <v>687</v>
      </c>
      <c r="K2396" s="160">
        <v>759424</v>
      </c>
      <c r="L2396" s="160">
        <v>1851</v>
      </c>
      <c r="M2396" s="198">
        <f>+J2396/L2396*100</f>
        <v>37.115072933549428</v>
      </c>
    </row>
    <row r="2397" spans="2:13" ht="15" hidden="1" customHeight="1" x14ac:dyDescent="0.3">
      <c r="B2397" t="s">
        <v>356</v>
      </c>
      <c r="C2397" s="25">
        <v>44768</v>
      </c>
      <c r="D2397" s="26">
        <v>0.81967592592592586</v>
      </c>
      <c r="E2397" t="s">
        <v>30</v>
      </c>
      <c r="F2397" t="s">
        <v>169</v>
      </c>
      <c r="G2397" t="s">
        <v>196</v>
      </c>
      <c r="H2397" t="s">
        <v>178</v>
      </c>
      <c r="I2397" s="160">
        <v>190.23</v>
      </c>
      <c r="J2397" s="8"/>
      <c r="K2397" s="8"/>
      <c r="L2397" s="24"/>
      <c r="M2397" s="254"/>
    </row>
    <row r="2398" spans="2:13" ht="15" hidden="1" customHeight="1" x14ac:dyDescent="0.3">
      <c r="B2398" t="s">
        <v>356</v>
      </c>
      <c r="C2398" s="25">
        <v>44769</v>
      </c>
      <c r="D2398" s="26">
        <v>0.5248032407407407</v>
      </c>
      <c r="E2398" t="s">
        <v>30</v>
      </c>
      <c r="F2398" t="s">
        <v>769</v>
      </c>
      <c r="G2398" t="s">
        <v>521</v>
      </c>
      <c r="H2398" t="s">
        <v>178</v>
      </c>
      <c r="I2398" s="160">
        <v>100</v>
      </c>
      <c r="J2398" s="8"/>
      <c r="K2398" s="8"/>
      <c r="L2398" s="24"/>
      <c r="M2398" s="254"/>
    </row>
    <row r="2399" spans="2:13" ht="15" hidden="1" customHeight="1" x14ac:dyDescent="0.3">
      <c r="B2399" t="s">
        <v>356</v>
      </c>
      <c r="C2399" s="25">
        <v>44769</v>
      </c>
      <c r="D2399" s="26">
        <v>0.5323148148148148</v>
      </c>
      <c r="E2399" t="s">
        <v>30</v>
      </c>
      <c r="F2399" t="s">
        <v>769</v>
      </c>
      <c r="G2399" t="s">
        <v>521</v>
      </c>
      <c r="H2399" t="s">
        <v>178</v>
      </c>
      <c r="I2399" s="160">
        <v>107.85</v>
      </c>
      <c r="J2399" s="8"/>
      <c r="K2399" s="8"/>
      <c r="L2399" s="8"/>
      <c r="M2399" s="254"/>
    </row>
    <row r="2400" spans="2:13" ht="15" hidden="1" customHeight="1" x14ac:dyDescent="0.3">
      <c r="B2400" t="s">
        <v>356</v>
      </c>
      <c r="C2400" s="25">
        <v>44770</v>
      </c>
      <c r="D2400" s="26">
        <v>0.76444444444444448</v>
      </c>
      <c r="E2400" t="s">
        <v>30</v>
      </c>
      <c r="F2400" t="s">
        <v>210</v>
      </c>
      <c r="G2400" t="s">
        <v>211</v>
      </c>
      <c r="H2400" t="s">
        <v>178</v>
      </c>
      <c r="I2400" s="160">
        <v>402.18</v>
      </c>
      <c r="J2400" s="160">
        <f>190+100+108+402</f>
        <v>800</v>
      </c>
      <c r="K2400" s="160">
        <v>761277</v>
      </c>
      <c r="L2400" s="160">
        <v>1760</v>
      </c>
      <c r="M2400" s="150">
        <f>+J2400/L2400*100</f>
        <v>45.454545454545453</v>
      </c>
    </row>
    <row r="2401" spans="1:13" ht="15" hidden="1" customHeight="1" x14ac:dyDescent="0.3">
      <c r="A2401" s="9">
        <v>637</v>
      </c>
      <c r="B2401" t="s">
        <v>432</v>
      </c>
      <c r="C2401" s="25">
        <v>44601</v>
      </c>
      <c r="D2401" s="26">
        <v>0.53222222222222226</v>
      </c>
      <c r="E2401" t="s">
        <v>25</v>
      </c>
      <c r="F2401" t="s">
        <v>210</v>
      </c>
      <c r="G2401" t="s">
        <v>211</v>
      </c>
      <c r="H2401" t="s">
        <v>433</v>
      </c>
      <c r="I2401">
        <v>257.22000000000003</v>
      </c>
      <c r="J2401" s="37">
        <v>0</v>
      </c>
      <c r="K2401" s="37">
        <f t="shared" ref="K2401:K2445" si="144">+L2401-J2401</f>
        <v>0</v>
      </c>
      <c r="L2401" s="37"/>
      <c r="M2401" s="61" t="e">
        <f t="shared" ref="M2401:M2432" si="145">I2401/K2401*100</f>
        <v>#DIV/0!</v>
      </c>
    </row>
    <row r="2402" spans="1:13" ht="15" hidden="1" customHeight="1" x14ac:dyDescent="0.3">
      <c r="A2402" s="9">
        <v>638</v>
      </c>
      <c r="B2402" t="s">
        <v>432</v>
      </c>
      <c r="C2402" s="25">
        <v>44602</v>
      </c>
      <c r="D2402" s="26">
        <v>0.72113425925925922</v>
      </c>
      <c r="E2402" t="s">
        <v>25</v>
      </c>
      <c r="F2402" t="s">
        <v>210</v>
      </c>
      <c r="G2402" t="s">
        <v>211</v>
      </c>
      <c r="H2402" t="s">
        <v>433</v>
      </c>
      <c r="I2402">
        <v>391.68</v>
      </c>
      <c r="J2402" s="32">
        <v>0</v>
      </c>
      <c r="K2402" s="32">
        <f t="shared" si="144"/>
        <v>1037.49</v>
      </c>
      <c r="L2402" s="32">
        <v>1037.49</v>
      </c>
      <c r="M2402" s="10">
        <f t="shared" si="145"/>
        <v>37.752653037619638</v>
      </c>
    </row>
    <row r="2403" spans="1:13" ht="15" hidden="1" customHeight="1" x14ac:dyDescent="0.3">
      <c r="A2403" s="9">
        <v>639</v>
      </c>
      <c r="B2403" t="s">
        <v>432</v>
      </c>
      <c r="C2403" s="25">
        <v>44605</v>
      </c>
      <c r="D2403" s="26">
        <v>0.46234953703703702</v>
      </c>
      <c r="E2403" t="s">
        <v>25</v>
      </c>
      <c r="F2403" t="s">
        <v>210</v>
      </c>
      <c r="G2403" t="s">
        <v>211</v>
      </c>
      <c r="H2403" t="s">
        <v>433</v>
      </c>
      <c r="I2403">
        <v>280.5</v>
      </c>
      <c r="J2403" s="32">
        <v>0</v>
      </c>
      <c r="K2403" s="33">
        <f t="shared" si="144"/>
        <v>1626.91</v>
      </c>
      <c r="L2403" s="33">
        <v>1626.91</v>
      </c>
      <c r="M2403" s="10">
        <f t="shared" si="145"/>
        <v>17.241273334111902</v>
      </c>
    </row>
    <row r="2404" spans="1:13" ht="15" hidden="1" customHeight="1" x14ac:dyDescent="0.3">
      <c r="A2404" s="9">
        <v>640</v>
      </c>
      <c r="B2404" t="s">
        <v>432</v>
      </c>
      <c r="C2404" s="25">
        <v>44606</v>
      </c>
      <c r="D2404" s="26">
        <v>0.93321759259259263</v>
      </c>
      <c r="E2404" t="s">
        <v>25</v>
      </c>
      <c r="F2404" t="s">
        <v>210</v>
      </c>
      <c r="G2404" t="s">
        <v>211</v>
      </c>
      <c r="H2404" t="s">
        <v>433</v>
      </c>
      <c r="I2404">
        <v>424.92</v>
      </c>
      <c r="J2404" s="28">
        <v>0</v>
      </c>
      <c r="K2404" s="28">
        <f t="shared" si="144"/>
        <v>1095.6099999999999</v>
      </c>
      <c r="L2404" s="32">
        <v>1095.6099999999999</v>
      </c>
      <c r="M2404" s="10">
        <f t="shared" si="145"/>
        <v>38.78387382371465</v>
      </c>
    </row>
    <row r="2405" spans="1:13" ht="15" hidden="1" customHeight="1" x14ac:dyDescent="0.3">
      <c r="A2405" s="9">
        <v>641</v>
      </c>
      <c r="B2405" t="s">
        <v>432</v>
      </c>
      <c r="C2405" s="25">
        <v>44608</v>
      </c>
      <c r="D2405" s="26">
        <v>0.75641203703703708</v>
      </c>
      <c r="E2405" t="s">
        <v>25</v>
      </c>
      <c r="F2405" t="s">
        <v>175</v>
      </c>
      <c r="G2405" t="s">
        <v>172</v>
      </c>
      <c r="H2405" t="s">
        <v>433</v>
      </c>
      <c r="I2405">
        <v>308.08999999999997</v>
      </c>
      <c r="J2405" s="55">
        <v>0</v>
      </c>
      <c r="K2405" s="55">
        <f t="shared" si="144"/>
        <v>949.32</v>
      </c>
      <c r="L2405" s="32">
        <v>949.32</v>
      </c>
      <c r="M2405" s="10">
        <f t="shared" si="145"/>
        <v>32.45375637298276</v>
      </c>
    </row>
    <row r="2406" spans="1:13" ht="15" hidden="1" customHeight="1" x14ac:dyDescent="0.3">
      <c r="A2406" s="9">
        <v>642</v>
      </c>
      <c r="B2406" t="s">
        <v>432</v>
      </c>
      <c r="C2406" s="25">
        <v>44609</v>
      </c>
      <c r="D2406" s="26">
        <v>0.93959490740740748</v>
      </c>
      <c r="E2406" t="s">
        <v>25</v>
      </c>
      <c r="F2406" t="s">
        <v>210</v>
      </c>
      <c r="G2406" t="s">
        <v>211</v>
      </c>
      <c r="H2406" t="s">
        <v>433</v>
      </c>
      <c r="I2406">
        <v>313.27</v>
      </c>
      <c r="J2406" s="55">
        <v>0</v>
      </c>
      <c r="K2406" s="55">
        <f t="shared" si="144"/>
        <v>818.42</v>
      </c>
      <c r="L2406" s="33">
        <v>818.42</v>
      </c>
      <c r="M2406" s="10">
        <f t="shared" si="145"/>
        <v>38.277412575450256</v>
      </c>
    </row>
    <row r="2407" spans="1:13" ht="15" hidden="1" customHeight="1" x14ac:dyDescent="0.3">
      <c r="A2407" s="9">
        <v>643</v>
      </c>
      <c r="B2407" t="s">
        <v>432</v>
      </c>
      <c r="C2407" s="25">
        <v>44611</v>
      </c>
      <c r="D2407" s="26">
        <v>0.73523148148148154</v>
      </c>
      <c r="E2407" t="s">
        <v>25</v>
      </c>
      <c r="F2407" t="s">
        <v>210</v>
      </c>
      <c r="G2407" t="s">
        <v>211</v>
      </c>
      <c r="H2407" t="s">
        <v>433</v>
      </c>
      <c r="I2407">
        <v>427.12</v>
      </c>
      <c r="J2407" s="32">
        <v>0</v>
      </c>
      <c r="K2407" s="32">
        <f t="shared" si="144"/>
        <v>1137.1300000000001</v>
      </c>
      <c r="L2407" s="32">
        <v>1137.1300000000001</v>
      </c>
      <c r="M2407" s="10">
        <f t="shared" si="145"/>
        <v>37.561228707359753</v>
      </c>
    </row>
    <row r="2408" spans="1:13" ht="15" hidden="1" customHeight="1" x14ac:dyDescent="0.3">
      <c r="A2408" s="9">
        <v>644</v>
      </c>
      <c r="B2408" t="s">
        <v>432</v>
      </c>
      <c r="C2408" s="25">
        <v>44613</v>
      </c>
      <c r="D2408" s="26">
        <v>0.74929398148148152</v>
      </c>
      <c r="E2408" t="s">
        <v>25</v>
      </c>
      <c r="F2408" t="s">
        <v>428</v>
      </c>
      <c r="G2408" t="s">
        <v>429</v>
      </c>
      <c r="H2408" t="s">
        <v>433</v>
      </c>
      <c r="I2408">
        <v>280.08999999999997</v>
      </c>
      <c r="J2408" s="32">
        <v>0</v>
      </c>
      <c r="K2408" s="32">
        <f t="shared" si="144"/>
        <v>907.2</v>
      </c>
      <c r="L2408" s="32">
        <v>907.2</v>
      </c>
      <c r="M2408" s="10">
        <f t="shared" si="145"/>
        <v>30.874118165784832</v>
      </c>
    </row>
    <row r="2409" spans="1:13" ht="15" hidden="1" customHeight="1" x14ac:dyDescent="0.3">
      <c r="A2409" s="9">
        <v>645</v>
      </c>
      <c r="B2409" t="s">
        <v>432</v>
      </c>
      <c r="C2409" s="25">
        <v>44614</v>
      </c>
      <c r="D2409" s="26">
        <v>0.67618055555555545</v>
      </c>
      <c r="E2409" t="s">
        <v>25</v>
      </c>
      <c r="F2409" t="s">
        <v>210</v>
      </c>
      <c r="G2409" t="s">
        <v>211</v>
      </c>
      <c r="H2409" t="s">
        <v>433</v>
      </c>
      <c r="I2409">
        <v>324.83999999999997</v>
      </c>
      <c r="J2409" s="32">
        <v>0</v>
      </c>
      <c r="K2409" s="37">
        <f t="shared" si="144"/>
        <v>834.97</v>
      </c>
      <c r="L2409" s="37">
        <v>834.97</v>
      </c>
      <c r="M2409" s="10">
        <f t="shared" si="145"/>
        <v>38.904391774554767</v>
      </c>
    </row>
    <row r="2410" spans="1:13" ht="15" hidden="1" customHeight="1" x14ac:dyDescent="0.3">
      <c r="A2410" s="9">
        <v>646</v>
      </c>
      <c r="B2410" t="s">
        <v>432</v>
      </c>
      <c r="C2410" s="25">
        <v>44615</v>
      </c>
      <c r="D2410" s="26">
        <v>0.88085648148148143</v>
      </c>
      <c r="E2410" t="s">
        <v>25</v>
      </c>
      <c r="F2410" t="s">
        <v>210</v>
      </c>
      <c r="G2410" t="s">
        <v>211</v>
      </c>
      <c r="H2410" t="s">
        <v>433</v>
      </c>
      <c r="I2410">
        <f>124.04+261.57</f>
        <v>385.61</v>
      </c>
      <c r="J2410" s="32">
        <v>0</v>
      </c>
      <c r="K2410" s="32">
        <f t="shared" si="144"/>
        <v>1064.53</v>
      </c>
      <c r="L2410" s="32">
        <v>1064.53</v>
      </c>
      <c r="M2410" s="10">
        <f t="shared" si="145"/>
        <v>36.223497693817933</v>
      </c>
    </row>
    <row r="2411" spans="1:13" ht="15" hidden="1" customHeight="1" x14ac:dyDescent="0.3">
      <c r="A2411" s="9">
        <v>647</v>
      </c>
      <c r="B2411" t="s">
        <v>432</v>
      </c>
      <c r="C2411" s="25">
        <v>44617</v>
      </c>
      <c r="D2411" s="26">
        <v>0.37708333333333338</v>
      </c>
      <c r="E2411" t="s">
        <v>25</v>
      </c>
      <c r="F2411" t="s">
        <v>428</v>
      </c>
      <c r="G2411" t="s">
        <v>429</v>
      </c>
      <c r="H2411" t="s">
        <v>433</v>
      </c>
      <c r="I2411">
        <v>290.04000000000002</v>
      </c>
      <c r="J2411" s="33">
        <v>0</v>
      </c>
      <c r="K2411" s="38">
        <f t="shared" si="144"/>
        <v>902.43</v>
      </c>
      <c r="L2411" s="37">
        <v>902.43</v>
      </c>
      <c r="M2411" s="10">
        <f t="shared" si="145"/>
        <v>32.139888966457235</v>
      </c>
    </row>
    <row r="2412" spans="1:13" ht="15" hidden="1" customHeight="1" x14ac:dyDescent="0.3">
      <c r="A2412" s="9">
        <v>648</v>
      </c>
      <c r="B2412" t="s">
        <v>432</v>
      </c>
      <c r="C2412" s="25">
        <v>44618</v>
      </c>
      <c r="D2412" s="26">
        <v>0.11546296296296295</v>
      </c>
      <c r="E2412" t="s">
        <v>25</v>
      </c>
      <c r="F2412" t="s">
        <v>210</v>
      </c>
      <c r="G2412" t="s">
        <v>211</v>
      </c>
      <c r="H2412" t="s">
        <v>433</v>
      </c>
      <c r="I2412">
        <v>343.48</v>
      </c>
      <c r="J2412" s="55">
        <v>0</v>
      </c>
      <c r="K2412" s="55">
        <f t="shared" si="144"/>
        <v>927.93</v>
      </c>
      <c r="L2412" s="32">
        <v>927.93</v>
      </c>
      <c r="M2412" s="10">
        <f t="shared" si="145"/>
        <v>37.015723168773512</v>
      </c>
    </row>
    <row r="2413" spans="1:13" ht="15" hidden="1" customHeight="1" x14ac:dyDescent="0.3">
      <c r="A2413" s="9">
        <v>1708</v>
      </c>
      <c r="B2413" t="s">
        <v>432</v>
      </c>
      <c r="C2413" s="25">
        <v>44622</v>
      </c>
      <c r="D2413" s="26">
        <v>0.46086805555555554</v>
      </c>
      <c r="E2413" t="s">
        <v>26</v>
      </c>
      <c r="F2413" t="s">
        <v>210</v>
      </c>
      <c r="G2413" t="s">
        <v>211</v>
      </c>
      <c r="H2413" t="s">
        <v>433</v>
      </c>
      <c r="I2413">
        <v>523</v>
      </c>
      <c r="J2413" s="32">
        <v>0</v>
      </c>
      <c r="K2413" s="90">
        <f t="shared" si="144"/>
        <v>2693.75</v>
      </c>
      <c r="L2413" s="53">
        <v>2693.75</v>
      </c>
      <c r="M2413" s="10">
        <f t="shared" si="145"/>
        <v>19.415313225058004</v>
      </c>
    </row>
    <row r="2414" spans="1:13" ht="15" hidden="1" customHeight="1" x14ac:dyDescent="0.3">
      <c r="A2414" s="9">
        <v>1709</v>
      </c>
      <c r="B2414" t="s">
        <v>432</v>
      </c>
      <c r="C2414" s="25">
        <v>44624</v>
      </c>
      <c r="D2414" s="26">
        <v>0.82293981481481471</v>
      </c>
      <c r="E2414" t="s">
        <v>26</v>
      </c>
      <c r="F2414" t="s">
        <v>171</v>
      </c>
      <c r="G2414" t="s">
        <v>172</v>
      </c>
      <c r="H2414" t="s">
        <v>433</v>
      </c>
      <c r="I2414">
        <v>399.02</v>
      </c>
      <c r="J2414" s="37">
        <v>0</v>
      </c>
      <c r="K2414" s="97">
        <f t="shared" si="144"/>
        <v>1121.7</v>
      </c>
      <c r="L2414" s="37">
        <v>1121.7</v>
      </c>
      <c r="M2414" s="10">
        <f t="shared" si="145"/>
        <v>35.572791298921274</v>
      </c>
    </row>
    <row r="2415" spans="1:13" ht="15" hidden="1" customHeight="1" x14ac:dyDescent="0.3">
      <c r="A2415" s="9">
        <v>1710</v>
      </c>
      <c r="B2415" t="s">
        <v>432</v>
      </c>
      <c r="C2415" s="25">
        <v>44625</v>
      </c>
      <c r="D2415" s="26">
        <v>0.56942129629629623</v>
      </c>
      <c r="E2415" t="s">
        <v>26</v>
      </c>
      <c r="F2415" t="s">
        <v>210</v>
      </c>
      <c r="G2415" t="s">
        <v>211</v>
      </c>
      <c r="H2415" t="s">
        <v>433</v>
      </c>
      <c r="I2415">
        <v>266.33</v>
      </c>
      <c r="J2415" s="38">
        <v>0</v>
      </c>
      <c r="K2415" s="100">
        <f t="shared" si="144"/>
        <v>693.19</v>
      </c>
      <c r="L2415" s="37">
        <v>693.19</v>
      </c>
      <c r="M2415" s="10">
        <f t="shared" si="145"/>
        <v>38.420923556312111</v>
      </c>
    </row>
    <row r="2416" spans="1:13" ht="15" hidden="1" customHeight="1" x14ac:dyDescent="0.3">
      <c r="A2416" s="9">
        <v>1711</v>
      </c>
      <c r="B2416" t="s">
        <v>432</v>
      </c>
      <c r="C2416" s="25">
        <v>44626</v>
      </c>
      <c r="D2416" s="26">
        <v>0.90167824074074077</v>
      </c>
      <c r="E2416" t="s">
        <v>26</v>
      </c>
      <c r="F2416" t="s">
        <v>202</v>
      </c>
      <c r="G2416" t="s">
        <v>203</v>
      </c>
      <c r="H2416" t="s">
        <v>433</v>
      </c>
      <c r="I2416">
        <v>369.56</v>
      </c>
      <c r="J2416" s="32">
        <v>0</v>
      </c>
      <c r="K2416" s="99">
        <f t="shared" si="144"/>
        <v>1091.8499999999999</v>
      </c>
      <c r="L2416" s="33">
        <v>1091.8499999999999</v>
      </c>
      <c r="M2416" s="10">
        <f t="shared" si="145"/>
        <v>33.847140174932456</v>
      </c>
    </row>
    <row r="2417" spans="1:13" ht="15" hidden="1" customHeight="1" x14ac:dyDescent="0.3">
      <c r="A2417" s="9">
        <v>1712</v>
      </c>
      <c r="B2417" t="s">
        <v>432</v>
      </c>
      <c r="C2417" s="25">
        <v>44629</v>
      </c>
      <c r="D2417" s="26">
        <v>0.3696875</v>
      </c>
      <c r="E2417" t="s">
        <v>26</v>
      </c>
      <c r="F2417" t="s">
        <v>210</v>
      </c>
      <c r="G2417" t="s">
        <v>211</v>
      </c>
      <c r="H2417" t="s">
        <v>433</v>
      </c>
      <c r="I2417">
        <v>537.74</v>
      </c>
      <c r="J2417" s="32">
        <v>0</v>
      </c>
      <c r="K2417" s="90">
        <f t="shared" si="144"/>
        <v>1602.68</v>
      </c>
      <c r="L2417" s="32">
        <v>1602.68</v>
      </c>
      <c r="M2417" s="10">
        <f t="shared" si="145"/>
        <v>33.552549479621632</v>
      </c>
    </row>
    <row r="2418" spans="1:13" ht="15" hidden="1" customHeight="1" x14ac:dyDescent="0.3">
      <c r="A2418" s="9">
        <v>1713</v>
      </c>
      <c r="B2418" t="s">
        <v>432</v>
      </c>
      <c r="C2418" s="25">
        <v>44631</v>
      </c>
      <c r="D2418" s="26">
        <v>0.44245370370370374</v>
      </c>
      <c r="E2418" t="s">
        <v>26</v>
      </c>
      <c r="F2418" t="s">
        <v>175</v>
      </c>
      <c r="G2418" t="s">
        <v>172</v>
      </c>
      <c r="H2418" t="s">
        <v>433</v>
      </c>
      <c r="I2418">
        <v>323.92</v>
      </c>
      <c r="J2418" s="32">
        <v>0</v>
      </c>
      <c r="K2418" s="90">
        <f t="shared" si="144"/>
        <v>988.11</v>
      </c>
      <c r="L2418" s="32">
        <v>988.11</v>
      </c>
      <c r="M2418" s="10">
        <f t="shared" si="145"/>
        <v>32.781775308417082</v>
      </c>
    </row>
    <row r="2419" spans="1:13" ht="15" hidden="1" customHeight="1" x14ac:dyDescent="0.3">
      <c r="A2419" s="9">
        <v>1714</v>
      </c>
      <c r="B2419" t="s">
        <v>432</v>
      </c>
      <c r="C2419" s="25">
        <v>44642</v>
      </c>
      <c r="D2419" s="26">
        <v>0.58596064814814819</v>
      </c>
      <c r="E2419" t="s">
        <v>26</v>
      </c>
      <c r="F2419" t="s">
        <v>210</v>
      </c>
      <c r="G2419" t="s">
        <v>211</v>
      </c>
      <c r="H2419" t="s">
        <v>433</v>
      </c>
      <c r="I2419">
        <v>357.47</v>
      </c>
      <c r="J2419" s="38">
        <v>0</v>
      </c>
      <c r="K2419" s="100">
        <f t="shared" si="144"/>
        <v>915.99</v>
      </c>
      <c r="L2419" s="33">
        <v>915.99</v>
      </c>
      <c r="M2419" s="10">
        <f t="shared" si="145"/>
        <v>39.025535213266522</v>
      </c>
    </row>
    <row r="2420" spans="1:13" ht="15" hidden="1" customHeight="1" x14ac:dyDescent="0.3">
      <c r="A2420" s="9">
        <v>1715</v>
      </c>
      <c r="B2420" t="s">
        <v>432</v>
      </c>
      <c r="C2420" s="25">
        <v>44643</v>
      </c>
      <c r="D2420" s="26">
        <v>0.63846064814814818</v>
      </c>
      <c r="E2420" t="s">
        <v>26</v>
      </c>
      <c r="F2420" t="s">
        <v>210</v>
      </c>
      <c r="G2420" t="s">
        <v>211</v>
      </c>
      <c r="H2420" t="s">
        <v>433</v>
      </c>
      <c r="I2420">
        <v>350.71</v>
      </c>
      <c r="J2420" s="32">
        <v>0</v>
      </c>
      <c r="K2420" s="89">
        <f t="shared" si="144"/>
        <v>1063.21</v>
      </c>
      <c r="L2420" s="32">
        <v>1063.21</v>
      </c>
      <c r="M2420" s="10">
        <f t="shared" si="145"/>
        <v>32.98595761890877</v>
      </c>
    </row>
    <row r="2421" spans="1:13" ht="15" hidden="1" customHeight="1" x14ac:dyDescent="0.3">
      <c r="A2421" s="9">
        <v>1716</v>
      </c>
      <c r="B2421" t="s">
        <v>432</v>
      </c>
      <c r="C2421" s="25">
        <v>44645</v>
      </c>
      <c r="D2421" s="26">
        <v>0.38321759259259264</v>
      </c>
      <c r="E2421" t="s">
        <v>26</v>
      </c>
      <c r="F2421" t="s">
        <v>175</v>
      </c>
      <c r="G2421" t="s">
        <v>172</v>
      </c>
      <c r="H2421" t="s">
        <v>433</v>
      </c>
      <c r="I2421">
        <v>349.42</v>
      </c>
      <c r="J2421" s="37">
        <v>0</v>
      </c>
      <c r="K2421" s="89">
        <f t="shared" si="144"/>
        <v>931.36</v>
      </c>
      <c r="L2421" s="37">
        <v>931.36</v>
      </c>
      <c r="M2421" s="10">
        <f t="shared" si="145"/>
        <v>37.517179178835249</v>
      </c>
    </row>
    <row r="2422" spans="1:13" ht="15" hidden="1" customHeight="1" x14ac:dyDescent="0.3">
      <c r="A2422" s="9">
        <v>1717</v>
      </c>
      <c r="B2422" t="s">
        <v>432</v>
      </c>
      <c r="C2422" s="25">
        <v>44647</v>
      </c>
      <c r="D2422" s="26">
        <v>0.4820949074074074</v>
      </c>
      <c r="E2422" t="s">
        <v>26</v>
      </c>
      <c r="F2422" t="s">
        <v>210</v>
      </c>
      <c r="G2422" t="s">
        <v>211</v>
      </c>
      <c r="H2422" t="s">
        <v>433</v>
      </c>
      <c r="I2422">
        <v>483.91</v>
      </c>
      <c r="J2422" s="37">
        <v>0</v>
      </c>
      <c r="K2422" s="89">
        <f t="shared" si="144"/>
        <v>1256.19</v>
      </c>
      <c r="L2422" s="32">
        <v>1256.19</v>
      </c>
      <c r="M2422" s="10">
        <f t="shared" si="145"/>
        <v>38.522038863547714</v>
      </c>
    </row>
    <row r="2423" spans="1:13" ht="15" hidden="1" customHeight="1" x14ac:dyDescent="0.3">
      <c r="A2423" s="9">
        <v>1718</v>
      </c>
      <c r="B2423" t="s">
        <v>432</v>
      </c>
      <c r="C2423" s="25">
        <v>44648</v>
      </c>
      <c r="D2423" s="26">
        <v>0.85153935185185192</v>
      </c>
      <c r="E2423" t="s">
        <v>26</v>
      </c>
      <c r="F2423" t="s">
        <v>202</v>
      </c>
      <c r="G2423" t="s">
        <v>203</v>
      </c>
      <c r="H2423" t="s">
        <v>433</v>
      </c>
      <c r="I2423">
        <v>150</v>
      </c>
      <c r="J2423" s="37">
        <v>0</v>
      </c>
      <c r="K2423" s="89">
        <f t="shared" si="144"/>
        <v>1089.8499999999999</v>
      </c>
      <c r="L2423" s="32">
        <v>1089.8499999999999</v>
      </c>
      <c r="M2423" s="10">
        <f t="shared" si="145"/>
        <v>13.763361930540901</v>
      </c>
    </row>
    <row r="2424" spans="1:13" ht="15" hidden="1" customHeight="1" x14ac:dyDescent="0.3">
      <c r="A2424" s="9">
        <v>1719</v>
      </c>
      <c r="B2424" t="s">
        <v>432</v>
      </c>
      <c r="C2424" s="25">
        <v>44649</v>
      </c>
      <c r="D2424" s="26">
        <v>0.43729166666666663</v>
      </c>
      <c r="E2424" t="s">
        <v>26</v>
      </c>
      <c r="F2424" t="s">
        <v>340</v>
      </c>
      <c r="G2424" t="s">
        <v>337</v>
      </c>
      <c r="H2424" t="s">
        <v>433</v>
      </c>
      <c r="I2424">
        <v>275.26</v>
      </c>
      <c r="J2424" s="37">
        <v>0</v>
      </c>
      <c r="K2424" s="89">
        <f t="shared" si="144"/>
        <v>284.20999999999998</v>
      </c>
      <c r="L2424" s="32">
        <v>284.20999999999998</v>
      </c>
      <c r="M2424" s="10">
        <f t="shared" si="145"/>
        <v>96.850920094296484</v>
      </c>
    </row>
    <row r="2425" spans="1:13" ht="15" hidden="1" customHeight="1" x14ac:dyDescent="0.3">
      <c r="A2425" s="9">
        <v>1720</v>
      </c>
      <c r="B2425" t="s">
        <v>432</v>
      </c>
      <c r="C2425" s="25">
        <v>44650</v>
      </c>
      <c r="D2425" s="26">
        <v>0.51013888888888892</v>
      </c>
      <c r="E2425" t="s">
        <v>26</v>
      </c>
      <c r="F2425" t="s">
        <v>165</v>
      </c>
      <c r="G2425" t="s">
        <v>185</v>
      </c>
      <c r="H2425" t="s">
        <v>433</v>
      </c>
      <c r="I2425">
        <v>200.43</v>
      </c>
      <c r="J2425" s="33">
        <v>0</v>
      </c>
      <c r="K2425" s="89">
        <f t="shared" si="144"/>
        <v>800.47</v>
      </c>
      <c r="L2425" s="32">
        <v>800.47</v>
      </c>
      <c r="M2425" s="10">
        <f t="shared" si="145"/>
        <v>25.039039564256001</v>
      </c>
    </row>
    <row r="2426" spans="1:13" ht="15" hidden="1" customHeight="1" x14ac:dyDescent="0.3">
      <c r="A2426" s="9">
        <v>1721</v>
      </c>
      <c r="B2426" t="s">
        <v>432</v>
      </c>
      <c r="C2426" s="25">
        <v>44651</v>
      </c>
      <c r="D2426" s="26">
        <v>2.75E-2</v>
      </c>
      <c r="E2426" t="s">
        <v>26</v>
      </c>
      <c r="F2426" t="s">
        <v>210</v>
      </c>
      <c r="G2426" t="s">
        <v>211</v>
      </c>
      <c r="H2426" t="s">
        <v>433</v>
      </c>
      <c r="I2426">
        <v>277</v>
      </c>
      <c r="J2426" s="71">
        <v>0</v>
      </c>
      <c r="K2426" s="89">
        <f t="shared" si="144"/>
        <v>225.63</v>
      </c>
      <c r="L2426" s="53">
        <v>225.63</v>
      </c>
      <c r="M2426" s="10">
        <f t="shared" si="145"/>
        <v>122.76736249612196</v>
      </c>
    </row>
    <row r="2427" spans="1:13" ht="15" hidden="1" customHeight="1" x14ac:dyDescent="0.3">
      <c r="A2427" s="9">
        <v>2902</v>
      </c>
      <c r="B2427" t="s">
        <v>432</v>
      </c>
      <c r="C2427" s="25">
        <v>44653</v>
      </c>
      <c r="D2427" s="26">
        <v>0.16657407407407407</v>
      </c>
      <c r="E2427" t="s">
        <v>27</v>
      </c>
      <c r="F2427" t="s">
        <v>197</v>
      </c>
      <c r="G2427" t="s">
        <v>44</v>
      </c>
      <c r="H2427" t="s">
        <v>433</v>
      </c>
      <c r="I2427" s="4">
        <v>150.58000000000001</v>
      </c>
      <c r="J2427" s="71">
        <v>0</v>
      </c>
      <c r="K2427" s="89">
        <f t="shared" si="144"/>
        <v>1290.68</v>
      </c>
      <c r="L2427" s="53">
        <v>1290.68</v>
      </c>
      <c r="M2427" s="10">
        <f t="shared" si="145"/>
        <v>11.66671831902563</v>
      </c>
    </row>
    <row r="2428" spans="1:13" ht="15" hidden="1" customHeight="1" x14ac:dyDescent="0.3">
      <c r="A2428" s="9">
        <v>2903</v>
      </c>
      <c r="B2428" t="s">
        <v>432</v>
      </c>
      <c r="C2428" s="25">
        <v>44653</v>
      </c>
      <c r="D2428" s="26">
        <v>0.97187499999999993</v>
      </c>
      <c r="E2428" t="s">
        <v>27</v>
      </c>
      <c r="F2428" t="s">
        <v>210</v>
      </c>
      <c r="G2428" t="s">
        <v>211</v>
      </c>
      <c r="H2428" t="s">
        <v>433</v>
      </c>
      <c r="I2428" s="4">
        <v>495.59</v>
      </c>
      <c r="J2428" s="71">
        <v>0</v>
      </c>
      <c r="K2428" s="89">
        <f t="shared" si="144"/>
        <v>1878.46</v>
      </c>
      <c r="L2428" s="67">
        <v>1878.46</v>
      </c>
      <c r="M2428" s="10">
        <f t="shared" si="145"/>
        <v>26.382781640279802</v>
      </c>
    </row>
    <row r="2429" spans="1:13" ht="15" hidden="1" customHeight="1" x14ac:dyDescent="0.3">
      <c r="A2429" s="9">
        <v>2904</v>
      </c>
      <c r="B2429" t="s">
        <v>432</v>
      </c>
      <c r="C2429" s="25">
        <v>44655</v>
      </c>
      <c r="D2429" s="26">
        <v>0.14934027777777778</v>
      </c>
      <c r="E2429" t="s">
        <v>27</v>
      </c>
      <c r="F2429" t="s">
        <v>210</v>
      </c>
      <c r="G2429" t="s">
        <v>211</v>
      </c>
      <c r="H2429" t="s">
        <v>433</v>
      </c>
      <c r="I2429" s="4">
        <v>385.19</v>
      </c>
      <c r="J2429" s="76">
        <v>0</v>
      </c>
      <c r="K2429" s="89">
        <f t="shared" si="144"/>
        <v>1063.25</v>
      </c>
      <c r="L2429" s="53">
        <v>1063.25</v>
      </c>
      <c r="M2429" s="10">
        <f t="shared" si="145"/>
        <v>36.227604044204092</v>
      </c>
    </row>
    <row r="2430" spans="1:13" ht="15" hidden="1" customHeight="1" x14ac:dyDescent="0.3">
      <c r="A2430" s="9">
        <v>2905</v>
      </c>
      <c r="B2430" t="s">
        <v>432</v>
      </c>
      <c r="C2430" s="25">
        <v>44656</v>
      </c>
      <c r="D2430" s="26">
        <v>0.44881944444444444</v>
      </c>
      <c r="E2430" t="s">
        <v>27</v>
      </c>
      <c r="F2430" t="s">
        <v>175</v>
      </c>
      <c r="G2430" t="s">
        <v>172</v>
      </c>
      <c r="H2430" t="s">
        <v>433</v>
      </c>
      <c r="I2430" s="4">
        <v>315.83</v>
      </c>
      <c r="J2430" s="76">
        <v>0</v>
      </c>
      <c r="K2430" s="89">
        <f t="shared" si="144"/>
        <v>972.25</v>
      </c>
      <c r="L2430" s="53">
        <v>972.25</v>
      </c>
      <c r="M2430" s="10">
        <f t="shared" si="145"/>
        <v>32.484443301619955</v>
      </c>
    </row>
    <row r="2431" spans="1:13" ht="15" hidden="1" customHeight="1" x14ac:dyDescent="0.3">
      <c r="A2431" s="9">
        <v>2906</v>
      </c>
      <c r="B2431" t="s">
        <v>432</v>
      </c>
      <c r="C2431" s="25">
        <v>44657</v>
      </c>
      <c r="D2431" s="26">
        <v>0.60924768518518524</v>
      </c>
      <c r="E2431" t="s">
        <v>27</v>
      </c>
      <c r="F2431" t="s">
        <v>210</v>
      </c>
      <c r="G2431" t="s">
        <v>211</v>
      </c>
      <c r="H2431" t="s">
        <v>433</v>
      </c>
      <c r="I2431" s="4">
        <v>316.41000000000003</v>
      </c>
      <c r="J2431" s="51">
        <v>0</v>
      </c>
      <c r="K2431" s="89">
        <f t="shared" si="144"/>
        <v>831.15</v>
      </c>
      <c r="L2431" s="52">
        <v>831.15</v>
      </c>
      <c r="M2431" s="10">
        <f t="shared" si="145"/>
        <v>38.068940624436024</v>
      </c>
    </row>
    <row r="2432" spans="1:13" ht="15" hidden="1" customHeight="1" x14ac:dyDescent="0.3">
      <c r="A2432" s="9">
        <v>2907</v>
      </c>
      <c r="B2432" t="s">
        <v>432</v>
      </c>
      <c r="C2432" s="25">
        <v>44658</v>
      </c>
      <c r="D2432" s="26">
        <v>0.79712962962962963</v>
      </c>
      <c r="E2432" t="s">
        <v>27</v>
      </c>
      <c r="F2432" t="s">
        <v>210</v>
      </c>
      <c r="G2432" t="s">
        <v>211</v>
      </c>
      <c r="H2432" t="s">
        <v>433</v>
      </c>
      <c r="I2432" s="4">
        <v>426.58</v>
      </c>
      <c r="J2432" s="51">
        <v>0</v>
      </c>
      <c r="K2432" s="89">
        <f t="shared" si="144"/>
        <v>1126.44</v>
      </c>
      <c r="L2432" s="52">
        <v>1126.44</v>
      </c>
      <c r="M2432" s="10">
        <f t="shared" si="145"/>
        <v>37.869748943574443</v>
      </c>
    </row>
    <row r="2433" spans="1:13" ht="15" hidden="1" customHeight="1" x14ac:dyDescent="0.3">
      <c r="A2433" s="9">
        <v>2908</v>
      </c>
      <c r="B2433" t="s">
        <v>432</v>
      </c>
      <c r="C2433" s="25">
        <v>44660</v>
      </c>
      <c r="D2433" s="26">
        <v>0.59908564814814813</v>
      </c>
      <c r="E2433" t="s">
        <v>27</v>
      </c>
      <c r="F2433" t="s">
        <v>175</v>
      </c>
      <c r="G2433" t="s">
        <v>172</v>
      </c>
      <c r="H2433" t="s">
        <v>433</v>
      </c>
      <c r="I2433" s="4">
        <v>289.58</v>
      </c>
      <c r="J2433" s="40">
        <v>0</v>
      </c>
      <c r="K2433" s="89">
        <f t="shared" si="144"/>
        <v>937.74</v>
      </c>
      <c r="L2433" s="53">
        <v>937.74</v>
      </c>
      <c r="M2433" s="10">
        <f t="shared" ref="M2433:M2464" si="146">I2433/K2433*100</f>
        <v>30.880627892592827</v>
      </c>
    </row>
    <row r="2434" spans="1:13" ht="15" hidden="1" customHeight="1" x14ac:dyDescent="0.3">
      <c r="A2434" s="9">
        <v>2909</v>
      </c>
      <c r="B2434" t="s">
        <v>432</v>
      </c>
      <c r="C2434" s="25">
        <v>44667</v>
      </c>
      <c r="D2434" s="26">
        <v>0.49854166666666666</v>
      </c>
      <c r="E2434" t="s">
        <v>27</v>
      </c>
      <c r="F2434" t="s">
        <v>210</v>
      </c>
      <c r="G2434" t="s">
        <v>211</v>
      </c>
      <c r="H2434" t="s">
        <v>433</v>
      </c>
      <c r="I2434" s="4">
        <v>324.98</v>
      </c>
      <c r="J2434" s="34">
        <v>0</v>
      </c>
      <c r="K2434" s="89">
        <f t="shared" si="144"/>
        <v>852.4</v>
      </c>
      <c r="L2434" s="37">
        <v>852.4</v>
      </c>
      <c r="M2434" s="10">
        <f t="shared" si="146"/>
        <v>38.125293289535435</v>
      </c>
    </row>
    <row r="2435" spans="1:13" ht="15" hidden="1" customHeight="1" x14ac:dyDescent="0.3">
      <c r="A2435" s="9">
        <v>2910</v>
      </c>
      <c r="B2435" t="s">
        <v>432</v>
      </c>
      <c r="C2435" s="25">
        <v>44668</v>
      </c>
      <c r="D2435" s="26">
        <v>3.5092592592592592E-2</v>
      </c>
      <c r="E2435" t="s">
        <v>27</v>
      </c>
      <c r="F2435" t="s">
        <v>165</v>
      </c>
      <c r="G2435" t="s">
        <v>185</v>
      </c>
      <c r="H2435" t="s">
        <v>433</v>
      </c>
      <c r="I2435" s="4">
        <v>222.17</v>
      </c>
      <c r="J2435" s="7">
        <v>0</v>
      </c>
      <c r="K2435" s="89">
        <f t="shared" si="144"/>
        <v>548.61</v>
      </c>
      <c r="L2435" s="32">
        <v>548.61</v>
      </c>
      <c r="M2435" s="10">
        <f t="shared" si="146"/>
        <v>40.496892145604342</v>
      </c>
    </row>
    <row r="2436" spans="1:13" ht="15" hidden="1" customHeight="1" x14ac:dyDescent="0.3">
      <c r="A2436" s="9">
        <v>2911</v>
      </c>
      <c r="B2436" t="s">
        <v>432</v>
      </c>
      <c r="C2436" s="25">
        <v>44669</v>
      </c>
      <c r="D2436" s="26">
        <v>0.5834259259259259</v>
      </c>
      <c r="E2436" t="s">
        <v>27</v>
      </c>
      <c r="F2436" t="s">
        <v>335</v>
      </c>
      <c r="G2436" t="s">
        <v>336</v>
      </c>
      <c r="H2436" t="s">
        <v>433</v>
      </c>
      <c r="I2436" s="4">
        <v>282.98</v>
      </c>
      <c r="J2436" s="34">
        <v>0</v>
      </c>
      <c r="K2436" s="89">
        <f t="shared" si="144"/>
        <v>1010</v>
      </c>
      <c r="L2436" s="32">
        <v>1010</v>
      </c>
      <c r="M2436" s="10">
        <f t="shared" si="146"/>
        <v>28.017821782178221</v>
      </c>
    </row>
    <row r="2437" spans="1:13" ht="15" hidden="1" customHeight="1" x14ac:dyDescent="0.3">
      <c r="A2437" s="9">
        <v>2912</v>
      </c>
      <c r="B2437" t="s">
        <v>432</v>
      </c>
      <c r="C2437" s="25">
        <v>44670</v>
      </c>
      <c r="D2437" s="26">
        <v>0.79775462962962962</v>
      </c>
      <c r="E2437" t="s">
        <v>27</v>
      </c>
      <c r="F2437" t="s">
        <v>210</v>
      </c>
      <c r="G2437" t="s">
        <v>211</v>
      </c>
      <c r="H2437" t="s">
        <v>433</v>
      </c>
      <c r="I2437" s="4">
        <v>364.34</v>
      </c>
      <c r="J2437" s="7">
        <v>0</v>
      </c>
      <c r="K2437" s="89">
        <f t="shared" si="144"/>
        <v>1136.3599999999999</v>
      </c>
      <c r="L2437" s="32">
        <v>1136.3599999999999</v>
      </c>
      <c r="M2437" s="10">
        <f t="shared" si="146"/>
        <v>32.062022598472318</v>
      </c>
    </row>
    <row r="2438" spans="1:13" ht="15" hidden="1" customHeight="1" x14ac:dyDescent="0.3">
      <c r="A2438" s="9">
        <v>2913</v>
      </c>
      <c r="B2438" t="s">
        <v>432</v>
      </c>
      <c r="C2438" s="25">
        <v>44671</v>
      </c>
      <c r="D2438" s="26">
        <v>0.76052083333333342</v>
      </c>
      <c r="E2438" t="s">
        <v>27</v>
      </c>
      <c r="F2438" t="s">
        <v>428</v>
      </c>
      <c r="G2438" t="s">
        <v>429</v>
      </c>
      <c r="H2438" t="s">
        <v>433</v>
      </c>
      <c r="I2438" s="4">
        <v>150.13</v>
      </c>
      <c r="J2438" s="7">
        <v>0</v>
      </c>
      <c r="K2438" s="89">
        <f t="shared" si="144"/>
        <v>898.24</v>
      </c>
      <c r="L2438" s="32">
        <v>898.24</v>
      </c>
      <c r="M2438" s="10">
        <f t="shared" si="146"/>
        <v>16.713795867474172</v>
      </c>
    </row>
    <row r="2439" spans="1:13" ht="15" hidden="1" customHeight="1" x14ac:dyDescent="0.3">
      <c r="A2439" s="9">
        <v>2914</v>
      </c>
      <c r="B2439" t="s">
        <v>432</v>
      </c>
      <c r="C2439" s="25">
        <v>44672</v>
      </c>
      <c r="D2439" s="26">
        <v>0.49373842592592593</v>
      </c>
      <c r="E2439" t="s">
        <v>27</v>
      </c>
      <c r="F2439" t="s">
        <v>175</v>
      </c>
      <c r="G2439" t="s">
        <v>172</v>
      </c>
      <c r="H2439" t="s">
        <v>433</v>
      </c>
      <c r="I2439" s="4">
        <v>200.94</v>
      </c>
      <c r="J2439" s="34">
        <v>0</v>
      </c>
      <c r="K2439" s="89">
        <f t="shared" si="144"/>
        <v>145.91</v>
      </c>
      <c r="L2439" s="32">
        <v>145.91</v>
      </c>
      <c r="M2439" s="10">
        <f t="shared" si="146"/>
        <v>137.71502981289836</v>
      </c>
    </row>
    <row r="2440" spans="1:13" ht="15" hidden="1" customHeight="1" x14ac:dyDescent="0.3">
      <c r="A2440" s="9">
        <v>2915</v>
      </c>
      <c r="B2440" t="s">
        <v>432</v>
      </c>
      <c r="C2440" s="25">
        <v>44673</v>
      </c>
      <c r="D2440" s="26">
        <v>0.56600694444444444</v>
      </c>
      <c r="E2440" t="s">
        <v>27</v>
      </c>
      <c r="F2440" t="s">
        <v>210</v>
      </c>
      <c r="G2440" t="s">
        <v>211</v>
      </c>
      <c r="H2440" t="s">
        <v>433</v>
      </c>
      <c r="I2440" s="4">
        <v>333.93</v>
      </c>
      <c r="J2440" s="34">
        <v>0</v>
      </c>
      <c r="K2440" s="89">
        <f t="shared" si="144"/>
        <v>830.95</v>
      </c>
      <c r="L2440" s="32">
        <v>830.95</v>
      </c>
      <c r="M2440" s="10">
        <f t="shared" si="146"/>
        <v>40.186533485769296</v>
      </c>
    </row>
    <row r="2441" spans="1:13" ht="15" hidden="1" customHeight="1" x14ac:dyDescent="0.3">
      <c r="A2441" s="9">
        <v>2916</v>
      </c>
      <c r="B2441" t="s">
        <v>432</v>
      </c>
      <c r="C2441" s="25">
        <v>44674</v>
      </c>
      <c r="D2441" s="26">
        <v>0.73451388888888891</v>
      </c>
      <c r="E2441" t="s">
        <v>27</v>
      </c>
      <c r="F2441" t="s">
        <v>210</v>
      </c>
      <c r="G2441" t="s">
        <v>211</v>
      </c>
      <c r="H2441" t="s">
        <v>433</v>
      </c>
      <c r="I2441" s="4">
        <v>361.7</v>
      </c>
      <c r="J2441" s="7">
        <v>0</v>
      </c>
      <c r="K2441" s="89">
        <f t="shared" si="144"/>
        <v>1062.67</v>
      </c>
      <c r="L2441" s="32">
        <v>1062.67</v>
      </c>
      <c r="M2441" s="10">
        <f t="shared" si="146"/>
        <v>34.0369070360507</v>
      </c>
    </row>
    <row r="2442" spans="1:13" ht="15" hidden="1" customHeight="1" x14ac:dyDescent="0.3">
      <c r="A2442" s="9">
        <v>2917</v>
      </c>
      <c r="B2442" t="s">
        <v>432</v>
      </c>
      <c r="C2442" s="25">
        <v>44677</v>
      </c>
      <c r="D2442" s="26">
        <v>0.4931018518518519</v>
      </c>
      <c r="E2442" t="s">
        <v>27</v>
      </c>
      <c r="F2442" t="s">
        <v>428</v>
      </c>
      <c r="G2442" t="s">
        <v>429</v>
      </c>
      <c r="H2442" t="s">
        <v>433</v>
      </c>
      <c r="I2442">
        <v>150.05000000000001</v>
      </c>
      <c r="J2442" s="34">
        <v>0</v>
      </c>
      <c r="K2442" s="89">
        <f t="shared" si="144"/>
        <v>955.61</v>
      </c>
      <c r="L2442" s="34">
        <v>955.61</v>
      </c>
      <c r="M2442" s="10">
        <f t="shared" si="146"/>
        <v>15.702012327204615</v>
      </c>
    </row>
    <row r="2443" spans="1:13" ht="15" hidden="1" customHeight="1" x14ac:dyDescent="0.3">
      <c r="A2443" s="9">
        <v>2918</v>
      </c>
      <c r="B2443" t="s">
        <v>432</v>
      </c>
      <c r="C2443" s="25">
        <v>44678</v>
      </c>
      <c r="D2443" s="26">
        <v>0.48660879629629633</v>
      </c>
      <c r="E2443" t="s">
        <v>27</v>
      </c>
      <c r="F2443" t="s">
        <v>197</v>
      </c>
      <c r="G2443" t="s">
        <v>44</v>
      </c>
      <c r="H2443" t="s">
        <v>433</v>
      </c>
      <c r="I2443">
        <v>323</v>
      </c>
      <c r="J2443" s="39">
        <v>0</v>
      </c>
      <c r="K2443" s="89">
        <f t="shared" si="144"/>
        <v>411.77</v>
      </c>
      <c r="L2443" s="11">
        <v>411.77</v>
      </c>
      <c r="M2443" s="10">
        <f t="shared" si="146"/>
        <v>78.441848604803653</v>
      </c>
    </row>
    <row r="2444" spans="1:13" ht="15" hidden="1" customHeight="1" x14ac:dyDescent="0.3">
      <c r="A2444" s="9">
        <v>2919</v>
      </c>
      <c r="B2444" t="s">
        <v>432</v>
      </c>
      <c r="C2444" s="25">
        <v>44678</v>
      </c>
      <c r="D2444" s="26">
        <v>0.96547453703703701</v>
      </c>
      <c r="E2444" t="s">
        <v>27</v>
      </c>
      <c r="F2444" t="s">
        <v>166</v>
      </c>
      <c r="G2444" t="s">
        <v>161</v>
      </c>
      <c r="H2444" t="s">
        <v>433</v>
      </c>
      <c r="I2444">
        <v>193.52</v>
      </c>
      <c r="J2444" s="39">
        <v>0</v>
      </c>
      <c r="K2444" s="89">
        <f t="shared" si="144"/>
        <v>511.52</v>
      </c>
      <c r="L2444" s="11">
        <v>511.52</v>
      </c>
      <c r="M2444" s="10">
        <f t="shared" si="146"/>
        <v>37.832342821395059</v>
      </c>
    </row>
    <row r="2445" spans="1:13" ht="15" hidden="1" customHeight="1" x14ac:dyDescent="0.3">
      <c r="A2445" s="9">
        <v>2920</v>
      </c>
      <c r="B2445" t="s">
        <v>432</v>
      </c>
      <c r="C2445" s="25">
        <v>44679</v>
      </c>
      <c r="D2445" s="26">
        <v>0.86208333333333342</v>
      </c>
      <c r="E2445" t="s">
        <v>27</v>
      </c>
      <c r="F2445" t="s">
        <v>165</v>
      </c>
      <c r="G2445" t="s">
        <v>185</v>
      </c>
      <c r="H2445" t="s">
        <v>433</v>
      </c>
      <c r="I2445">
        <v>282.83</v>
      </c>
      <c r="J2445" s="7">
        <v>0</v>
      </c>
      <c r="K2445" s="89">
        <f t="shared" si="144"/>
        <v>624.96</v>
      </c>
      <c r="L2445" s="11">
        <v>624.96</v>
      </c>
      <c r="M2445" s="10">
        <f t="shared" si="146"/>
        <v>45.255696364567328</v>
      </c>
    </row>
    <row r="2446" spans="1:13" ht="15" hidden="1" customHeight="1" x14ac:dyDescent="0.3">
      <c r="A2446" s="9">
        <v>3811</v>
      </c>
      <c r="B2446" t="s">
        <v>432</v>
      </c>
      <c r="C2446" s="25">
        <v>44685</v>
      </c>
      <c r="D2446" s="26">
        <v>0.70829861111111114</v>
      </c>
      <c r="E2446" t="s">
        <v>28</v>
      </c>
      <c r="F2446" t="s">
        <v>166</v>
      </c>
      <c r="G2446" t="s">
        <v>161</v>
      </c>
      <c r="H2446" t="s">
        <v>433</v>
      </c>
      <c r="I2446">
        <v>538.95000000000005</v>
      </c>
      <c r="J2446" s="7">
        <v>0</v>
      </c>
      <c r="K2446" s="89">
        <f>+L2446-J2580</f>
        <v>-653184.32999999996</v>
      </c>
      <c r="L2446" s="67">
        <v>511.67</v>
      </c>
      <c r="M2446" s="10">
        <f t="shared" si="146"/>
        <v>-8.2511164957065036E-2</v>
      </c>
    </row>
    <row r="2447" spans="1:13" ht="15" hidden="1" customHeight="1" x14ac:dyDescent="0.3">
      <c r="A2447" s="9">
        <v>3821</v>
      </c>
      <c r="B2447" t="s">
        <v>432</v>
      </c>
      <c r="C2447" s="25">
        <v>44685</v>
      </c>
      <c r="D2447" s="26">
        <v>0.33984953703703707</v>
      </c>
      <c r="E2447" t="s">
        <v>28</v>
      </c>
      <c r="F2447" t="s">
        <v>197</v>
      </c>
      <c r="G2447" t="s">
        <v>44</v>
      </c>
      <c r="H2447" t="s">
        <v>433</v>
      </c>
      <c r="I2447">
        <v>150</v>
      </c>
      <c r="J2447" s="7">
        <v>0</v>
      </c>
      <c r="K2447" s="89">
        <f>+L2447-J2581</f>
        <v>-653430.13</v>
      </c>
      <c r="L2447" s="52">
        <v>1295.8699999999999</v>
      </c>
      <c r="M2447" s="10">
        <f t="shared" si="146"/>
        <v>-2.2955782586884996E-2</v>
      </c>
    </row>
    <row r="2448" spans="1:13" ht="15" hidden="1" customHeight="1" x14ac:dyDescent="0.3">
      <c r="A2448" s="9">
        <v>3931</v>
      </c>
      <c r="B2448" t="s">
        <v>432</v>
      </c>
      <c r="C2448" s="25">
        <v>44687</v>
      </c>
      <c r="D2448" s="26">
        <v>6.1932870370370374E-2</v>
      </c>
      <c r="E2448" t="s">
        <v>28</v>
      </c>
      <c r="F2448" t="s">
        <v>210</v>
      </c>
      <c r="G2448" t="s">
        <v>211</v>
      </c>
      <c r="H2448" t="s">
        <v>433</v>
      </c>
      <c r="I2448">
        <v>408.77</v>
      </c>
      <c r="J2448" s="7">
        <v>0</v>
      </c>
      <c r="K2448" s="89">
        <f>+L2448-J2577</f>
        <v>-650195</v>
      </c>
      <c r="L2448" s="52">
        <v>1146</v>
      </c>
      <c r="M2448" s="10">
        <f t="shared" si="146"/>
        <v>-6.2868831658194846E-2</v>
      </c>
    </row>
    <row r="2449" spans="1:13" ht="15" hidden="1" customHeight="1" x14ac:dyDescent="0.3">
      <c r="A2449" s="9">
        <v>3932</v>
      </c>
      <c r="B2449" t="s">
        <v>432</v>
      </c>
      <c r="C2449" s="25">
        <v>44687</v>
      </c>
      <c r="D2449" s="26">
        <v>0.74712962962962959</v>
      </c>
      <c r="E2449" t="s">
        <v>28</v>
      </c>
      <c r="F2449" t="s">
        <v>428</v>
      </c>
      <c r="G2449" t="s">
        <v>429</v>
      </c>
      <c r="H2449" t="s">
        <v>433</v>
      </c>
      <c r="I2449">
        <v>300</v>
      </c>
      <c r="J2449" s="7">
        <v>0</v>
      </c>
      <c r="K2449" s="89">
        <f>+L2449-J2578</f>
        <v>-650889</v>
      </c>
      <c r="L2449" s="52">
        <v>902</v>
      </c>
      <c r="M2449" s="10">
        <f t="shared" si="146"/>
        <v>-4.6090808110138597E-2</v>
      </c>
    </row>
    <row r="2450" spans="1:13" ht="15" hidden="1" customHeight="1" x14ac:dyDescent="0.3">
      <c r="A2450" s="9">
        <v>3979</v>
      </c>
      <c r="B2450" t="s">
        <v>432</v>
      </c>
      <c r="C2450" s="25">
        <v>44688</v>
      </c>
      <c r="D2450" s="26">
        <v>0.98665509259259254</v>
      </c>
      <c r="E2450" t="s">
        <v>28</v>
      </c>
      <c r="F2450" t="s">
        <v>210</v>
      </c>
      <c r="G2450" t="s">
        <v>211</v>
      </c>
      <c r="H2450" t="s">
        <v>433</v>
      </c>
      <c r="I2450">
        <v>338.78</v>
      </c>
      <c r="J2450" s="7">
        <v>0</v>
      </c>
      <c r="K2450" s="89">
        <f>+L2450-J2580</f>
        <v>-652720</v>
      </c>
      <c r="L2450" s="52">
        <v>976</v>
      </c>
      <c r="M2450" s="10">
        <f t="shared" si="146"/>
        <v>-5.1902806716509375E-2</v>
      </c>
    </row>
    <row r="2451" spans="1:13" ht="15" hidden="1" customHeight="1" x14ac:dyDescent="0.3">
      <c r="A2451" s="9">
        <v>4078</v>
      </c>
      <c r="B2451" t="s">
        <v>432</v>
      </c>
      <c r="C2451" s="25">
        <v>44690</v>
      </c>
      <c r="D2451" s="26">
        <v>0.90162037037037035</v>
      </c>
      <c r="E2451" t="s">
        <v>28</v>
      </c>
      <c r="F2451" t="s">
        <v>210</v>
      </c>
      <c r="G2451" t="s">
        <v>211</v>
      </c>
      <c r="H2451" t="s">
        <v>433</v>
      </c>
      <c r="I2451">
        <v>450</v>
      </c>
      <c r="J2451" s="7">
        <v>0</v>
      </c>
      <c r="K2451" s="89">
        <f>+L2451-J2581</f>
        <v>-653604</v>
      </c>
      <c r="L2451" s="52">
        <v>1122</v>
      </c>
      <c r="M2451" s="10">
        <f t="shared" si="146"/>
        <v>-6.8849027851726738E-2</v>
      </c>
    </row>
    <row r="2452" spans="1:13" ht="15" hidden="1" customHeight="1" x14ac:dyDescent="0.3">
      <c r="A2452" s="9">
        <v>4167</v>
      </c>
      <c r="B2452" t="s">
        <v>432</v>
      </c>
      <c r="C2452" s="25">
        <v>44692</v>
      </c>
      <c r="D2452" s="26">
        <v>0.36611111111111111</v>
      </c>
      <c r="E2452" t="s">
        <v>28</v>
      </c>
      <c r="F2452" t="s">
        <v>428</v>
      </c>
      <c r="G2452" t="s">
        <v>429</v>
      </c>
      <c r="H2452" t="s">
        <v>433</v>
      </c>
      <c r="I2452">
        <v>200.07</v>
      </c>
      <c r="J2452" s="7">
        <v>0</v>
      </c>
      <c r="K2452" s="89">
        <f>+L2452-J2585</f>
        <v>-657240</v>
      </c>
      <c r="L2452" s="32">
        <v>902</v>
      </c>
      <c r="M2452" s="10">
        <f t="shared" si="146"/>
        <v>-3.0440934818331201E-2</v>
      </c>
    </row>
    <row r="2453" spans="1:13" ht="15" hidden="1" customHeight="1" x14ac:dyDescent="0.3">
      <c r="A2453" s="9">
        <v>4209</v>
      </c>
      <c r="B2453" t="s">
        <v>432</v>
      </c>
      <c r="C2453" s="25">
        <v>44693</v>
      </c>
      <c r="D2453" s="26">
        <v>6.232638888888889E-2</v>
      </c>
      <c r="E2453" t="s">
        <v>28</v>
      </c>
      <c r="F2453" t="s">
        <v>175</v>
      </c>
      <c r="G2453" t="s">
        <v>172</v>
      </c>
      <c r="H2453" t="s">
        <v>433</v>
      </c>
      <c r="I2453">
        <v>50</v>
      </c>
      <c r="J2453" s="31">
        <v>0</v>
      </c>
      <c r="K2453" s="100">
        <f>+L2453-J2586</f>
        <v>-658918</v>
      </c>
      <c r="L2453" s="37">
        <v>302</v>
      </c>
      <c r="M2453" s="10">
        <f t="shared" si="146"/>
        <v>-7.5881976209482812E-3</v>
      </c>
    </row>
    <row r="2454" spans="1:13" ht="15" hidden="1" customHeight="1" x14ac:dyDescent="0.3">
      <c r="A2454" s="9">
        <v>4210</v>
      </c>
      <c r="B2454" t="s">
        <v>432</v>
      </c>
      <c r="C2454" s="25">
        <v>44693</v>
      </c>
      <c r="D2454" s="26">
        <v>0.40423611111111107</v>
      </c>
      <c r="E2454" t="s">
        <v>28</v>
      </c>
      <c r="F2454" t="s">
        <v>197</v>
      </c>
      <c r="G2454" t="s">
        <v>44</v>
      </c>
      <c r="H2454" t="s">
        <v>433</v>
      </c>
      <c r="I2454">
        <f>118.11+136.35</f>
        <v>254.45999999999998</v>
      </c>
      <c r="J2454" s="7">
        <v>0</v>
      </c>
      <c r="K2454" s="97">
        <f>+L2454-J2587</f>
        <v>-659914</v>
      </c>
      <c r="L2454" s="37">
        <v>108</v>
      </c>
      <c r="M2454" s="10">
        <f t="shared" si="146"/>
        <v>-3.8559569883348431E-2</v>
      </c>
    </row>
    <row r="2455" spans="1:13" ht="15" hidden="1" customHeight="1" x14ac:dyDescent="0.3">
      <c r="A2455" s="9">
        <v>4240</v>
      </c>
      <c r="B2455" t="s">
        <v>432</v>
      </c>
      <c r="C2455" s="25">
        <v>44693</v>
      </c>
      <c r="D2455" s="26">
        <v>0.79866898148148147</v>
      </c>
      <c r="E2455" t="s">
        <v>28</v>
      </c>
      <c r="F2455" t="s">
        <v>166</v>
      </c>
      <c r="G2455" t="s">
        <v>161</v>
      </c>
      <c r="H2455" t="s">
        <v>433</v>
      </c>
      <c r="I2455">
        <v>179.73</v>
      </c>
      <c r="J2455" s="7">
        <v>0</v>
      </c>
      <c r="K2455" s="97">
        <f>+L2455-J2588</f>
        <v>-660642</v>
      </c>
      <c r="L2455" s="37">
        <v>511</v>
      </c>
      <c r="M2455" s="10">
        <f t="shared" si="146"/>
        <v>-2.7205354791248509E-2</v>
      </c>
    </row>
    <row r="2456" spans="1:13" ht="15" hidden="1" customHeight="1" x14ac:dyDescent="0.3">
      <c r="A2456" s="9">
        <v>4275</v>
      </c>
      <c r="B2456" t="s">
        <v>432</v>
      </c>
      <c r="C2456" s="25">
        <v>44694</v>
      </c>
      <c r="D2456" s="26">
        <v>0.7938425925925926</v>
      </c>
      <c r="E2456" t="s">
        <v>28</v>
      </c>
      <c r="F2456" t="s">
        <v>278</v>
      </c>
      <c r="G2456" t="s">
        <v>279</v>
      </c>
      <c r="H2456" t="s">
        <v>433</v>
      </c>
      <c r="I2456">
        <v>307.75</v>
      </c>
      <c r="J2456" s="31">
        <v>0</v>
      </c>
      <c r="K2456" s="99">
        <f>+L2456-J2729</f>
        <v>796</v>
      </c>
      <c r="L2456" s="32">
        <v>796</v>
      </c>
      <c r="M2456" s="10">
        <f t="shared" si="146"/>
        <v>38.662060301507537</v>
      </c>
    </row>
    <row r="2457" spans="1:13" ht="15" hidden="1" customHeight="1" x14ac:dyDescent="0.3">
      <c r="A2457" s="9">
        <v>4318</v>
      </c>
      <c r="B2457" t="s">
        <v>432</v>
      </c>
      <c r="C2457" s="25">
        <v>44695</v>
      </c>
      <c r="D2457" s="26">
        <v>0.82150462962962967</v>
      </c>
      <c r="E2457" t="s">
        <v>28</v>
      </c>
      <c r="F2457" t="s">
        <v>202</v>
      </c>
      <c r="G2457" t="s">
        <v>203</v>
      </c>
      <c r="H2457" t="s">
        <v>433</v>
      </c>
      <c r="I2457">
        <v>200</v>
      </c>
      <c r="J2457" s="31">
        <v>0</v>
      </c>
      <c r="K2457" s="99">
        <f>+L2457-J2730</f>
        <v>885</v>
      </c>
      <c r="L2457" s="32">
        <v>885</v>
      </c>
      <c r="M2457" s="10">
        <f t="shared" si="146"/>
        <v>22.598870056497177</v>
      </c>
    </row>
    <row r="2458" spans="1:13" ht="15" hidden="1" customHeight="1" x14ac:dyDescent="0.3">
      <c r="A2458" s="9">
        <v>4453</v>
      </c>
      <c r="B2458" t="s">
        <v>432</v>
      </c>
      <c r="C2458" s="25">
        <v>44697</v>
      </c>
      <c r="D2458" s="26">
        <v>3.0821759259259257E-2</v>
      </c>
      <c r="E2458" t="s">
        <v>28</v>
      </c>
      <c r="F2458" t="s">
        <v>210</v>
      </c>
      <c r="G2458" t="s">
        <v>211</v>
      </c>
      <c r="H2458" t="s">
        <v>433</v>
      </c>
      <c r="I2458">
        <v>442.67</v>
      </c>
      <c r="J2458" s="7">
        <v>0</v>
      </c>
      <c r="K2458" s="97">
        <f>+L2458-J2731</f>
        <v>276</v>
      </c>
      <c r="L2458" s="37">
        <v>276</v>
      </c>
      <c r="M2458" s="10">
        <f t="shared" si="146"/>
        <v>160.38768115942031</v>
      </c>
    </row>
    <row r="2459" spans="1:13" ht="15" hidden="1" customHeight="1" x14ac:dyDescent="0.3">
      <c r="A2459" s="9">
        <v>4506</v>
      </c>
      <c r="B2459" t="s">
        <v>432</v>
      </c>
      <c r="C2459" s="25">
        <v>44698</v>
      </c>
      <c r="D2459" s="26">
        <v>0.55374999999999996</v>
      </c>
      <c r="E2459" t="s">
        <v>28</v>
      </c>
      <c r="F2459" t="s">
        <v>175</v>
      </c>
      <c r="G2459" t="s">
        <v>172</v>
      </c>
      <c r="H2459" t="s">
        <v>433</v>
      </c>
      <c r="I2459">
        <v>306.47000000000003</v>
      </c>
      <c r="J2459" s="34">
        <v>0</v>
      </c>
      <c r="K2459" s="100">
        <f>+L2459-J2729</f>
        <v>911</v>
      </c>
      <c r="L2459" s="38">
        <v>911</v>
      </c>
      <c r="M2459" s="10">
        <f t="shared" si="146"/>
        <v>33.641053787047206</v>
      </c>
    </row>
    <row r="2460" spans="1:13" ht="15" hidden="1" customHeight="1" x14ac:dyDescent="0.3">
      <c r="A2460" s="9">
        <v>5094</v>
      </c>
      <c r="B2460" t="s">
        <v>432</v>
      </c>
      <c r="C2460" s="25">
        <v>44709</v>
      </c>
      <c r="D2460" s="26">
        <v>0.510625</v>
      </c>
      <c r="E2460" t="s">
        <v>28</v>
      </c>
      <c r="F2460" t="s">
        <v>651</v>
      </c>
      <c r="G2460" t="s">
        <v>172</v>
      </c>
      <c r="H2460" t="s">
        <v>433</v>
      </c>
      <c r="I2460">
        <v>201</v>
      </c>
      <c r="J2460" s="28">
        <v>0</v>
      </c>
      <c r="K2460" s="96">
        <f>+L2460-J2747</f>
        <v>414</v>
      </c>
      <c r="L2460" s="7">
        <v>414</v>
      </c>
      <c r="M2460" s="10">
        <f t="shared" si="146"/>
        <v>48.550724637681157</v>
      </c>
    </row>
    <row r="2461" spans="1:13" ht="15" hidden="1" customHeight="1" x14ac:dyDescent="0.3">
      <c r="A2461" s="9">
        <v>5153</v>
      </c>
      <c r="B2461" t="s">
        <v>432</v>
      </c>
      <c r="C2461" s="25">
        <v>44710</v>
      </c>
      <c r="D2461" s="26">
        <v>0.28039351851851851</v>
      </c>
      <c r="E2461" t="s">
        <v>28</v>
      </c>
      <c r="F2461" t="s">
        <v>632</v>
      </c>
      <c r="G2461" t="s">
        <v>161</v>
      </c>
      <c r="H2461" t="s">
        <v>433</v>
      </c>
      <c r="I2461">
        <v>291.12</v>
      </c>
      <c r="J2461" s="7">
        <v>0</v>
      </c>
      <c r="K2461" s="97">
        <f>+L2461-J2748</f>
        <v>755</v>
      </c>
      <c r="L2461" s="34">
        <v>755</v>
      </c>
      <c r="M2461" s="10">
        <f t="shared" si="146"/>
        <v>38.558940397350995</v>
      </c>
    </row>
    <row r="2462" spans="1:13" ht="15" hidden="1" customHeight="1" x14ac:dyDescent="0.3">
      <c r="A2462" s="9">
        <v>5154</v>
      </c>
      <c r="B2462" t="s">
        <v>432</v>
      </c>
      <c r="C2462" s="25">
        <v>44710</v>
      </c>
      <c r="D2462" s="26">
        <v>0.78241898148148137</v>
      </c>
      <c r="E2462" t="s">
        <v>28</v>
      </c>
      <c r="F2462" t="s">
        <v>635</v>
      </c>
      <c r="G2462" t="s">
        <v>185</v>
      </c>
      <c r="H2462" t="s">
        <v>433</v>
      </c>
      <c r="I2462">
        <v>282</v>
      </c>
      <c r="J2462" s="7">
        <v>0</v>
      </c>
      <c r="K2462" s="97">
        <f>+L2462-J2749</f>
        <v>631</v>
      </c>
      <c r="L2462" s="34">
        <v>631</v>
      </c>
      <c r="M2462" s="10">
        <f t="shared" si="146"/>
        <v>44.69096671949287</v>
      </c>
    </row>
    <row r="2463" spans="1:13" ht="15" hidden="1" customHeight="1" x14ac:dyDescent="0.3">
      <c r="A2463" s="9">
        <v>5203</v>
      </c>
      <c r="B2463" t="s">
        <v>432</v>
      </c>
      <c r="C2463" s="25">
        <v>44711</v>
      </c>
      <c r="D2463" s="26">
        <v>0.84548611111111116</v>
      </c>
      <c r="E2463" t="s">
        <v>28</v>
      </c>
      <c r="F2463" t="s">
        <v>642</v>
      </c>
      <c r="G2463" t="s">
        <v>203</v>
      </c>
      <c r="H2463" t="s">
        <v>433</v>
      </c>
      <c r="I2463">
        <v>100</v>
      </c>
      <c r="J2463" s="33">
        <v>0</v>
      </c>
      <c r="K2463" s="100">
        <f>+L2463-J2741</f>
        <v>1072</v>
      </c>
      <c r="L2463" s="35">
        <v>1072</v>
      </c>
      <c r="M2463" s="10">
        <f t="shared" si="146"/>
        <v>9.3283582089552244</v>
      </c>
    </row>
    <row r="2464" spans="1:13" ht="15" hidden="1" customHeight="1" x14ac:dyDescent="0.3">
      <c r="A2464" s="9">
        <v>5239</v>
      </c>
      <c r="B2464" t="s">
        <v>432</v>
      </c>
      <c r="C2464" s="25">
        <v>44712</v>
      </c>
      <c r="D2464" s="26">
        <v>0.82620370370370377</v>
      </c>
      <c r="E2464" t="s">
        <v>28</v>
      </c>
      <c r="F2464" t="s">
        <v>645</v>
      </c>
      <c r="G2464" t="s">
        <v>279</v>
      </c>
      <c r="H2464" t="s">
        <v>433</v>
      </c>
      <c r="I2464">
        <v>509.91</v>
      </c>
      <c r="J2464" s="33">
        <v>0</v>
      </c>
      <c r="K2464" s="99">
        <f>+L2464-J2737</f>
        <v>739</v>
      </c>
      <c r="L2464" s="7">
        <v>739</v>
      </c>
      <c r="M2464" s="10">
        <f t="shared" si="146"/>
        <v>69</v>
      </c>
    </row>
    <row r="2465" spans="1:19" ht="15" hidden="1" customHeight="1" x14ac:dyDescent="0.3">
      <c r="A2465" s="9">
        <v>5349</v>
      </c>
      <c r="B2465" t="s">
        <v>432</v>
      </c>
      <c r="C2465" s="25">
        <v>44714</v>
      </c>
      <c r="D2465" s="26">
        <v>0.28247685185185184</v>
      </c>
      <c r="E2465" t="s">
        <v>29</v>
      </c>
      <c r="F2465" t="s">
        <v>656</v>
      </c>
      <c r="G2465" t="s">
        <v>495</v>
      </c>
      <c r="H2465" t="s">
        <v>433</v>
      </c>
      <c r="I2465">
        <v>100</v>
      </c>
      <c r="J2465" s="32">
        <v>0</v>
      </c>
      <c r="K2465" s="90">
        <f t="shared" ref="K2465:K2470" si="147">+L2465-J2737</f>
        <v>931</v>
      </c>
      <c r="L2465" s="7">
        <v>931</v>
      </c>
      <c r="M2465" s="10">
        <f t="shared" ref="M2465:M2486" si="148">I2465/K2465*100</f>
        <v>10.741138560687432</v>
      </c>
    </row>
    <row r="2466" spans="1:19" ht="15" hidden="1" customHeight="1" x14ac:dyDescent="0.3">
      <c r="A2466" s="9">
        <v>5410</v>
      </c>
      <c r="B2466" t="s">
        <v>432</v>
      </c>
      <c r="C2466" s="25">
        <v>44715</v>
      </c>
      <c r="D2466" s="26">
        <v>0.46376157407407409</v>
      </c>
      <c r="E2466" t="s">
        <v>29</v>
      </c>
      <c r="F2466" t="s">
        <v>663</v>
      </c>
      <c r="G2466" t="s">
        <v>344</v>
      </c>
      <c r="H2466" t="s">
        <v>433</v>
      </c>
      <c r="I2466">
        <v>100</v>
      </c>
      <c r="J2466" s="38">
        <v>0</v>
      </c>
      <c r="K2466" s="100">
        <f t="shared" si="147"/>
        <v>660</v>
      </c>
      <c r="L2466" s="34">
        <v>660</v>
      </c>
      <c r="M2466" s="10">
        <f t="shared" si="148"/>
        <v>15.151515151515152</v>
      </c>
    </row>
    <row r="2467" spans="1:19" ht="15" hidden="1" customHeight="1" x14ac:dyDescent="0.3">
      <c r="A2467" s="9">
        <v>5411</v>
      </c>
      <c r="B2467" t="s">
        <v>432</v>
      </c>
      <c r="C2467" s="25">
        <v>44715</v>
      </c>
      <c r="D2467" s="26">
        <v>0.52170138888888895</v>
      </c>
      <c r="E2467" t="s">
        <v>29</v>
      </c>
      <c r="F2467" t="s">
        <v>654</v>
      </c>
      <c r="G2467" t="s">
        <v>303</v>
      </c>
      <c r="H2467" t="s">
        <v>433</v>
      </c>
      <c r="I2467">
        <v>385</v>
      </c>
      <c r="J2467" s="196">
        <v>0</v>
      </c>
      <c r="K2467" s="137">
        <f t="shared" si="147"/>
        <v>0</v>
      </c>
      <c r="L2467" s="181"/>
      <c r="M2467" s="10" t="e">
        <f t="shared" si="148"/>
        <v>#DIV/0!</v>
      </c>
    </row>
    <row r="2468" spans="1:19" ht="15" hidden="1" customHeight="1" x14ac:dyDescent="0.3">
      <c r="A2468" s="9">
        <v>5412</v>
      </c>
      <c r="B2468" t="s">
        <v>432</v>
      </c>
      <c r="C2468" s="25">
        <v>44715</v>
      </c>
      <c r="D2468" s="26">
        <v>0.76487268518518514</v>
      </c>
      <c r="E2468" t="s">
        <v>29</v>
      </c>
      <c r="F2468" t="s">
        <v>632</v>
      </c>
      <c r="G2468" t="s">
        <v>161</v>
      </c>
      <c r="H2468" t="s">
        <v>433</v>
      </c>
      <c r="I2468">
        <v>151.97</v>
      </c>
      <c r="J2468" s="32">
        <v>0</v>
      </c>
      <c r="K2468" s="90">
        <f t="shared" si="147"/>
        <v>152</v>
      </c>
      <c r="L2468" s="28">
        <v>152</v>
      </c>
      <c r="M2468" s="10">
        <f t="shared" si="148"/>
        <v>99.98026315789474</v>
      </c>
    </row>
    <row r="2469" spans="1:19" ht="15" hidden="1" customHeight="1" x14ac:dyDescent="0.3">
      <c r="A2469" s="9">
        <v>5461</v>
      </c>
      <c r="B2469" t="s">
        <v>432</v>
      </c>
      <c r="C2469" s="25">
        <v>44716</v>
      </c>
      <c r="D2469" s="26">
        <v>0.33188657407407407</v>
      </c>
      <c r="E2469" t="s">
        <v>29</v>
      </c>
      <c r="F2469" t="s">
        <v>635</v>
      </c>
      <c r="G2469" t="s">
        <v>185</v>
      </c>
      <c r="H2469" t="s">
        <v>433</v>
      </c>
      <c r="I2469">
        <v>275.63</v>
      </c>
      <c r="J2469" s="32">
        <v>0</v>
      </c>
      <c r="K2469" s="90">
        <f t="shared" si="147"/>
        <v>632</v>
      </c>
      <c r="L2469" s="11">
        <v>632</v>
      </c>
      <c r="M2469" s="10">
        <f t="shared" si="148"/>
        <v>43.612341772151893</v>
      </c>
    </row>
    <row r="2470" spans="1:19" ht="15" hidden="1" customHeight="1" x14ac:dyDescent="0.3">
      <c r="A2470" s="9">
        <v>5462</v>
      </c>
      <c r="B2470" t="s">
        <v>432</v>
      </c>
      <c r="C2470" s="25">
        <v>44716</v>
      </c>
      <c r="D2470" s="26">
        <v>0.86704861111111109</v>
      </c>
      <c r="E2470" t="s">
        <v>29</v>
      </c>
      <c r="F2470" t="s">
        <v>632</v>
      </c>
      <c r="G2470" t="s">
        <v>161</v>
      </c>
      <c r="H2470" t="s">
        <v>433</v>
      </c>
      <c r="I2470">
        <v>154.19999999999999</v>
      </c>
      <c r="J2470" s="38">
        <v>0</v>
      </c>
      <c r="K2470" s="100">
        <f t="shared" si="147"/>
        <v>598</v>
      </c>
      <c r="L2470" s="35">
        <v>598</v>
      </c>
      <c r="M2470" s="10">
        <f t="shared" si="148"/>
        <v>25.785953177257525</v>
      </c>
    </row>
    <row r="2471" spans="1:19" ht="15" hidden="1" customHeight="1" x14ac:dyDescent="0.3">
      <c r="A2471" s="9">
        <v>5600</v>
      </c>
      <c r="B2471" t="s">
        <v>432</v>
      </c>
      <c r="C2471" s="25">
        <v>44719</v>
      </c>
      <c r="D2471" s="26">
        <v>0.46307870370370369</v>
      </c>
      <c r="E2471" t="s">
        <v>29</v>
      </c>
      <c r="F2471" t="s">
        <v>651</v>
      </c>
      <c r="G2471" t="s">
        <v>172</v>
      </c>
      <c r="H2471" t="s">
        <v>433</v>
      </c>
      <c r="I2471">
        <v>389</v>
      </c>
      <c r="J2471" s="32">
        <v>0</v>
      </c>
      <c r="K2471" s="90">
        <f>+L2471-J2029</f>
        <v>1006</v>
      </c>
      <c r="L2471" s="7">
        <v>1006</v>
      </c>
      <c r="M2471" s="10">
        <f t="shared" si="148"/>
        <v>38.667992047713717</v>
      </c>
    </row>
    <row r="2472" spans="1:19" ht="15" hidden="1" customHeight="1" x14ac:dyDescent="0.3">
      <c r="A2472" s="9">
        <v>5601</v>
      </c>
      <c r="B2472" t="s">
        <v>432</v>
      </c>
      <c r="C2472" s="25">
        <v>44719</v>
      </c>
      <c r="D2472" s="26">
        <v>0.9681481481481482</v>
      </c>
      <c r="E2472" t="s">
        <v>29</v>
      </c>
      <c r="F2472" t="s">
        <v>632</v>
      </c>
      <c r="G2472" t="s">
        <v>161</v>
      </c>
      <c r="H2472" t="s">
        <v>433</v>
      </c>
      <c r="I2472">
        <v>236.87</v>
      </c>
      <c r="J2472" s="37">
        <v>0</v>
      </c>
      <c r="K2472" s="97">
        <f>+L2472-J2030</f>
        <v>621</v>
      </c>
      <c r="L2472" s="34">
        <v>621</v>
      </c>
      <c r="M2472" s="10">
        <f t="shared" si="148"/>
        <v>38.143317230273752</v>
      </c>
    </row>
    <row r="2473" spans="1:19" ht="15" hidden="1" customHeight="1" x14ac:dyDescent="0.3">
      <c r="A2473" s="9">
        <v>5664</v>
      </c>
      <c r="B2473" t="s">
        <v>432</v>
      </c>
      <c r="C2473" s="25">
        <v>44720</v>
      </c>
      <c r="D2473" s="26">
        <v>0.75261574074074078</v>
      </c>
      <c r="E2473" t="s">
        <v>29</v>
      </c>
      <c r="F2473" t="s">
        <v>635</v>
      </c>
      <c r="G2473" t="s">
        <v>185</v>
      </c>
      <c r="H2473" t="s">
        <v>433</v>
      </c>
      <c r="I2473">
        <v>274.47000000000003</v>
      </c>
      <c r="J2473" s="37">
        <v>0</v>
      </c>
      <c r="K2473" s="97">
        <f>+L2473-J2032</f>
        <v>632</v>
      </c>
      <c r="L2473" s="7">
        <v>632</v>
      </c>
      <c r="M2473" s="10">
        <f t="shared" si="148"/>
        <v>43.428797468354432</v>
      </c>
    </row>
    <row r="2474" spans="1:19" ht="15" hidden="1" customHeight="1" x14ac:dyDescent="0.3">
      <c r="A2474" s="9">
        <v>5718</v>
      </c>
      <c r="B2474" t="s">
        <v>432</v>
      </c>
      <c r="C2474" s="25">
        <v>44721</v>
      </c>
      <c r="D2474" s="26">
        <v>0.72888888888888881</v>
      </c>
      <c r="E2474" t="s">
        <v>29</v>
      </c>
      <c r="F2474" t="s">
        <v>714</v>
      </c>
      <c r="G2474" t="s">
        <v>336</v>
      </c>
      <c r="H2474" t="s">
        <v>433</v>
      </c>
      <c r="I2474">
        <v>283.69</v>
      </c>
      <c r="J2474" s="32">
        <v>0</v>
      </c>
      <c r="K2474" s="100">
        <f>+L2474-J2033</f>
        <v>1005</v>
      </c>
      <c r="L2474" s="35">
        <v>1005</v>
      </c>
      <c r="M2474" s="10">
        <f t="shared" si="148"/>
        <v>28.227860696517414</v>
      </c>
    </row>
    <row r="2475" spans="1:19" ht="15" hidden="1" customHeight="1" x14ac:dyDescent="0.3">
      <c r="A2475" s="9">
        <v>5767</v>
      </c>
      <c r="B2475" t="s">
        <v>432</v>
      </c>
      <c r="C2475" s="25">
        <v>44722</v>
      </c>
      <c r="D2475" s="26">
        <v>0.71270833333333339</v>
      </c>
      <c r="E2475" t="s">
        <v>29</v>
      </c>
      <c r="F2475" t="s">
        <v>635</v>
      </c>
      <c r="G2475" t="s">
        <v>185</v>
      </c>
      <c r="H2475" t="s">
        <v>433</v>
      </c>
      <c r="I2475">
        <v>150</v>
      </c>
      <c r="J2475" s="32">
        <v>0</v>
      </c>
      <c r="K2475" s="90">
        <f>+L2475-J2034</f>
        <v>620</v>
      </c>
      <c r="L2475" s="7">
        <v>620</v>
      </c>
      <c r="M2475" s="10">
        <f t="shared" si="148"/>
        <v>24.193548387096776</v>
      </c>
    </row>
    <row r="2476" spans="1:19" ht="15" hidden="1" customHeight="1" x14ac:dyDescent="0.3">
      <c r="A2476" s="9">
        <v>5816</v>
      </c>
      <c r="B2476" t="s">
        <v>432</v>
      </c>
      <c r="C2476" s="25">
        <v>44723</v>
      </c>
      <c r="D2476" s="26">
        <v>0.74148148148148152</v>
      </c>
      <c r="E2476" t="s">
        <v>29</v>
      </c>
      <c r="F2476" t="s">
        <v>634</v>
      </c>
      <c r="G2476" t="s">
        <v>211</v>
      </c>
      <c r="H2476" t="s">
        <v>433</v>
      </c>
      <c r="I2476">
        <v>320.22000000000003</v>
      </c>
      <c r="J2476" s="32">
        <v>0</v>
      </c>
      <c r="K2476" s="90">
        <f>+L2476-J2035</f>
        <v>573</v>
      </c>
      <c r="L2476" s="7">
        <v>573</v>
      </c>
      <c r="M2476" s="10">
        <f t="shared" si="148"/>
        <v>55.8848167539267</v>
      </c>
    </row>
    <row r="2477" spans="1:19" ht="15" hidden="1" customHeight="1" x14ac:dyDescent="0.3">
      <c r="A2477" s="9">
        <v>5937</v>
      </c>
      <c r="B2477" t="s">
        <v>432</v>
      </c>
      <c r="C2477" s="25">
        <v>44725</v>
      </c>
      <c r="D2477" s="26">
        <v>0.26793981481481483</v>
      </c>
      <c r="E2477" t="s">
        <v>29</v>
      </c>
      <c r="F2477" t="s">
        <v>637</v>
      </c>
      <c r="G2477" t="s">
        <v>196</v>
      </c>
      <c r="H2477" t="s">
        <v>433</v>
      </c>
      <c r="I2477">
        <v>100</v>
      </c>
      <c r="J2477" s="37">
        <v>0</v>
      </c>
      <c r="K2477" s="97">
        <v>76</v>
      </c>
      <c r="L2477" s="7">
        <v>76</v>
      </c>
      <c r="M2477" s="10">
        <f t="shared" si="148"/>
        <v>131.57894736842107</v>
      </c>
      <c r="N2477" s="2"/>
      <c r="O2477" s="2"/>
      <c r="P2477" s="2"/>
      <c r="Q2477" s="2"/>
      <c r="R2477" s="2"/>
      <c r="S2477" s="2"/>
    </row>
    <row r="2478" spans="1:19" ht="15" hidden="1" customHeight="1" x14ac:dyDescent="0.3">
      <c r="A2478" s="9">
        <v>5982</v>
      </c>
      <c r="B2478" t="s">
        <v>432</v>
      </c>
      <c r="C2478" s="25">
        <v>44726</v>
      </c>
      <c r="D2478" s="26">
        <v>0.54416666666666669</v>
      </c>
      <c r="E2478" t="s">
        <v>29</v>
      </c>
      <c r="F2478" t="s">
        <v>651</v>
      </c>
      <c r="G2478" t="s">
        <v>172</v>
      </c>
      <c r="H2478" t="s">
        <v>433</v>
      </c>
      <c r="I2478">
        <v>283.16000000000003</v>
      </c>
      <c r="J2478" s="37">
        <v>0</v>
      </c>
      <c r="K2478" s="97">
        <v>597</v>
      </c>
      <c r="L2478" s="7">
        <v>597</v>
      </c>
      <c r="M2478" s="10">
        <f t="shared" si="148"/>
        <v>47.430485762144059</v>
      </c>
    </row>
    <row r="2479" spans="1:19" ht="15" hidden="1" customHeight="1" x14ac:dyDescent="0.3">
      <c r="A2479" s="9">
        <v>6047</v>
      </c>
      <c r="B2479" t="s">
        <v>432</v>
      </c>
      <c r="C2479" s="25">
        <v>44727</v>
      </c>
      <c r="D2479" s="26">
        <v>0.45768518518518514</v>
      </c>
      <c r="E2479" t="s">
        <v>29</v>
      </c>
      <c r="F2479" t="s">
        <v>634</v>
      </c>
      <c r="G2479" t="s">
        <v>211</v>
      </c>
      <c r="H2479" t="s">
        <v>433</v>
      </c>
      <c r="I2479">
        <v>273.02999999999997</v>
      </c>
      <c r="J2479" s="33">
        <v>0</v>
      </c>
      <c r="K2479" s="99">
        <v>713</v>
      </c>
      <c r="L2479" s="7">
        <v>713</v>
      </c>
      <c r="M2479" s="10">
        <f t="shared" si="148"/>
        <v>38.293127629733512</v>
      </c>
    </row>
    <row r="2480" spans="1:19" ht="15" hidden="1" customHeight="1" x14ac:dyDescent="0.3">
      <c r="A2480" s="9">
        <v>6103</v>
      </c>
      <c r="B2480" t="s">
        <v>432</v>
      </c>
      <c r="C2480" s="25">
        <v>44728</v>
      </c>
      <c r="D2480" s="26">
        <v>0.59091435185185182</v>
      </c>
      <c r="E2480" t="s">
        <v>29</v>
      </c>
      <c r="F2480" t="s">
        <v>634</v>
      </c>
      <c r="G2480" t="s">
        <v>211</v>
      </c>
      <c r="H2480" t="s">
        <v>433</v>
      </c>
      <c r="I2480">
        <v>378.2</v>
      </c>
      <c r="J2480" s="32">
        <v>0</v>
      </c>
      <c r="K2480" s="97">
        <v>1063</v>
      </c>
      <c r="L2480" s="34">
        <v>1063</v>
      </c>
      <c r="M2480" s="10">
        <f t="shared" si="148"/>
        <v>35.578551269990591</v>
      </c>
    </row>
    <row r="2481" spans="1:13" ht="15" hidden="1" customHeight="1" x14ac:dyDescent="0.3">
      <c r="A2481" s="9">
        <v>6159</v>
      </c>
      <c r="B2481" t="s">
        <v>432</v>
      </c>
      <c r="C2481" s="25">
        <v>44729</v>
      </c>
      <c r="D2481" s="26">
        <v>0.29689814814814813</v>
      </c>
      <c r="E2481" t="s">
        <v>29</v>
      </c>
      <c r="F2481" t="s">
        <v>656</v>
      </c>
      <c r="G2481" t="s">
        <v>495</v>
      </c>
      <c r="H2481" t="s">
        <v>433</v>
      </c>
      <c r="I2481">
        <v>100.09</v>
      </c>
      <c r="J2481" s="41">
        <v>0</v>
      </c>
      <c r="K2481" s="90">
        <v>569</v>
      </c>
      <c r="L2481" s="11">
        <v>569</v>
      </c>
      <c r="M2481" s="10">
        <f t="shared" si="148"/>
        <v>17.590509666080845</v>
      </c>
    </row>
    <row r="2482" spans="1:13" ht="15" hidden="1" customHeight="1" x14ac:dyDescent="0.3">
      <c r="A2482" s="9">
        <v>6160</v>
      </c>
      <c r="B2482" t="s">
        <v>432</v>
      </c>
      <c r="C2482" s="25">
        <v>44729</v>
      </c>
      <c r="D2482" s="26">
        <v>0.92226851851851854</v>
      </c>
      <c r="E2482" t="s">
        <v>29</v>
      </c>
      <c r="F2482" t="s">
        <v>639</v>
      </c>
      <c r="G2482" t="s">
        <v>44</v>
      </c>
      <c r="H2482" t="s">
        <v>433</v>
      </c>
      <c r="I2482">
        <v>269.54000000000002</v>
      </c>
      <c r="J2482" s="69">
        <v>0</v>
      </c>
      <c r="K2482" s="90">
        <v>576</v>
      </c>
      <c r="L2482" s="30">
        <v>576</v>
      </c>
      <c r="M2482" s="10">
        <f t="shared" si="148"/>
        <v>46.795138888888893</v>
      </c>
    </row>
    <row r="2483" spans="1:13" ht="15" hidden="1" customHeight="1" x14ac:dyDescent="0.3">
      <c r="A2483" s="9">
        <v>6211</v>
      </c>
      <c r="B2483" t="s">
        <v>432</v>
      </c>
      <c r="C2483" s="25">
        <v>44730</v>
      </c>
      <c r="D2483" s="26">
        <v>0.81247685185185192</v>
      </c>
      <c r="E2483" t="s">
        <v>29</v>
      </c>
      <c r="F2483" t="s">
        <v>634</v>
      </c>
      <c r="G2483" t="s">
        <v>211</v>
      </c>
      <c r="H2483" t="s">
        <v>433</v>
      </c>
      <c r="I2483" s="148">
        <v>241.5</v>
      </c>
      <c r="J2483" s="41">
        <v>0</v>
      </c>
      <c r="K2483" s="90">
        <v>592</v>
      </c>
      <c r="L2483" s="11">
        <v>592</v>
      </c>
      <c r="M2483" s="10">
        <f t="shared" si="148"/>
        <v>40.793918918918919</v>
      </c>
    </row>
    <row r="2484" spans="1:13" ht="15" hidden="1" customHeight="1" x14ac:dyDescent="0.3">
      <c r="A2484" s="9">
        <v>6240</v>
      </c>
      <c r="B2484" t="s">
        <v>432</v>
      </c>
      <c r="C2484" s="25">
        <v>44731</v>
      </c>
      <c r="D2484" s="26">
        <v>0.72534722222222225</v>
      </c>
      <c r="E2484" t="s">
        <v>29</v>
      </c>
      <c r="F2484" t="s">
        <v>635</v>
      </c>
      <c r="G2484" t="s">
        <v>185</v>
      </c>
      <c r="H2484" t="s">
        <v>433</v>
      </c>
      <c r="I2484" s="148">
        <v>235.1</v>
      </c>
      <c r="J2484" s="69">
        <v>0</v>
      </c>
      <c r="K2484" s="90">
        <v>549</v>
      </c>
      <c r="L2484" s="30">
        <v>549</v>
      </c>
      <c r="M2484" s="10">
        <f t="shared" si="148"/>
        <v>42.82331511839709</v>
      </c>
    </row>
    <row r="2485" spans="1:13" ht="15" hidden="1" customHeight="1" x14ac:dyDescent="0.3">
      <c r="A2485" s="9">
        <v>6265</v>
      </c>
      <c r="B2485" t="s">
        <v>432</v>
      </c>
      <c r="C2485" s="25">
        <v>44732</v>
      </c>
      <c r="D2485" s="26">
        <v>0.87262731481481481</v>
      </c>
      <c r="E2485" t="s">
        <v>29</v>
      </c>
      <c r="F2485" t="s">
        <v>634</v>
      </c>
      <c r="G2485" t="s">
        <v>211</v>
      </c>
      <c r="H2485" t="s">
        <v>433</v>
      </c>
      <c r="I2485" s="148">
        <v>203.62</v>
      </c>
      <c r="J2485" s="52">
        <v>0</v>
      </c>
      <c r="K2485" s="90">
        <v>574</v>
      </c>
      <c r="L2485" s="51">
        <v>574</v>
      </c>
      <c r="M2485" s="10">
        <f t="shared" si="148"/>
        <v>35.473867595818817</v>
      </c>
    </row>
    <row r="2486" spans="1:13" ht="15" hidden="1" customHeight="1" x14ac:dyDescent="0.3">
      <c r="A2486" s="9">
        <v>6298</v>
      </c>
      <c r="B2486" t="s">
        <v>432</v>
      </c>
      <c r="C2486" s="25">
        <v>44733</v>
      </c>
      <c r="D2486" s="26">
        <v>0.83225694444444442</v>
      </c>
      <c r="E2486" t="s">
        <v>29</v>
      </c>
      <c r="F2486" t="s">
        <v>649</v>
      </c>
      <c r="G2486" t="s">
        <v>500</v>
      </c>
      <c r="H2486" t="s">
        <v>433</v>
      </c>
      <c r="I2486" s="148">
        <v>222.33</v>
      </c>
      <c r="J2486" s="52">
        <v>0</v>
      </c>
      <c r="K2486" s="88">
        <v>704</v>
      </c>
      <c r="L2486" s="51">
        <v>704</v>
      </c>
      <c r="M2486" s="10">
        <f t="shared" si="148"/>
        <v>31.580965909090914</v>
      </c>
    </row>
    <row r="2487" spans="1:13" ht="15" hidden="1" customHeight="1" x14ac:dyDescent="0.3">
      <c r="A2487" s="9">
        <v>6751</v>
      </c>
      <c r="B2487" t="s">
        <v>432</v>
      </c>
      <c r="C2487" s="25">
        <v>44742</v>
      </c>
      <c r="D2487" s="26">
        <v>0.83278935185185177</v>
      </c>
      <c r="E2487" t="s">
        <v>29</v>
      </c>
      <c r="F2487" t="s">
        <v>197</v>
      </c>
      <c r="G2487" t="s">
        <v>44</v>
      </c>
      <c r="H2487" t="s">
        <v>433</v>
      </c>
      <c r="I2487" s="148">
        <v>99.36</v>
      </c>
      <c r="J2487"/>
      <c r="K2487" s="82">
        <v>289355</v>
      </c>
      <c r="L2487">
        <f>+K2487-J2487</f>
        <v>289355</v>
      </c>
      <c r="M2487" s="10">
        <f>I2487/L2487*100</f>
        <v>3.4338442397746714E-2</v>
      </c>
    </row>
    <row r="2488" spans="1:13" ht="15" hidden="1" customHeight="1" x14ac:dyDescent="0.3">
      <c r="A2488" s="9">
        <v>6751</v>
      </c>
      <c r="B2488" t="s">
        <v>432</v>
      </c>
      <c r="C2488" s="25">
        <v>44742</v>
      </c>
      <c r="D2488" s="26">
        <v>0.89415509259259263</v>
      </c>
      <c r="E2488" t="s">
        <v>29</v>
      </c>
      <c r="F2488" t="s">
        <v>343</v>
      </c>
      <c r="G2488" t="s">
        <v>344</v>
      </c>
      <c r="H2488" t="s">
        <v>433</v>
      </c>
      <c r="I2488" s="148">
        <v>126.69</v>
      </c>
      <c r="J2488"/>
      <c r="K2488" s="56">
        <v>289439</v>
      </c>
      <c r="L2488">
        <f>+K2488-J2488</f>
        <v>289439</v>
      </c>
      <c r="M2488" s="131">
        <f>I2488/L2488*100</f>
        <v>4.3770880911003701E-2</v>
      </c>
    </row>
    <row r="2489" spans="1:13" ht="15" hidden="1" customHeight="1" x14ac:dyDescent="0.3">
      <c r="B2489" t="s">
        <v>356</v>
      </c>
      <c r="C2489" s="25">
        <v>44771</v>
      </c>
      <c r="D2489" s="26">
        <v>0.88373842592592589</v>
      </c>
      <c r="E2489" t="s">
        <v>30</v>
      </c>
      <c r="F2489" t="s">
        <v>210</v>
      </c>
      <c r="G2489" t="s">
        <v>211</v>
      </c>
      <c r="H2489" t="s">
        <v>178</v>
      </c>
      <c r="I2489" s="160">
        <v>437.25</v>
      </c>
      <c r="J2489" s="8"/>
      <c r="K2489" s="8"/>
      <c r="L2489" s="8"/>
      <c r="M2489" s="254"/>
    </row>
    <row r="2490" spans="1:13" ht="15" hidden="1" customHeight="1" x14ac:dyDescent="0.3">
      <c r="B2490" t="s">
        <v>356</v>
      </c>
      <c r="C2490" s="25">
        <v>44772</v>
      </c>
      <c r="D2490" s="26">
        <v>0.43413194444444447</v>
      </c>
      <c r="E2490" t="s">
        <v>30</v>
      </c>
      <c r="F2490" t="s">
        <v>169</v>
      </c>
      <c r="G2490" t="s">
        <v>196</v>
      </c>
      <c r="H2490" t="s">
        <v>178</v>
      </c>
      <c r="I2490" s="160">
        <v>162.13999999999999</v>
      </c>
      <c r="J2490" s="8"/>
      <c r="K2490" s="8"/>
      <c r="L2490" s="8"/>
      <c r="M2490" s="254"/>
    </row>
    <row r="2491" spans="1:13" ht="15" hidden="1" customHeight="1" x14ac:dyDescent="0.3">
      <c r="A2491" s="9">
        <v>6751</v>
      </c>
      <c r="B2491" t="s">
        <v>356</v>
      </c>
      <c r="C2491" s="25">
        <v>44743</v>
      </c>
      <c r="D2491" s="26">
        <v>0.61442129629629627</v>
      </c>
      <c r="E2491" t="s">
        <v>30</v>
      </c>
      <c r="F2491" t="s">
        <v>534</v>
      </c>
      <c r="G2491" t="s">
        <v>535</v>
      </c>
      <c r="H2491" t="s">
        <v>302</v>
      </c>
      <c r="I2491" s="173">
        <v>337.92</v>
      </c>
      <c r="J2491" s="173">
        <v>338</v>
      </c>
      <c r="K2491" s="160">
        <v>774452</v>
      </c>
      <c r="L2491" s="160">
        <v>908</v>
      </c>
      <c r="M2491" s="149">
        <f>+J2491/L2491*100</f>
        <v>37.224669603524227</v>
      </c>
    </row>
    <row r="2492" spans="1:13" ht="15" hidden="1" customHeight="1" x14ac:dyDescent="0.3">
      <c r="A2492" s="9">
        <v>6751</v>
      </c>
      <c r="B2492" t="s">
        <v>356</v>
      </c>
      <c r="C2492" s="25">
        <v>44748</v>
      </c>
      <c r="D2492" s="26">
        <v>0.55905092592592587</v>
      </c>
      <c r="E2492" t="s">
        <v>30</v>
      </c>
      <c r="F2492" t="s">
        <v>210</v>
      </c>
      <c r="G2492" t="s">
        <v>211</v>
      </c>
      <c r="H2492" t="s">
        <v>302</v>
      </c>
      <c r="I2492" s="173">
        <v>374.54</v>
      </c>
      <c r="J2492" s="8"/>
      <c r="K2492" s="8">
        <v>775368</v>
      </c>
      <c r="L2492" s="8">
        <f>+K2492-J2492</f>
        <v>775368</v>
      </c>
      <c r="M2492" s="91">
        <f>I2492/K2492*100</f>
        <v>4.8304804944232935E-2</v>
      </c>
    </row>
    <row r="2493" spans="1:13" ht="15" hidden="1" customHeight="1" x14ac:dyDescent="0.3">
      <c r="A2493" s="9">
        <v>6751</v>
      </c>
      <c r="B2493" t="s">
        <v>356</v>
      </c>
      <c r="C2493" s="25">
        <v>44748</v>
      </c>
      <c r="D2493" s="26">
        <v>0.79607638888888888</v>
      </c>
      <c r="E2493" t="s">
        <v>30</v>
      </c>
      <c r="F2493" t="s">
        <v>278</v>
      </c>
      <c r="G2493" t="s">
        <v>279</v>
      </c>
      <c r="H2493" t="s">
        <v>302</v>
      </c>
      <c r="I2493" s="173">
        <v>189.67</v>
      </c>
      <c r="J2493" s="8"/>
      <c r="K2493" s="8">
        <v>775731</v>
      </c>
      <c r="L2493" s="8">
        <f>+K2493-J2493</f>
        <v>775731</v>
      </c>
      <c r="M2493" s="91">
        <f>I2493/K2493*100</f>
        <v>2.4450486057666893E-2</v>
      </c>
    </row>
    <row r="2494" spans="1:13" ht="15" hidden="1" customHeight="1" x14ac:dyDescent="0.3">
      <c r="A2494" s="9">
        <v>6751</v>
      </c>
      <c r="B2494" t="s">
        <v>356</v>
      </c>
      <c r="C2494" s="25">
        <v>44749</v>
      </c>
      <c r="D2494" s="26">
        <v>0.50920138888888888</v>
      </c>
      <c r="E2494" t="s">
        <v>30</v>
      </c>
      <c r="F2494" t="s">
        <v>210</v>
      </c>
      <c r="G2494" t="s">
        <v>211</v>
      </c>
      <c r="H2494" t="s">
        <v>302</v>
      </c>
      <c r="I2494" s="173" t="s">
        <v>792</v>
      </c>
      <c r="J2494" s="160">
        <f>190+208</f>
        <v>398</v>
      </c>
      <c r="K2494" s="160"/>
      <c r="L2494" s="160">
        <v>911</v>
      </c>
      <c r="M2494" s="149">
        <f>+J2494/L2494*100</f>
        <v>43.688254665203075</v>
      </c>
    </row>
    <row r="2495" spans="1:13" ht="15" hidden="1" customHeight="1" x14ac:dyDescent="0.3">
      <c r="A2495" s="9">
        <v>6751</v>
      </c>
      <c r="B2495" t="s">
        <v>356</v>
      </c>
      <c r="C2495" s="25">
        <v>44750</v>
      </c>
      <c r="D2495" s="26">
        <v>0.27946759259259263</v>
      </c>
      <c r="E2495" t="s">
        <v>30</v>
      </c>
      <c r="F2495" t="s">
        <v>169</v>
      </c>
      <c r="G2495" t="s">
        <v>196</v>
      </c>
      <c r="H2495" t="s">
        <v>302</v>
      </c>
      <c r="I2495" s="173" t="s">
        <v>791</v>
      </c>
      <c r="J2495" s="23"/>
      <c r="K2495" s="23"/>
      <c r="L2495" s="23"/>
      <c r="M2495" s="91" t="e">
        <f>I2495/K2495*100</f>
        <v>#DIV/0!</v>
      </c>
    </row>
    <row r="2496" spans="1:13" ht="15" hidden="1" customHeight="1" x14ac:dyDescent="0.3">
      <c r="A2496" s="9">
        <v>6751</v>
      </c>
      <c r="B2496" t="s">
        <v>356</v>
      </c>
      <c r="C2496" s="25">
        <v>44750</v>
      </c>
      <c r="D2496" s="26">
        <v>0.9005671296296297</v>
      </c>
      <c r="E2496" t="s">
        <v>30</v>
      </c>
      <c r="F2496" t="s">
        <v>772</v>
      </c>
      <c r="G2496" t="s">
        <v>44</v>
      </c>
      <c r="H2496" t="s">
        <v>302</v>
      </c>
      <c r="I2496" s="173" t="s">
        <v>790</v>
      </c>
      <c r="J2496" s="8"/>
      <c r="K2496" s="8"/>
      <c r="L2496" s="8"/>
      <c r="M2496" s="91" t="e">
        <f>I2496/K2496*100</f>
        <v>#DIV/0!</v>
      </c>
    </row>
    <row r="2497" spans="1:13" ht="15" hidden="1" customHeight="1" x14ac:dyDescent="0.3">
      <c r="A2497" s="9">
        <v>3049</v>
      </c>
      <c r="B2497" t="s">
        <v>564</v>
      </c>
      <c r="C2497" s="25">
        <v>44673</v>
      </c>
      <c r="D2497" s="26">
        <v>0.60699074074074078</v>
      </c>
      <c r="E2497" t="s">
        <v>27</v>
      </c>
      <c r="F2497" t="s">
        <v>338</v>
      </c>
      <c r="G2497" t="s">
        <v>388</v>
      </c>
      <c r="H2497" t="s">
        <v>565</v>
      </c>
      <c r="I2497" s="4">
        <v>105.9</v>
      </c>
      <c r="J2497" s="44"/>
      <c r="K2497" s="92">
        <f>+L2497-J2497</f>
        <v>253972</v>
      </c>
      <c r="L2497" s="249">
        <v>253972</v>
      </c>
      <c r="M2497" s="61">
        <f>I2497/K2497*100</f>
        <v>4.1697509961728066E-2</v>
      </c>
    </row>
    <row r="2498" spans="1:13" ht="15" hidden="1" customHeight="1" x14ac:dyDescent="0.3">
      <c r="A2498" s="9">
        <v>6675</v>
      </c>
      <c r="B2498" t="s">
        <v>257</v>
      </c>
      <c r="C2498" s="25">
        <v>44740</v>
      </c>
      <c r="D2498" s="26">
        <v>0.76423611111111101</v>
      </c>
      <c r="E2498" t="s">
        <v>29</v>
      </c>
      <c r="F2498" t="s">
        <v>634</v>
      </c>
      <c r="G2498" t="s">
        <v>211</v>
      </c>
      <c r="H2498" t="s">
        <v>124</v>
      </c>
      <c r="I2498" s="148">
        <v>777</v>
      </c>
      <c r="J2498" s="198">
        <f>777+94+587+200+778+610</f>
        <v>3046</v>
      </c>
      <c r="K2498" s="228">
        <v>2214</v>
      </c>
      <c r="L2498" s="228">
        <v>10407</v>
      </c>
      <c r="M2498" s="229">
        <f>+J2498/L2498*100</f>
        <v>29.268761410589029</v>
      </c>
    </row>
    <row r="2499" spans="1:13" ht="15" hidden="1" customHeight="1" x14ac:dyDescent="0.3">
      <c r="A2499" s="9">
        <v>6751</v>
      </c>
      <c r="B2499" t="s">
        <v>356</v>
      </c>
      <c r="C2499" s="25">
        <v>44750</v>
      </c>
      <c r="D2499" s="26">
        <v>0.90568287037037043</v>
      </c>
      <c r="E2499" t="s">
        <v>30</v>
      </c>
      <c r="F2499" t="s">
        <v>772</v>
      </c>
      <c r="G2499" t="s">
        <v>44</v>
      </c>
      <c r="H2499" t="s">
        <v>302</v>
      </c>
      <c r="I2499" s="173" t="s">
        <v>789</v>
      </c>
      <c r="J2499" s="8"/>
      <c r="K2499" s="8"/>
      <c r="L2499" s="8"/>
      <c r="M2499" s="139" t="e">
        <f>I2499/K2499*100</f>
        <v>#DIV/0!</v>
      </c>
    </row>
    <row r="2500" spans="1:13" ht="15" hidden="1" customHeight="1" x14ac:dyDescent="0.3">
      <c r="A2500" s="9">
        <v>6751</v>
      </c>
      <c r="B2500" t="s">
        <v>356</v>
      </c>
      <c r="C2500" s="25">
        <v>44751</v>
      </c>
      <c r="D2500" s="26">
        <v>0.98247685185185185</v>
      </c>
      <c r="E2500" t="s">
        <v>30</v>
      </c>
      <c r="F2500" t="s">
        <v>210</v>
      </c>
      <c r="G2500" t="s">
        <v>211</v>
      </c>
      <c r="H2500" t="s">
        <v>302</v>
      </c>
      <c r="I2500" s="173" t="s">
        <v>788</v>
      </c>
      <c r="J2500" s="23"/>
      <c r="K2500" s="90"/>
      <c r="L2500" s="291"/>
      <c r="M2500" s="91" t="e">
        <f>I2500/K2500*100</f>
        <v>#DIV/0!</v>
      </c>
    </row>
    <row r="2501" spans="1:13" ht="15" hidden="1" customHeight="1" x14ac:dyDescent="0.3">
      <c r="A2501" s="9">
        <v>6751</v>
      </c>
      <c r="B2501" t="s">
        <v>356</v>
      </c>
      <c r="C2501" s="25">
        <v>44752</v>
      </c>
      <c r="D2501" s="26">
        <v>0.94908564814814811</v>
      </c>
      <c r="E2501" t="s">
        <v>30</v>
      </c>
      <c r="F2501" t="s">
        <v>210</v>
      </c>
      <c r="G2501" t="s">
        <v>211</v>
      </c>
      <c r="H2501" t="s">
        <v>302</v>
      </c>
      <c r="I2501" s="173" t="s">
        <v>787</v>
      </c>
      <c r="J2501" s="231">
        <f>159+135+99+338+431</f>
        <v>1162</v>
      </c>
      <c r="K2501" s="151"/>
      <c r="L2501" s="151">
        <v>2913</v>
      </c>
      <c r="M2501" s="152">
        <f>+J2501/L2501*100</f>
        <v>39.890147614143494</v>
      </c>
    </row>
    <row r="2502" spans="1:13" ht="15" hidden="1" customHeight="1" x14ac:dyDescent="0.3">
      <c r="B2502" t="s">
        <v>257</v>
      </c>
      <c r="C2502" s="25">
        <v>44576</v>
      </c>
      <c r="D2502" s="26">
        <v>2.3263888888888887E-3</v>
      </c>
      <c r="E2502" t="s">
        <v>24</v>
      </c>
      <c r="F2502" t="s">
        <v>210</v>
      </c>
      <c r="G2502" t="s">
        <v>211</v>
      </c>
      <c r="H2502" t="s">
        <v>124</v>
      </c>
      <c r="I2502">
        <v>777.23</v>
      </c>
      <c r="J2502" s="34">
        <v>264138</v>
      </c>
      <c r="K2502" s="30">
        <f t="shared" ref="K2502:K2541" si="149">+L2502-J2502</f>
        <v>2150</v>
      </c>
      <c r="L2502" s="34">
        <v>266288</v>
      </c>
      <c r="M2502" s="61">
        <f t="shared" ref="M2502:M2533" si="150">I2502/K2502*100</f>
        <v>36.150232558139535</v>
      </c>
    </row>
    <row r="2503" spans="1:13" ht="15" hidden="1" customHeight="1" x14ac:dyDescent="0.3">
      <c r="B2503" t="s">
        <v>257</v>
      </c>
      <c r="C2503" s="25">
        <v>44576</v>
      </c>
      <c r="D2503" s="26">
        <v>0.98634259259259249</v>
      </c>
      <c r="E2503" t="s">
        <v>24</v>
      </c>
      <c r="F2503" t="s">
        <v>210</v>
      </c>
      <c r="G2503" t="s">
        <v>211</v>
      </c>
      <c r="H2503" t="s">
        <v>124</v>
      </c>
      <c r="I2503">
        <v>364.01</v>
      </c>
      <c r="J2503" s="7">
        <v>266288</v>
      </c>
      <c r="K2503" s="11">
        <f t="shared" si="149"/>
        <v>1104</v>
      </c>
      <c r="L2503" s="31">
        <v>267392</v>
      </c>
      <c r="M2503" s="10">
        <f t="shared" si="150"/>
        <v>32.971920289855071</v>
      </c>
    </row>
    <row r="2504" spans="1:13" ht="15" hidden="1" customHeight="1" x14ac:dyDescent="0.3">
      <c r="B2504" t="s">
        <v>257</v>
      </c>
      <c r="C2504" s="25">
        <v>44580</v>
      </c>
      <c r="D2504" s="26">
        <v>0.45645833333333335</v>
      </c>
      <c r="E2504" t="s">
        <v>24</v>
      </c>
      <c r="F2504" t="s">
        <v>210</v>
      </c>
      <c r="G2504" t="s">
        <v>211</v>
      </c>
      <c r="H2504" t="s">
        <v>124</v>
      </c>
      <c r="I2504">
        <v>653.39</v>
      </c>
      <c r="J2504" s="7">
        <v>267392</v>
      </c>
      <c r="K2504" s="11">
        <f t="shared" si="149"/>
        <v>1837</v>
      </c>
      <c r="L2504" s="7">
        <v>269229</v>
      </c>
      <c r="M2504" s="36">
        <f t="shared" si="150"/>
        <v>35.568317909635269</v>
      </c>
    </row>
    <row r="2505" spans="1:13" ht="15" hidden="1" customHeight="1" x14ac:dyDescent="0.3">
      <c r="B2505" t="s">
        <v>257</v>
      </c>
      <c r="C2505" s="25">
        <v>44581</v>
      </c>
      <c r="D2505" s="26">
        <v>0.5010648148148148</v>
      </c>
      <c r="E2505" t="s">
        <v>24</v>
      </c>
      <c r="F2505" t="s">
        <v>210</v>
      </c>
      <c r="G2505" t="s">
        <v>211</v>
      </c>
      <c r="H2505" t="s">
        <v>124</v>
      </c>
      <c r="I2505">
        <v>382.19</v>
      </c>
      <c r="J2505" s="7">
        <v>269229</v>
      </c>
      <c r="K2505" s="11">
        <f t="shared" si="149"/>
        <v>1106</v>
      </c>
      <c r="L2505" s="7">
        <v>270335</v>
      </c>
      <c r="M2505" s="36">
        <f t="shared" si="150"/>
        <v>34.556057866184446</v>
      </c>
    </row>
    <row r="2506" spans="1:13" ht="15" hidden="1" customHeight="1" x14ac:dyDescent="0.3">
      <c r="B2506" t="s">
        <v>257</v>
      </c>
      <c r="C2506" s="25">
        <v>44583</v>
      </c>
      <c r="D2506" s="26">
        <v>0.86637731481481473</v>
      </c>
      <c r="E2506" t="s">
        <v>24</v>
      </c>
      <c r="F2506" t="s">
        <v>210</v>
      </c>
      <c r="G2506" t="s">
        <v>211</v>
      </c>
      <c r="H2506" t="s">
        <v>124</v>
      </c>
      <c r="I2506">
        <v>660.02</v>
      </c>
      <c r="J2506" s="7">
        <v>270335</v>
      </c>
      <c r="K2506" s="11">
        <f t="shared" si="149"/>
        <v>1852</v>
      </c>
      <c r="L2506" s="7">
        <v>272187</v>
      </c>
      <c r="M2506" s="36">
        <f t="shared" si="150"/>
        <v>35.638228941684666</v>
      </c>
    </row>
    <row r="2507" spans="1:13" ht="15" hidden="1" customHeight="1" x14ac:dyDescent="0.3">
      <c r="B2507" t="s">
        <v>257</v>
      </c>
      <c r="C2507" s="25">
        <v>44585</v>
      </c>
      <c r="D2507" s="26">
        <v>0.85131944444444441</v>
      </c>
      <c r="E2507" t="s">
        <v>24</v>
      </c>
      <c r="F2507" t="s">
        <v>202</v>
      </c>
      <c r="G2507" t="s">
        <v>203</v>
      </c>
      <c r="H2507" t="s">
        <v>124</v>
      </c>
      <c r="I2507">
        <v>529.32000000000005</v>
      </c>
      <c r="J2507" s="7">
        <v>272187</v>
      </c>
      <c r="K2507" s="11">
        <f t="shared" si="149"/>
        <v>1664</v>
      </c>
      <c r="L2507" s="7">
        <v>273851</v>
      </c>
      <c r="M2507" s="36">
        <f t="shared" si="150"/>
        <v>31.810096153846157</v>
      </c>
    </row>
    <row r="2508" spans="1:13" ht="15" hidden="1" customHeight="1" x14ac:dyDescent="0.3">
      <c r="B2508" t="s">
        <v>257</v>
      </c>
      <c r="C2508" s="25">
        <v>44587</v>
      </c>
      <c r="D2508" s="26">
        <v>0.69200231481481478</v>
      </c>
      <c r="E2508" t="s">
        <v>24</v>
      </c>
      <c r="F2508" t="s">
        <v>210</v>
      </c>
      <c r="G2508" t="s">
        <v>211</v>
      </c>
      <c r="H2508" t="s">
        <v>124</v>
      </c>
      <c r="I2508">
        <v>447.35</v>
      </c>
      <c r="J2508" s="7">
        <v>273851</v>
      </c>
      <c r="K2508" s="11">
        <f t="shared" si="149"/>
        <v>1172</v>
      </c>
      <c r="L2508" s="32">
        <v>275023</v>
      </c>
      <c r="M2508" s="36">
        <f t="shared" si="150"/>
        <v>38.169795221843003</v>
      </c>
    </row>
    <row r="2509" spans="1:13" ht="15" hidden="1" customHeight="1" x14ac:dyDescent="0.3">
      <c r="B2509" t="s">
        <v>257</v>
      </c>
      <c r="C2509" s="25">
        <v>44591</v>
      </c>
      <c r="D2509" s="26">
        <v>0.75944444444444448</v>
      </c>
      <c r="E2509" t="s">
        <v>24</v>
      </c>
      <c r="F2509" t="s">
        <v>210</v>
      </c>
      <c r="G2509" t="s">
        <v>211</v>
      </c>
      <c r="H2509" t="s">
        <v>124</v>
      </c>
      <c r="I2509">
        <v>670.01</v>
      </c>
      <c r="J2509" s="7">
        <v>275023</v>
      </c>
      <c r="K2509" s="11">
        <f t="shared" si="149"/>
        <v>1849</v>
      </c>
      <c r="L2509" s="7">
        <v>276872</v>
      </c>
      <c r="M2509" s="36">
        <f t="shared" si="150"/>
        <v>36.23634396971336</v>
      </c>
    </row>
    <row r="2510" spans="1:13" ht="15" hidden="1" customHeight="1" x14ac:dyDescent="0.3">
      <c r="A2510" s="9">
        <v>839</v>
      </c>
      <c r="B2510" t="s">
        <v>257</v>
      </c>
      <c r="C2510" s="25">
        <v>44593</v>
      </c>
      <c r="D2510" s="26">
        <v>0.81805555555555554</v>
      </c>
      <c r="E2510" t="s">
        <v>25</v>
      </c>
      <c r="F2510" t="s">
        <v>169</v>
      </c>
      <c r="G2510" t="s">
        <v>196</v>
      </c>
      <c r="H2510" t="s">
        <v>124</v>
      </c>
      <c r="I2510">
        <v>300.01</v>
      </c>
      <c r="J2510" s="7">
        <v>276872</v>
      </c>
      <c r="K2510" s="11">
        <f t="shared" si="149"/>
        <v>1673</v>
      </c>
      <c r="L2510" s="7">
        <v>278545</v>
      </c>
      <c r="M2510" s="36">
        <f t="shared" si="150"/>
        <v>17.932456664674238</v>
      </c>
    </row>
    <row r="2511" spans="1:13" ht="15" hidden="1" customHeight="1" x14ac:dyDescent="0.3">
      <c r="A2511" s="9">
        <v>840</v>
      </c>
      <c r="B2511" t="s">
        <v>257</v>
      </c>
      <c r="C2511" s="25">
        <v>44595</v>
      </c>
      <c r="D2511" s="26">
        <v>0.63725694444444447</v>
      </c>
      <c r="E2511" t="s">
        <v>25</v>
      </c>
      <c r="F2511" t="s">
        <v>210</v>
      </c>
      <c r="G2511" t="s">
        <v>211</v>
      </c>
      <c r="H2511" t="s">
        <v>124</v>
      </c>
      <c r="I2511">
        <v>793.59</v>
      </c>
      <c r="J2511" s="39">
        <v>278545</v>
      </c>
      <c r="K2511" s="7">
        <f t="shared" si="149"/>
        <v>1308</v>
      </c>
      <c r="L2511" s="30">
        <v>279853</v>
      </c>
      <c r="M2511" s="10">
        <f t="shared" si="150"/>
        <v>60.672018348623858</v>
      </c>
    </row>
    <row r="2512" spans="1:13" ht="15" hidden="1" customHeight="1" x14ac:dyDescent="0.3">
      <c r="A2512" s="9">
        <v>841</v>
      </c>
      <c r="B2512" t="s">
        <v>257</v>
      </c>
      <c r="C2512" s="25">
        <v>44596</v>
      </c>
      <c r="D2512" s="26">
        <v>0.6740856481481482</v>
      </c>
      <c r="E2512" t="s">
        <v>25</v>
      </c>
      <c r="F2512" t="s">
        <v>210</v>
      </c>
      <c r="G2512" t="s">
        <v>211</v>
      </c>
      <c r="H2512" t="s">
        <v>124</v>
      </c>
      <c r="I2512">
        <v>374.52</v>
      </c>
      <c r="J2512" s="71">
        <v>279853</v>
      </c>
      <c r="K2512" s="32">
        <f t="shared" si="149"/>
        <v>1108</v>
      </c>
      <c r="L2512" s="11">
        <v>280961</v>
      </c>
      <c r="M2512" s="10">
        <f t="shared" si="150"/>
        <v>33.801444043321297</v>
      </c>
    </row>
    <row r="2513" spans="1:13" ht="15" hidden="1" customHeight="1" x14ac:dyDescent="0.3">
      <c r="A2513" s="9">
        <v>842</v>
      </c>
      <c r="B2513" t="s">
        <v>257</v>
      </c>
      <c r="C2513" s="25">
        <v>44598</v>
      </c>
      <c r="D2513" s="26">
        <v>0.86172453703703711</v>
      </c>
      <c r="E2513" t="s">
        <v>25</v>
      </c>
      <c r="F2513" t="s">
        <v>210</v>
      </c>
      <c r="G2513" t="s">
        <v>211</v>
      </c>
      <c r="H2513" t="s">
        <v>124</v>
      </c>
      <c r="I2513">
        <v>712.58</v>
      </c>
      <c r="J2513" s="71">
        <v>280961</v>
      </c>
      <c r="K2513" s="32">
        <f t="shared" si="149"/>
        <v>1946</v>
      </c>
      <c r="L2513" s="11">
        <v>282907</v>
      </c>
      <c r="M2513" s="10">
        <f t="shared" si="150"/>
        <v>36.617677286742037</v>
      </c>
    </row>
    <row r="2514" spans="1:13" ht="15" hidden="1" customHeight="1" x14ac:dyDescent="0.3">
      <c r="A2514" s="9">
        <v>843</v>
      </c>
      <c r="B2514" t="s">
        <v>257</v>
      </c>
      <c r="C2514" s="25">
        <v>44600</v>
      </c>
      <c r="D2514" s="26">
        <v>6.09837962962963E-2</v>
      </c>
      <c r="E2514" t="s">
        <v>25</v>
      </c>
      <c r="F2514" t="s">
        <v>210</v>
      </c>
      <c r="G2514" t="s">
        <v>211</v>
      </c>
      <c r="H2514" t="s">
        <v>124</v>
      </c>
      <c r="I2514">
        <v>387.11</v>
      </c>
      <c r="J2514" s="41">
        <v>282907</v>
      </c>
      <c r="K2514" s="32">
        <f t="shared" si="149"/>
        <v>1108</v>
      </c>
      <c r="L2514" s="30">
        <v>284015</v>
      </c>
      <c r="M2514" s="10">
        <f t="shared" si="150"/>
        <v>34.937725631768956</v>
      </c>
    </row>
    <row r="2515" spans="1:13" ht="15" hidden="1" customHeight="1" x14ac:dyDescent="0.3">
      <c r="A2515" s="9">
        <v>844</v>
      </c>
      <c r="B2515" t="s">
        <v>257</v>
      </c>
      <c r="C2515" s="25">
        <v>44604</v>
      </c>
      <c r="D2515" s="26">
        <v>0.38521990740740741</v>
      </c>
      <c r="E2515" t="s">
        <v>25</v>
      </c>
      <c r="F2515" t="s">
        <v>175</v>
      </c>
      <c r="G2515" t="s">
        <v>172</v>
      </c>
      <c r="H2515" t="s">
        <v>124</v>
      </c>
      <c r="I2515">
        <v>400.03</v>
      </c>
      <c r="J2515" s="40">
        <v>0</v>
      </c>
      <c r="K2515" s="7">
        <f t="shared" si="149"/>
        <v>2159.58</v>
      </c>
      <c r="L2515" s="51">
        <v>2159.58</v>
      </c>
      <c r="M2515" s="10">
        <f t="shared" si="150"/>
        <v>18.523509200863131</v>
      </c>
    </row>
    <row r="2516" spans="1:13" ht="15" hidden="1" customHeight="1" x14ac:dyDescent="0.3">
      <c r="A2516" s="9">
        <v>845</v>
      </c>
      <c r="B2516" t="s">
        <v>257</v>
      </c>
      <c r="C2516" s="25">
        <v>44605</v>
      </c>
      <c r="D2516" s="26">
        <v>0.36072916666666671</v>
      </c>
      <c r="E2516" t="s">
        <v>25</v>
      </c>
      <c r="F2516" t="s">
        <v>210</v>
      </c>
      <c r="G2516" t="s">
        <v>211</v>
      </c>
      <c r="H2516" t="s">
        <v>124</v>
      </c>
      <c r="I2516">
        <v>753.8</v>
      </c>
      <c r="J2516" s="34">
        <v>0</v>
      </c>
      <c r="K2516" s="51">
        <f t="shared" si="149"/>
        <v>818.96</v>
      </c>
      <c r="L2516" s="51">
        <v>818.96</v>
      </c>
      <c r="M2516" s="10">
        <f t="shared" si="150"/>
        <v>92.043567451401771</v>
      </c>
    </row>
    <row r="2517" spans="1:13" ht="15" hidden="1" customHeight="1" x14ac:dyDescent="0.3">
      <c r="A2517" s="9">
        <v>846</v>
      </c>
      <c r="B2517" t="s">
        <v>257</v>
      </c>
      <c r="C2517" s="25">
        <v>44606</v>
      </c>
      <c r="D2517" s="26">
        <v>0.93140046296296297</v>
      </c>
      <c r="E2517" t="s">
        <v>25</v>
      </c>
      <c r="F2517" t="s">
        <v>202</v>
      </c>
      <c r="G2517" t="s">
        <v>203</v>
      </c>
      <c r="H2517" t="s">
        <v>124</v>
      </c>
      <c r="I2517">
        <v>200</v>
      </c>
      <c r="J2517" s="34">
        <v>0</v>
      </c>
      <c r="K2517" s="34">
        <f t="shared" si="149"/>
        <v>1458.1</v>
      </c>
      <c r="L2517" s="7">
        <v>1458.1</v>
      </c>
      <c r="M2517" s="10">
        <f t="shared" si="150"/>
        <v>13.716480351141898</v>
      </c>
    </row>
    <row r="2518" spans="1:13" ht="15" hidden="1" customHeight="1" x14ac:dyDescent="0.3">
      <c r="A2518" s="9">
        <v>847</v>
      </c>
      <c r="B2518" t="s">
        <v>257</v>
      </c>
      <c r="C2518" s="25">
        <v>44608</v>
      </c>
      <c r="D2518" s="26">
        <v>0.49634259259259261</v>
      </c>
      <c r="E2518" t="s">
        <v>25</v>
      </c>
      <c r="F2518" t="s">
        <v>210</v>
      </c>
      <c r="G2518" t="s">
        <v>211</v>
      </c>
      <c r="H2518" t="s">
        <v>124</v>
      </c>
      <c r="I2518">
        <v>722.59</v>
      </c>
      <c r="J2518" s="51">
        <v>0</v>
      </c>
      <c r="K2518" s="51">
        <f t="shared" si="149"/>
        <v>1088.3499999999999</v>
      </c>
      <c r="L2518" s="51">
        <v>1088.3499999999999</v>
      </c>
      <c r="M2518" s="10">
        <f t="shared" si="150"/>
        <v>66.393163963798415</v>
      </c>
    </row>
    <row r="2519" spans="1:13" ht="15" hidden="1" customHeight="1" x14ac:dyDescent="0.3">
      <c r="A2519" s="9">
        <v>848</v>
      </c>
      <c r="B2519" t="s">
        <v>257</v>
      </c>
      <c r="C2519" s="25">
        <v>44620</v>
      </c>
      <c r="D2519" s="26">
        <v>0.99373842592592598</v>
      </c>
      <c r="E2519" t="s">
        <v>25</v>
      </c>
      <c r="F2519" t="s">
        <v>210</v>
      </c>
      <c r="G2519" t="s">
        <v>211</v>
      </c>
      <c r="H2519" t="s">
        <v>124</v>
      </c>
      <c r="I2519">
        <v>885.97</v>
      </c>
      <c r="J2519" s="7">
        <v>0</v>
      </c>
      <c r="K2519" s="31">
        <f t="shared" si="149"/>
        <v>2332.9299999999998</v>
      </c>
      <c r="L2519" s="31">
        <v>2332.9299999999998</v>
      </c>
      <c r="M2519" s="10">
        <f t="shared" si="150"/>
        <v>37.976707402279544</v>
      </c>
    </row>
    <row r="2520" spans="1:13" ht="15" hidden="1" customHeight="1" x14ac:dyDescent="0.3">
      <c r="A2520" s="9">
        <v>1977</v>
      </c>
      <c r="B2520" t="s">
        <v>257</v>
      </c>
      <c r="C2520" s="25">
        <v>44624</v>
      </c>
      <c r="D2520" s="26">
        <v>0.96408564814814823</v>
      </c>
      <c r="E2520" t="s">
        <v>26</v>
      </c>
      <c r="F2520" t="s">
        <v>165</v>
      </c>
      <c r="G2520" t="s">
        <v>185</v>
      </c>
      <c r="H2520" t="s">
        <v>124</v>
      </c>
      <c r="I2520">
        <v>300</v>
      </c>
      <c r="J2520" s="7">
        <v>0</v>
      </c>
      <c r="K2520" s="90">
        <f t="shared" si="149"/>
        <v>1852.72</v>
      </c>
      <c r="L2520" s="7">
        <v>1852.72</v>
      </c>
      <c r="M2520" s="10">
        <f t="shared" si="150"/>
        <v>16.192408998661428</v>
      </c>
    </row>
    <row r="2521" spans="1:13" ht="15" hidden="1" customHeight="1" x14ac:dyDescent="0.3">
      <c r="A2521" s="9">
        <v>1978</v>
      </c>
      <c r="B2521" t="s">
        <v>257</v>
      </c>
      <c r="C2521" s="25">
        <v>44626</v>
      </c>
      <c r="D2521" s="26">
        <v>0.69194444444444436</v>
      </c>
      <c r="E2521" t="s">
        <v>26</v>
      </c>
      <c r="F2521" t="s">
        <v>210</v>
      </c>
      <c r="G2521" t="s">
        <v>211</v>
      </c>
      <c r="H2521" t="s">
        <v>124</v>
      </c>
      <c r="I2521">
        <v>740.08</v>
      </c>
      <c r="J2521" s="7">
        <v>0</v>
      </c>
      <c r="K2521" s="97">
        <f t="shared" si="149"/>
        <v>948.85</v>
      </c>
      <c r="L2521" s="34">
        <v>948.85</v>
      </c>
      <c r="M2521" s="10">
        <f t="shared" si="150"/>
        <v>77.997576013068453</v>
      </c>
    </row>
    <row r="2522" spans="1:13" ht="15" hidden="1" customHeight="1" x14ac:dyDescent="0.3">
      <c r="A2522" s="9">
        <v>1979</v>
      </c>
      <c r="B2522" t="s">
        <v>257</v>
      </c>
      <c r="C2522" s="25">
        <v>44628</v>
      </c>
      <c r="D2522" s="26">
        <v>0.72859953703703706</v>
      </c>
      <c r="E2522" t="s">
        <v>26</v>
      </c>
      <c r="F2522" t="s">
        <v>210</v>
      </c>
      <c r="G2522" t="s">
        <v>211</v>
      </c>
      <c r="H2522" t="s">
        <v>124</v>
      </c>
      <c r="I2522">
        <v>650.02</v>
      </c>
      <c r="J2522" s="7">
        <v>0</v>
      </c>
      <c r="K2522" s="90">
        <f t="shared" si="149"/>
        <v>1737.39</v>
      </c>
      <c r="L2522" s="7">
        <v>1737.39</v>
      </c>
      <c r="M2522" s="10">
        <f t="shared" si="150"/>
        <v>37.413591651845579</v>
      </c>
    </row>
    <row r="2523" spans="1:13" ht="15" hidden="1" customHeight="1" x14ac:dyDescent="0.3">
      <c r="A2523" s="9">
        <v>1980</v>
      </c>
      <c r="B2523" t="s">
        <v>257</v>
      </c>
      <c r="C2523" s="25">
        <v>44630</v>
      </c>
      <c r="D2523" s="26">
        <v>0.49929398148148146</v>
      </c>
      <c r="E2523" t="s">
        <v>26</v>
      </c>
      <c r="F2523" t="s">
        <v>210</v>
      </c>
      <c r="G2523" t="s">
        <v>211</v>
      </c>
      <c r="H2523" t="s">
        <v>124</v>
      </c>
      <c r="I2523">
        <v>427.51</v>
      </c>
      <c r="J2523" s="7">
        <v>0</v>
      </c>
      <c r="K2523" s="97">
        <f t="shared" si="149"/>
        <v>1123.1400000000001</v>
      </c>
      <c r="L2523" s="34">
        <v>1123.1400000000001</v>
      </c>
      <c r="M2523" s="10">
        <f t="shared" si="150"/>
        <v>38.063821073063018</v>
      </c>
    </row>
    <row r="2524" spans="1:13" ht="15" hidden="1" customHeight="1" x14ac:dyDescent="0.3">
      <c r="A2524" s="9">
        <v>1981</v>
      </c>
      <c r="B2524" t="s">
        <v>257</v>
      </c>
      <c r="C2524" s="25">
        <v>44633</v>
      </c>
      <c r="D2524" s="26">
        <v>0.50490740740740747</v>
      </c>
      <c r="E2524" t="s">
        <v>26</v>
      </c>
      <c r="F2524" t="s">
        <v>210</v>
      </c>
      <c r="G2524" t="s">
        <v>211</v>
      </c>
      <c r="H2524" t="s">
        <v>124</v>
      </c>
      <c r="I2524">
        <v>597.89</v>
      </c>
      <c r="J2524" s="7">
        <v>0</v>
      </c>
      <c r="K2524" s="100">
        <f t="shared" si="149"/>
        <v>1793.96</v>
      </c>
      <c r="L2524" s="35">
        <v>1793.96</v>
      </c>
      <c r="M2524" s="10">
        <f t="shared" si="150"/>
        <v>33.327944881714195</v>
      </c>
    </row>
    <row r="2525" spans="1:13" ht="15" hidden="1" customHeight="1" x14ac:dyDescent="0.3">
      <c r="A2525" s="9">
        <v>1982</v>
      </c>
      <c r="B2525" t="s">
        <v>257</v>
      </c>
      <c r="C2525" s="25">
        <v>44634</v>
      </c>
      <c r="D2525" s="26">
        <v>0.49622685185185184</v>
      </c>
      <c r="E2525" t="s">
        <v>26</v>
      </c>
      <c r="F2525" t="s">
        <v>210</v>
      </c>
      <c r="G2525" t="s">
        <v>211</v>
      </c>
      <c r="H2525" t="s">
        <v>124</v>
      </c>
      <c r="I2525">
        <v>320.17</v>
      </c>
      <c r="J2525" s="31">
        <v>0</v>
      </c>
      <c r="K2525" s="99">
        <f t="shared" si="149"/>
        <v>885.48</v>
      </c>
      <c r="L2525" s="7">
        <v>885.48</v>
      </c>
      <c r="M2525" s="10">
        <f t="shared" si="150"/>
        <v>36.157790125129871</v>
      </c>
    </row>
    <row r="2526" spans="1:13" ht="15" hidden="1" customHeight="1" x14ac:dyDescent="0.3">
      <c r="A2526" s="9">
        <v>1983</v>
      </c>
      <c r="B2526" t="s">
        <v>257</v>
      </c>
      <c r="C2526" s="25">
        <v>44636</v>
      </c>
      <c r="D2526" s="26">
        <v>0.88844907407407403</v>
      </c>
      <c r="E2526" t="s">
        <v>26</v>
      </c>
      <c r="F2526" t="s">
        <v>210</v>
      </c>
      <c r="G2526" t="s">
        <v>211</v>
      </c>
      <c r="H2526" t="s">
        <v>124</v>
      </c>
      <c r="I2526">
        <v>595.09</v>
      </c>
      <c r="J2526" s="7">
        <v>0</v>
      </c>
      <c r="K2526" s="97">
        <f t="shared" si="149"/>
        <v>1774.55</v>
      </c>
      <c r="L2526" s="34">
        <v>1774.55</v>
      </c>
      <c r="M2526" s="10">
        <f t="shared" si="150"/>
        <v>33.534698937758876</v>
      </c>
    </row>
    <row r="2527" spans="1:13" ht="15" hidden="1" customHeight="1" x14ac:dyDescent="0.3">
      <c r="A2527" s="9">
        <v>1984</v>
      </c>
      <c r="B2527" t="s">
        <v>257</v>
      </c>
      <c r="C2527" s="25">
        <v>44638</v>
      </c>
      <c r="D2527" s="26">
        <v>3.6180555555555556E-2</v>
      </c>
      <c r="E2527" t="s">
        <v>26</v>
      </c>
      <c r="F2527" t="s">
        <v>210</v>
      </c>
      <c r="G2527" t="s">
        <v>211</v>
      </c>
      <c r="H2527" t="s">
        <v>124</v>
      </c>
      <c r="I2527">
        <v>363.44</v>
      </c>
      <c r="J2527" s="7">
        <v>0</v>
      </c>
      <c r="K2527" s="97">
        <f t="shared" si="149"/>
        <v>1062.43</v>
      </c>
      <c r="L2527" s="34">
        <v>1062.43</v>
      </c>
      <c r="M2527" s="10">
        <f t="shared" si="150"/>
        <v>34.208371375055293</v>
      </c>
    </row>
    <row r="2528" spans="1:13" ht="15" hidden="1" customHeight="1" x14ac:dyDescent="0.3">
      <c r="A2528" s="9">
        <v>1985</v>
      </c>
      <c r="B2528" t="s">
        <v>257</v>
      </c>
      <c r="C2528" s="25">
        <v>44642</v>
      </c>
      <c r="D2528" s="26">
        <v>0.63422453703703707</v>
      </c>
      <c r="E2528" t="s">
        <v>26</v>
      </c>
      <c r="F2528" t="s">
        <v>210</v>
      </c>
      <c r="G2528" t="s">
        <v>211</v>
      </c>
      <c r="H2528" t="s">
        <v>124</v>
      </c>
      <c r="I2528">
        <v>655.44</v>
      </c>
      <c r="J2528" s="31">
        <v>0</v>
      </c>
      <c r="K2528" s="99">
        <f t="shared" si="149"/>
        <v>1947.24</v>
      </c>
      <c r="L2528" s="7">
        <v>1947.24</v>
      </c>
      <c r="M2528" s="10">
        <f t="shared" si="150"/>
        <v>33.659949466937825</v>
      </c>
    </row>
    <row r="2529" spans="1:13" ht="15" hidden="1" customHeight="1" x14ac:dyDescent="0.3">
      <c r="A2529" s="9">
        <v>1986</v>
      </c>
      <c r="B2529" t="s">
        <v>257</v>
      </c>
      <c r="C2529" s="25">
        <v>44643</v>
      </c>
      <c r="D2529" s="26">
        <v>0.4160300925925926</v>
      </c>
      <c r="E2529" t="s">
        <v>26</v>
      </c>
      <c r="F2529" t="s">
        <v>210</v>
      </c>
      <c r="G2529" t="s">
        <v>211</v>
      </c>
      <c r="H2529" t="s">
        <v>124</v>
      </c>
      <c r="I2529">
        <v>348.05</v>
      </c>
      <c r="J2529" s="31">
        <v>0</v>
      </c>
      <c r="K2529" s="104">
        <f t="shared" si="149"/>
        <v>1062.29</v>
      </c>
      <c r="L2529" s="7">
        <v>1062.29</v>
      </c>
      <c r="M2529" s="36">
        <f t="shared" si="150"/>
        <v>32.76412279132817</v>
      </c>
    </row>
    <row r="2530" spans="1:13" ht="15" hidden="1" customHeight="1" x14ac:dyDescent="0.3">
      <c r="A2530" s="9">
        <v>1987</v>
      </c>
      <c r="B2530" t="s">
        <v>257</v>
      </c>
      <c r="C2530" s="25">
        <v>44651</v>
      </c>
      <c r="D2530" s="26">
        <v>0.68440972222222218</v>
      </c>
      <c r="E2530" t="s">
        <v>26</v>
      </c>
      <c r="F2530" t="s">
        <v>210</v>
      </c>
      <c r="G2530" t="s">
        <v>211</v>
      </c>
      <c r="H2530" t="s">
        <v>124</v>
      </c>
      <c r="I2530">
        <v>622.24</v>
      </c>
      <c r="J2530" s="31">
        <v>0</v>
      </c>
      <c r="K2530" s="105">
        <f t="shared" si="149"/>
        <v>1851.28</v>
      </c>
      <c r="L2530" s="7">
        <v>1851.28</v>
      </c>
      <c r="M2530" s="36">
        <f t="shared" si="150"/>
        <v>33.611339181539265</v>
      </c>
    </row>
    <row r="2531" spans="1:13" ht="15" hidden="1" customHeight="1" x14ac:dyDescent="0.3">
      <c r="A2531" s="9">
        <v>3279</v>
      </c>
      <c r="B2531" t="s">
        <v>257</v>
      </c>
      <c r="C2531" s="25">
        <v>44653</v>
      </c>
      <c r="D2531" s="26">
        <v>0.61662037037037043</v>
      </c>
      <c r="E2531" t="s">
        <v>27</v>
      </c>
      <c r="F2531" t="s">
        <v>335</v>
      </c>
      <c r="G2531" t="s">
        <v>336</v>
      </c>
      <c r="H2531" t="s">
        <v>124</v>
      </c>
      <c r="I2531" s="4">
        <v>532.37</v>
      </c>
      <c r="J2531" s="7">
        <v>0</v>
      </c>
      <c r="K2531" s="100">
        <f t="shared" si="149"/>
        <v>1552.4</v>
      </c>
      <c r="L2531" s="35">
        <v>1552.4</v>
      </c>
      <c r="M2531" s="10">
        <f t="shared" si="150"/>
        <v>34.293352228807009</v>
      </c>
    </row>
    <row r="2532" spans="1:13" ht="15" hidden="1" customHeight="1" x14ac:dyDescent="0.3">
      <c r="A2532" s="9">
        <v>3280</v>
      </c>
      <c r="B2532" t="s">
        <v>257</v>
      </c>
      <c r="C2532" s="25">
        <v>44654</v>
      </c>
      <c r="D2532" s="26">
        <v>0.83061342592592602</v>
      </c>
      <c r="E2532" t="s">
        <v>27</v>
      </c>
      <c r="F2532" t="s">
        <v>210</v>
      </c>
      <c r="G2532" t="s">
        <v>211</v>
      </c>
      <c r="H2532" t="s">
        <v>124</v>
      </c>
      <c r="I2532" s="4">
        <v>363.54</v>
      </c>
      <c r="J2532" s="34">
        <v>0</v>
      </c>
      <c r="K2532" s="97">
        <f t="shared" si="149"/>
        <v>1135.8599999999999</v>
      </c>
      <c r="L2532" s="7">
        <v>1135.8599999999999</v>
      </c>
      <c r="M2532" s="10">
        <f t="shared" si="150"/>
        <v>32.005704928424286</v>
      </c>
    </row>
    <row r="2533" spans="1:13" ht="15" hidden="1" customHeight="1" x14ac:dyDescent="0.3">
      <c r="A2533" s="9">
        <v>3281</v>
      </c>
      <c r="B2533" t="s">
        <v>257</v>
      </c>
      <c r="C2533" s="25">
        <v>44657</v>
      </c>
      <c r="D2533" s="26">
        <v>0.48021990740740739</v>
      </c>
      <c r="E2533" t="s">
        <v>27</v>
      </c>
      <c r="F2533" t="s">
        <v>210</v>
      </c>
      <c r="G2533" t="s">
        <v>211</v>
      </c>
      <c r="H2533" t="s">
        <v>124</v>
      </c>
      <c r="I2533" s="4">
        <v>591.46</v>
      </c>
      <c r="J2533" s="34">
        <v>0</v>
      </c>
      <c r="K2533" s="97">
        <f t="shared" si="149"/>
        <v>1777.21</v>
      </c>
      <c r="L2533" s="7">
        <v>1777.21</v>
      </c>
      <c r="M2533" s="10">
        <f t="shared" si="150"/>
        <v>33.280253881083269</v>
      </c>
    </row>
    <row r="2534" spans="1:13" ht="15" hidden="1" customHeight="1" x14ac:dyDescent="0.3">
      <c r="A2534" s="9">
        <v>3282</v>
      </c>
      <c r="B2534" t="s">
        <v>257</v>
      </c>
      <c r="C2534" s="25">
        <v>44659</v>
      </c>
      <c r="D2534" s="26">
        <v>0.61822916666666672</v>
      </c>
      <c r="E2534" t="s">
        <v>27</v>
      </c>
      <c r="F2534" t="s">
        <v>210</v>
      </c>
      <c r="G2534" t="s">
        <v>211</v>
      </c>
      <c r="H2534" t="s">
        <v>124</v>
      </c>
      <c r="I2534" s="4">
        <v>421.97</v>
      </c>
      <c r="J2534" s="34">
        <v>0</v>
      </c>
      <c r="K2534" s="97">
        <f t="shared" si="149"/>
        <v>1120.3599999999999</v>
      </c>
      <c r="L2534" s="34">
        <v>1120.3599999999999</v>
      </c>
      <c r="M2534" s="10">
        <f t="shared" ref="M2534:M2567" si="151">I2534/K2534*100</f>
        <v>37.663786640008574</v>
      </c>
    </row>
    <row r="2535" spans="1:13" ht="15" hidden="1" customHeight="1" x14ac:dyDescent="0.3">
      <c r="A2535" s="9">
        <v>3283</v>
      </c>
      <c r="B2535" t="s">
        <v>257</v>
      </c>
      <c r="C2535" s="25">
        <v>44661</v>
      </c>
      <c r="D2535" s="26">
        <v>0.81836805555555558</v>
      </c>
      <c r="E2535" t="s">
        <v>27</v>
      </c>
      <c r="F2535" t="s">
        <v>210</v>
      </c>
      <c r="G2535" t="s">
        <v>211</v>
      </c>
      <c r="H2535" t="s">
        <v>124</v>
      </c>
      <c r="I2535" s="4">
        <v>581.52</v>
      </c>
      <c r="J2535" s="34">
        <v>0</v>
      </c>
      <c r="K2535" s="97">
        <f t="shared" si="149"/>
        <v>1767.65</v>
      </c>
      <c r="L2535" s="7">
        <v>1767.65</v>
      </c>
      <c r="M2535" s="10">
        <f t="shared" si="151"/>
        <v>32.897915311288997</v>
      </c>
    </row>
    <row r="2536" spans="1:13" ht="15" hidden="1" customHeight="1" x14ac:dyDescent="0.3">
      <c r="A2536" s="9">
        <v>3284</v>
      </c>
      <c r="B2536" t="s">
        <v>257</v>
      </c>
      <c r="C2536" s="25">
        <v>44663</v>
      </c>
      <c r="D2536" s="26">
        <v>0.7726157407407408</v>
      </c>
      <c r="E2536" t="s">
        <v>27</v>
      </c>
      <c r="F2536" t="s">
        <v>210</v>
      </c>
      <c r="G2536" t="s">
        <v>211</v>
      </c>
      <c r="H2536" t="s">
        <v>124</v>
      </c>
      <c r="I2536" s="4">
        <v>426</v>
      </c>
      <c r="J2536" s="34">
        <v>0</v>
      </c>
      <c r="K2536" s="97">
        <f t="shared" si="149"/>
        <v>1122.92</v>
      </c>
      <c r="L2536" s="37">
        <v>1122.92</v>
      </c>
      <c r="M2536" s="10">
        <f t="shared" si="151"/>
        <v>37.93680760873437</v>
      </c>
    </row>
    <row r="2537" spans="1:13" ht="15" hidden="1" customHeight="1" x14ac:dyDescent="0.3">
      <c r="A2537" s="9">
        <v>3285</v>
      </c>
      <c r="B2537" t="s">
        <v>257</v>
      </c>
      <c r="C2537" s="25">
        <v>44666</v>
      </c>
      <c r="D2537" s="26">
        <v>0.63859953703703709</v>
      </c>
      <c r="E2537" t="s">
        <v>27</v>
      </c>
      <c r="F2537" t="s">
        <v>210</v>
      </c>
      <c r="G2537" t="s">
        <v>211</v>
      </c>
      <c r="H2537" t="s">
        <v>124</v>
      </c>
      <c r="I2537" s="4">
        <v>450.74</v>
      </c>
      <c r="J2537" s="34">
        <v>0</v>
      </c>
      <c r="K2537" s="97">
        <f t="shared" si="149"/>
        <v>1864.1</v>
      </c>
      <c r="L2537" s="7">
        <v>1864.1</v>
      </c>
      <c r="M2537" s="10">
        <f t="shared" si="151"/>
        <v>24.180033260018241</v>
      </c>
    </row>
    <row r="2538" spans="1:13" ht="15" hidden="1" customHeight="1" x14ac:dyDescent="0.3">
      <c r="A2538" s="9">
        <v>3286</v>
      </c>
      <c r="B2538" t="s">
        <v>257</v>
      </c>
      <c r="C2538" s="25">
        <v>44667</v>
      </c>
      <c r="D2538" s="26">
        <v>0.80335648148148142</v>
      </c>
      <c r="E2538" t="s">
        <v>27</v>
      </c>
      <c r="F2538" t="s">
        <v>169</v>
      </c>
      <c r="G2538" t="s">
        <v>170</v>
      </c>
      <c r="H2538" t="s">
        <v>124</v>
      </c>
      <c r="I2538" s="4">
        <v>100</v>
      </c>
      <c r="J2538" s="34">
        <v>0</v>
      </c>
      <c r="K2538" s="97">
        <f t="shared" si="149"/>
        <v>1550.17</v>
      </c>
      <c r="L2538" s="7">
        <v>1550.17</v>
      </c>
      <c r="M2538" s="10">
        <f t="shared" si="151"/>
        <v>6.4509053845707234</v>
      </c>
    </row>
    <row r="2539" spans="1:13" ht="15" hidden="1" customHeight="1" x14ac:dyDescent="0.3">
      <c r="A2539" s="9">
        <v>3287</v>
      </c>
      <c r="B2539" t="s">
        <v>257</v>
      </c>
      <c r="C2539" s="25">
        <v>44669</v>
      </c>
      <c r="D2539" s="26">
        <v>0.50186342592592592</v>
      </c>
      <c r="E2539" t="s">
        <v>27</v>
      </c>
      <c r="F2539" t="s">
        <v>274</v>
      </c>
      <c r="G2539" t="s">
        <v>495</v>
      </c>
      <c r="H2539" t="s">
        <v>124</v>
      </c>
      <c r="I2539" s="4">
        <f>50.15+150.4</f>
        <v>200.55</v>
      </c>
      <c r="J2539" s="34">
        <v>0</v>
      </c>
      <c r="K2539" s="97">
        <f t="shared" si="149"/>
        <v>82</v>
      </c>
      <c r="L2539" s="32">
        <v>82</v>
      </c>
      <c r="M2539" s="10">
        <f t="shared" si="151"/>
        <v>244.57317073170734</v>
      </c>
    </row>
    <row r="2540" spans="1:13" ht="15" hidden="1" customHeight="1" x14ac:dyDescent="0.3">
      <c r="A2540" s="9">
        <v>3288</v>
      </c>
      <c r="B2540" t="s">
        <v>257</v>
      </c>
      <c r="C2540" s="25">
        <v>44678</v>
      </c>
      <c r="D2540" s="26">
        <v>0.52773148148148141</v>
      </c>
      <c r="E2540" t="s">
        <v>27</v>
      </c>
      <c r="F2540" t="s">
        <v>197</v>
      </c>
      <c r="G2540" t="s">
        <v>44</v>
      </c>
      <c r="H2540" t="s">
        <v>124</v>
      </c>
      <c r="I2540">
        <f>150.58+150</f>
        <v>300.58000000000004</v>
      </c>
      <c r="J2540" s="34">
        <v>0</v>
      </c>
      <c r="K2540" s="97">
        <f t="shared" si="149"/>
        <v>691.53</v>
      </c>
      <c r="L2540" s="34">
        <v>691.53</v>
      </c>
      <c r="M2540" s="10">
        <f t="shared" si="151"/>
        <v>43.465937847960326</v>
      </c>
    </row>
    <row r="2541" spans="1:13" ht="15" hidden="1" customHeight="1" x14ac:dyDescent="0.3">
      <c r="A2541" s="9">
        <v>3289</v>
      </c>
      <c r="B2541" t="s">
        <v>257</v>
      </c>
      <c r="C2541" s="25">
        <v>44678</v>
      </c>
      <c r="D2541" s="26">
        <v>0.92628472222222225</v>
      </c>
      <c r="E2541" t="s">
        <v>27</v>
      </c>
      <c r="F2541" t="s">
        <v>210</v>
      </c>
      <c r="G2541" t="s">
        <v>211</v>
      </c>
      <c r="H2541" t="s">
        <v>124</v>
      </c>
      <c r="I2541">
        <v>600.01</v>
      </c>
      <c r="J2541" s="34">
        <v>0</v>
      </c>
      <c r="K2541" s="97">
        <f t="shared" si="149"/>
        <v>587</v>
      </c>
      <c r="L2541" s="7">
        <v>587</v>
      </c>
      <c r="M2541" s="10">
        <f t="shared" si="151"/>
        <v>102.21635434412266</v>
      </c>
    </row>
    <row r="2542" spans="1:13" ht="15" hidden="1" customHeight="1" x14ac:dyDescent="0.3">
      <c r="A2542" s="9">
        <v>3842</v>
      </c>
      <c r="B2542" t="s">
        <v>257</v>
      </c>
      <c r="C2542" s="25">
        <v>44685</v>
      </c>
      <c r="D2542" s="26">
        <v>3.8622685185185184E-2</v>
      </c>
      <c r="E2542" t="s">
        <v>28</v>
      </c>
      <c r="F2542" t="s">
        <v>210</v>
      </c>
      <c r="G2542" t="s">
        <v>211</v>
      </c>
      <c r="H2542" t="s">
        <v>124</v>
      </c>
      <c r="I2542">
        <v>657.86</v>
      </c>
      <c r="J2542" s="34">
        <v>0</v>
      </c>
      <c r="K2542" s="97">
        <f>+L2542-J2674</f>
        <v>2139</v>
      </c>
      <c r="L2542" s="32">
        <v>2139</v>
      </c>
      <c r="M2542" s="10">
        <f t="shared" si="151"/>
        <v>30.755493221131371</v>
      </c>
    </row>
    <row r="2543" spans="1:13" ht="15" hidden="1" customHeight="1" x14ac:dyDescent="0.3">
      <c r="A2543" s="9">
        <v>3953</v>
      </c>
      <c r="B2543" t="s">
        <v>257</v>
      </c>
      <c r="C2543" s="25">
        <v>44687</v>
      </c>
      <c r="D2543" s="26">
        <v>0.33940972222222227</v>
      </c>
      <c r="E2543" t="s">
        <v>28</v>
      </c>
      <c r="F2543" t="s">
        <v>210</v>
      </c>
      <c r="G2543" t="s">
        <v>211</v>
      </c>
      <c r="H2543" t="s">
        <v>124</v>
      </c>
      <c r="I2543">
        <v>639.66</v>
      </c>
      <c r="J2543" s="7">
        <v>0</v>
      </c>
      <c r="K2543" s="99">
        <f>+L2543-J2673</f>
        <v>1790</v>
      </c>
      <c r="L2543" s="33">
        <v>1790</v>
      </c>
      <c r="M2543" s="10">
        <f t="shared" si="151"/>
        <v>35.735195530726251</v>
      </c>
    </row>
    <row r="2544" spans="1:13" ht="15" hidden="1" customHeight="1" x14ac:dyDescent="0.3">
      <c r="A2544" s="9">
        <v>3998</v>
      </c>
      <c r="B2544" t="s">
        <v>257</v>
      </c>
      <c r="C2544" s="25">
        <v>44688</v>
      </c>
      <c r="D2544" s="26">
        <v>0.45042824074074073</v>
      </c>
      <c r="E2544" t="s">
        <v>28</v>
      </c>
      <c r="F2544" t="s">
        <v>210</v>
      </c>
      <c r="G2544" t="s">
        <v>211</v>
      </c>
      <c r="H2544" t="s">
        <v>124</v>
      </c>
      <c r="I2544">
        <v>355.97</v>
      </c>
      <c r="J2544" s="7">
        <v>0</v>
      </c>
      <c r="K2544" s="89">
        <f>+L2544-J2674</f>
        <v>1063</v>
      </c>
      <c r="L2544" s="32">
        <v>1063</v>
      </c>
      <c r="M2544" s="10">
        <f t="shared" si="151"/>
        <v>33.487300094073383</v>
      </c>
    </row>
    <row r="2545" spans="1:13" ht="15" hidden="1" customHeight="1" x14ac:dyDescent="0.3">
      <c r="A2545" s="9">
        <v>4091</v>
      </c>
      <c r="B2545" t="s">
        <v>257</v>
      </c>
      <c r="C2545" s="25">
        <v>44690</v>
      </c>
      <c r="D2545" s="26">
        <v>0.95103009259259252</v>
      </c>
      <c r="E2545" t="s">
        <v>28</v>
      </c>
      <c r="F2545" t="s">
        <v>210</v>
      </c>
      <c r="G2545" t="s">
        <v>211</v>
      </c>
      <c r="H2545" t="s">
        <v>124</v>
      </c>
      <c r="I2545">
        <v>606.14</v>
      </c>
      <c r="J2545" s="7">
        <v>0</v>
      </c>
      <c r="K2545" s="89">
        <f>+L2545-J2675</f>
        <v>1768</v>
      </c>
      <c r="L2545" s="32">
        <v>1768</v>
      </c>
      <c r="M2545" s="10">
        <f t="shared" si="151"/>
        <v>34.283936651583709</v>
      </c>
    </row>
    <row r="2546" spans="1:13" ht="15" hidden="1" customHeight="1" x14ac:dyDescent="0.3">
      <c r="A2546" s="9">
        <v>4179</v>
      </c>
      <c r="B2546" t="s">
        <v>257</v>
      </c>
      <c r="C2546" s="25">
        <v>44692</v>
      </c>
      <c r="D2546" s="26">
        <v>0.71391203703703709</v>
      </c>
      <c r="E2546" t="s">
        <v>28</v>
      </c>
      <c r="F2546" t="s">
        <v>202</v>
      </c>
      <c r="G2546" t="s">
        <v>203</v>
      </c>
      <c r="H2546" t="s">
        <v>124</v>
      </c>
      <c r="I2546">
        <v>100</v>
      </c>
      <c r="J2546" s="7">
        <v>0</v>
      </c>
      <c r="K2546" s="89">
        <f>+L2546-J2679</f>
        <v>1598</v>
      </c>
      <c r="L2546" s="32">
        <v>1598</v>
      </c>
      <c r="M2546" s="10">
        <f t="shared" si="151"/>
        <v>6.2578222778473096</v>
      </c>
    </row>
    <row r="2547" spans="1:13" ht="15" hidden="1" customHeight="1" x14ac:dyDescent="0.3">
      <c r="A2547" s="9">
        <v>4225</v>
      </c>
      <c r="B2547" t="s">
        <v>257</v>
      </c>
      <c r="C2547" s="25">
        <v>44693</v>
      </c>
      <c r="D2547" s="26">
        <v>0.29410879629629633</v>
      </c>
      <c r="E2547" t="s">
        <v>28</v>
      </c>
      <c r="F2547" t="s">
        <v>165</v>
      </c>
      <c r="G2547" t="s">
        <v>185</v>
      </c>
      <c r="H2547" t="s">
        <v>124</v>
      </c>
      <c r="I2547">
        <v>620.4</v>
      </c>
      <c r="J2547" s="7">
        <v>0</v>
      </c>
      <c r="K2547" s="89">
        <f>+L2547-J2680</f>
        <v>575</v>
      </c>
      <c r="L2547" s="32">
        <v>575</v>
      </c>
      <c r="M2547" s="10">
        <f t="shared" si="151"/>
        <v>107.89565217391304</v>
      </c>
    </row>
    <row r="2548" spans="1:13" ht="15" hidden="1" customHeight="1" x14ac:dyDescent="0.3">
      <c r="A2548" s="9">
        <v>4341</v>
      </c>
      <c r="B2548" t="s">
        <v>257</v>
      </c>
      <c r="C2548" s="25">
        <v>44695</v>
      </c>
      <c r="D2548" s="26">
        <v>0.52565972222222224</v>
      </c>
      <c r="E2548" t="s">
        <v>28</v>
      </c>
      <c r="F2548" t="s">
        <v>262</v>
      </c>
      <c r="G2548" t="s">
        <v>263</v>
      </c>
      <c r="H2548" t="s">
        <v>124</v>
      </c>
      <c r="I2548">
        <v>200</v>
      </c>
      <c r="J2548" s="7">
        <v>0</v>
      </c>
      <c r="K2548" s="89">
        <f>+L2548-J2818</f>
        <v>1633</v>
      </c>
      <c r="L2548" s="32">
        <v>1633</v>
      </c>
      <c r="M2548" s="10">
        <f t="shared" si="151"/>
        <v>12.24739742804654</v>
      </c>
    </row>
    <row r="2549" spans="1:13" ht="15" hidden="1" customHeight="1" x14ac:dyDescent="0.3">
      <c r="A2549" s="9">
        <v>4342</v>
      </c>
      <c r="B2549" t="s">
        <v>257</v>
      </c>
      <c r="C2549" s="25">
        <v>44695</v>
      </c>
      <c r="D2549" s="26">
        <v>0.90244212962962955</v>
      </c>
      <c r="E2549" t="s">
        <v>28</v>
      </c>
      <c r="F2549" t="s">
        <v>210</v>
      </c>
      <c r="G2549" t="s">
        <v>211</v>
      </c>
      <c r="H2549" t="s">
        <v>124</v>
      </c>
      <c r="I2549">
        <v>595</v>
      </c>
      <c r="J2549" s="7">
        <v>0</v>
      </c>
      <c r="K2549" s="89">
        <f>+L2549-J2819</f>
        <v>622</v>
      </c>
      <c r="L2549" s="32">
        <v>622</v>
      </c>
      <c r="M2549" s="10">
        <f t="shared" si="151"/>
        <v>95.659163987138257</v>
      </c>
    </row>
    <row r="2550" spans="1:13" ht="15" hidden="1" customHeight="1" x14ac:dyDescent="0.3">
      <c r="A2550" s="9">
        <v>4469</v>
      </c>
      <c r="B2550" t="s">
        <v>257</v>
      </c>
      <c r="C2550" s="25">
        <v>44697</v>
      </c>
      <c r="D2550" s="26">
        <v>4.4131944444444439E-2</v>
      </c>
      <c r="E2550" t="s">
        <v>28</v>
      </c>
      <c r="F2550" t="s">
        <v>210</v>
      </c>
      <c r="G2550" t="s">
        <v>211</v>
      </c>
      <c r="H2550" t="s">
        <v>124</v>
      </c>
      <c r="I2550">
        <v>365.66</v>
      </c>
      <c r="J2550" s="7">
        <v>0</v>
      </c>
      <c r="K2550" s="89">
        <f>+L2550-J2820</f>
        <v>1062</v>
      </c>
      <c r="L2550" s="32">
        <v>1062</v>
      </c>
      <c r="M2550" s="10">
        <f t="shared" si="151"/>
        <v>34.431261770244824</v>
      </c>
    </row>
    <row r="2551" spans="1:13" ht="15" hidden="1" customHeight="1" x14ac:dyDescent="0.3">
      <c r="A2551" s="9">
        <v>4571</v>
      </c>
      <c r="B2551" t="s">
        <v>257</v>
      </c>
      <c r="C2551" s="25">
        <v>44699</v>
      </c>
      <c r="D2551" s="26">
        <v>0.55929398148148146</v>
      </c>
      <c r="E2551" t="s">
        <v>28</v>
      </c>
      <c r="F2551" t="s">
        <v>490</v>
      </c>
      <c r="G2551" t="s">
        <v>487</v>
      </c>
      <c r="H2551" t="s">
        <v>124</v>
      </c>
      <c r="I2551">
        <v>619.53</v>
      </c>
      <c r="J2551" s="7">
        <v>0</v>
      </c>
      <c r="K2551" s="89">
        <f>+L2551-J2822</f>
        <v>1707</v>
      </c>
      <c r="L2551" s="67">
        <v>1707</v>
      </c>
      <c r="M2551" s="10">
        <f t="shared" si="151"/>
        <v>36.293497363796135</v>
      </c>
    </row>
    <row r="2552" spans="1:13" ht="15" hidden="1" customHeight="1" x14ac:dyDescent="0.3">
      <c r="A2552" s="9">
        <v>4735</v>
      </c>
      <c r="B2552" t="s">
        <v>257</v>
      </c>
      <c r="C2552" s="25">
        <v>44702</v>
      </c>
      <c r="D2552" s="26">
        <v>0.270625</v>
      </c>
      <c r="E2552" t="s">
        <v>28</v>
      </c>
      <c r="F2552" t="s">
        <v>165</v>
      </c>
      <c r="G2552" t="s">
        <v>185</v>
      </c>
      <c r="H2552" t="s">
        <v>124</v>
      </c>
      <c r="I2552">
        <v>772</v>
      </c>
      <c r="J2552" s="7">
        <v>0</v>
      </c>
      <c r="K2552" s="89">
        <f>+L2552-J2791</f>
        <v>2251</v>
      </c>
      <c r="L2552" s="53">
        <v>2251</v>
      </c>
      <c r="M2552" s="10">
        <f t="shared" si="151"/>
        <v>34.295868502887608</v>
      </c>
    </row>
    <row r="2553" spans="1:13" ht="15" hidden="1" customHeight="1" x14ac:dyDescent="0.3">
      <c r="A2553" s="9">
        <v>4955</v>
      </c>
      <c r="B2553" t="s">
        <v>257</v>
      </c>
      <c r="C2553" s="25">
        <v>44706</v>
      </c>
      <c r="D2553" s="26">
        <v>0.1557523148148148</v>
      </c>
      <c r="E2553" t="s">
        <v>28</v>
      </c>
      <c r="F2553" t="s">
        <v>210</v>
      </c>
      <c r="G2553" t="s">
        <v>211</v>
      </c>
      <c r="H2553" t="s">
        <v>124</v>
      </c>
      <c r="I2553">
        <f>53.66+698.92</f>
        <v>752.57999999999993</v>
      </c>
      <c r="J2553" s="7">
        <v>0</v>
      </c>
      <c r="K2553" s="89">
        <f>+L2553-J2792</f>
        <v>2285</v>
      </c>
      <c r="L2553" s="53">
        <v>2285</v>
      </c>
      <c r="M2553" s="10">
        <f t="shared" si="151"/>
        <v>32.935667396061262</v>
      </c>
    </row>
    <row r="2554" spans="1:13" ht="15" hidden="1" customHeight="1" x14ac:dyDescent="0.3">
      <c r="A2554" s="9">
        <v>5052</v>
      </c>
      <c r="B2554" t="s">
        <v>257</v>
      </c>
      <c r="C2554" s="25">
        <v>44708</v>
      </c>
      <c r="D2554" s="26">
        <v>8.5300925925925926E-3</v>
      </c>
      <c r="E2554" t="s">
        <v>28</v>
      </c>
      <c r="F2554" t="s">
        <v>635</v>
      </c>
      <c r="G2554" t="s">
        <v>185</v>
      </c>
      <c r="H2554" t="s">
        <v>124</v>
      </c>
      <c r="I2554">
        <v>740</v>
      </c>
      <c r="J2554" s="7">
        <v>0</v>
      </c>
      <c r="K2554" s="89">
        <f>+L2554-J3240</f>
        <v>2175</v>
      </c>
      <c r="L2554" s="11">
        <v>2175</v>
      </c>
      <c r="M2554" s="10">
        <f t="shared" si="151"/>
        <v>34.022988505747129</v>
      </c>
    </row>
    <row r="2555" spans="1:13" ht="15" hidden="1" customHeight="1" x14ac:dyDescent="0.3">
      <c r="A2555" s="9">
        <v>5598</v>
      </c>
      <c r="B2555" t="s">
        <v>257</v>
      </c>
      <c r="C2555" s="25">
        <v>44719</v>
      </c>
      <c r="D2555" s="26">
        <v>0.55023148148148149</v>
      </c>
      <c r="E2555" t="s">
        <v>29</v>
      </c>
      <c r="F2555" t="s">
        <v>662</v>
      </c>
      <c r="G2555" t="s">
        <v>542</v>
      </c>
      <c r="H2555" t="s">
        <v>424</v>
      </c>
      <c r="I2555">
        <v>50.03</v>
      </c>
      <c r="J2555" s="32">
        <v>0</v>
      </c>
      <c r="K2555" s="89">
        <f>+L2555-J2770</f>
        <v>1029</v>
      </c>
      <c r="L2555" s="11">
        <v>1029</v>
      </c>
      <c r="M2555" s="10">
        <f t="shared" si="151"/>
        <v>4.8620019436345965</v>
      </c>
    </row>
    <row r="2556" spans="1:13" ht="15" hidden="1" customHeight="1" x14ac:dyDescent="0.3">
      <c r="A2556" s="9">
        <v>5599</v>
      </c>
      <c r="B2556" t="s">
        <v>257</v>
      </c>
      <c r="C2556" s="25">
        <v>44719</v>
      </c>
      <c r="D2556" s="26">
        <v>0.79935185185185187</v>
      </c>
      <c r="E2556" t="s">
        <v>29</v>
      </c>
      <c r="F2556" t="s">
        <v>717</v>
      </c>
      <c r="G2556" t="s">
        <v>487</v>
      </c>
      <c r="H2556" t="s">
        <v>424</v>
      </c>
      <c r="I2556">
        <v>300.13</v>
      </c>
      <c r="J2556" s="32">
        <v>0</v>
      </c>
      <c r="K2556" s="89">
        <f>+L2556-J2114</f>
        <v>446</v>
      </c>
      <c r="L2556" s="11">
        <v>446</v>
      </c>
      <c r="M2556" s="10">
        <f t="shared" si="151"/>
        <v>67.293721973094165</v>
      </c>
    </row>
    <row r="2557" spans="1:13" ht="15" hidden="1" customHeight="1" x14ac:dyDescent="0.3">
      <c r="A2557" s="9">
        <v>5662</v>
      </c>
      <c r="B2557" t="s">
        <v>257</v>
      </c>
      <c r="C2557" s="25">
        <v>44720</v>
      </c>
      <c r="D2557" s="26">
        <v>0.17944444444444443</v>
      </c>
      <c r="E2557" t="s">
        <v>29</v>
      </c>
      <c r="F2557" t="s">
        <v>635</v>
      </c>
      <c r="G2557" t="s">
        <v>185</v>
      </c>
      <c r="H2557" t="s">
        <v>424</v>
      </c>
      <c r="I2557">
        <v>465.19</v>
      </c>
      <c r="J2557" s="32">
        <v>0</v>
      </c>
      <c r="K2557" s="89">
        <f>+L2557-J2116</f>
        <v>592</v>
      </c>
      <c r="L2557" s="7">
        <v>592</v>
      </c>
      <c r="M2557" s="10">
        <f t="shared" si="151"/>
        <v>78.579391891891888</v>
      </c>
    </row>
    <row r="2558" spans="1:13" ht="15" hidden="1" customHeight="1" x14ac:dyDescent="0.3">
      <c r="A2558" s="9">
        <v>5663</v>
      </c>
      <c r="B2558" t="s">
        <v>257</v>
      </c>
      <c r="C2558" s="25">
        <v>44720</v>
      </c>
      <c r="D2558" s="26">
        <v>0.83069444444444451</v>
      </c>
      <c r="E2558" t="s">
        <v>29</v>
      </c>
      <c r="F2558" t="s">
        <v>634</v>
      </c>
      <c r="G2558" t="s">
        <v>211</v>
      </c>
      <c r="H2558" t="s">
        <v>424</v>
      </c>
      <c r="I2558">
        <v>154.66</v>
      </c>
      <c r="J2558" s="32">
        <v>0</v>
      </c>
      <c r="K2558" s="89">
        <f>+L2558-J2150</f>
        <v>547</v>
      </c>
      <c r="L2558" s="31">
        <v>547</v>
      </c>
      <c r="M2558" s="10">
        <f t="shared" si="151"/>
        <v>28.27422303473492</v>
      </c>
    </row>
    <row r="2559" spans="1:13" ht="15" hidden="1" customHeight="1" x14ac:dyDescent="0.3">
      <c r="A2559" s="9">
        <v>5717</v>
      </c>
      <c r="B2559" t="s">
        <v>257</v>
      </c>
      <c r="C2559" s="25">
        <v>44721</v>
      </c>
      <c r="D2559" s="26">
        <v>0.92710648148148145</v>
      </c>
      <c r="E2559" t="s">
        <v>29</v>
      </c>
      <c r="F2559" t="s">
        <v>680</v>
      </c>
      <c r="G2559" t="s">
        <v>402</v>
      </c>
      <c r="H2559" t="s">
        <v>424</v>
      </c>
      <c r="I2559">
        <v>205.16</v>
      </c>
      <c r="J2559" s="32">
        <v>0</v>
      </c>
      <c r="K2559" s="89">
        <f>+L2559-J2151</f>
        <v>665</v>
      </c>
      <c r="L2559" s="7">
        <v>665</v>
      </c>
      <c r="M2559" s="10">
        <f t="shared" si="151"/>
        <v>30.851127819548875</v>
      </c>
    </row>
    <row r="2560" spans="1:13" ht="15" hidden="1" customHeight="1" x14ac:dyDescent="0.3">
      <c r="A2560" s="9">
        <v>5835</v>
      </c>
      <c r="B2560" t="s">
        <v>257</v>
      </c>
      <c r="C2560" s="25">
        <v>44723</v>
      </c>
      <c r="D2560" s="26">
        <v>3.2627314814814817E-2</v>
      </c>
      <c r="E2560" t="s">
        <v>29</v>
      </c>
      <c r="F2560" t="s">
        <v>644</v>
      </c>
      <c r="G2560" t="s">
        <v>303</v>
      </c>
      <c r="H2560" t="s">
        <v>124</v>
      </c>
      <c r="I2560">
        <v>623.01</v>
      </c>
      <c r="J2560" s="7">
        <v>0</v>
      </c>
      <c r="K2560" s="89">
        <f>+L2560-J3211</f>
        <v>-243387</v>
      </c>
      <c r="L2560" s="7">
        <v>1853</v>
      </c>
      <c r="M2560" s="10">
        <f t="shared" si="151"/>
        <v>-0.2559750520775555</v>
      </c>
    </row>
    <row r="2561" spans="1:13" ht="15" hidden="1" customHeight="1" x14ac:dyDescent="0.3">
      <c r="A2561" s="9">
        <v>5885</v>
      </c>
      <c r="B2561" t="s">
        <v>257</v>
      </c>
      <c r="C2561" s="25">
        <v>44724</v>
      </c>
      <c r="D2561" s="26">
        <v>0.13694444444444445</v>
      </c>
      <c r="E2561" t="s">
        <v>29</v>
      </c>
      <c r="F2561" t="s">
        <v>635</v>
      </c>
      <c r="G2561" t="s">
        <v>185</v>
      </c>
      <c r="H2561" t="s">
        <v>124</v>
      </c>
      <c r="I2561">
        <v>403.69</v>
      </c>
      <c r="J2561" s="31">
        <v>0</v>
      </c>
      <c r="K2561" s="89">
        <f>+L2561-J3212</f>
        <v>966</v>
      </c>
      <c r="L2561" s="34">
        <v>966</v>
      </c>
      <c r="M2561" s="10">
        <f t="shared" si="151"/>
        <v>41.789855072463766</v>
      </c>
    </row>
    <row r="2562" spans="1:13" ht="15" hidden="1" customHeight="1" x14ac:dyDescent="0.3">
      <c r="A2562" s="9">
        <v>5886</v>
      </c>
      <c r="B2562" t="s">
        <v>257</v>
      </c>
      <c r="C2562" s="25">
        <v>44724</v>
      </c>
      <c r="D2562" s="26">
        <v>0.79069444444444448</v>
      </c>
      <c r="E2562" t="s">
        <v>29</v>
      </c>
      <c r="F2562" t="s">
        <v>634</v>
      </c>
      <c r="G2562" t="s">
        <v>211</v>
      </c>
      <c r="H2562" t="s">
        <v>124</v>
      </c>
      <c r="I2562">
        <v>131.34</v>
      </c>
      <c r="J2562" s="31">
        <v>0</v>
      </c>
      <c r="K2562" s="89">
        <v>514</v>
      </c>
      <c r="L2562" s="7">
        <v>514</v>
      </c>
      <c r="M2562" s="10">
        <f t="shared" si="151"/>
        <v>25.552529182879379</v>
      </c>
    </row>
    <row r="2563" spans="1:13" ht="15" hidden="1" customHeight="1" x14ac:dyDescent="0.3">
      <c r="A2563" s="9">
        <v>5997</v>
      </c>
      <c r="B2563" t="s">
        <v>257</v>
      </c>
      <c r="C2563" s="25">
        <v>44726</v>
      </c>
      <c r="D2563" s="26">
        <v>0.72211805555555564</v>
      </c>
      <c r="E2563" t="s">
        <v>29</v>
      </c>
      <c r="F2563" t="s">
        <v>674</v>
      </c>
      <c r="G2563" t="s">
        <v>487</v>
      </c>
      <c r="H2563" t="s">
        <v>124</v>
      </c>
      <c r="I2563" s="148">
        <v>610.23</v>
      </c>
      <c r="J2563" s="37">
        <v>0</v>
      </c>
      <c r="K2563" s="89">
        <v>1663</v>
      </c>
      <c r="L2563" s="7">
        <v>1663</v>
      </c>
      <c r="M2563" s="10">
        <f t="shared" si="151"/>
        <v>36.694527961515334</v>
      </c>
    </row>
    <row r="2564" spans="1:13" ht="15" hidden="1" customHeight="1" x14ac:dyDescent="0.3">
      <c r="A2564" s="9">
        <v>6171</v>
      </c>
      <c r="B2564" t="s">
        <v>257</v>
      </c>
      <c r="C2564" s="25">
        <v>44729</v>
      </c>
      <c r="D2564" s="26">
        <v>7.2002314814814811E-2</v>
      </c>
      <c r="E2564" t="s">
        <v>29</v>
      </c>
      <c r="F2564" t="s">
        <v>635</v>
      </c>
      <c r="G2564" t="s">
        <v>185</v>
      </c>
      <c r="H2564" t="s">
        <v>124</v>
      </c>
      <c r="I2564" s="148">
        <v>778</v>
      </c>
      <c r="J2564" s="32">
        <v>0</v>
      </c>
      <c r="K2564" s="89">
        <v>2248</v>
      </c>
      <c r="L2564" s="7">
        <v>2248</v>
      </c>
      <c r="M2564" s="10">
        <f t="shared" si="151"/>
        <v>34.608540925266908</v>
      </c>
    </row>
    <row r="2565" spans="1:13" ht="15" hidden="1" customHeight="1" x14ac:dyDescent="0.3">
      <c r="A2565" s="9">
        <v>6450</v>
      </c>
      <c r="B2565" t="s">
        <v>257</v>
      </c>
      <c r="C2565" s="25">
        <v>44736</v>
      </c>
      <c r="D2565" s="26">
        <v>3.5787037037037034E-2</v>
      </c>
      <c r="E2565" t="s">
        <v>29</v>
      </c>
      <c r="F2565" t="s">
        <v>717</v>
      </c>
      <c r="G2565" t="s">
        <v>487</v>
      </c>
      <c r="H2565" t="s">
        <v>124</v>
      </c>
      <c r="I2565" s="148">
        <v>200</v>
      </c>
      <c r="J2565" s="32">
        <v>0</v>
      </c>
      <c r="K2565" s="89">
        <v>2183</v>
      </c>
      <c r="L2565" s="7">
        <v>2183</v>
      </c>
      <c r="M2565" s="10">
        <f t="shared" si="151"/>
        <v>9.1617040769583138</v>
      </c>
    </row>
    <row r="2566" spans="1:13" ht="15" hidden="1" customHeight="1" x14ac:dyDescent="0.3">
      <c r="A2566" s="9">
        <v>6451</v>
      </c>
      <c r="B2566" t="s">
        <v>257</v>
      </c>
      <c r="C2566" s="25">
        <v>44736</v>
      </c>
      <c r="D2566" s="26">
        <v>4.9803240740740738E-2</v>
      </c>
      <c r="E2566" t="s">
        <v>29</v>
      </c>
      <c r="F2566" t="s">
        <v>674</v>
      </c>
      <c r="G2566" t="s">
        <v>487</v>
      </c>
      <c r="H2566" t="s">
        <v>124</v>
      </c>
      <c r="I2566" s="148">
        <v>586.96</v>
      </c>
      <c r="J2566" s="33">
        <v>0</v>
      </c>
      <c r="K2566" s="89">
        <v>5</v>
      </c>
      <c r="L2566" s="35">
        <v>5</v>
      </c>
      <c r="M2566" s="10">
        <f t="shared" si="151"/>
        <v>11739.2</v>
      </c>
    </row>
    <row r="2567" spans="1:13" ht="15" hidden="1" customHeight="1" x14ac:dyDescent="0.3">
      <c r="A2567" s="9">
        <v>6558</v>
      </c>
      <c r="B2567" t="s">
        <v>257</v>
      </c>
      <c r="C2567" s="25">
        <v>44738</v>
      </c>
      <c r="D2567" s="26">
        <v>0.1501736111111111</v>
      </c>
      <c r="E2567" t="s">
        <v>29</v>
      </c>
      <c r="F2567" t="s">
        <v>635</v>
      </c>
      <c r="G2567" t="s">
        <v>185</v>
      </c>
      <c r="H2567" t="s">
        <v>124</v>
      </c>
      <c r="I2567" s="148">
        <v>93.61</v>
      </c>
      <c r="J2567" s="33">
        <v>0</v>
      </c>
      <c r="K2567" s="89">
        <v>2092</v>
      </c>
      <c r="L2567" s="7">
        <v>2092</v>
      </c>
      <c r="M2567" s="10">
        <f t="shared" si="151"/>
        <v>4.4746653919694079</v>
      </c>
    </row>
    <row r="2568" spans="1:13" ht="15" hidden="1" customHeight="1" x14ac:dyDescent="0.3">
      <c r="A2568" s="9">
        <v>6751</v>
      </c>
      <c r="B2568" t="s">
        <v>257</v>
      </c>
      <c r="C2568" s="25">
        <v>44742</v>
      </c>
      <c r="D2568" s="26">
        <v>0.98935185185185182</v>
      </c>
      <c r="E2568" t="s">
        <v>29</v>
      </c>
      <c r="F2568" t="s">
        <v>165</v>
      </c>
      <c r="G2568" t="s">
        <v>185</v>
      </c>
      <c r="H2568" t="s">
        <v>124</v>
      </c>
      <c r="I2568" s="159">
        <v>622.89</v>
      </c>
      <c r="J2568" s="8"/>
      <c r="K2568" s="82">
        <v>36093</v>
      </c>
      <c r="L2568" s="8">
        <f>+K2568-J2568</f>
        <v>36093</v>
      </c>
      <c r="M2568" s="36">
        <f>I2568/L2568*100</f>
        <v>1.7257917047626963</v>
      </c>
    </row>
    <row r="2569" spans="1:13" ht="15" hidden="1" customHeight="1" x14ac:dyDescent="0.3">
      <c r="A2569" s="9">
        <v>6751</v>
      </c>
      <c r="B2569" t="s">
        <v>257</v>
      </c>
      <c r="C2569" s="25">
        <v>44742</v>
      </c>
      <c r="D2569" s="26">
        <v>0.99853009259259251</v>
      </c>
      <c r="E2569" t="s">
        <v>29</v>
      </c>
      <c r="F2569" t="s">
        <v>165</v>
      </c>
      <c r="G2569" t="s">
        <v>185</v>
      </c>
      <c r="H2569" t="s">
        <v>124</v>
      </c>
      <c r="I2569" s="159">
        <v>93.01</v>
      </c>
      <c r="J2569" s="54"/>
      <c r="K2569" s="56">
        <v>36093</v>
      </c>
      <c r="L2569" s="54">
        <f>+K2569-J2569</f>
        <v>36093</v>
      </c>
      <c r="M2569" s="121">
        <f>I2569/L2569*100</f>
        <v>0.25769539799961216</v>
      </c>
    </row>
    <row r="2570" spans="1:13" ht="15" hidden="1" customHeight="1" x14ac:dyDescent="0.3">
      <c r="A2570" s="9">
        <v>6751</v>
      </c>
      <c r="B2570" t="s">
        <v>356</v>
      </c>
      <c r="C2570" s="25">
        <v>44753</v>
      </c>
      <c r="D2570" s="26">
        <v>0.89973379629629635</v>
      </c>
      <c r="E2570" t="s">
        <v>30</v>
      </c>
      <c r="F2570" t="s">
        <v>534</v>
      </c>
      <c r="G2570" t="s">
        <v>535</v>
      </c>
      <c r="H2570" t="s">
        <v>302</v>
      </c>
      <c r="I2570" s="173" t="s">
        <v>888</v>
      </c>
      <c r="J2570" s="23"/>
      <c r="K2570" s="90"/>
      <c r="L2570" s="23"/>
      <c r="M2570" s="19"/>
    </row>
    <row r="2571" spans="1:13" ht="15" hidden="1" customHeight="1" x14ac:dyDescent="0.3">
      <c r="B2571" t="s">
        <v>179</v>
      </c>
      <c r="C2571" s="25">
        <v>44743</v>
      </c>
      <c r="D2571" s="26">
        <v>0.41019675925925925</v>
      </c>
      <c r="E2571" t="s">
        <v>30</v>
      </c>
      <c r="F2571" t="s">
        <v>210</v>
      </c>
      <c r="G2571" t="s">
        <v>211</v>
      </c>
      <c r="H2571" t="s">
        <v>180</v>
      </c>
      <c r="I2571" s="173">
        <v>385.72</v>
      </c>
      <c r="J2571" s="8"/>
      <c r="K2571" s="8"/>
      <c r="L2571" s="236"/>
      <c r="M2571" s="91"/>
    </row>
    <row r="2572" spans="1:13" ht="15" hidden="1" customHeight="1" x14ac:dyDescent="0.3">
      <c r="B2572" t="s">
        <v>179</v>
      </c>
      <c r="C2572" s="25">
        <v>44743</v>
      </c>
      <c r="D2572" s="26">
        <v>0.94623842592592589</v>
      </c>
      <c r="E2572" t="s">
        <v>30</v>
      </c>
      <c r="F2572" t="s">
        <v>446</v>
      </c>
      <c r="G2572" t="s">
        <v>402</v>
      </c>
      <c r="H2572" t="s">
        <v>180</v>
      </c>
      <c r="I2572" s="173">
        <v>247.23</v>
      </c>
      <c r="J2572" s="8"/>
      <c r="K2572" s="8"/>
      <c r="L2572" s="236"/>
      <c r="M2572" s="91"/>
    </row>
    <row r="2573" spans="1:13" ht="15" hidden="1" customHeight="1" x14ac:dyDescent="0.3">
      <c r="B2573" t="s">
        <v>179</v>
      </c>
      <c r="C2573" s="25">
        <v>44745</v>
      </c>
      <c r="D2573" s="26">
        <v>0.12836805555555555</v>
      </c>
      <c r="E2573" t="s">
        <v>30</v>
      </c>
      <c r="F2573" t="s">
        <v>210</v>
      </c>
      <c r="G2573" t="s">
        <v>211</v>
      </c>
      <c r="H2573" t="s">
        <v>180</v>
      </c>
      <c r="I2573" s="173">
        <v>480.18</v>
      </c>
      <c r="J2573" s="8"/>
      <c r="K2573" s="8"/>
      <c r="L2573" s="236"/>
      <c r="M2573" s="91"/>
    </row>
    <row r="2574" spans="1:13" ht="15" hidden="1" customHeight="1" x14ac:dyDescent="0.3">
      <c r="B2574" t="s">
        <v>179</v>
      </c>
      <c r="C2574" s="25">
        <v>44746</v>
      </c>
      <c r="D2574" s="26">
        <v>5.115740740740741E-3</v>
      </c>
      <c r="E2574" t="s">
        <v>30</v>
      </c>
      <c r="F2574" t="s">
        <v>210</v>
      </c>
      <c r="G2574" t="s">
        <v>211</v>
      </c>
      <c r="H2574" t="s">
        <v>180</v>
      </c>
      <c r="I2574" s="173">
        <v>386.26</v>
      </c>
      <c r="J2574" s="160">
        <f>385.72+247.23+480.18+386.26</f>
        <v>1499.39</v>
      </c>
      <c r="K2574" s="160">
        <v>778072</v>
      </c>
      <c r="L2574" s="173">
        <v>3558</v>
      </c>
      <c r="M2574" s="149">
        <f>+J2574/L2574*100</f>
        <v>42.141371557054526</v>
      </c>
    </row>
    <row r="2575" spans="1:13" ht="15" hidden="1" customHeight="1" x14ac:dyDescent="0.3">
      <c r="B2575" t="s">
        <v>179</v>
      </c>
      <c r="C2575" s="25">
        <v>44746</v>
      </c>
      <c r="D2575" s="26">
        <v>0.74193287037037037</v>
      </c>
      <c r="E2575" t="s">
        <v>30</v>
      </c>
      <c r="F2575" t="s">
        <v>446</v>
      </c>
      <c r="G2575" t="s">
        <v>402</v>
      </c>
      <c r="H2575" t="s">
        <v>180</v>
      </c>
      <c r="I2575" s="173">
        <v>222.82</v>
      </c>
      <c r="J2575" s="8"/>
      <c r="K2575" s="8"/>
      <c r="L2575" s="236"/>
      <c r="M2575" s="91"/>
    </row>
    <row r="2576" spans="1:13" ht="15" hidden="1" customHeight="1" x14ac:dyDescent="0.3">
      <c r="B2576" t="s">
        <v>179</v>
      </c>
      <c r="C2576" s="25">
        <v>44748</v>
      </c>
      <c r="D2576" s="26">
        <v>0.42520833333333335</v>
      </c>
      <c r="E2576" t="s">
        <v>30</v>
      </c>
      <c r="F2576" t="s">
        <v>210</v>
      </c>
      <c r="G2576" t="s">
        <v>211</v>
      </c>
      <c r="H2576" t="s">
        <v>180</v>
      </c>
      <c r="I2576" s="173">
        <v>508.93</v>
      </c>
      <c r="J2576" s="8"/>
      <c r="K2576" s="8"/>
      <c r="L2576" s="236"/>
      <c r="M2576" s="91"/>
    </row>
    <row r="2577" spans="1:13" ht="15" hidden="1" customHeight="1" x14ac:dyDescent="0.3">
      <c r="A2577" s="9">
        <v>99</v>
      </c>
      <c r="B2577" t="s">
        <v>286</v>
      </c>
      <c r="C2577" s="25">
        <v>44564</v>
      </c>
      <c r="D2577" s="26">
        <v>0.57064814814814813</v>
      </c>
      <c r="E2577" t="s">
        <v>24</v>
      </c>
      <c r="F2577" t="s">
        <v>175</v>
      </c>
      <c r="G2577" t="s">
        <v>172</v>
      </c>
      <c r="H2577" t="s">
        <v>287</v>
      </c>
      <c r="I2577">
        <v>176.57</v>
      </c>
      <c r="J2577" s="34">
        <v>651341</v>
      </c>
      <c r="K2577" s="34">
        <f t="shared" ref="K2577:K2608" si="152">+L2577-J2577</f>
        <v>450</v>
      </c>
      <c r="L2577" s="30">
        <v>651791</v>
      </c>
      <c r="M2577" s="254">
        <f t="shared" ref="M2577:M2608" si="153">I2577/K2577*100</f>
        <v>39.237777777777779</v>
      </c>
    </row>
    <row r="2578" spans="1:13" ht="15" hidden="1" customHeight="1" x14ac:dyDescent="0.3">
      <c r="A2578" s="9">
        <v>100</v>
      </c>
      <c r="B2578" t="s">
        <v>286</v>
      </c>
      <c r="C2578" s="25">
        <v>44565</v>
      </c>
      <c r="D2578" s="26">
        <v>0.93679398148148152</v>
      </c>
      <c r="E2578" t="s">
        <v>24</v>
      </c>
      <c r="F2578" t="s">
        <v>210</v>
      </c>
      <c r="G2578" t="s">
        <v>211</v>
      </c>
      <c r="H2578" t="s">
        <v>287</v>
      </c>
      <c r="I2578">
        <v>390.57</v>
      </c>
      <c r="J2578" s="7">
        <v>651791</v>
      </c>
      <c r="K2578" s="7">
        <f t="shared" si="152"/>
        <v>835</v>
      </c>
      <c r="L2578" s="11">
        <v>652626</v>
      </c>
      <c r="M2578" s="10">
        <f t="shared" si="153"/>
        <v>46.774850299401201</v>
      </c>
    </row>
    <row r="2579" spans="1:13" ht="15" hidden="1" customHeight="1" x14ac:dyDescent="0.3">
      <c r="A2579" s="9">
        <v>101</v>
      </c>
      <c r="B2579" t="s">
        <v>286</v>
      </c>
      <c r="C2579" s="25">
        <v>44567</v>
      </c>
      <c r="D2579" s="26">
        <v>9.8761574074074085E-2</v>
      </c>
      <c r="E2579" t="s">
        <v>24</v>
      </c>
      <c r="F2579" t="s">
        <v>210</v>
      </c>
      <c r="G2579" t="s">
        <v>211</v>
      </c>
      <c r="H2579" t="s">
        <v>287</v>
      </c>
      <c r="I2579">
        <v>407.62</v>
      </c>
      <c r="J2579" s="7">
        <v>652626</v>
      </c>
      <c r="K2579" s="7">
        <f t="shared" si="152"/>
        <v>1070</v>
      </c>
      <c r="L2579" s="11">
        <v>653696</v>
      </c>
      <c r="M2579" s="10">
        <f t="shared" si="153"/>
        <v>38.095327102803736</v>
      </c>
    </row>
    <row r="2580" spans="1:13" ht="15" hidden="1" customHeight="1" x14ac:dyDescent="0.3">
      <c r="A2580" s="9">
        <v>102</v>
      </c>
      <c r="B2580" t="s">
        <v>286</v>
      </c>
      <c r="C2580" s="25">
        <v>44568</v>
      </c>
      <c r="D2580" s="26">
        <v>0.53673611111111108</v>
      </c>
      <c r="E2580" t="s">
        <v>24</v>
      </c>
      <c r="F2580" t="s">
        <v>205</v>
      </c>
      <c r="G2580" t="s">
        <v>206</v>
      </c>
      <c r="H2580" t="s">
        <v>287</v>
      </c>
      <c r="I2580">
        <v>387.87</v>
      </c>
      <c r="J2580" s="7">
        <v>653696</v>
      </c>
      <c r="K2580" s="7">
        <f t="shared" si="152"/>
        <v>1030</v>
      </c>
      <c r="L2580" s="30">
        <v>654726</v>
      </c>
      <c r="M2580" s="10">
        <f t="shared" si="153"/>
        <v>37.657281553398057</v>
      </c>
    </row>
    <row r="2581" spans="1:13" ht="15" hidden="1" customHeight="1" x14ac:dyDescent="0.3">
      <c r="A2581" s="9">
        <v>103</v>
      </c>
      <c r="B2581" t="s">
        <v>286</v>
      </c>
      <c r="C2581" s="25">
        <v>44569</v>
      </c>
      <c r="D2581" s="26">
        <v>0.79914351851851861</v>
      </c>
      <c r="E2581" t="s">
        <v>24</v>
      </c>
      <c r="F2581" t="s">
        <v>210</v>
      </c>
      <c r="G2581" t="s">
        <v>211</v>
      </c>
      <c r="H2581" t="s">
        <v>287</v>
      </c>
      <c r="I2581">
        <v>285.70999999999998</v>
      </c>
      <c r="J2581" s="40">
        <v>654726</v>
      </c>
      <c r="K2581" s="7">
        <f t="shared" si="152"/>
        <v>698</v>
      </c>
      <c r="L2581" s="51">
        <v>655424</v>
      </c>
      <c r="M2581" s="10">
        <f t="shared" si="153"/>
        <v>40.932664756446989</v>
      </c>
    </row>
    <row r="2582" spans="1:13" ht="15" hidden="1" customHeight="1" x14ac:dyDescent="0.3">
      <c r="A2582" s="9">
        <v>104</v>
      </c>
      <c r="B2582" t="s">
        <v>286</v>
      </c>
      <c r="C2582" s="25">
        <v>44570</v>
      </c>
      <c r="D2582" s="26">
        <v>0.90370370370370379</v>
      </c>
      <c r="E2582" t="s">
        <v>24</v>
      </c>
      <c r="F2582" t="s">
        <v>202</v>
      </c>
      <c r="G2582" t="s">
        <v>203</v>
      </c>
      <c r="H2582" t="s">
        <v>287</v>
      </c>
      <c r="I2582">
        <f>239.82+150</f>
        <v>389.82</v>
      </c>
      <c r="J2582" s="39">
        <v>655424</v>
      </c>
      <c r="K2582" s="7">
        <f t="shared" si="152"/>
        <v>1097</v>
      </c>
      <c r="L2582" s="7">
        <v>656521</v>
      </c>
      <c r="M2582" s="36">
        <f t="shared" si="153"/>
        <v>35.535095715587964</v>
      </c>
    </row>
    <row r="2583" spans="1:13" ht="15" hidden="1" customHeight="1" x14ac:dyDescent="0.3">
      <c r="A2583" s="9">
        <v>105</v>
      </c>
      <c r="B2583" t="s">
        <v>286</v>
      </c>
      <c r="C2583" s="25">
        <v>44571</v>
      </c>
      <c r="D2583" s="26">
        <v>0.92538194444444455</v>
      </c>
      <c r="E2583" t="s">
        <v>24</v>
      </c>
      <c r="F2583" t="s">
        <v>202</v>
      </c>
      <c r="G2583" t="s">
        <v>203</v>
      </c>
      <c r="H2583" t="s">
        <v>287</v>
      </c>
      <c r="I2583">
        <v>164.2</v>
      </c>
      <c r="J2583" s="7">
        <v>656521</v>
      </c>
      <c r="K2583" s="7">
        <f t="shared" si="152"/>
        <v>515</v>
      </c>
      <c r="L2583" s="7">
        <v>657036</v>
      </c>
      <c r="M2583" s="36">
        <f t="shared" si="153"/>
        <v>31.883495145631063</v>
      </c>
    </row>
    <row r="2584" spans="1:13" ht="15" hidden="1" customHeight="1" x14ac:dyDescent="0.3">
      <c r="A2584" s="9">
        <v>106</v>
      </c>
      <c r="B2584" t="s">
        <v>286</v>
      </c>
      <c r="C2584" s="25">
        <v>44573</v>
      </c>
      <c r="D2584" s="26">
        <v>0.6436574074074074</v>
      </c>
      <c r="E2584" t="s">
        <v>24</v>
      </c>
      <c r="F2584" t="s">
        <v>210</v>
      </c>
      <c r="G2584" t="s">
        <v>211</v>
      </c>
      <c r="H2584" t="s">
        <v>287</v>
      </c>
      <c r="I2584">
        <v>416.73</v>
      </c>
      <c r="J2584" s="7">
        <v>657036</v>
      </c>
      <c r="K2584" s="7">
        <f t="shared" si="152"/>
        <v>1106</v>
      </c>
      <c r="L2584" s="7">
        <v>658142</v>
      </c>
      <c r="M2584" s="36">
        <f t="shared" si="153"/>
        <v>37.679023508137433</v>
      </c>
    </row>
    <row r="2585" spans="1:13" ht="15" hidden="1" customHeight="1" x14ac:dyDescent="0.3">
      <c r="A2585" s="9">
        <v>107</v>
      </c>
      <c r="B2585" t="s">
        <v>286</v>
      </c>
      <c r="C2585" s="25">
        <v>44575</v>
      </c>
      <c r="D2585" s="26">
        <v>0.51331018518518523</v>
      </c>
      <c r="E2585" t="s">
        <v>24</v>
      </c>
      <c r="F2585" t="s">
        <v>205</v>
      </c>
      <c r="G2585" t="s">
        <v>206</v>
      </c>
      <c r="H2585" t="s">
        <v>287</v>
      </c>
      <c r="I2585">
        <v>395.89</v>
      </c>
      <c r="J2585" s="7">
        <v>658142</v>
      </c>
      <c r="K2585" s="7">
        <f t="shared" si="152"/>
        <v>1078</v>
      </c>
      <c r="L2585" s="7">
        <v>659220</v>
      </c>
      <c r="M2585" s="36">
        <f t="shared" si="153"/>
        <v>36.724489795918366</v>
      </c>
    </row>
    <row r="2586" spans="1:13" ht="15" hidden="1" customHeight="1" x14ac:dyDescent="0.3">
      <c r="A2586" s="9">
        <v>108</v>
      </c>
      <c r="B2586" t="s">
        <v>286</v>
      </c>
      <c r="C2586" s="25">
        <v>44576</v>
      </c>
      <c r="D2586" s="26">
        <v>0.81935185185185189</v>
      </c>
      <c r="E2586" t="s">
        <v>24</v>
      </c>
      <c r="F2586" t="s">
        <v>210</v>
      </c>
      <c r="G2586" t="s">
        <v>211</v>
      </c>
      <c r="H2586" t="s">
        <v>287</v>
      </c>
      <c r="I2586">
        <v>332.29</v>
      </c>
      <c r="J2586" s="7">
        <v>659220</v>
      </c>
      <c r="K2586" s="7">
        <f t="shared" si="152"/>
        <v>802</v>
      </c>
      <c r="L2586" s="7">
        <v>660022</v>
      </c>
      <c r="M2586" s="36">
        <f t="shared" si="153"/>
        <v>41.432668329177055</v>
      </c>
    </row>
    <row r="2587" spans="1:13" ht="15" hidden="1" customHeight="1" x14ac:dyDescent="0.3">
      <c r="A2587" s="9">
        <v>109</v>
      </c>
      <c r="B2587" t="s">
        <v>286</v>
      </c>
      <c r="C2587" s="25">
        <v>44578</v>
      </c>
      <c r="D2587" s="26">
        <v>0.99474537037037036</v>
      </c>
      <c r="E2587" t="s">
        <v>24</v>
      </c>
      <c r="F2587" t="s">
        <v>210</v>
      </c>
      <c r="G2587" t="s">
        <v>211</v>
      </c>
      <c r="H2587" t="s">
        <v>287</v>
      </c>
      <c r="I2587">
        <v>506.03</v>
      </c>
      <c r="J2587" s="7">
        <v>660022</v>
      </c>
      <c r="K2587" s="7">
        <f t="shared" si="152"/>
        <v>1131</v>
      </c>
      <c r="L2587" s="7">
        <v>661153</v>
      </c>
      <c r="M2587" s="36">
        <f t="shared" si="153"/>
        <v>44.741821396993807</v>
      </c>
    </row>
    <row r="2588" spans="1:13" ht="15" hidden="1" customHeight="1" x14ac:dyDescent="0.3">
      <c r="A2588" s="9">
        <v>110</v>
      </c>
      <c r="B2588" t="s">
        <v>286</v>
      </c>
      <c r="C2588" s="25">
        <v>44588</v>
      </c>
      <c r="D2588" s="26">
        <v>0.46770833333333334</v>
      </c>
      <c r="E2588" t="s">
        <v>24</v>
      </c>
      <c r="F2588" t="s">
        <v>205</v>
      </c>
      <c r="G2588" t="s">
        <v>206</v>
      </c>
      <c r="H2588" t="s">
        <v>287</v>
      </c>
      <c r="I2588">
        <v>426.4</v>
      </c>
      <c r="J2588" s="7">
        <v>661153</v>
      </c>
      <c r="K2588" s="7">
        <f t="shared" si="152"/>
        <v>1054</v>
      </c>
      <c r="L2588" s="7">
        <v>662207</v>
      </c>
      <c r="M2588" s="36">
        <f t="shared" si="153"/>
        <v>40.455407969639467</v>
      </c>
    </row>
    <row r="2589" spans="1:13" ht="15" hidden="1" customHeight="1" x14ac:dyDescent="0.3">
      <c r="A2589" s="9">
        <v>111</v>
      </c>
      <c r="B2589" t="s">
        <v>286</v>
      </c>
      <c r="C2589" s="25">
        <v>44589</v>
      </c>
      <c r="D2589" s="26">
        <v>2.3090277777777779E-2</v>
      </c>
      <c r="E2589" t="s">
        <v>24</v>
      </c>
      <c r="F2589" t="s">
        <v>210</v>
      </c>
      <c r="G2589" t="s">
        <v>211</v>
      </c>
      <c r="H2589" t="s">
        <v>287</v>
      </c>
      <c r="I2589">
        <v>314.16000000000003</v>
      </c>
      <c r="J2589" s="7">
        <v>662207</v>
      </c>
      <c r="K2589" s="7">
        <f t="shared" si="152"/>
        <v>745</v>
      </c>
      <c r="L2589" s="7">
        <v>662952</v>
      </c>
      <c r="M2589" s="36">
        <f t="shared" si="153"/>
        <v>42.169127516778524</v>
      </c>
    </row>
    <row r="2590" spans="1:13" ht="15" hidden="1" customHeight="1" x14ac:dyDescent="0.3">
      <c r="A2590" s="9">
        <v>112</v>
      </c>
      <c r="B2590" t="s">
        <v>286</v>
      </c>
      <c r="C2590" s="25">
        <v>44589</v>
      </c>
      <c r="D2590" s="26">
        <v>0.8653819444444445</v>
      </c>
      <c r="E2590" t="s">
        <v>24</v>
      </c>
      <c r="F2590" t="s">
        <v>165</v>
      </c>
      <c r="G2590" t="s">
        <v>185</v>
      </c>
      <c r="H2590" t="s">
        <v>287</v>
      </c>
      <c r="I2590">
        <v>135.68</v>
      </c>
      <c r="J2590" s="7">
        <v>662952</v>
      </c>
      <c r="K2590" s="7">
        <f t="shared" si="152"/>
        <v>586</v>
      </c>
      <c r="L2590" s="7">
        <v>663538</v>
      </c>
      <c r="M2590" s="36">
        <f t="shared" si="153"/>
        <v>23.153583617747444</v>
      </c>
    </row>
    <row r="2591" spans="1:13" ht="15" hidden="1" customHeight="1" x14ac:dyDescent="0.3">
      <c r="A2591" s="9">
        <v>113</v>
      </c>
      <c r="B2591" t="s">
        <v>286</v>
      </c>
      <c r="C2591" s="25">
        <v>44591</v>
      </c>
      <c r="D2591" s="26">
        <v>0.40135416666666668</v>
      </c>
      <c r="E2591" t="s">
        <v>24</v>
      </c>
      <c r="F2591" t="s">
        <v>202</v>
      </c>
      <c r="G2591" t="s">
        <v>203</v>
      </c>
      <c r="H2591" t="s">
        <v>287</v>
      </c>
      <c r="I2591">
        <v>286.13</v>
      </c>
      <c r="J2591" s="7">
        <v>663538</v>
      </c>
      <c r="K2591" s="7">
        <f t="shared" si="152"/>
        <v>546</v>
      </c>
      <c r="L2591" s="7">
        <v>664084</v>
      </c>
      <c r="M2591" s="36">
        <f t="shared" si="153"/>
        <v>52.404761904761898</v>
      </c>
    </row>
    <row r="2592" spans="1:13" ht="15" hidden="1" customHeight="1" x14ac:dyDescent="0.3">
      <c r="A2592" s="9">
        <v>114</v>
      </c>
      <c r="B2592" t="s">
        <v>286</v>
      </c>
      <c r="C2592" s="25">
        <v>44592</v>
      </c>
      <c r="D2592" s="26">
        <v>0.70221064814814815</v>
      </c>
      <c r="E2592" t="s">
        <v>24</v>
      </c>
      <c r="F2592" t="s">
        <v>202</v>
      </c>
      <c r="G2592" t="s">
        <v>203</v>
      </c>
      <c r="H2592" t="s">
        <v>287</v>
      </c>
      <c r="I2592">
        <v>183.16</v>
      </c>
      <c r="J2592" s="7">
        <v>664084</v>
      </c>
      <c r="K2592" s="7">
        <f t="shared" si="152"/>
        <v>527</v>
      </c>
      <c r="L2592" s="7">
        <v>664611</v>
      </c>
      <c r="M2592" s="36">
        <f t="shared" si="153"/>
        <v>34.755218216318781</v>
      </c>
    </row>
    <row r="2593" spans="1:13" ht="15" hidden="1" customHeight="1" x14ac:dyDescent="0.3">
      <c r="A2593" s="9">
        <v>1195</v>
      </c>
      <c r="B2593" t="s">
        <v>286</v>
      </c>
      <c r="C2593" s="25">
        <v>44593</v>
      </c>
      <c r="D2593" s="26">
        <v>0.8687731481481481</v>
      </c>
      <c r="E2593" t="s">
        <v>25</v>
      </c>
      <c r="F2593" t="s">
        <v>165</v>
      </c>
      <c r="G2593" t="s">
        <v>185</v>
      </c>
      <c r="H2593" t="s">
        <v>287</v>
      </c>
      <c r="I2593">
        <v>243.16</v>
      </c>
      <c r="J2593" s="32">
        <v>664611</v>
      </c>
      <c r="K2593" s="32">
        <f t="shared" si="152"/>
        <v>508</v>
      </c>
      <c r="L2593" s="7">
        <v>665119</v>
      </c>
      <c r="M2593" s="36">
        <f t="shared" si="153"/>
        <v>47.866141732283459</v>
      </c>
    </row>
    <row r="2594" spans="1:13" ht="15" hidden="1" customHeight="1" x14ac:dyDescent="0.3">
      <c r="A2594" s="9">
        <v>1196</v>
      </c>
      <c r="B2594" t="s">
        <v>286</v>
      </c>
      <c r="C2594" s="25">
        <v>44594</v>
      </c>
      <c r="D2594" s="26">
        <v>0.90329861111111109</v>
      </c>
      <c r="E2594" t="s">
        <v>25</v>
      </c>
      <c r="F2594" t="s">
        <v>210</v>
      </c>
      <c r="G2594" t="s">
        <v>211</v>
      </c>
      <c r="H2594" t="s">
        <v>287</v>
      </c>
      <c r="I2594">
        <v>156.1</v>
      </c>
      <c r="J2594" s="32">
        <v>665119</v>
      </c>
      <c r="K2594" s="32">
        <f t="shared" si="152"/>
        <v>640</v>
      </c>
      <c r="L2594" s="30">
        <v>665759</v>
      </c>
      <c r="M2594" s="10">
        <f t="shared" si="153"/>
        <v>24.390625</v>
      </c>
    </row>
    <row r="2595" spans="1:13" ht="15" hidden="1" customHeight="1" x14ac:dyDescent="0.3">
      <c r="A2595" s="9">
        <v>1197</v>
      </c>
      <c r="B2595" t="s">
        <v>286</v>
      </c>
      <c r="C2595" s="25">
        <v>44596</v>
      </c>
      <c r="D2595" s="26">
        <v>0.4521296296296296</v>
      </c>
      <c r="E2595" t="s">
        <v>25</v>
      </c>
      <c r="F2595" t="s">
        <v>175</v>
      </c>
      <c r="G2595" t="s">
        <v>172</v>
      </c>
      <c r="H2595" t="s">
        <v>287</v>
      </c>
      <c r="I2595">
        <v>359.78</v>
      </c>
      <c r="J2595" s="7">
        <v>665759</v>
      </c>
      <c r="K2595" s="7">
        <f t="shared" si="152"/>
        <v>981</v>
      </c>
      <c r="L2595" s="11">
        <v>666740</v>
      </c>
      <c r="M2595" s="10">
        <f t="shared" si="153"/>
        <v>36.674821610601427</v>
      </c>
    </row>
    <row r="2596" spans="1:13" ht="15" hidden="1" customHeight="1" x14ac:dyDescent="0.3">
      <c r="A2596" s="9">
        <v>1198</v>
      </c>
      <c r="B2596" t="s">
        <v>286</v>
      </c>
      <c r="C2596" s="25">
        <v>44597</v>
      </c>
      <c r="D2596" s="26">
        <v>0.64025462962962965</v>
      </c>
      <c r="E2596" t="s">
        <v>25</v>
      </c>
      <c r="F2596" t="s">
        <v>210</v>
      </c>
      <c r="G2596" t="s">
        <v>211</v>
      </c>
      <c r="H2596" t="s">
        <v>287</v>
      </c>
      <c r="I2596">
        <v>401.4</v>
      </c>
      <c r="J2596" s="32">
        <v>666740</v>
      </c>
      <c r="K2596" s="53">
        <f t="shared" si="152"/>
        <v>899</v>
      </c>
      <c r="L2596" s="7">
        <v>667639</v>
      </c>
      <c r="M2596" s="10">
        <f t="shared" si="153"/>
        <v>44.649610678531701</v>
      </c>
    </row>
    <row r="2597" spans="1:13" ht="15" hidden="1" customHeight="1" x14ac:dyDescent="0.3">
      <c r="A2597" s="9">
        <v>1199</v>
      </c>
      <c r="B2597" t="s">
        <v>286</v>
      </c>
      <c r="C2597" s="25">
        <v>44598</v>
      </c>
      <c r="D2597" s="26">
        <v>0.74393518518518509</v>
      </c>
      <c r="E2597" t="s">
        <v>25</v>
      </c>
      <c r="F2597" t="s">
        <v>165</v>
      </c>
      <c r="G2597" t="s">
        <v>185</v>
      </c>
      <c r="H2597" t="s">
        <v>287</v>
      </c>
      <c r="I2597">
        <v>256.19</v>
      </c>
      <c r="J2597" s="33">
        <v>667639</v>
      </c>
      <c r="K2597" s="53">
        <f t="shared" si="152"/>
        <v>552</v>
      </c>
      <c r="L2597" s="7">
        <v>668191</v>
      </c>
      <c r="M2597" s="10">
        <f t="shared" si="153"/>
        <v>46.411231884057969</v>
      </c>
    </row>
    <row r="2598" spans="1:13" ht="15" hidden="1" customHeight="1" x14ac:dyDescent="0.3">
      <c r="A2598" s="9">
        <v>1200</v>
      </c>
      <c r="B2598" t="s">
        <v>286</v>
      </c>
      <c r="C2598" s="25">
        <v>44604</v>
      </c>
      <c r="D2598" s="26">
        <v>0.78180555555555553</v>
      </c>
      <c r="E2598" t="s">
        <v>25</v>
      </c>
      <c r="F2598" t="s">
        <v>210</v>
      </c>
      <c r="G2598" t="s">
        <v>211</v>
      </c>
      <c r="H2598" t="s">
        <v>287</v>
      </c>
      <c r="I2598">
        <v>253.14</v>
      </c>
      <c r="J2598" s="31">
        <v>668191</v>
      </c>
      <c r="K2598" s="11">
        <f t="shared" si="152"/>
        <v>581</v>
      </c>
      <c r="L2598" s="32">
        <v>668772</v>
      </c>
      <c r="M2598" s="10">
        <f t="shared" si="153"/>
        <v>43.569707401032701</v>
      </c>
    </row>
    <row r="2599" spans="1:13" ht="15" hidden="1" customHeight="1" x14ac:dyDescent="0.3">
      <c r="A2599" s="9">
        <v>1201</v>
      </c>
      <c r="B2599" t="s">
        <v>286</v>
      </c>
      <c r="C2599" s="25">
        <v>44614</v>
      </c>
      <c r="D2599" s="26">
        <v>0.61636574074074069</v>
      </c>
      <c r="E2599" t="s">
        <v>25</v>
      </c>
      <c r="F2599" t="s">
        <v>175</v>
      </c>
      <c r="G2599" t="s">
        <v>172</v>
      </c>
      <c r="H2599" t="s">
        <v>287</v>
      </c>
      <c r="I2599">
        <v>344.72</v>
      </c>
      <c r="J2599" s="33">
        <v>668772</v>
      </c>
      <c r="K2599" s="53">
        <f t="shared" si="152"/>
        <v>947</v>
      </c>
      <c r="L2599" s="32">
        <v>669719</v>
      </c>
      <c r="M2599" s="10">
        <f t="shared" si="153"/>
        <v>36.401267159450903</v>
      </c>
    </row>
    <row r="2600" spans="1:13" ht="15" hidden="1" customHeight="1" x14ac:dyDescent="0.3">
      <c r="A2600" s="9">
        <v>1202</v>
      </c>
      <c r="B2600" t="s">
        <v>286</v>
      </c>
      <c r="C2600" s="25">
        <v>44616</v>
      </c>
      <c r="D2600" s="26">
        <v>0.35032407407407407</v>
      </c>
      <c r="E2600" t="s">
        <v>25</v>
      </c>
      <c r="F2600" t="s">
        <v>210</v>
      </c>
      <c r="G2600" t="s">
        <v>211</v>
      </c>
      <c r="H2600" t="s">
        <v>287</v>
      </c>
      <c r="I2600">
        <v>352.7</v>
      </c>
      <c r="J2600" s="32">
        <v>669719</v>
      </c>
      <c r="K2600" s="53">
        <f t="shared" si="152"/>
        <v>835</v>
      </c>
      <c r="L2600" s="37">
        <v>670554</v>
      </c>
      <c r="M2600" s="10">
        <f t="shared" si="153"/>
        <v>42.23952095808383</v>
      </c>
    </row>
    <row r="2601" spans="1:13" ht="15" hidden="1" customHeight="1" x14ac:dyDescent="0.3">
      <c r="A2601" s="9">
        <v>1203</v>
      </c>
      <c r="B2601" t="s">
        <v>286</v>
      </c>
      <c r="C2601" s="25">
        <v>44616</v>
      </c>
      <c r="D2601" s="26">
        <v>0.35032407407407407</v>
      </c>
      <c r="E2601" t="s">
        <v>25</v>
      </c>
      <c r="F2601" t="s">
        <v>210</v>
      </c>
      <c r="G2601" t="s">
        <v>211</v>
      </c>
      <c r="H2601" t="s">
        <v>287</v>
      </c>
      <c r="I2601">
        <v>352.7</v>
      </c>
      <c r="J2601" s="32">
        <v>670554</v>
      </c>
      <c r="K2601" s="53">
        <f t="shared" si="152"/>
        <v>0</v>
      </c>
      <c r="L2601" s="32">
        <v>670554</v>
      </c>
      <c r="M2601" s="10" t="e">
        <f t="shared" si="153"/>
        <v>#DIV/0!</v>
      </c>
    </row>
    <row r="2602" spans="1:13" ht="15" hidden="1" customHeight="1" x14ac:dyDescent="0.3">
      <c r="A2602" s="9">
        <v>1204</v>
      </c>
      <c r="B2602" t="s">
        <v>286</v>
      </c>
      <c r="C2602" s="25">
        <v>44617</v>
      </c>
      <c r="D2602" s="26">
        <v>0.15241898148148147</v>
      </c>
      <c r="E2602" t="s">
        <v>25</v>
      </c>
      <c r="F2602" t="s">
        <v>210</v>
      </c>
      <c r="G2602" t="s">
        <v>211</v>
      </c>
      <c r="H2602" t="s">
        <v>287</v>
      </c>
      <c r="I2602">
        <v>444.35</v>
      </c>
      <c r="J2602" s="32">
        <v>670554</v>
      </c>
      <c r="K2602" s="53">
        <f t="shared" si="152"/>
        <v>1065</v>
      </c>
      <c r="L2602" s="32">
        <v>671619</v>
      </c>
      <c r="M2602" s="10">
        <f t="shared" si="153"/>
        <v>41.72300469483568</v>
      </c>
    </row>
    <row r="2603" spans="1:13" ht="15" hidden="1" customHeight="1" x14ac:dyDescent="0.3">
      <c r="A2603" s="9">
        <v>1205</v>
      </c>
      <c r="B2603" t="s">
        <v>286</v>
      </c>
      <c r="C2603" s="25">
        <v>44618</v>
      </c>
      <c r="D2603" s="26">
        <v>0.50871527777777781</v>
      </c>
      <c r="E2603" t="s">
        <v>25</v>
      </c>
      <c r="F2603" t="s">
        <v>175</v>
      </c>
      <c r="G2603" t="s">
        <v>172</v>
      </c>
      <c r="H2603" t="s">
        <v>287</v>
      </c>
      <c r="I2603">
        <v>355.93</v>
      </c>
      <c r="J2603" s="32">
        <v>671619</v>
      </c>
      <c r="K2603" s="53">
        <f t="shared" si="152"/>
        <v>960</v>
      </c>
      <c r="L2603" s="32">
        <v>672579</v>
      </c>
      <c r="M2603" s="10">
        <f t="shared" si="153"/>
        <v>37.076041666666661</v>
      </c>
    </row>
    <row r="2604" spans="1:13" ht="15" hidden="1" customHeight="1" x14ac:dyDescent="0.3">
      <c r="A2604" s="9">
        <v>1206</v>
      </c>
      <c r="B2604" t="s">
        <v>286</v>
      </c>
      <c r="C2604" s="25">
        <v>44619</v>
      </c>
      <c r="D2604" s="26">
        <v>0.46243055555555551</v>
      </c>
      <c r="E2604" t="s">
        <v>25</v>
      </c>
      <c r="F2604" t="s">
        <v>166</v>
      </c>
      <c r="G2604" t="s">
        <v>161</v>
      </c>
      <c r="H2604" t="s">
        <v>287</v>
      </c>
      <c r="I2604">
        <v>330.72</v>
      </c>
      <c r="J2604" s="33">
        <v>672579</v>
      </c>
      <c r="K2604" s="53">
        <f t="shared" si="152"/>
        <v>759</v>
      </c>
      <c r="L2604" s="32">
        <v>673338</v>
      </c>
      <c r="M2604" s="10">
        <f t="shared" si="153"/>
        <v>43.573122529644273</v>
      </c>
    </row>
    <row r="2605" spans="1:13" ht="15" hidden="1" customHeight="1" x14ac:dyDescent="0.3">
      <c r="A2605" s="9">
        <v>1207</v>
      </c>
      <c r="B2605" t="s">
        <v>286</v>
      </c>
      <c r="C2605" s="25">
        <v>44620</v>
      </c>
      <c r="D2605" s="26">
        <v>0.40210648148148148</v>
      </c>
      <c r="E2605" t="s">
        <v>25</v>
      </c>
      <c r="F2605" t="s">
        <v>165</v>
      </c>
      <c r="G2605" t="s">
        <v>185</v>
      </c>
      <c r="H2605" t="s">
        <v>287</v>
      </c>
      <c r="I2605">
        <v>321.01</v>
      </c>
      <c r="J2605" s="32">
        <v>673338</v>
      </c>
      <c r="K2605" s="53">
        <f t="shared" si="152"/>
        <v>634</v>
      </c>
      <c r="L2605" s="32">
        <v>673972</v>
      </c>
      <c r="M2605" s="10">
        <f t="shared" si="153"/>
        <v>50.632492113564666</v>
      </c>
    </row>
    <row r="2606" spans="1:13" ht="15" hidden="1" customHeight="1" x14ac:dyDescent="0.3">
      <c r="A2606" s="9">
        <v>1208</v>
      </c>
      <c r="B2606" t="s">
        <v>286</v>
      </c>
      <c r="C2606" s="25">
        <v>44620</v>
      </c>
      <c r="D2606" s="26">
        <v>0.95049768518518529</v>
      </c>
      <c r="E2606" t="s">
        <v>25</v>
      </c>
      <c r="F2606" t="s">
        <v>166</v>
      </c>
      <c r="G2606" t="s">
        <v>161</v>
      </c>
      <c r="H2606" t="s">
        <v>287</v>
      </c>
      <c r="I2606">
        <v>246.72</v>
      </c>
      <c r="J2606" s="32">
        <v>673972</v>
      </c>
      <c r="K2606" s="53">
        <f t="shared" si="152"/>
        <v>657</v>
      </c>
      <c r="L2606" s="32">
        <v>674629</v>
      </c>
      <c r="M2606" s="10">
        <f t="shared" si="153"/>
        <v>37.552511415525117</v>
      </c>
    </row>
    <row r="2607" spans="1:13" ht="15" hidden="1" customHeight="1" x14ac:dyDescent="0.3">
      <c r="A2607" s="9">
        <v>2408</v>
      </c>
      <c r="B2607" t="s">
        <v>286</v>
      </c>
      <c r="C2607" s="25">
        <v>44621</v>
      </c>
      <c r="D2607" s="26">
        <v>0.71038194444444447</v>
      </c>
      <c r="E2607" t="s">
        <v>26</v>
      </c>
      <c r="F2607" t="s">
        <v>175</v>
      </c>
      <c r="G2607" t="s">
        <v>172</v>
      </c>
      <c r="H2607" t="s">
        <v>287</v>
      </c>
      <c r="I2607">
        <v>219.03</v>
      </c>
      <c r="J2607" s="37">
        <v>674629</v>
      </c>
      <c r="K2607" s="89">
        <f t="shared" si="152"/>
        <v>623</v>
      </c>
      <c r="L2607" s="35">
        <v>675252</v>
      </c>
      <c r="M2607" s="10">
        <f t="shared" si="153"/>
        <v>35.157303370786522</v>
      </c>
    </row>
    <row r="2608" spans="1:13" ht="15" hidden="1" customHeight="1" x14ac:dyDescent="0.3">
      <c r="A2608" s="9">
        <v>2409</v>
      </c>
      <c r="B2608" t="s">
        <v>286</v>
      </c>
      <c r="C2608" s="25">
        <v>44622</v>
      </c>
      <c r="D2608" s="26">
        <v>0.63667824074074075</v>
      </c>
      <c r="E2608" t="s">
        <v>26</v>
      </c>
      <c r="F2608" t="s">
        <v>210</v>
      </c>
      <c r="G2608" t="s">
        <v>211</v>
      </c>
      <c r="H2608" t="s">
        <v>287</v>
      </c>
      <c r="I2608">
        <v>365.58</v>
      </c>
      <c r="J2608" s="7">
        <v>675252</v>
      </c>
      <c r="K2608" s="89">
        <f t="shared" si="152"/>
        <v>834</v>
      </c>
      <c r="L2608" s="7">
        <v>676086</v>
      </c>
      <c r="M2608" s="10">
        <f t="shared" si="153"/>
        <v>43.834532374100718</v>
      </c>
    </row>
    <row r="2609" spans="1:13" ht="15" hidden="1" customHeight="1" x14ac:dyDescent="0.3">
      <c r="A2609" s="9">
        <v>2410</v>
      </c>
      <c r="B2609" t="s">
        <v>286</v>
      </c>
      <c r="C2609" s="25">
        <v>44623</v>
      </c>
      <c r="D2609" s="26">
        <v>0.42836805555555557</v>
      </c>
      <c r="E2609" t="s">
        <v>26</v>
      </c>
      <c r="F2609" t="s">
        <v>165</v>
      </c>
      <c r="G2609" t="s">
        <v>185</v>
      </c>
      <c r="H2609" t="s">
        <v>287</v>
      </c>
      <c r="I2609">
        <v>235.75</v>
      </c>
      <c r="J2609" s="7">
        <v>676086</v>
      </c>
      <c r="K2609" s="89">
        <f t="shared" ref="K2609:K2640" si="154">+L2609-J2609</f>
        <v>549</v>
      </c>
      <c r="L2609" s="37">
        <v>676635</v>
      </c>
      <c r="M2609" s="10">
        <f t="shared" ref="M2609:M2640" si="155">I2609/K2609*100</f>
        <v>42.941712204007288</v>
      </c>
    </row>
    <row r="2610" spans="1:13" ht="15" hidden="1" customHeight="1" x14ac:dyDescent="0.3">
      <c r="A2610" s="9">
        <v>2411</v>
      </c>
      <c r="B2610" t="s">
        <v>286</v>
      </c>
      <c r="C2610" s="25">
        <v>44623</v>
      </c>
      <c r="D2610" s="26">
        <v>0.83437499999999998</v>
      </c>
      <c r="E2610" t="s">
        <v>26</v>
      </c>
      <c r="F2610" t="s">
        <v>210</v>
      </c>
      <c r="G2610" t="s">
        <v>211</v>
      </c>
      <c r="H2610" t="s">
        <v>287</v>
      </c>
      <c r="I2610">
        <v>171.02</v>
      </c>
      <c r="J2610" s="32">
        <v>676635</v>
      </c>
      <c r="K2610" s="89">
        <f t="shared" si="154"/>
        <v>575</v>
      </c>
      <c r="L2610" s="32">
        <v>677210</v>
      </c>
      <c r="M2610" s="10">
        <f t="shared" si="155"/>
        <v>29.74260869565218</v>
      </c>
    </row>
    <row r="2611" spans="1:13" ht="15" hidden="1" customHeight="1" x14ac:dyDescent="0.3">
      <c r="A2611" s="9">
        <v>2416</v>
      </c>
      <c r="B2611" t="s">
        <v>286</v>
      </c>
      <c r="C2611" s="25">
        <v>44634</v>
      </c>
      <c r="D2611" s="26">
        <v>0.9246064814814815</v>
      </c>
      <c r="E2611" t="s">
        <v>26</v>
      </c>
      <c r="F2611" t="s">
        <v>175</v>
      </c>
      <c r="G2611" t="s">
        <v>172</v>
      </c>
      <c r="H2611" t="s">
        <v>287</v>
      </c>
      <c r="I2611">
        <v>24.72</v>
      </c>
      <c r="J2611" s="32">
        <v>681004</v>
      </c>
      <c r="K2611" s="89">
        <f t="shared" si="154"/>
        <v>21</v>
      </c>
      <c r="L2611" s="32">
        <v>681025</v>
      </c>
      <c r="M2611" s="10">
        <f t="shared" si="155"/>
        <v>117.71428571428571</v>
      </c>
    </row>
    <row r="2612" spans="1:13" ht="15" hidden="1" customHeight="1" x14ac:dyDescent="0.3">
      <c r="A2612" s="9">
        <v>2417</v>
      </c>
      <c r="B2612" t="s">
        <v>286</v>
      </c>
      <c r="C2612" s="25">
        <v>44636</v>
      </c>
      <c r="D2612" s="26">
        <v>0.53748842592592594</v>
      </c>
      <c r="E2612" t="s">
        <v>26</v>
      </c>
      <c r="F2612" t="s">
        <v>166</v>
      </c>
      <c r="G2612" t="s">
        <v>161</v>
      </c>
      <c r="H2612" t="s">
        <v>287</v>
      </c>
      <c r="I2612">
        <v>345.44</v>
      </c>
      <c r="J2612" s="32">
        <v>681025</v>
      </c>
      <c r="K2612" s="89">
        <f t="shared" si="154"/>
        <v>759</v>
      </c>
      <c r="L2612" s="32">
        <v>681784</v>
      </c>
      <c r="M2612" s="10">
        <f t="shared" si="155"/>
        <v>45.512516469038204</v>
      </c>
    </row>
    <row r="2613" spans="1:13" ht="15" hidden="1" customHeight="1" x14ac:dyDescent="0.3">
      <c r="A2613" s="9">
        <v>2418</v>
      </c>
      <c r="B2613" t="s">
        <v>286</v>
      </c>
      <c r="C2613" s="25">
        <v>44637</v>
      </c>
      <c r="D2613" s="26">
        <v>0.72951388888888891</v>
      </c>
      <c r="E2613" t="s">
        <v>26</v>
      </c>
      <c r="F2613" t="s">
        <v>166</v>
      </c>
      <c r="G2613" t="s">
        <v>161</v>
      </c>
      <c r="H2613" t="s">
        <v>287</v>
      </c>
      <c r="I2613">
        <f>13.44+475.15</f>
        <v>488.59</v>
      </c>
      <c r="J2613" s="32">
        <v>681784</v>
      </c>
      <c r="K2613" s="89">
        <f t="shared" si="154"/>
        <v>1224</v>
      </c>
      <c r="L2613" s="37">
        <v>683008</v>
      </c>
      <c r="M2613" s="10">
        <f t="shared" si="155"/>
        <v>39.917483660130713</v>
      </c>
    </row>
    <row r="2614" spans="1:13" ht="15" hidden="1" customHeight="1" x14ac:dyDescent="0.3">
      <c r="A2614" s="9">
        <v>2419</v>
      </c>
      <c r="B2614" t="s">
        <v>286</v>
      </c>
      <c r="C2614" s="25">
        <v>44639</v>
      </c>
      <c r="D2614" s="26">
        <v>0.41186342592592595</v>
      </c>
      <c r="E2614" t="s">
        <v>26</v>
      </c>
      <c r="F2614" t="s">
        <v>391</v>
      </c>
      <c r="G2614" t="s">
        <v>392</v>
      </c>
      <c r="H2614" t="s">
        <v>287</v>
      </c>
      <c r="I2614">
        <v>315.42</v>
      </c>
      <c r="J2614" s="32">
        <v>683008</v>
      </c>
      <c r="K2614" s="89">
        <f t="shared" si="154"/>
        <v>835</v>
      </c>
      <c r="L2614" s="32">
        <v>683843</v>
      </c>
      <c r="M2614" s="36">
        <f t="shared" si="155"/>
        <v>37.774850299401194</v>
      </c>
    </row>
    <row r="2615" spans="1:13" ht="15" hidden="1" customHeight="1" x14ac:dyDescent="0.3">
      <c r="A2615" s="9">
        <v>2420</v>
      </c>
      <c r="B2615" t="s">
        <v>286</v>
      </c>
      <c r="C2615" s="25">
        <v>44642</v>
      </c>
      <c r="D2615" s="26">
        <v>0.63056712962962969</v>
      </c>
      <c r="E2615" t="s">
        <v>26</v>
      </c>
      <c r="F2615" t="s">
        <v>311</v>
      </c>
      <c r="G2615" t="s">
        <v>303</v>
      </c>
      <c r="H2615" t="s">
        <v>287</v>
      </c>
      <c r="I2615">
        <v>183.47</v>
      </c>
      <c r="J2615" s="32">
        <v>683843</v>
      </c>
      <c r="K2615" s="89">
        <f t="shared" si="154"/>
        <v>423</v>
      </c>
      <c r="L2615" s="32">
        <v>684266</v>
      </c>
      <c r="M2615" s="36">
        <f t="shared" si="155"/>
        <v>43.373522458628841</v>
      </c>
    </row>
    <row r="2616" spans="1:13" ht="15" hidden="1" customHeight="1" x14ac:dyDescent="0.3">
      <c r="A2616" s="9">
        <v>2421</v>
      </c>
      <c r="B2616" t="s">
        <v>286</v>
      </c>
      <c r="C2616" s="25">
        <v>44642</v>
      </c>
      <c r="D2616" s="26">
        <v>0.84256944444444448</v>
      </c>
      <c r="E2616" t="s">
        <v>26</v>
      </c>
      <c r="F2616" t="s">
        <v>166</v>
      </c>
      <c r="G2616" t="s">
        <v>161</v>
      </c>
      <c r="H2616" t="s">
        <v>287</v>
      </c>
      <c r="I2616">
        <v>147.18</v>
      </c>
      <c r="J2616" s="32">
        <v>684266</v>
      </c>
      <c r="K2616" s="89">
        <f t="shared" si="154"/>
        <v>355</v>
      </c>
      <c r="L2616" s="32">
        <v>684621</v>
      </c>
      <c r="M2616" s="36">
        <f t="shared" si="155"/>
        <v>41.459154929577466</v>
      </c>
    </row>
    <row r="2617" spans="1:13" ht="15" hidden="1" customHeight="1" x14ac:dyDescent="0.3">
      <c r="A2617" s="9">
        <v>2422</v>
      </c>
      <c r="B2617" t="s">
        <v>286</v>
      </c>
      <c r="C2617" s="25">
        <v>44643</v>
      </c>
      <c r="D2617" s="26">
        <v>0.68366898148148147</v>
      </c>
      <c r="E2617" t="s">
        <v>26</v>
      </c>
      <c r="F2617" t="s">
        <v>165</v>
      </c>
      <c r="G2617" t="s">
        <v>185</v>
      </c>
      <c r="H2617" t="s">
        <v>287</v>
      </c>
      <c r="I2617">
        <v>320.02999999999997</v>
      </c>
      <c r="J2617" s="32">
        <v>684621</v>
      </c>
      <c r="K2617" s="89">
        <f t="shared" si="154"/>
        <v>633</v>
      </c>
      <c r="L2617" s="32">
        <v>685254</v>
      </c>
      <c r="M2617" s="36">
        <f t="shared" si="155"/>
        <v>50.557661927330166</v>
      </c>
    </row>
    <row r="2618" spans="1:13" ht="15" hidden="1" customHeight="1" x14ac:dyDescent="0.3">
      <c r="A2618" s="9">
        <v>2423</v>
      </c>
      <c r="B2618" t="s">
        <v>286</v>
      </c>
      <c r="C2618" s="25">
        <v>44644</v>
      </c>
      <c r="D2618" s="26">
        <v>1.9166666666666669E-2</v>
      </c>
      <c r="E2618" t="s">
        <v>26</v>
      </c>
      <c r="F2618" t="s">
        <v>202</v>
      </c>
      <c r="G2618" t="s">
        <v>203</v>
      </c>
      <c r="H2618" t="s">
        <v>287</v>
      </c>
      <c r="I2618">
        <v>150</v>
      </c>
      <c r="J2618" s="32">
        <v>685254</v>
      </c>
      <c r="K2618" s="90">
        <f t="shared" si="154"/>
        <v>545</v>
      </c>
      <c r="L2618" s="37">
        <v>685799</v>
      </c>
      <c r="M2618" s="10">
        <f t="shared" si="155"/>
        <v>27.522935779816514</v>
      </c>
    </row>
    <row r="2619" spans="1:13" ht="15" hidden="1" customHeight="1" x14ac:dyDescent="0.3">
      <c r="A2619" s="9">
        <v>2424</v>
      </c>
      <c r="B2619" t="s">
        <v>286</v>
      </c>
      <c r="C2619" s="25">
        <v>44644</v>
      </c>
      <c r="D2619" s="26">
        <v>0.54530092592592594</v>
      </c>
      <c r="E2619" t="s">
        <v>26</v>
      </c>
      <c r="F2619" t="s">
        <v>202</v>
      </c>
      <c r="G2619" t="s">
        <v>203</v>
      </c>
      <c r="H2619" t="s">
        <v>287</v>
      </c>
      <c r="I2619">
        <v>150</v>
      </c>
      <c r="J2619" s="32">
        <v>685799</v>
      </c>
      <c r="K2619" s="90">
        <f t="shared" si="154"/>
        <v>506</v>
      </c>
      <c r="L2619" s="32">
        <v>686305</v>
      </c>
      <c r="M2619" s="10">
        <f t="shared" si="155"/>
        <v>29.644268774703558</v>
      </c>
    </row>
    <row r="2620" spans="1:13" ht="15" hidden="1" customHeight="1" x14ac:dyDescent="0.3">
      <c r="A2620" s="9">
        <v>2425</v>
      </c>
      <c r="B2620" t="s">
        <v>286</v>
      </c>
      <c r="C2620" s="25">
        <v>44645</v>
      </c>
      <c r="D2620" s="26">
        <v>0.68584490740740733</v>
      </c>
      <c r="E2620" t="s">
        <v>26</v>
      </c>
      <c r="F2620" t="s">
        <v>396</v>
      </c>
      <c r="G2620" t="s">
        <v>397</v>
      </c>
      <c r="H2620" t="s">
        <v>287</v>
      </c>
      <c r="I2620">
        <v>372.7</v>
      </c>
      <c r="J2620" s="32">
        <v>687481</v>
      </c>
      <c r="K2620" s="90">
        <f t="shared" si="154"/>
        <v>592</v>
      </c>
      <c r="L2620" s="32">
        <v>688073</v>
      </c>
      <c r="M2620" s="10">
        <f t="shared" si="155"/>
        <v>62.956081081081081</v>
      </c>
    </row>
    <row r="2621" spans="1:13" ht="15" hidden="1" customHeight="1" x14ac:dyDescent="0.3">
      <c r="A2621" s="9">
        <v>2426</v>
      </c>
      <c r="B2621" t="s">
        <v>286</v>
      </c>
      <c r="C2621" s="25">
        <v>44645</v>
      </c>
      <c r="D2621" s="26">
        <v>0.93357638888888894</v>
      </c>
      <c r="E2621" t="s">
        <v>26</v>
      </c>
      <c r="F2621" t="s">
        <v>166</v>
      </c>
      <c r="G2621" t="s">
        <v>161</v>
      </c>
      <c r="H2621" t="s">
        <v>287</v>
      </c>
      <c r="I2621">
        <v>126.96</v>
      </c>
      <c r="J2621" s="32">
        <v>686305</v>
      </c>
      <c r="K2621" s="97">
        <f t="shared" si="154"/>
        <v>1176</v>
      </c>
      <c r="L2621" s="37">
        <v>687481</v>
      </c>
      <c r="M2621" s="10">
        <f t="shared" si="155"/>
        <v>10.795918367346937</v>
      </c>
    </row>
    <row r="2622" spans="1:13" ht="15" hidden="1" customHeight="1" x14ac:dyDescent="0.3">
      <c r="A2622" s="9">
        <v>2427</v>
      </c>
      <c r="B2622" t="s">
        <v>286</v>
      </c>
      <c r="C2622" s="25">
        <v>44647</v>
      </c>
      <c r="D2622" s="26">
        <v>0.45373842592592589</v>
      </c>
      <c r="E2622" t="s">
        <v>26</v>
      </c>
      <c r="F2622" t="s">
        <v>175</v>
      </c>
      <c r="G2622" t="s">
        <v>172</v>
      </c>
      <c r="H2622" t="s">
        <v>287</v>
      </c>
      <c r="I2622">
        <v>100.91</v>
      </c>
      <c r="J2622" s="32">
        <v>688073</v>
      </c>
      <c r="K2622" s="90">
        <f t="shared" si="154"/>
        <v>383</v>
      </c>
      <c r="L2622" s="32">
        <v>688456</v>
      </c>
      <c r="M2622" s="10">
        <f t="shared" si="155"/>
        <v>26.347258485639685</v>
      </c>
    </row>
    <row r="2623" spans="1:13" ht="15" hidden="1" customHeight="1" x14ac:dyDescent="0.3">
      <c r="A2623" s="9">
        <v>2428</v>
      </c>
      <c r="B2623" t="s">
        <v>286</v>
      </c>
      <c r="C2623" s="25">
        <v>44648</v>
      </c>
      <c r="D2623" s="26">
        <v>0.75247685185185187</v>
      </c>
      <c r="E2623" t="s">
        <v>26</v>
      </c>
      <c r="F2623" t="s">
        <v>197</v>
      </c>
      <c r="G2623" t="s">
        <v>44</v>
      </c>
      <c r="H2623" t="s">
        <v>287</v>
      </c>
      <c r="I2623">
        <v>368.63</v>
      </c>
      <c r="J2623" s="32">
        <v>688456</v>
      </c>
      <c r="K2623" s="90">
        <f t="shared" si="154"/>
        <v>246</v>
      </c>
      <c r="L2623" s="32">
        <v>688702</v>
      </c>
      <c r="M2623" s="10">
        <f t="shared" si="155"/>
        <v>149.84959349593495</v>
      </c>
    </row>
    <row r="2624" spans="1:13" ht="15" hidden="1" customHeight="1" x14ac:dyDescent="0.3">
      <c r="A2624" s="9">
        <v>2429</v>
      </c>
      <c r="B2624" t="s">
        <v>286</v>
      </c>
      <c r="C2624" s="25">
        <v>44649</v>
      </c>
      <c r="D2624" s="26">
        <v>0.41167824074074072</v>
      </c>
      <c r="E2624" t="s">
        <v>26</v>
      </c>
      <c r="F2624" t="s">
        <v>166</v>
      </c>
      <c r="G2624" t="s">
        <v>161</v>
      </c>
      <c r="H2624" t="s">
        <v>287</v>
      </c>
      <c r="I2624">
        <v>200</v>
      </c>
      <c r="J2624" s="32">
        <v>688702</v>
      </c>
      <c r="K2624" s="90">
        <f t="shared" si="154"/>
        <v>513</v>
      </c>
      <c r="L2624" s="32">
        <v>689215</v>
      </c>
      <c r="M2624" s="10">
        <f t="shared" si="155"/>
        <v>38.98635477582846</v>
      </c>
    </row>
    <row r="2625" spans="1:13" ht="15" hidden="1" customHeight="1" x14ac:dyDescent="0.3">
      <c r="A2625" s="9">
        <v>2430</v>
      </c>
      <c r="B2625" t="s">
        <v>286</v>
      </c>
      <c r="C2625" s="25">
        <v>44649</v>
      </c>
      <c r="D2625" s="26">
        <v>0.94309027777777776</v>
      </c>
      <c r="E2625" t="s">
        <v>26</v>
      </c>
      <c r="F2625" t="s">
        <v>165</v>
      </c>
      <c r="G2625" t="s">
        <v>185</v>
      </c>
      <c r="H2625" t="s">
        <v>287</v>
      </c>
      <c r="I2625">
        <v>385.51</v>
      </c>
      <c r="J2625" s="32">
        <v>689215</v>
      </c>
      <c r="K2625" s="90">
        <f t="shared" si="154"/>
        <v>634</v>
      </c>
      <c r="L2625" s="32">
        <v>689849</v>
      </c>
      <c r="M2625" s="10">
        <f t="shared" si="155"/>
        <v>60.805993690851736</v>
      </c>
    </row>
    <row r="2626" spans="1:13" ht="15" hidden="1" customHeight="1" x14ac:dyDescent="0.3">
      <c r="A2626" s="9">
        <v>2431</v>
      </c>
      <c r="B2626" t="s">
        <v>286</v>
      </c>
      <c r="C2626" s="25">
        <v>44650</v>
      </c>
      <c r="D2626" s="26">
        <v>0.99449074074074073</v>
      </c>
      <c r="E2626" t="s">
        <v>26</v>
      </c>
      <c r="F2626" t="s">
        <v>210</v>
      </c>
      <c r="G2626" t="s">
        <v>211</v>
      </c>
      <c r="H2626" t="s">
        <v>287</v>
      </c>
      <c r="I2626">
        <v>238.58</v>
      </c>
      <c r="J2626" s="32">
        <v>689849</v>
      </c>
      <c r="K2626" s="90">
        <f t="shared" si="154"/>
        <v>585</v>
      </c>
      <c r="L2626" s="32">
        <v>690434</v>
      </c>
      <c r="M2626" s="10">
        <f t="shared" si="155"/>
        <v>40.782905982905987</v>
      </c>
    </row>
    <row r="2627" spans="1:13" ht="15" hidden="1" customHeight="1" x14ac:dyDescent="0.3">
      <c r="A2627" s="9">
        <v>3655</v>
      </c>
      <c r="B2627" t="s">
        <v>286</v>
      </c>
      <c r="C2627" s="25">
        <v>44652</v>
      </c>
      <c r="D2627" s="26">
        <v>0.93907407407407406</v>
      </c>
      <c r="E2627" t="s">
        <v>27</v>
      </c>
      <c r="F2627" t="s">
        <v>175</v>
      </c>
      <c r="G2627" t="s">
        <v>172</v>
      </c>
      <c r="H2627" t="s">
        <v>287</v>
      </c>
      <c r="I2627" s="4">
        <v>397.58</v>
      </c>
      <c r="J2627" s="33">
        <v>690434</v>
      </c>
      <c r="K2627" s="100">
        <f t="shared" si="154"/>
        <v>1092</v>
      </c>
      <c r="L2627" s="37">
        <v>691526</v>
      </c>
      <c r="M2627" s="10">
        <f t="shared" si="155"/>
        <v>36.408424908424905</v>
      </c>
    </row>
    <row r="2628" spans="1:13" ht="15" hidden="1" customHeight="1" x14ac:dyDescent="0.3">
      <c r="A2628" s="9">
        <v>3656</v>
      </c>
      <c r="B2628" t="s">
        <v>286</v>
      </c>
      <c r="C2628" s="25">
        <v>44653</v>
      </c>
      <c r="D2628" s="26">
        <v>0.69523148148148151</v>
      </c>
      <c r="E2628" t="s">
        <v>27</v>
      </c>
      <c r="F2628" t="s">
        <v>166</v>
      </c>
      <c r="G2628" t="s">
        <v>161</v>
      </c>
      <c r="H2628" t="s">
        <v>287</v>
      </c>
      <c r="I2628" s="4">
        <f>150+128.01</f>
        <v>278.01</v>
      </c>
      <c r="J2628" s="33">
        <v>691526</v>
      </c>
      <c r="K2628" s="99">
        <f t="shared" si="154"/>
        <v>623</v>
      </c>
      <c r="L2628" s="32">
        <v>692149</v>
      </c>
      <c r="M2628" s="10">
        <f t="shared" si="155"/>
        <v>44.624398073836275</v>
      </c>
    </row>
    <row r="2629" spans="1:13" ht="15" hidden="1" customHeight="1" x14ac:dyDescent="0.3">
      <c r="A2629" s="9">
        <v>3657</v>
      </c>
      <c r="B2629" t="s">
        <v>286</v>
      </c>
      <c r="C2629" s="25">
        <v>44654</v>
      </c>
      <c r="D2629" s="26">
        <v>0.78023148148148147</v>
      </c>
      <c r="E2629" t="s">
        <v>27</v>
      </c>
      <c r="F2629" t="s">
        <v>165</v>
      </c>
      <c r="G2629" t="s">
        <v>185</v>
      </c>
      <c r="H2629" t="s">
        <v>287</v>
      </c>
      <c r="I2629" s="4">
        <v>340.8</v>
      </c>
      <c r="J2629" s="55">
        <v>692149</v>
      </c>
      <c r="K2629" s="96">
        <f t="shared" si="154"/>
        <v>626</v>
      </c>
      <c r="L2629" s="32">
        <v>692775</v>
      </c>
      <c r="M2629" s="10">
        <f t="shared" si="155"/>
        <v>54.440894568690098</v>
      </c>
    </row>
    <row r="2630" spans="1:13" ht="15" hidden="1" customHeight="1" x14ac:dyDescent="0.3">
      <c r="A2630" s="9">
        <v>3658</v>
      </c>
      <c r="B2630" t="s">
        <v>286</v>
      </c>
      <c r="C2630" s="25">
        <v>44655</v>
      </c>
      <c r="D2630" s="26">
        <v>0.42554398148148148</v>
      </c>
      <c r="E2630" t="s">
        <v>27</v>
      </c>
      <c r="F2630" t="s">
        <v>210</v>
      </c>
      <c r="G2630" t="s">
        <v>211</v>
      </c>
      <c r="H2630" t="s">
        <v>287</v>
      </c>
      <c r="I2630" s="4">
        <v>143.28</v>
      </c>
      <c r="J2630" s="55">
        <v>692775</v>
      </c>
      <c r="K2630" s="96">
        <f t="shared" si="154"/>
        <v>516</v>
      </c>
      <c r="L2630" s="32">
        <v>693291</v>
      </c>
      <c r="M2630" s="10">
        <f t="shared" si="155"/>
        <v>27.767441860465112</v>
      </c>
    </row>
    <row r="2631" spans="1:13" ht="15" hidden="1" customHeight="1" x14ac:dyDescent="0.3">
      <c r="A2631" s="9">
        <v>3659</v>
      </c>
      <c r="B2631" t="s">
        <v>286</v>
      </c>
      <c r="C2631" s="25">
        <v>44663</v>
      </c>
      <c r="D2631" s="26">
        <v>0.52833333333333332</v>
      </c>
      <c r="E2631" t="s">
        <v>27</v>
      </c>
      <c r="F2631" t="s">
        <v>175</v>
      </c>
      <c r="G2631" t="s">
        <v>172</v>
      </c>
      <c r="H2631" t="s">
        <v>287</v>
      </c>
      <c r="I2631" s="4">
        <v>331.78</v>
      </c>
      <c r="J2631" s="32">
        <v>693291</v>
      </c>
      <c r="K2631" s="90">
        <f t="shared" si="154"/>
        <v>947</v>
      </c>
      <c r="L2631" s="32">
        <v>694238</v>
      </c>
      <c r="M2631" s="10">
        <f t="shared" si="155"/>
        <v>35.034846884899679</v>
      </c>
    </row>
    <row r="2632" spans="1:13" ht="15" hidden="1" customHeight="1" x14ac:dyDescent="0.3">
      <c r="A2632" s="9">
        <v>3660</v>
      </c>
      <c r="B2632" t="s">
        <v>286</v>
      </c>
      <c r="C2632" s="25">
        <v>44664</v>
      </c>
      <c r="D2632" s="26">
        <v>0.50923611111111111</v>
      </c>
      <c r="E2632" t="s">
        <v>27</v>
      </c>
      <c r="F2632" t="s">
        <v>311</v>
      </c>
      <c r="G2632" t="s">
        <v>303</v>
      </c>
      <c r="H2632" t="s">
        <v>287</v>
      </c>
      <c r="I2632" s="4">
        <v>187.59</v>
      </c>
      <c r="J2632" s="32">
        <v>694238</v>
      </c>
      <c r="K2632" s="90">
        <f t="shared" si="154"/>
        <v>404</v>
      </c>
      <c r="L2632" s="32">
        <v>694642</v>
      </c>
      <c r="M2632" s="10">
        <f t="shared" si="155"/>
        <v>46.433168316831683</v>
      </c>
    </row>
    <row r="2633" spans="1:13" ht="15" hidden="1" customHeight="1" x14ac:dyDescent="0.3">
      <c r="A2633" s="9">
        <v>3661</v>
      </c>
      <c r="B2633" t="s">
        <v>286</v>
      </c>
      <c r="C2633" s="25">
        <v>44664</v>
      </c>
      <c r="D2633" s="26">
        <v>0.76355324074074071</v>
      </c>
      <c r="E2633" t="s">
        <v>27</v>
      </c>
      <c r="F2633" t="s">
        <v>166</v>
      </c>
      <c r="G2633" t="s">
        <v>161</v>
      </c>
      <c r="H2633" t="s">
        <v>287</v>
      </c>
      <c r="I2633" s="4">
        <v>161.63</v>
      </c>
      <c r="J2633" s="32">
        <v>694642</v>
      </c>
      <c r="K2633" s="90">
        <f t="shared" si="154"/>
        <v>356</v>
      </c>
      <c r="L2633" s="32">
        <v>694998</v>
      </c>
      <c r="M2633" s="10">
        <f t="shared" si="155"/>
        <v>45.401685393258425</v>
      </c>
    </row>
    <row r="2634" spans="1:13" ht="15" hidden="1" customHeight="1" x14ac:dyDescent="0.3">
      <c r="A2634" s="9">
        <v>3662</v>
      </c>
      <c r="B2634" t="s">
        <v>286</v>
      </c>
      <c r="C2634" s="25">
        <v>44665</v>
      </c>
      <c r="D2634" s="26">
        <v>0.61527777777777781</v>
      </c>
      <c r="E2634" t="s">
        <v>27</v>
      </c>
      <c r="F2634" t="s">
        <v>165</v>
      </c>
      <c r="G2634" t="s">
        <v>185</v>
      </c>
      <c r="H2634" t="s">
        <v>287</v>
      </c>
      <c r="I2634" s="4">
        <v>297.22000000000003</v>
      </c>
      <c r="J2634" s="68">
        <v>694998</v>
      </c>
      <c r="K2634" s="93">
        <f t="shared" si="154"/>
        <v>632</v>
      </c>
      <c r="L2634" s="37">
        <v>695630</v>
      </c>
      <c r="M2634" s="10">
        <f t="shared" si="155"/>
        <v>47.028481012658233</v>
      </c>
    </row>
    <row r="2635" spans="1:13" ht="15" hidden="1" customHeight="1" x14ac:dyDescent="0.3">
      <c r="A2635" s="9">
        <v>3663</v>
      </c>
      <c r="B2635" t="s">
        <v>286</v>
      </c>
      <c r="C2635" s="25">
        <v>44666</v>
      </c>
      <c r="D2635" s="26">
        <v>4.8379629629629632E-3</v>
      </c>
      <c r="E2635" t="s">
        <v>27</v>
      </c>
      <c r="F2635" t="s">
        <v>166</v>
      </c>
      <c r="G2635" t="s">
        <v>161</v>
      </c>
      <c r="H2635" t="s">
        <v>287</v>
      </c>
      <c r="I2635" s="4">
        <v>193.16</v>
      </c>
      <c r="J2635" s="33">
        <v>695630</v>
      </c>
      <c r="K2635" s="99">
        <f t="shared" si="154"/>
        <v>632</v>
      </c>
      <c r="L2635" s="32">
        <v>696262</v>
      </c>
      <c r="M2635" s="10">
        <f t="shared" si="155"/>
        <v>30.563291139240505</v>
      </c>
    </row>
    <row r="2636" spans="1:13" ht="15" hidden="1" customHeight="1" x14ac:dyDescent="0.3">
      <c r="A2636" s="9">
        <v>3664</v>
      </c>
      <c r="B2636" t="s">
        <v>286</v>
      </c>
      <c r="C2636" s="25">
        <v>44666</v>
      </c>
      <c r="D2636" s="26">
        <v>0.66667824074074078</v>
      </c>
      <c r="E2636" t="s">
        <v>27</v>
      </c>
      <c r="F2636" t="s">
        <v>169</v>
      </c>
      <c r="G2636" t="s">
        <v>196</v>
      </c>
      <c r="H2636" t="s">
        <v>287</v>
      </c>
      <c r="I2636" s="4">
        <v>156.44999999999999</v>
      </c>
      <c r="J2636" s="32">
        <v>696262</v>
      </c>
      <c r="K2636" s="89">
        <f t="shared" si="154"/>
        <v>409</v>
      </c>
      <c r="L2636" s="37">
        <v>696671</v>
      </c>
      <c r="M2636" s="10">
        <f t="shared" si="155"/>
        <v>38.251833740831295</v>
      </c>
    </row>
    <row r="2637" spans="1:13" ht="15" hidden="1" customHeight="1" x14ac:dyDescent="0.3">
      <c r="A2637" s="9">
        <v>3665</v>
      </c>
      <c r="B2637" t="s">
        <v>286</v>
      </c>
      <c r="C2637" s="25">
        <v>44667</v>
      </c>
      <c r="D2637" s="26">
        <v>0.54812499999999997</v>
      </c>
      <c r="E2637" t="s">
        <v>27</v>
      </c>
      <c r="F2637" t="s">
        <v>391</v>
      </c>
      <c r="G2637" t="s">
        <v>392</v>
      </c>
      <c r="H2637" t="s">
        <v>287</v>
      </c>
      <c r="I2637" s="4">
        <v>175.68</v>
      </c>
      <c r="J2637" s="52">
        <v>696671</v>
      </c>
      <c r="K2637" s="89">
        <f t="shared" si="154"/>
        <v>424</v>
      </c>
      <c r="L2637" s="52">
        <v>697095</v>
      </c>
      <c r="M2637" s="10">
        <f t="shared" si="155"/>
        <v>41.433962264150949</v>
      </c>
    </row>
    <row r="2638" spans="1:13" hidden="1" x14ac:dyDescent="0.3">
      <c r="A2638" s="9">
        <v>3666</v>
      </c>
      <c r="B2638" t="s">
        <v>286</v>
      </c>
      <c r="C2638" s="25">
        <v>44669</v>
      </c>
      <c r="D2638" s="26">
        <v>0.63043981481481481</v>
      </c>
      <c r="E2638" t="s">
        <v>27</v>
      </c>
      <c r="F2638" t="s">
        <v>311</v>
      </c>
      <c r="G2638" t="s">
        <v>303</v>
      </c>
      <c r="H2638" t="s">
        <v>287</v>
      </c>
      <c r="I2638" s="4">
        <v>207.07</v>
      </c>
      <c r="J2638" s="37">
        <v>697095</v>
      </c>
      <c r="K2638" s="89">
        <f t="shared" si="154"/>
        <v>468</v>
      </c>
      <c r="L2638" s="32">
        <v>697563</v>
      </c>
      <c r="M2638" s="10">
        <f t="shared" si="155"/>
        <v>44.245726495726494</v>
      </c>
    </row>
    <row r="2639" spans="1:13" ht="15" hidden="1" customHeight="1" x14ac:dyDescent="0.3">
      <c r="A2639" s="9">
        <v>3667</v>
      </c>
      <c r="B2639" t="s">
        <v>286</v>
      </c>
      <c r="C2639" s="25">
        <v>44669</v>
      </c>
      <c r="D2639" s="26">
        <v>0.88611111111111107</v>
      </c>
      <c r="E2639" t="s">
        <v>27</v>
      </c>
      <c r="F2639" t="s">
        <v>210</v>
      </c>
      <c r="G2639" t="s">
        <v>211</v>
      </c>
      <c r="H2639" t="s">
        <v>287</v>
      </c>
      <c r="I2639" s="4">
        <v>182</v>
      </c>
      <c r="J2639" s="37">
        <v>697563</v>
      </c>
      <c r="K2639" s="89">
        <f t="shared" si="154"/>
        <v>433</v>
      </c>
      <c r="L2639" s="32">
        <v>697996</v>
      </c>
      <c r="M2639" s="10">
        <f t="shared" si="155"/>
        <v>42.032332563510394</v>
      </c>
    </row>
    <row r="2640" spans="1:13" ht="15" hidden="1" customHeight="1" x14ac:dyDescent="0.3">
      <c r="A2640" s="9">
        <v>3668</v>
      </c>
      <c r="B2640" t="s">
        <v>286</v>
      </c>
      <c r="C2640" s="25">
        <v>44671</v>
      </c>
      <c r="D2640" s="26">
        <v>7.2881944444444444E-2</v>
      </c>
      <c r="E2640" t="s">
        <v>27</v>
      </c>
      <c r="F2640" t="s">
        <v>210</v>
      </c>
      <c r="G2640" t="s">
        <v>211</v>
      </c>
      <c r="H2640" t="s">
        <v>287</v>
      </c>
      <c r="I2640" s="4">
        <v>396.03</v>
      </c>
      <c r="J2640" s="37">
        <v>697996</v>
      </c>
      <c r="K2640" s="89">
        <f t="shared" si="154"/>
        <v>888</v>
      </c>
      <c r="L2640" s="37">
        <v>698884</v>
      </c>
      <c r="M2640" s="10">
        <f t="shared" si="155"/>
        <v>44.597972972972968</v>
      </c>
    </row>
    <row r="2641" spans="1:13" ht="15" hidden="1" customHeight="1" x14ac:dyDescent="0.3">
      <c r="A2641" s="9">
        <v>3669</v>
      </c>
      <c r="B2641" t="s">
        <v>286</v>
      </c>
      <c r="C2641" s="25">
        <v>44673</v>
      </c>
      <c r="D2641" s="26">
        <v>0.42454861111111114</v>
      </c>
      <c r="E2641" t="s">
        <v>27</v>
      </c>
      <c r="F2641" t="s">
        <v>175</v>
      </c>
      <c r="G2641" t="s">
        <v>172</v>
      </c>
      <c r="H2641" t="s">
        <v>287</v>
      </c>
      <c r="I2641" s="4">
        <v>469.08</v>
      </c>
      <c r="J2641" s="37">
        <v>698884</v>
      </c>
      <c r="K2641" s="89">
        <f t="shared" ref="K2641:K2655" si="156">+L2641-J2641</f>
        <v>1251</v>
      </c>
      <c r="L2641" s="32">
        <v>700135</v>
      </c>
      <c r="M2641" s="10">
        <f t="shared" ref="M2641:M2672" si="157">I2641/K2641*100</f>
        <v>37.496402877697847</v>
      </c>
    </row>
    <row r="2642" spans="1:13" ht="15" hidden="1" customHeight="1" x14ac:dyDescent="0.3">
      <c r="A2642" s="9">
        <v>3670</v>
      </c>
      <c r="B2642" t="s">
        <v>286</v>
      </c>
      <c r="C2642" s="25">
        <v>44673</v>
      </c>
      <c r="D2642" s="26">
        <v>0.65650462962962963</v>
      </c>
      <c r="E2642" t="s">
        <v>27</v>
      </c>
      <c r="F2642" t="s">
        <v>311</v>
      </c>
      <c r="G2642" t="s">
        <v>303</v>
      </c>
      <c r="H2642" t="s">
        <v>287</v>
      </c>
      <c r="I2642" s="4">
        <v>123.39</v>
      </c>
      <c r="J2642" s="32">
        <v>700135</v>
      </c>
      <c r="K2642" s="89">
        <f t="shared" si="156"/>
        <v>268</v>
      </c>
      <c r="L2642" s="37">
        <v>700403</v>
      </c>
      <c r="M2642" s="10">
        <f t="shared" si="157"/>
        <v>46.041044776119406</v>
      </c>
    </row>
    <row r="2643" spans="1:13" ht="15" hidden="1" customHeight="1" x14ac:dyDescent="0.3">
      <c r="A2643" s="9">
        <v>3671</v>
      </c>
      <c r="B2643" t="s">
        <v>286</v>
      </c>
      <c r="C2643" s="25">
        <v>44673</v>
      </c>
      <c r="D2643" s="26">
        <v>0.90097222222222229</v>
      </c>
      <c r="E2643" t="s">
        <v>27</v>
      </c>
      <c r="F2643" t="s">
        <v>166</v>
      </c>
      <c r="G2643" t="s">
        <v>161</v>
      </c>
      <c r="H2643" t="s">
        <v>287</v>
      </c>
      <c r="I2643" s="4">
        <v>154.16999999999999</v>
      </c>
      <c r="J2643" s="32">
        <v>700403</v>
      </c>
      <c r="K2643" s="89">
        <f t="shared" si="156"/>
        <v>357</v>
      </c>
      <c r="L2643" s="37">
        <v>700760</v>
      </c>
      <c r="M2643" s="10">
        <f t="shared" si="157"/>
        <v>43.184873949579824</v>
      </c>
    </row>
    <row r="2644" spans="1:13" ht="15" hidden="1" customHeight="1" x14ac:dyDescent="0.3">
      <c r="A2644" s="9">
        <v>3672</v>
      </c>
      <c r="B2644" t="s">
        <v>286</v>
      </c>
      <c r="C2644" s="25">
        <v>44674</v>
      </c>
      <c r="D2644" s="26">
        <v>0.80003472222222216</v>
      </c>
      <c r="E2644" t="s">
        <v>27</v>
      </c>
      <c r="F2644" t="s">
        <v>165</v>
      </c>
      <c r="G2644" t="s">
        <v>185</v>
      </c>
      <c r="H2644" t="s">
        <v>287</v>
      </c>
      <c r="I2644" s="4">
        <v>326.89</v>
      </c>
      <c r="J2644" s="41">
        <v>700760</v>
      </c>
      <c r="K2644" s="89">
        <f t="shared" si="156"/>
        <v>634</v>
      </c>
      <c r="L2644" s="53">
        <v>701394</v>
      </c>
      <c r="M2644" s="10">
        <f t="shared" si="157"/>
        <v>51.559936908517344</v>
      </c>
    </row>
    <row r="2645" spans="1:13" ht="15" hidden="1" customHeight="1" x14ac:dyDescent="0.3">
      <c r="A2645" s="9">
        <v>3673</v>
      </c>
      <c r="B2645" t="s">
        <v>286</v>
      </c>
      <c r="C2645" s="25">
        <v>44675</v>
      </c>
      <c r="D2645" s="26">
        <v>0.59710648148148149</v>
      </c>
      <c r="E2645" t="s">
        <v>27</v>
      </c>
      <c r="F2645" t="s">
        <v>210</v>
      </c>
      <c r="G2645" t="s">
        <v>211</v>
      </c>
      <c r="H2645" t="s">
        <v>287</v>
      </c>
      <c r="I2645" s="4">
        <v>152.47999999999999</v>
      </c>
      <c r="J2645" s="41">
        <v>701394</v>
      </c>
      <c r="K2645" s="89">
        <f t="shared" si="156"/>
        <v>515</v>
      </c>
      <c r="L2645" s="53">
        <v>701909</v>
      </c>
      <c r="M2645" s="10">
        <f t="shared" si="157"/>
        <v>29.60776699029126</v>
      </c>
    </row>
    <row r="2646" spans="1:13" ht="15" hidden="1" customHeight="1" x14ac:dyDescent="0.3">
      <c r="A2646" s="9">
        <v>3674</v>
      </c>
      <c r="B2646" t="s">
        <v>286</v>
      </c>
      <c r="C2646" s="25">
        <v>44676</v>
      </c>
      <c r="D2646" s="26">
        <v>0.47245370370370371</v>
      </c>
      <c r="E2646" t="s">
        <v>27</v>
      </c>
      <c r="F2646" t="s">
        <v>169</v>
      </c>
      <c r="G2646" t="s">
        <v>196</v>
      </c>
      <c r="H2646" t="s">
        <v>287</v>
      </c>
      <c r="I2646">
        <v>160.11000000000001</v>
      </c>
      <c r="J2646" s="69">
        <v>0</v>
      </c>
      <c r="K2646" s="89">
        <f t="shared" si="156"/>
        <v>484</v>
      </c>
      <c r="L2646" s="30">
        <v>484</v>
      </c>
      <c r="M2646" s="10">
        <f t="shared" si="157"/>
        <v>33.080578512396698</v>
      </c>
    </row>
    <row r="2647" spans="1:13" ht="15" hidden="1" customHeight="1" x14ac:dyDescent="0.3">
      <c r="A2647" s="9">
        <v>3675</v>
      </c>
      <c r="B2647" t="s">
        <v>286</v>
      </c>
      <c r="C2647" s="25">
        <v>44677</v>
      </c>
      <c r="D2647" s="26">
        <v>0.89241898148148147</v>
      </c>
      <c r="E2647" t="s">
        <v>27</v>
      </c>
      <c r="F2647" t="s">
        <v>175</v>
      </c>
      <c r="G2647" t="s">
        <v>172</v>
      </c>
      <c r="H2647" t="s">
        <v>287</v>
      </c>
      <c r="I2647">
        <v>184.54</v>
      </c>
      <c r="J2647" s="69">
        <v>0</v>
      </c>
      <c r="K2647" s="89">
        <f t="shared" si="156"/>
        <v>458</v>
      </c>
      <c r="L2647" s="11">
        <v>458</v>
      </c>
      <c r="M2647" s="10">
        <f t="shared" si="157"/>
        <v>40.292576419213972</v>
      </c>
    </row>
    <row r="2648" spans="1:13" ht="15" hidden="1" customHeight="1" x14ac:dyDescent="0.3">
      <c r="A2648" s="9">
        <v>3676</v>
      </c>
      <c r="B2648" t="s">
        <v>286</v>
      </c>
      <c r="C2648" s="25">
        <v>44678</v>
      </c>
      <c r="D2648" s="26">
        <v>0.7712268518518518</v>
      </c>
      <c r="E2648" t="s">
        <v>27</v>
      </c>
      <c r="F2648" t="s">
        <v>488</v>
      </c>
      <c r="G2648" t="s">
        <v>489</v>
      </c>
      <c r="H2648" t="s">
        <v>287</v>
      </c>
      <c r="I2648">
        <v>247.91</v>
      </c>
      <c r="J2648" s="69">
        <v>0</v>
      </c>
      <c r="K2648" s="89">
        <f t="shared" si="156"/>
        <v>582</v>
      </c>
      <c r="L2648" s="11">
        <v>582</v>
      </c>
      <c r="M2648" s="10">
        <f t="shared" si="157"/>
        <v>42.596219931271477</v>
      </c>
    </row>
    <row r="2649" spans="1:13" ht="15" hidden="1" customHeight="1" x14ac:dyDescent="0.3">
      <c r="A2649" s="9">
        <v>3677</v>
      </c>
      <c r="B2649" t="s">
        <v>286</v>
      </c>
      <c r="C2649" s="25">
        <v>44679</v>
      </c>
      <c r="D2649" s="26">
        <v>0.54812499999999997</v>
      </c>
      <c r="E2649" t="s">
        <v>27</v>
      </c>
      <c r="F2649" t="s">
        <v>396</v>
      </c>
      <c r="G2649" t="s">
        <v>397</v>
      </c>
      <c r="H2649" t="s">
        <v>287</v>
      </c>
      <c r="I2649">
        <v>289.13</v>
      </c>
      <c r="J2649" s="41">
        <v>0</v>
      </c>
      <c r="K2649" s="89">
        <f t="shared" si="156"/>
        <v>580</v>
      </c>
      <c r="L2649" s="30">
        <v>580</v>
      </c>
      <c r="M2649" s="10">
        <f t="shared" si="157"/>
        <v>49.85</v>
      </c>
    </row>
    <row r="2650" spans="1:13" ht="15" hidden="1" customHeight="1" x14ac:dyDescent="0.3">
      <c r="A2650" s="9">
        <v>3759</v>
      </c>
      <c r="B2650" t="s">
        <v>286</v>
      </c>
      <c r="C2650" s="25">
        <v>44684</v>
      </c>
      <c r="D2650" s="26">
        <v>0.89888888888888896</v>
      </c>
      <c r="E2650" t="s">
        <v>28</v>
      </c>
      <c r="F2650" t="s">
        <v>166</v>
      </c>
      <c r="G2650" t="s">
        <v>161</v>
      </c>
      <c r="H2650" t="s">
        <v>287</v>
      </c>
      <c r="I2650">
        <v>255.46</v>
      </c>
      <c r="J2650" s="41">
        <v>0</v>
      </c>
      <c r="K2650" s="89">
        <f t="shared" si="156"/>
        <v>620</v>
      </c>
      <c r="L2650" s="53">
        <v>620</v>
      </c>
      <c r="M2650" s="10">
        <f t="shared" si="157"/>
        <v>41.203225806451613</v>
      </c>
    </row>
    <row r="2651" spans="1:13" ht="15" hidden="1" customHeight="1" x14ac:dyDescent="0.3">
      <c r="A2651" s="9">
        <v>3788</v>
      </c>
      <c r="B2651" t="s">
        <v>286</v>
      </c>
      <c r="C2651" s="25">
        <v>44684</v>
      </c>
      <c r="D2651" s="26">
        <v>0.36420138888888887</v>
      </c>
      <c r="E2651" t="s">
        <v>28</v>
      </c>
      <c r="F2651" t="s">
        <v>175</v>
      </c>
      <c r="G2651" t="s">
        <v>172</v>
      </c>
      <c r="H2651" t="s">
        <v>287</v>
      </c>
      <c r="I2651">
        <v>287.26</v>
      </c>
      <c r="J2651" s="32">
        <v>0</v>
      </c>
      <c r="K2651" s="89">
        <f t="shared" si="156"/>
        <v>2005</v>
      </c>
      <c r="L2651" s="53">
        <v>2005</v>
      </c>
      <c r="M2651" s="10">
        <f t="shared" si="157"/>
        <v>14.327182044887779</v>
      </c>
    </row>
    <row r="2652" spans="1:13" ht="15" hidden="1" customHeight="1" x14ac:dyDescent="0.3">
      <c r="A2652" s="9">
        <v>3859</v>
      </c>
      <c r="B2652" t="s">
        <v>286</v>
      </c>
      <c r="C2652" s="25">
        <v>44685</v>
      </c>
      <c r="D2652" s="26">
        <v>0.83549768518518519</v>
      </c>
      <c r="E2652" t="s">
        <v>28</v>
      </c>
      <c r="F2652" t="s">
        <v>165</v>
      </c>
      <c r="G2652" t="s">
        <v>185</v>
      </c>
      <c r="H2652" t="s">
        <v>287</v>
      </c>
      <c r="I2652">
        <v>293.02999999999997</v>
      </c>
      <c r="J2652" s="32">
        <v>0</v>
      </c>
      <c r="K2652" s="89">
        <f t="shared" si="156"/>
        <v>631</v>
      </c>
      <c r="L2652" s="53">
        <v>631</v>
      </c>
      <c r="M2652" s="10">
        <f t="shared" si="157"/>
        <v>46.43898573692551</v>
      </c>
    </row>
    <row r="2653" spans="1:13" ht="15" hidden="1" customHeight="1" x14ac:dyDescent="0.3">
      <c r="A2653" s="9">
        <v>3944</v>
      </c>
      <c r="B2653" t="s">
        <v>286</v>
      </c>
      <c r="C2653" s="25">
        <v>44687</v>
      </c>
      <c r="D2653" s="26">
        <v>2.7094907407407404E-2</v>
      </c>
      <c r="E2653" t="s">
        <v>28</v>
      </c>
      <c r="F2653" t="s">
        <v>166</v>
      </c>
      <c r="G2653" t="s">
        <v>161</v>
      </c>
      <c r="H2653" t="s">
        <v>287</v>
      </c>
      <c r="I2653">
        <v>245.92</v>
      </c>
      <c r="J2653" s="32">
        <v>0</v>
      </c>
      <c r="K2653" s="89">
        <f t="shared" si="156"/>
        <v>649</v>
      </c>
      <c r="L2653" s="52">
        <v>649</v>
      </c>
      <c r="M2653" s="10">
        <f t="shared" si="157"/>
        <v>37.89214175654854</v>
      </c>
    </row>
    <row r="2654" spans="1:13" ht="15" hidden="1" customHeight="1" x14ac:dyDescent="0.3">
      <c r="A2654" s="9">
        <v>4489</v>
      </c>
      <c r="B2654" t="s">
        <v>286</v>
      </c>
      <c r="C2654" s="25">
        <v>44697</v>
      </c>
      <c r="D2654" s="26">
        <v>0.74579861111111112</v>
      </c>
      <c r="E2654" t="s">
        <v>28</v>
      </c>
      <c r="F2654" t="s">
        <v>197</v>
      </c>
      <c r="G2654" t="s">
        <v>44</v>
      </c>
      <c r="H2654" t="s">
        <v>287</v>
      </c>
      <c r="I2654">
        <v>148.19</v>
      </c>
      <c r="J2654" s="32">
        <v>0</v>
      </c>
      <c r="K2654" s="89">
        <f t="shared" si="156"/>
        <v>1101</v>
      </c>
      <c r="L2654" s="52">
        <v>1101</v>
      </c>
      <c r="M2654" s="10">
        <f t="shared" si="157"/>
        <v>13.459582198001815</v>
      </c>
    </row>
    <row r="2655" spans="1:13" ht="15" hidden="1" customHeight="1" x14ac:dyDescent="0.3">
      <c r="A2655" s="9">
        <v>4490</v>
      </c>
      <c r="B2655" t="s">
        <v>286</v>
      </c>
      <c r="C2655" s="25">
        <v>44697</v>
      </c>
      <c r="D2655" s="26">
        <v>0.8525462962962963</v>
      </c>
      <c r="E2655" t="s">
        <v>28</v>
      </c>
      <c r="F2655" t="s">
        <v>311</v>
      </c>
      <c r="G2655" t="s">
        <v>303</v>
      </c>
      <c r="H2655" t="s">
        <v>287</v>
      </c>
      <c r="I2655">
        <v>336.55</v>
      </c>
      <c r="J2655" s="32">
        <v>0</v>
      </c>
      <c r="K2655" s="89">
        <f t="shared" si="156"/>
        <v>156</v>
      </c>
      <c r="L2655" s="52">
        <v>156</v>
      </c>
      <c r="M2655" s="10">
        <f t="shared" si="157"/>
        <v>215.7371794871795</v>
      </c>
    </row>
    <row r="2656" spans="1:13" ht="15" hidden="1" customHeight="1" x14ac:dyDescent="0.3">
      <c r="A2656" s="9">
        <v>4505</v>
      </c>
      <c r="B2656" t="s">
        <v>286</v>
      </c>
      <c r="C2656" s="25">
        <v>44698</v>
      </c>
      <c r="D2656" s="26">
        <v>8.3506944444444453E-2</v>
      </c>
      <c r="E2656" t="s">
        <v>28</v>
      </c>
      <c r="F2656" t="s">
        <v>166</v>
      </c>
      <c r="G2656" t="s">
        <v>161</v>
      </c>
      <c r="H2656" t="s">
        <v>287</v>
      </c>
      <c r="I2656">
        <v>100</v>
      </c>
      <c r="J2656" s="32">
        <v>0</v>
      </c>
      <c r="K2656" s="89">
        <f t="shared" ref="K2656:K2671" si="158">+L2656-J2926</f>
        <v>354</v>
      </c>
      <c r="L2656" s="52">
        <v>354</v>
      </c>
      <c r="M2656" s="10">
        <f t="shared" si="157"/>
        <v>28.248587570621471</v>
      </c>
    </row>
    <row r="2657" spans="1:13" ht="15" hidden="1" customHeight="1" x14ac:dyDescent="0.3">
      <c r="A2657" s="9">
        <v>4529</v>
      </c>
      <c r="B2657" t="s">
        <v>286</v>
      </c>
      <c r="C2657" s="25">
        <v>44698</v>
      </c>
      <c r="D2657" s="26">
        <v>0.40902777777777777</v>
      </c>
      <c r="E2657" t="s">
        <v>28</v>
      </c>
      <c r="F2657" t="s">
        <v>210</v>
      </c>
      <c r="G2657" t="s">
        <v>211</v>
      </c>
      <c r="H2657" t="s">
        <v>287</v>
      </c>
      <c r="I2657">
        <v>107.44</v>
      </c>
      <c r="J2657" s="32">
        <v>0</v>
      </c>
      <c r="K2657" s="89">
        <f t="shared" si="158"/>
        <v>76</v>
      </c>
      <c r="L2657" s="52">
        <v>76</v>
      </c>
      <c r="M2657" s="10">
        <f t="shared" si="157"/>
        <v>141.36842105263156</v>
      </c>
    </row>
    <row r="2658" spans="1:13" ht="15" hidden="1" customHeight="1" x14ac:dyDescent="0.3">
      <c r="A2658" s="9">
        <v>4591</v>
      </c>
      <c r="B2658" t="s">
        <v>286</v>
      </c>
      <c r="C2658" s="25">
        <v>44699</v>
      </c>
      <c r="D2658" s="26">
        <v>0.47569444444444442</v>
      </c>
      <c r="E2658" t="s">
        <v>28</v>
      </c>
      <c r="F2658" t="s">
        <v>165</v>
      </c>
      <c r="G2658" t="s">
        <v>185</v>
      </c>
      <c r="H2658" t="s">
        <v>287</v>
      </c>
      <c r="I2658">
        <v>253.26</v>
      </c>
      <c r="J2658" s="32">
        <v>0</v>
      </c>
      <c r="K2658" s="89">
        <f t="shared" si="158"/>
        <v>548</v>
      </c>
      <c r="L2658" s="52">
        <v>548</v>
      </c>
      <c r="M2658" s="10">
        <f t="shared" si="157"/>
        <v>46.215328467153284</v>
      </c>
    </row>
    <row r="2659" spans="1:13" ht="15" hidden="1" customHeight="1" x14ac:dyDescent="0.3">
      <c r="A2659" s="9">
        <v>4592</v>
      </c>
      <c r="B2659" t="s">
        <v>286</v>
      </c>
      <c r="C2659" s="25">
        <v>44699</v>
      </c>
      <c r="D2659" s="26">
        <v>0.91333333333333344</v>
      </c>
      <c r="E2659" t="s">
        <v>28</v>
      </c>
      <c r="F2659" t="s">
        <v>202</v>
      </c>
      <c r="G2659" t="s">
        <v>203</v>
      </c>
      <c r="H2659" t="s">
        <v>287</v>
      </c>
      <c r="I2659">
        <v>173.45</v>
      </c>
      <c r="J2659" s="32">
        <v>0</v>
      </c>
      <c r="K2659" s="89">
        <f t="shared" si="158"/>
        <v>541</v>
      </c>
      <c r="L2659" s="52">
        <v>541</v>
      </c>
      <c r="M2659" s="10">
        <f t="shared" si="157"/>
        <v>32.060998151571162</v>
      </c>
    </row>
    <row r="2660" spans="1:13" ht="15" hidden="1" customHeight="1" x14ac:dyDescent="0.3">
      <c r="A2660" s="9">
        <v>4641</v>
      </c>
      <c r="B2660" t="s">
        <v>286</v>
      </c>
      <c r="C2660" s="25">
        <v>44700</v>
      </c>
      <c r="D2660" s="26">
        <v>0.69706018518518509</v>
      </c>
      <c r="E2660" t="s">
        <v>28</v>
      </c>
      <c r="F2660" t="s">
        <v>202</v>
      </c>
      <c r="G2660" t="s">
        <v>203</v>
      </c>
      <c r="H2660" t="s">
        <v>287</v>
      </c>
      <c r="I2660">
        <v>150</v>
      </c>
      <c r="J2660" s="32">
        <v>0</v>
      </c>
      <c r="K2660" s="89">
        <f t="shared" si="158"/>
        <v>508</v>
      </c>
      <c r="L2660" s="53">
        <v>508</v>
      </c>
      <c r="M2660" s="10">
        <f t="shared" si="157"/>
        <v>29.527559055118108</v>
      </c>
    </row>
    <row r="2661" spans="1:13" ht="15" hidden="1" customHeight="1" x14ac:dyDescent="0.3">
      <c r="A2661" s="9">
        <v>4694</v>
      </c>
      <c r="B2661" t="s">
        <v>286</v>
      </c>
      <c r="C2661" s="25">
        <v>44701</v>
      </c>
      <c r="D2661" s="26">
        <v>0.53957175925925926</v>
      </c>
      <c r="E2661" t="s">
        <v>28</v>
      </c>
      <c r="F2661" t="s">
        <v>165</v>
      </c>
      <c r="G2661" t="s">
        <v>185</v>
      </c>
      <c r="H2661" t="s">
        <v>287</v>
      </c>
      <c r="I2661">
        <v>275.73</v>
      </c>
      <c r="J2661" s="32">
        <v>0</v>
      </c>
      <c r="K2661" s="89">
        <f t="shared" si="158"/>
        <v>574</v>
      </c>
      <c r="L2661" s="53">
        <v>574</v>
      </c>
      <c r="M2661" s="10">
        <f t="shared" si="157"/>
        <v>48.036585365853661</v>
      </c>
    </row>
    <row r="2662" spans="1:13" ht="15" hidden="1" customHeight="1" x14ac:dyDescent="0.3">
      <c r="A2662" s="9">
        <v>4695</v>
      </c>
      <c r="B2662" t="s">
        <v>286</v>
      </c>
      <c r="C2662" s="25">
        <v>44701</v>
      </c>
      <c r="D2662" s="26">
        <v>0.85986111111111108</v>
      </c>
      <c r="E2662" t="s">
        <v>28</v>
      </c>
      <c r="F2662" t="s">
        <v>210</v>
      </c>
      <c r="G2662" t="s">
        <v>211</v>
      </c>
      <c r="H2662" t="s">
        <v>287</v>
      </c>
      <c r="I2662">
        <v>151.72</v>
      </c>
      <c r="J2662" s="32">
        <v>0</v>
      </c>
      <c r="K2662" s="89">
        <f t="shared" si="158"/>
        <v>514</v>
      </c>
      <c r="L2662" s="67">
        <v>514</v>
      </c>
      <c r="M2662" s="10">
        <f t="shared" si="157"/>
        <v>29.517509727626457</v>
      </c>
    </row>
    <row r="2663" spans="1:13" ht="15" hidden="1" customHeight="1" x14ac:dyDescent="0.3">
      <c r="A2663" s="9">
        <v>4754</v>
      </c>
      <c r="B2663" t="s">
        <v>286</v>
      </c>
      <c r="C2663" s="25">
        <v>44702</v>
      </c>
      <c r="D2663" s="26">
        <v>0.33259259259259261</v>
      </c>
      <c r="E2663" t="s">
        <v>28</v>
      </c>
      <c r="F2663" t="s">
        <v>169</v>
      </c>
      <c r="G2663" t="s">
        <v>196</v>
      </c>
      <c r="H2663" t="s">
        <v>287</v>
      </c>
      <c r="I2663">
        <v>150.62</v>
      </c>
      <c r="J2663" s="41">
        <v>0</v>
      </c>
      <c r="K2663" s="89">
        <f t="shared" si="158"/>
        <v>492</v>
      </c>
      <c r="L2663" s="53">
        <v>492</v>
      </c>
      <c r="M2663" s="10">
        <f t="shared" si="157"/>
        <v>30.613821138211385</v>
      </c>
    </row>
    <row r="2664" spans="1:13" ht="15" hidden="1" customHeight="1" x14ac:dyDescent="0.3">
      <c r="A2664" s="9">
        <v>4755</v>
      </c>
      <c r="B2664" t="s">
        <v>286</v>
      </c>
      <c r="C2664" s="25">
        <v>44702</v>
      </c>
      <c r="D2664" s="26">
        <v>0.69018518518518512</v>
      </c>
      <c r="E2664" t="s">
        <v>28</v>
      </c>
      <c r="F2664" t="s">
        <v>262</v>
      </c>
      <c r="G2664" t="s">
        <v>263</v>
      </c>
      <c r="H2664" t="s">
        <v>287</v>
      </c>
      <c r="I2664">
        <v>123.67</v>
      </c>
      <c r="J2664" s="37">
        <v>0</v>
      </c>
      <c r="K2664" s="89">
        <f t="shared" si="158"/>
        <v>344</v>
      </c>
      <c r="L2664" s="32">
        <v>344</v>
      </c>
      <c r="M2664" s="36">
        <f t="shared" si="157"/>
        <v>35.950581395348834</v>
      </c>
    </row>
    <row r="2665" spans="1:13" ht="15" hidden="1" customHeight="1" x14ac:dyDescent="0.3">
      <c r="A2665" s="9">
        <v>4806</v>
      </c>
      <c r="B2665" t="s">
        <v>286</v>
      </c>
      <c r="C2665" s="25">
        <v>44703</v>
      </c>
      <c r="D2665" s="26">
        <v>0.51473379629629623</v>
      </c>
      <c r="E2665" t="s">
        <v>28</v>
      </c>
      <c r="F2665" t="s">
        <v>311</v>
      </c>
      <c r="G2665" t="s">
        <v>303</v>
      </c>
      <c r="H2665" t="s">
        <v>287</v>
      </c>
      <c r="I2665">
        <v>201.52</v>
      </c>
      <c r="J2665" s="65">
        <v>0</v>
      </c>
      <c r="K2665" s="89">
        <f t="shared" si="158"/>
        <v>482</v>
      </c>
      <c r="L2665" s="32">
        <v>482</v>
      </c>
      <c r="M2665" s="36">
        <f t="shared" si="157"/>
        <v>41.809128630705395</v>
      </c>
    </row>
    <row r="2666" spans="1:13" ht="15" hidden="1" customHeight="1" x14ac:dyDescent="0.3">
      <c r="A2666" s="9">
        <v>4807</v>
      </c>
      <c r="B2666" t="s">
        <v>286</v>
      </c>
      <c r="C2666" s="25">
        <v>44703</v>
      </c>
      <c r="D2666" s="26">
        <v>0.75164351851851852</v>
      </c>
      <c r="E2666" t="s">
        <v>28</v>
      </c>
      <c r="F2666" t="s">
        <v>166</v>
      </c>
      <c r="G2666" t="s">
        <v>161</v>
      </c>
      <c r="H2666" t="s">
        <v>287</v>
      </c>
      <c r="I2666">
        <v>149.58000000000001</v>
      </c>
      <c r="J2666" s="32">
        <v>0</v>
      </c>
      <c r="K2666" s="89">
        <f t="shared" si="158"/>
        <v>354</v>
      </c>
      <c r="L2666" s="32">
        <v>354</v>
      </c>
      <c r="M2666" s="36">
        <f t="shared" si="157"/>
        <v>42.254237288135599</v>
      </c>
    </row>
    <row r="2667" spans="1:13" ht="15" hidden="1" customHeight="1" x14ac:dyDescent="0.3">
      <c r="A2667" s="9">
        <v>4853</v>
      </c>
      <c r="B2667" t="s">
        <v>286</v>
      </c>
      <c r="C2667" s="25">
        <v>44704</v>
      </c>
      <c r="D2667" s="26">
        <v>0.65006944444444448</v>
      </c>
      <c r="E2667" t="s">
        <v>28</v>
      </c>
      <c r="F2667" t="s">
        <v>165</v>
      </c>
      <c r="G2667" t="s">
        <v>185</v>
      </c>
      <c r="H2667" t="s">
        <v>287</v>
      </c>
      <c r="I2667">
        <v>285.52999999999997</v>
      </c>
      <c r="J2667" s="32">
        <v>0</v>
      </c>
      <c r="K2667" s="97">
        <f t="shared" si="158"/>
        <v>631</v>
      </c>
      <c r="L2667" s="37">
        <v>631</v>
      </c>
      <c r="M2667" s="10">
        <f t="shared" si="157"/>
        <v>45.250396196513464</v>
      </c>
    </row>
    <row r="2668" spans="1:13" ht="15" hidden="1" customHeight="1" x14ac:dyDescent="0.3">
      <c r="A2668" s="9">
        <v>4854</v>
      </c>
      <c r="B2668" t="s">
        <v>286</v>
      </c>
      <c r="C2668" s="25">
        <v>44704</v>
      </c>
      <c r="D2668" s="26">
        <v>0.984837962962963</v>
      </c>
      <c r="E2668" t="s">
        <v>28</v>
      </c>
      <c r="F2668" t="s">
        <v>210</v>
      </c>
      <c r="G2668" t="s">
        <v>211</v>
      </c>
      <c r="H2668" t="s">
        <v>287</v>
      </c>
      <c r="I2668">
        <v>159.76</v>
      </c>
      <c r="J2668" s="37">
        <v>0</v>
      </c>
      <c r="K2668" s="97">
        <f t="shared" si="158"/>
        <v>514</v>
      </c>
      <c r="L2668" s="32">
        <v>514</v>
      </c>
      <c r="M2668" s="10">
        <f t="shared" si="157"/>
        <v>31.081712062256805</v>
      </c>
    </row>
    <row r="2669" spans="1:13" ht="15" hidden="1" customHeight="1" x14ac:dyDescent="0.3">
      <c r="A2669" s="9">
        <v>4917</v>
      </c>
      <c r="B2669" t="s">
        <v>286</v>
      </c>
      <c r="C2669" s="25">
        <v>44705</v>
      </c>
      <c r="D2669" s="26">
        <v>0.55163194444444441</v>
      </c>
      <c r="E2669" t="s">
        <v>28</v>
      </c>
      <c r="F2669" t="s">
        <v>169</v>
      </c>
      <c r="G2669" t="s">
        <v>196</v>
      </c>
      <c r="H2669" t="s">
        <v>287</v>
      </c>
      <c r="I2669">
        <v>175</v>
      </c>
      <c r="J2669" s="32">
        <v>0</v>
      </c>
      <c r="K2669" s="97">
        <f t="shared" si="158"/>
        <v>490</v>
      </c>
      <c r="L2669" s="37">
        <v>490</v>
      </c>
      <c r="M2669" s="10">
        <f t="shared" si="157"/>
        <v>35.714285714285715</v>
      </c>
    </row>
    <row r="2670" spans="1:13" ht="15" hidden="1" customHeight="1" x14ac:dyDescent="0.3">
      <c r="A2670" s="9">
        <v>5011</v>
      </c>
      <c r="B2670" t="s">
        <v>286</v>
      </c>
      <c r="C2670" s="25">
        <v>44707</v>
      </c>
      <c r="D2670" s="26">
        <v>0.42592592592592587</v>
      </c>
      <c r="E2670" t="s">
        <v>28</v>
      </c>
      <c r="F2670" t="s">
        <v>638</v>
      </c>
      <c r="G2670" t="s">
        <v>263</v>
      </c>
      <c r="H2670" t="s">
        <v>287</v>
      </c>
      <c r="I2670">
        <v>160.80000000000001</v>
      </c>
      <c r="J2670" s="32">
        <v>0</v>
      </c>
      <c r="K2670" s="90">
        <f t="shared" si="158"/>
        <v>382</v>
      </c>
      <c r="L2670" s="7">
        <v>382</v>
      </c>
      <c r="M2670" s="10">
        <f t="shared" si="157"/>
        <v>42.09424083769634</v>
      </c>
    </row>
    <row r="2671" spans="1:13" ht="15" hidden="1" customHeight="1" x14ac:dyDescent="0.3">
      <c r="A2671" s="9">
        <v>5067</v>
      </c>
      <c r="B2671" t="s">
        <v>286</v>
      </c>
      <c r="C2671" s="25">
        <v>44708</v>
      </c>
      <c r="D2671" s="26">
        <v>0.40652777777777777</v>
      </c>
      <c r="E2671" t="s">
        <v>28</v>
      </c>
      <c r="F2671" t="s">
        <v>661</v>
      </c>
      <c r="G2671" t="s">
        <v>457</v>
      </c>
      <c r="H2671" t="s">
        <v>287</v>
      </c>
      <c r="I2671">
        <v>100.18</v>
      </c>
      <c r="J2671" s="33">
        <v>0</v>
      </c>
      <c r="K2671" s="99">
        <f t="shared" si="158"/>
        <v>602</v>
      </c>
      <c r="L2671" s="7">
        <v>602</v>
      </c>
      <c r="M2671" s="10">
        <f t="shared" si="157"/>
        <v>16.641196013289036</v>
      </c>
    </row>
    <row r="2672" spans="1:13" ht="15" hidden="1" customHeight="1" x14ac:dyDescent="0.3">
      <c r="A2672" s="9">
        <v>5068</v>
      </c>
      <c r="B2672" t="s">
        <v>286</v>
      </c>
      <c r="C2672" s="25">
        <v>44708</v>
      </c>
      <c r="D2672" s="26">
        <v>0.60526620370370365</v>
      </c>
      <c r="E2672" t="s">
        <v>28</v>
      </c>
      <c r="F2672" t="s">
        <v>634</v>
      </c>
      <c r="G2672" t="s">
        <v>211</v>
      </c>
      <c r="H2672" t="s">
        <v>287</v>
      </c>
      <c r="I2672">
        <v>278.33</v>
      </c>
      <c r="J2672" s="32">
        <v>0</v>
      </c>
      <c r="K2672" s="90">
        <f>+L2672-J2963</f>
        <v>311</v>
      </c>
      <c r="L2672" s="7">
        <v>311</v>
      </c>
      <c r="M2672" s="10">
        <f t="shared" si="157"/>
        <v>89.495176848874593</v>
      </c>
    </row>
    <row r="2673" spans="1:13" ht="15" hidden="1" customHeight="1" x14ac:dyDescent="0.3">
      <c r="A2673" s="9">
        <v>5121</v>
      </c>
      <c r="B2673" t="s">
        <v>286</v>
      </c>
      <c r="C2673" s="25">
        <v>44709</v>
      </c>
      <c r="D2673" s="26">
        <v>0.37192129629629633</v>
      </c>
      <c r="E2673" t="s">
        <v>28</v>
      </c>
      <c r="F2673" t="s">
        <v>635</v>
      </c>
      <c r="G2673" t="s">
        <v>185</v>
      </c>
      <c r="H2673" t="s">
        <v>287</v>
      </c>
      <c r="I2673">
        <v>255.03</v>
      </c>
      <c r="J2673" s="37">
        <v>0</v>
      </c>
      <c r="K2673" s="97">
        <f>+L2673-J2964</f>
        <v>549</v>
      </c>
      <c r="L2673" s="34">
        <v>549</v>
      </c>
      <c r="M2673" s="10">
        <f t="shared" ref="M2673:M2702" si="159">I2673/K2673*100</f>
        <v>46.453551912568308</v>
      </c>
    </row>
    <row r="2674" spans="1:13" ht="15" hidden="1" customHeight="1" x14ac:dyDescent="0.3">
      <c r="A2674" s="9">
        <v>5179</v>
      </c>
      <c r="B2674" t="s">
        <v>286</v>
      </c>
      <c r="C2674" s="25">
        <v>44710</v>
      </c>
      <c r="D2674" s="26">
        <v>0.42690972222222223</v>
      </c>
      <c r="E2674" t="s">
        <v>28</v>
      </c>
      <c r="F2674" t="s">
        <v>634</v>
      </c>
      <c r="G2674" t="s">
        <v>211</v>
      </c>
      <c r="H2674" t="s">
        <v>287</v>
      </c>
      <c r="I2674">
        <v>234.05</v>
      </c>
      <c r="J2674" s="55">
        <v>0</v>
      </c>
      <c r="K2674" s="96">
        <f>+L2674-J2965</f>
        <v>573</v>
      </c>
      <c r="L2674" s="7">
        <v>573</v>
      </c>
      <c r="M2674" s="10">
        <f t="shared" si="159"/>
        <v>40.846422338568935</v>
      </c>
    </row>
    <row r="2675" spans="1:13" ht="15" hidden="1" customHeight="1" x14ac:dyDescent="0.3">
      <c r="A2675" s="9">
        <v>5227</v>
      </c>
      <c r="B2675" t="s">
        <v>286</v>
      </c>
      <c r="C2675" s="25">
        <v>44711</v>
      </c>
      <c r="D2675" s="26">
        <v>0.44319444444444445</v>
      </c>
      <c r="E2675" t="s">
        <v>28</v>
      </c>
      <c r="F2675" t="s">
        <v>637</v>
      </c>
      <c r="G2675" t="s">
        <v>196</v>
      </c>
      <c r="H2675" t="s">
        <v>287</v>
      </c>
      <c r="I2675">
        <v>160.77000000000001</v>
      </c>
      <c r="J2675" s="37">
        <v>0</v>
      </c>
      <c r="K2675" s="97">
        <f>+L2675-J2959</f>
        <v>492</v>
      </c>
      <c r="L2675" s="7">
        <v>492</v>
      </c>
      <c r="M2675" s="10">
        <f t="shared" si="159"/>
        <v>32.676829268292686</v>
      </c>
    </row>
    <row r="2676" spans="1:13" ht="15" hidden="1" customHeight="1" x14ac:dyDescent="0.3">
      <c r="A2676" s="9">
        <v>5228</v>
      </c>
      <c r="B2676" t="s">
        <v>286</v>
      </c>
      <c r="C2676" s="25">
        <v>44711</v>
      </c>
      <c r="D2676" s="26">
        <v>0.8369212962962963</v>
      </c>
      <c r="E2676" t="s">
        <v>28</v>
      </c>
      <c r="F2676" t="s">
        <v>638</v>
      </c>
      <c r="G2676" t="s">
        <v>263</v>
      </c>
      <c r="H2676" t="s">
        <v>287</v>
      </c>
      <c r="I2676">
        <v>147.97</v>
      </c>
      <c r="J2676" s="33">
        <v>0</v>
      </c>
      <c r="K2676" s="99">
        <f>+L2676-J2960</f>
        <v>382</v>
      </c>
      <c r="L2676" s="31">
        <v>382</v>
      </c>
      <c r="M2676" s="10">
        <f t="shared" si="159"/>
        <v>38.735602094240839</v>
      </c>
    </row>
    <row r="2677" spans="1:13" ht="15" hidden="1" customHeight="1" x14ac:dyDescent="0.3">
      <c r="A2677" s="9">
        <v>5262</v>
      </c>
      <c r="B2677" t="s">
        <v>286</v>
      </c>
      <c r="C2677" s="25">
        <v>44712</v>
      </c>
      <c r="D2677" s="26">
        <v>0.83187500000000003</v>
      </c>
      <c r="E2677" t="s">
        <v>28</v>
      </c>
      <c r="F2677" t="s">
        <v>654</v>
      </c>
      <c r="G2677" t="s">
        <v>303</v>
      </c>
      <c r="H2677" t="s">
        <v>287</v>
      </c>
      <c r="I2677">
        <v>150</v>
      </c>
      <c r="J2677" s="32">
        <v>0</v>
      </c>
      <c r="K2677" s="90">
        <f>+L2677-J2845</f>
        <v>483</v>
      </c>
      <c r="L2677" s="7">
        <v>483</v>
      </c>
      <c r="M2677" s="10">
        <f t="shared" si="159"/>
        <v>31.05590062111801</v>
      </c>
    </row>
    <row r="2678" spans="1:13" ht="15" hidden="1" customHeight="1" x14ac:dyDescent="0.3">
      <c r="A2678" s="9">
        <v>5315</v>
      </c>
      <c r="B2678" t="s">
        <v>286</v>
      </c>
      <c r="C2678" s="25">
        <v>44713</v>
      </c>
      <c r="D2678" s="26">
        <v>0.42494212962962963</v>
      </c>
      <c r="E2678" t="s">
        <v>29</v>
      </c>
      <c r="F2678" t="s">
        <v>632</v>
      </c>
      <c r="G2678" t="s">
        <v>161</v>
      </c>
      <c r="H2678" t="s">
        <v>287</v>
      </c>
      <c r="I2678">
        <v>201.24</v>
      </c>
      <c r="J2678" s="37">
        <v>0</v>
      </c>
      <c r="K2678" s="100">
        <f>+L2678-J2848</f>
        <v>354</v>
      </c>
      <c r="L2678" s="35">
        <v>354</v>
      </c>
      <c r="M2678" s="10">
        <f t="shared" si="159"/>
        <v>56.847457627118644</v>
      </c>
    </row>
    <row r="2679" spans="1:13" ht="15" hidden="1" customHeight="1" x14ac:dyDescent="0.3">
      <c r="A2679" s="9">
        <v>5316</v>
      </c>
      <c r="B2679" t="s">
        <v>286</v>
      </c>
      <c r="C2679" s="25">
        <v>44713</v>
      </c>
      <c r="D2679" s="26">
        <v>0.89267361111111121</v>
      </c>
      <c r="E2679" t="s">
        <v>29</v>
      </c>
      <c r="F2679" t="s">
        <v>635</v>
      </c>
      <c r="G2679" t="s">
        <v>185</v>
      </c>
      <c r="H2679" t="s">
        <v>287</v>
      </c>
      <c r="I2679">
        <v>281.25</v>
      </c>
      <c r="J2679" s="32">
        <v>0</v>
      </c>
      <c r="K2679" s="90">
        <f>+L2679-J2849</f>
        <v>632</v>
      </c>
      <c r="L2679" s="7">
        <v>632</v>
      </c>
      <c r="M2679" s="10">
        <f t="shared" si="159"/>
        <v>44.50158227848101</v>
      </c>
    </row>
    <row r="2680" spans="1:13" ht="15" hidden="1" customHeight="1" x14ac:dyDescent="0.3">
      <c r="A2680" s="9">
        <v>5384</v>
      </c>
      <c r="B2680" t="s">
        <v>286</v>
      </c>
      <c r="C2680" s="25">
        <v>44714</v>
      </c>
      <c r="D2680" s="26">
        <v>0.5861574074074074</v>
      </c>
      <c r="E2680" t="s">
        <v>29</v>
      </c>
      <c r="F2680" t="s">
        <v>634</v>
      </c>
      <c r="G2680" t="s">
        <v>211</v>
      </c>
      <c r="H2680" t="s">
        <v>287</v>
      </c>
      <c r="I2680">
        <v>176.52</v>
      </c>
      <c r="J2680" s="33">
        <v>0</v>
      </c>
      <c r="K2680" s="100">
        <f>+L2680-J2850</f>
        <v>544</v>
      </c>
      <c r="L2680" s="34">
        <v>544</v>
      </c>
      <c r="M2680" s="10">
        <f t="shared" si="159"/>
        <v>32.44852941176471</v>
      </c>
    </row>
    <row r="2681" spans="1:13" ht="15" hidden="1" customHeight="1" x14ac:dyDescent="0.3">
      <c r="A2681" s="9">
        <v>5437</v>
      </c>
      <c r="B2681" t="s">
        <v>286</v>
      </c>
      <c r="C2681" s="25">
        <v>44715</v>
      </c>
      <c r="D2681" s="26">
        <v>0.42246527777777776</v>
      </c>
      <c r="E2681" t="s">
        <v>29</v>
      </c>
      <c r="F2681" t="s">
        <v>637</v>
      </c>
      <c r="G2681" t="s">
        <v>196</v>
      </c>
      <c r="H2681" t="s">
        <v>287</v>
      </c>
      <c r="I2681">
        <v>151.71</v>
      </c>
      <c r="J2681" s="37">
        <v>0</v>
      </c>
      <c r="K2681" s="97">
        <f>+L2681-J2845</f>
        <v>475</v>
      </c>
      <c r="L2681" s="7">
        <v>475</v>
      </c>
      <c r="M2681" s="10">
        <f t="shared" si="159"/>
        <v>31.938947368421054</v>
      </c>
    </row>
    <row r="2682" spans="1:13" ht="15" hidden="1" customHeight="1" x14ac:dyDescent="0.3">
      <c r="A2682" s="9">
        <v>5495</v>
      </c>
      <c r="B2682" t="s">
        <v>286</v>
      </c>
      <c r="C2682" s="25">
        <v>44716</v>
      </c>
      <c r="D2682" s="26">
        <v>0.4029861111111111</v>
      </c>
      <c r="E2682" t="s">
        <v>29</v>
      </c>
      <c r="F2682" t="s">
        <v>651</v>
      </c>
      <c r="G2682" t="s">
        <v>172</v>
      </c>
      <c r="H2682" t="s">
        <v>287</v>
      </c>
      <c r="I2682">
        <v>248.26</v>
      </c>
      <c r="J2682" s="37">
        <v>0</v>
      </c>
      <c r="K2682" s="97">
        <f>+L2682-J2845</f>
        <v>321</v>
      </c>
      <c r="L2682" s="7">
        <v>321</v>
      </c>
      <c r="M2682" s="10">
        <f t="shared" si="159"/>
        <v>77.339563862928344</v>
      </c>
    </row>
    <row r="2683" spans="1:13" ht="15" hidden="1" customHeight="1" x14ac:dyDescent="0.3">
      <c r="A2683" s="9">
        <v>5496</v>
      </c>
      <c r="B2683" t="s">
        <v>286</v>
      </c>
      <c r="C2683" s="25">
        <v>44716</v>
      </c>
      <c r="D2683" s="26">
        <v>0.91855324074074074</v>
      </c>
      <c r="E2683" t="s">
        <v>29</v>
      </c>
      <c r="F2683" t="s">
        <v>632</v>
      </c>
      <c r="G2683" t="s">
        <v>161</v>
      </c>
      <c r="H2683" t="s">
        <v>287</v>
      </c>
      <c r="I2683">
        <v>247.06</v>
      </c>
      <c r="J2683" s="37">
        <v>0</v>
      </c>
      <c r="K2683" s="97">
        <f>+L2683-J2846</f>
        <v>619</v>
      </c>
      <c r="L2683" s="34">
        <v>619</v>
      </c>
      <c r="M2683" s="10">
        <f t="shared" si="159"/>
        <v>39.912762520193859</v>
      </c>
    </row>
    <row r="2684" spans="1:13" ht="15" hidden="1" customHeight="1" x14ac:dyDescent="0.3">
      <c r="A2684" s="9">
        <v>5539</v>
      </c>
      <c r="B2684" t="s">
        <v>286</v>
      </c>
      <c r="C2684" s="25">
        <v>44717</v>
      </c>
      <c r="D2684" s="26">
        <v>0.82681712962962972</v>
      </c>
      <c r="E2684" t="s">
        <v>29</v>
      </c>
      <c r="F2684" t="s">
        <v>635</v>
      </c>
      <c r="G2684" t="s">
        <v>185</v>
      </c>
      <c r="H2684" t="s">
        <v>287</v>
      </c>
      <c r="I2684">
        <v>283.72000000000003</v>
      </c>
      <c r="J2684" s="37">
        <v>0</v>
      </c>
      <c r="K2684" s="97">
        <f>+L2684-J2847</f>
        <v>631</v>
      </c>
      <c r="L2684" s="7">
        <v>631</v>
      </c>
      <c r="M2684" s="10">
        <f t="shared" si="159"/>
        <v>44.963549920760705</v>
      </c>
    </row>
    <row r="2685" spans="1:13" ht="15" hidden="1" customHeight="1" x14ac:dyDescent="0.3">
      <c r="A2685" s="9">
        <v>5569</v>
      </c>
      <c r="B2685" t="s">
        <v>286</v>
      </c>
      <c r="C2685" s="25">
        <v>44718</v>
      </c>
      <c r="D2685" s="26">
        <v>0.43123842592592593</v>
      </c>
      <c r="E2685" t="s">
        <v>29</v>
      </c>
      <c r="F2685" t="s">
        <v>634</v>
      </c>
      <c r="G2685" t="s">
        <v>211</v>
      </c>
      <c r="H2685" t="s">
        <v>287</v>
      </c>
      <c r="I2685">
        <v>154.38</v>
      </c>
      <c r="J2685" s="32">
        <v>0</v>
      </c>
      <c r="K2685" s="90">
        <f>+L2685-J2246</f>
        <v>514</v>
      </c>
      <c r="L2685" s="7">
        <v>514</v>
      </c>
      <c r="M2685" s="10">
        <f t="shared" si="159"/>
        <v>30.035019455252915</v>
      </c>
    </row>
    <row r="2686" spans="1:13" ht="15" hidden="1" customHeight="1" x14ac:dyDescent="0.3">
      <c r="A2686" s="9">
        <v>5570</v>
      </c>
      <c r="B2686" t="s">
        <v>286</v>
      </c>
      <c r="C2686" s="25">
        <v>44718</v>
      </c>
      <c r="D2686" s="26">
        <v>0.81150462962962966</v>
      </c>
      <c r="E2686" t="s">
        <v>29</v>
      </c>
      <c r="F2686" t="s">
        <v>637</v>
      </c>
      <c r="G2686" t="s">
        <v>196</v>
      </c>
      <c r="H2686" t="s">
        <v>287</v>
      </c>
      <c r="I2686">
        <v>143.56</v>
      </c>
      <c r="J2686" s="33">
        <v>0</v>
      </c>
      <c r="K2686" s="99">
        <f>+L2686-J2247</f>
        <v>481</v>
      </c>
      <c r="L2686" s="7">
        <v>481</v>
      </c>
      <c r="M2686" s="10">
        <f t="shared" si="159"/>
        <v>29.846153846153843</v>
      </c>
    </row>
    <row r="2687" spans="1:13" ht="15" hidden="1" customHeight="1" x14ac:dyDescent="0.3">
      <c r="A2687" s="9">
        <v>6021</v>
      </c>
      <c r="B2687" t="s">
        <v>286</v>
      </c>
      <c r="C2687" s="25">
        <v>44726</v>
      </c>
      <c r="D2687" s="26">
        <v>0.54575231481481479</v>
      </c>
      <c r="E2687" t="s">
        <v>29</v>
      </c>
      <c r="F2687" t="s">
        <v>651</v>
      </c>
      <c r="G2687" t="s">
        <v>172</v>
      </c>
      <c r="H2687" t="s">
        <v>287</v>
      </c>
      <c r="I2687">
        <v>192.9</v>
      </c>
      <c r="J2687" s="32">
        <v>0</v>
      </c>
      <c r="K2687" s="90">
        <v>458</v>
      </c>
      <c r="L2687" s="7">
        <v>458</v>
      </c>
      <c r="M2687" s="10">
        <f t="shared" si="159"/>
        <v>42.117903930131007</v>
      </c>
    </row>
    <row r="2688" spans="1:13" ht="15" hidden="1" customHeight="1" x14ac:dyDescent="0.3">
      <c r="A2688" s="9">
        <v>6081</v>
      </c>
      <c r="B2688" t="s">
        <v>286</v>
      </c>
      <c r="C2688" s="25">
        <v>44727</v>
      </c>
      <c r="D2688" s="26">
        <v>0.75119212962962967</v>
      </c>
      <c r="E2688" t="s">
        <v>29</v>
      </c>
      <c r="F2688" t="s">
        <v>634</v>
      </c>
      <c r="G2688" t="s">
        <v>211</v>
      </c>
      <c r="H2688" t="s">
        <v>287</v>
      </c>
      <c r="I2688">
        <v>363.05</v>
      </c>
      <c r="J2688" s="32">
        <v>0</v>
      </c>
      <c r="K2688" s="90">
        <v>830</v>
      </c>
      <c r="L2688" s="7">
        <v>830</v>
      </c>
      <c r="M2688" s="10">
        <f t="shared" si="159"/>
        <v>43.74096385542169</v>
      </c>
    </row>
    <row r="2689" spans="1:13" ht="15" hidden="1" customHeight="1" x14ac:dyDescent="0.3">
      <c r="A2689" s="9">
        <v>6189</v>
      </c>
      <c r="B2689" t="s">
        <v>286</v>
      </c>
      <c r="C2689" s="25">
        <v>44729</v>
      </c>
      <c r="D2689" s="26">
        <v>9.8611111111111104E-3</v>
      </c>
      <c r="E2689" t="s">
        <v>29</v>
      </c>
      <c r="F2689" t="s">
        <v>634</v>
      </c>
      <c r="G2689" t="s">
        <v>211</v>
      </c>
      <c r="H2689" t="s">
        <v>287</v>
      </c>
      <c r="I2689">
        <v>348.15</v>
      </c>
      <c r="J2689" s="32">
        <v>0</v>
      </c>
      <c r="K2689" s="97">
        <v>910</v>
      </c>
      <c r="L2689" s="34">
        <v>910</v>
      </c>
      <c r="M2689" s="10">
        <f t="shared" si="159"/>
        <v>38.258241758241759</v>
      </c>
    </row>
    <row r="2690" spans="1:13" ht="15" hidden="1" customHeight="1" x14ac:dyDescent="0.3">
      <c r="A2690" s="9">
        <v>6190</v>
      </c>
      <c r="B2690" t="s">
        <v>286</v>
      </c>
      <c r="C2690" s="25">
        <v>44729</v>
      </c>
      <c r="D2690" s="26">
        <v>0.58909722222222227</v>
      </c>
      <c r="E2690" t="s">
        <v>29</v>
      </c>
      <c r="F2690" t="s">
        <v>637</v>
      </c>
      <c r="G2690" t="s">
        <v>196</v>
      </c>
      <c r="H2690" t="s">
        <v>287</v>
      </c>
      <c r="I2690">
        <v>162.82</v>
      </c>
      <c r="J2690" s="32">
        <v>0</v>
      </c>
      <c r="K2690" s="89">
        <v>481</v>
      </c>
      <c r="L2690" s="28">
        <v>481</v>
      </c>
      <c r="M2690" s="10">
        <f t="shared" si="159"/>
        <v>33.850311850311847</v>
      </c>
    </row>
    <row r="2691" spans="1:13" ht="15" hidden="1" customHeight="1" x14ac:dyDescent="0.3">
      <c r="A2691" s="9">
        <v>6230</v>
      </c>
      <c r="B2691" t="s">
        <v>286</v>
      </c>
      <c r="C2691" s="25">
        <v>44730</v>
      </c>
      <c r="D2691" s="26">
        <v>0.50666666666666671</v>
      </c>
      <c r="E2691" t="s">
        <v>29</v>
      </c>
      <c r="F2691" t="s">
        <v>639</v>
      </c>
      <c r="G2691" t="s">
        <v>44</v>
      </c>
      <c r="H2691" t="s">
        <v>287</v>
      </c>
      <c r="I2691">
        <v>134.77000000000001</v>
      </c>
      <c r="J2691" s="32">
        <v>0</v>
      </c>
      <c r="K2691" s="89">
        <v>670</v>
      </c>
      <c r="L2691" s="11">
        <v>670</v>
      </c>
      <c r="M2691" s="10">
        <f t="shared" si="159"/>
        <v>20.11492537313433</v>
      </c>
    </row>
    <row r="2692" spans="1:13" ht="15" hidden="1" customHeight="1" x14ac:dyDescent="0.3">
      <c r="A2692" s="9">
        <v>6253</v>
      </c>
      <c r="B2692" t="s">
        <v>286</v>
      </c>
      <c r="C2692" s="25">
        <v>44731</v>
      </c>
      <c r="D2692" s="26">
        <v>0.4299074074074074</v>
      </c>
      <c r="E2692" t="s">
        <v>29</v>
      </c>
      <c r="F2692" t="s">
        <v>632</v>
      </c>
      <c r="G2692" t="s">
        <v>161</v>
      </c>
      <c r="H2692" t="s">
        <v>287</v>
      </c>
      <c r="I2692">
        <v>346.83</v>
      </c>
      <c r="J2692" s="32">
        <v>0</v>
      </c>
      <c r="K2692" s="89">
        <v>511</v>
      </c>
      <c r="L2692" s="30">
        <v>511</v>
      </c>
      <c r="M2692" s="10">
        <f t="shared" si="159"/>
        <v>67.872798434442274</v>
      </c>
    </row>
    <row r="2693" spans="1:13" ht="15" hidden="1" customHeight="1" x14ac:dyDescent="0.3">
      <c r="A2693" s="9">
        <v>6254</v>
      </c>
      <c r="B2693" t="s">
        <v>286</v>
      </c>
      <c r="C2693" s="25">
        <v>44731</v>
      </c>
      <c r="D2693" s="26">
        <v>0.93663194444444453</v>
      </c>
      <c r="E2693" t="s">
        <v>29</v>
      </c>
      <c r="F2693" t="s">
        <v>635</v>
      </c>
      <c r="G2693" t="s">
        <v>185</v>
      </c>
      <c r="H2693" t="s">
        <v>287</v>
      </c>
      <c r="I2693">
        <v>287.01</v>
      </c>
      <c r="J2693" s="32">
        <v>0</v>
      </c>
      <c r="K2693" s="89">
        <v>630</v>
      </c>
      <c r="L2693" s="51">
        <v>630</v>
      </c>
      <c r="M2693" s="10">
        <f t="shared" si="159"/>
        <v>45.557142857142857</v>
      </c>
    </row>
    <row r="2694" spans="1:13" ht="15" hidden="1" customHeight="1" x14ac:dyDescent="0.3">
      <c r="A2694" s="9">
        <v>6282</v>
      </c>
      <c r="B2694" t="s">
        <v>286</v>
      </c>
      <c r="C2694" s="25">
        <v>44732</v>
      </c>
      <c r="D2694" s="26">
        <v>0.58346064814814813</v>
      </c>
      <c r="E2694" t="s">
        <v>29</v>
      </c>
      <c r="F2694" t="s">
        <v>634</v>
      </c>
      <c r="G2694" t="s">
        <v>211</v>
      </c>
      <c r="H2694" t="s">
        <v>287</v>
      </c>
      <c r="I2694">
        <v>154.30000000000001</v>
      </c>
      <c r="J2694" s="32">
        <v>0</v>
      </c>
      <c r="K2694" s="89">
        <v>514</v>
      </c>
      <c r="L2694" s="51">
        <v>514</v>
      </c>
      <c r="M2694" s="10">
        <f t="shared" si="159"/>
        <v>30.019455252918291</v>
      </c>
    </row>
    <row r="2695" spans="1:13" ht="15" hidden="1" customHeight="1" x14ac:dyDescent="0.3">
      <c r="A2695" s="9">
        <v>6283</v>
      </c>
      <c r="B2695" t="s">
        <v>286</v>
      </c>
      <c r="C2695" s="25">
        <v>44732</v>
      </c>
      <c r="D2695" s="26">
        <v>0.83104166666666668</v>
      </c>
      <c r="E2695" t="s">
        <v>29</v>
      </c>
      <c r="F2695" t="s">
        <v>637</v>
      </c>
      <c r="G2695" t="s">
        <v>196</v>
      </c>
      <c r="H2695" t="s">
        <v>287</v>
      </c>
      <c r="I2695">
        <v>141.66999999999999</v>
      </c>
      <c r="J2695" s="72">
        <v>0</v>
      </c>
      <c r="K2695" s="146">
        <v>466</v>
      </c>
      <c r="L2695" s="180">
        <v>466</v>
      </c>
      <c r="M2695" s="143">
        <f t="shared" si="159"/>
        <v>30.401287553648064</v>
      </c>
    </row>
    <row r="2696" spans="1:13" ht="15" hidden="1" customHeight="1" x14ac:dyDescent="0.3">
      <c r="A2696" s="9">
        <v>6315</v>
      </c>
      <c r="B2696" t="s">
        <v>286</v>
      </c>
      <c r="C2696" s="25">
        <v>44733</v>
      </c>
      <c r="D2696" s="26">
        <v>0.81906249999999992</v>
      </c>
      <c r="E2696" t="s">
        <v>29</v>
      </c>
      <c r="F2696" t="s">
        <v>652</v>
      </c>
      <c r="G2696" t="s">
        <v>535</v>
      </c>
      <c r="H2696" t="s">
        <v>287</v>
      </c>
      <c r="I2696">
        <v>192.7</v>
      </c>
      <c r="J2696" s="192">
        <v>0</v>
      </c>
      <c r="K2696" s="141">
        <v>420</v>
      </c>
      <c r="L2696" s="209">
        <v>420</v>
      </c>
      <c r="M2696" s="143">
        <f t="shared" si="159"/>
        <v>45.88095238095238</v>
      </c>
    </row>
    <row r="2697" spans="1:13" ht="15" hidden="1" customHeight="1" x14ac:dyDescent="0.3">
      <c r="A2697" s="9">
        <v>6412</v>
      </c>
      <c r="B2697" t="s">
        <v>286</v>
      </c>
      <c r="C2697" s="25">
        <v>44735</v>
      </c>
      <c r="D2697" s="26">
        <v>0.75209490740740748</v>
      </c>
      <c r="E2697" t="s">
        <v>29</v>
      </c>
      <c r="F2697" t="s">
        <v>634</v>
      </c>
      <c r="G2697" t="s">
        <v>211</v>
      </c>
      <c r="H2697" t="s">
        <v>287</v>
      </c>
      <c r="I2697" s="125">
        <v>399.1</v>
      </c>
      <c r="J2697" s="200">
        <v>0</v>
      </c>
      <c r="K2697" s="141">
        <v>901</v>
      </c>
      <c r="L2697" s="180">
        <v>901</v>
      </c>
      <c r="M2697" s="143">
        <f t="shared" si="159"/>
        <v>44.295227524972262</v>
      </c>
    </row>
    <row r="2698" spans="1:13" ht="15" hidden="1" customHeight="1" x14ac:dyDescent="0.3">
      <c r="A2698" s="9">
        <v>6468</v>
      </c>
      <c r="B2698" t="s">
        <v>286</v>
      </c>
      <c r="C2698" s="25">
        <v>44736</v>
      </c>
      <c r="D2698" s="26">
        <v>0.83105324074074083</v>
      </c>
      <c r="E2698" t="s">
        <v>29</v>
      </c>
      <c r="F2698" t="s">
        <v>634</v>
      </c>
      <c r="G2698" t="s">
        <v>211</v>
      </c>
      <c r="H2698" t="s">
        <v>287</v>
      </c>
      <c r="I2698" s="125">
        <v>379.76</v>
      </c>
      <c r="J2698" s="192">
        <v>0</v>
      </c>
      <c r="K2698" s="141">
        <v>911</v>
      </c>
      <c r="L2698" s="180">
        <v>911</v>
      </c>
      <c r="M2698" s="143">
        <f t="shared" si="159"/>
        <v>41.686059275521401</v>
      </c>
    </row>
    <row r="2699" spans="1:13" ht="15" hidden="1" customHeight="1" x14ac:dyDescent="0.3">
      <c r="A2699" s="9">
        <v>6520</v>
      </c>
      <c r="B2699" t="s">
        <v>286</v>
      </c>
      <c r="C2699" s="25">
        <v>44737</v>
      </c>
      <c r="D2699" s="26">
        <v>0.77637731481481476</v>
      </c>
      <c r="E2699" t="s">
        <v>29</v>
      </c>
      <c r="F2699" t="s">
        <v>708</v>
      </c>
      <c r="G2699" t="s">
        <v>277</v>
      </c>
      <c r="H2699" t="s">
        <v>287</v>
      </c>
      <c r="I2699" s="148">
        <v>275.27</v>
      </c>
      <c r="J2699" s="192">
        <v>0</v>
      </c>
      <c r="K2699" s="141">
        <v>758</v>
      </c>
      <c r="L2699" s="209">
        <v>758</v>
      </c>
      <c r="M2699" s="10">
        <f t="shared" si="159"/>
        <v>36.315303430079155</v>
      </c>
    </row>
    <row r="2700" spans="1:13" ht="15" hidden="1" customHeight="1" x14ac:dyDescent="0.3">
      <c r="A2700" s="9">
        <v>6576</v>
      </c>
      <c r="B2700" t="s">
        <v>286</v>
      </c>
      <c r="C2700" s="25">
        <v>44738</v>
      </c>
      <c r="D2700" s="26">
        <v>0.93645833333333339</v>
      </c>
      <c r="E2700" t="s">
        <v>29</v>
      </c>
      <c r="F2700" t="s">
        <v>634</v>
      </c>
      <c r="G2700" t="s">
        <v>211</v>
      </c>
      <c r="H2700" t="s">
        <v>287</v>
      </c>
      <c r="I2700" s="148">
        <v>367</v>
      </c>
      <c r="J2700" s="192">
        <v>0</v>
      </c>
      <c r="K2700" s="141">
        <v>965</v>
      </c>
      <c r="L2700" s="180">
        <v>965</v>
      </c>
      <c r="M2700" s="10">
        <f t="shared" si="159"/>
        <v>38.031088082901555</v>
      </c>
    </row>
    <row r="2701" spans="1:13" ht="15" hidden="1" customHeight="1" x14ac:dyDescent="0.3">
      <c r="A2701" s="9">
        <v>6628</v>
      </c>
      <c r="B2701" t="s">
        <v>286</v>
      </c>
      <c r="C2701" s="25">
        <v>44739</v>
      </c>
      <c r="D2701" s="26">
        <v>0.66857638888888893</v>
      </c>
      <c r="E2701" t="s">
        <v>29</v>
      </c>
      <c r="F2701" t="s">
        <v>635</v>
      </c>
      <c r="G2701" t="s">
        <v>185</v>
      </c>
      <c r="H2701" t="s">
        <v>287</v>
      </c>
      <c r="I2701" s="148">
        <v>259.89</v>
      </c>
      <c r="J2701" s="41">
        <v>0</v>
      </c>
      <c r="K2701" s="141">
        <v>548</v>
      </c>
      <c r="L2701" s="180">
        <v>548</v>
      </c>
      <c r="M2701" s="10">
        <f t="shared" si="159"/>
        <v>47.425182481751818</v>
      </c>
    </row>
    <row r="2702" spans="1:13" ht="15" hidden="1" customHeight="1" x14ac:dyDescent="0.3">
      <c r="A2702" s="9">
        <v>6697</v>
      </c>
      <c r="B2702" t="s">
        <v>286</v>
      </c>
      <c r="C2702" s="25">
        <v>44740</v>
      </c>
      <c r="D2702" s="26">
        <v>0.43359953703703707</v>
      </c>
      <c r="E2702" t="s">
        <v>29</v>
      </c>
      <c r="F2702" t="s">
        <v>634</v>
      </c>
      <c r="G2702" t="s">
        <v>211</v>
      </c>
      <c r="H2702" t="s">
        <v>287</v>
      </c>
      <c r="I2702" s="148">
        <v>146.13</v>
      </c>
      <c r="J2702" s="69">
        <v>0</v>
      </c>
      <c r="K2702" s="90">
        <v>514</v>
      </c>
      <c r="L2702" s="11">
        <v>514</v>
      </c>
      <c r="M2702" s="10">
        <f t="shared" si="159"/>
        <v>28.42996108949416</v>
      </c>
    </row>
    <row r="2703" spans="1:13" ht="15" hidden="1" customHeight="1" x14ac:dyDescent="0.3">
      <c r="A2703" s="9">
        <v>6751</v>
      </c>
      <c r="B2703" t="s">
        <v>286</v>
      </c>
      <c r="C2703" s="25">
        <v>44742</v>
      </c>
      <c r="D2703" s="26">
        <v>0.5256481481481482</v>
      </c>
      <c r="E2703" t="s">
        <v>29</v>
      </c>
      <c r="F2703" t="s">
        <v>624</v>
      </c>
      <c r="G2703" t="s">
        <v>277</v>
      </c>
      <c r="H2703" t="s">
        <v>287</v>
      </c>
      <c r="I2703" s="148">
        <v>297.11</v>
      </c>
      <c r="J2703" s="78"/>
      <c r="K2703" s="54">
        <v>735775</v>
      </c>
      <c r="L2703" s="56">
        <f>+K2703-J2703</f>
        <v>735775</v>
      </c>
      <c r="M2703" s="131">
        <f>I2703/L2703*100</f>
        <v>4.0380551119567808E-2</v>
      </c>
    </row>
    <row r="2704" spans="1:13" ht="15" hidden="1" customHeight="1" x14ac:dyDescent="0.3">
      <c r="B2704" t="s">
        <v>179</v>
      </c>
      <c r="C2704" s="25">
        <v>44749</v>
      </c>
      <c r="D2704" s="26">
        <v>0.35098379629629628</v>
      </c>
      <c r="E2704" t="s">
        <v>30</v>
      </c>
      <c r="F2704" t="s">
        <v>210</v>
      </c>
      <c r="G2704" t="s">
        <v>211</v>
      </c>
      <c r="H2704" t="s">
        <v>180</v>
      </c>
      <c r="I2704" s="173">
        <v>414.09</v>
      </c>
      <c r="J2704" s="160">
        <f>223+509+414</f>
        <v>1146</v>
      </c>
      <c r="K2704" s="160"/>
      <c r="L2704" s="173">
        <v>2706</v>
      </c>
      <c r="M2704" s="149">
        <f>+J2704/L2704*100</f>
        <v>42.350332594235034</v>
      </c>
    </row>
    <row r="2705" spans="1:13" ht="15" hidden="1" customHeight="1" x14ac:dyDescent="0.3">
      <c r="B2705" t="s">
        <v>179</v>
      </c>
      <c r="C2705" s="25">
        <v>44750</v>
      </c>
      <c r="D2705" s="26">
        <v>0.82798611111111109</v>
      </c>
      <c r="E2705" t="s">
        <v>30</v>
      </c>
      <c r="F2705" t="s">
        <v>446</v>
      </c>
      <c r="G2705" t="s">
        <v>402</v>
      </c>
      <c r="H2705" t="s">
        <v>180</v>
      </c>
      <c r="I2705" s="173">
        <v>241.33</v>
      </c>
      <c r="J2705" s="8"/>
      <c r="K2705" s="8"/>
      <c r="L2705" s="236"/>
      <c r="M2705" s="91"/>
    </row>
    <row r="2706" spans="1:13" ht="15" hidden="1" customHeight="1" x14ac:dyDescent="0.3">
      <c r="B2706" t="s">
        <v>179</v>
      </c>
      <c r="C2706" s="25">
        <v>44754</v>
      </c>
      <c r="D2706" s="26">
        <v>0.74656250000000002</v>
      </c>
      <c r="E2706" t="s">
        <v>30</v>
      </c>
      <c r="F2706" t="s">
        <v>197</v>
      </c>
      <c r="G2706" t="s">
        <v>44</v>
      </c>
      <c r="H2706" t="s">
        <v>180</v>
      </c>
      <c r="I2706" s="173">
        <v>134.77000000000001</v>
      </c>
      <c r="J2706" s="23"/>
      <c r="K2706" s="233"/>
      <c r="L2706" s="233"/>
      <c r="M2706" s="91"/>
    </row>
    <row r="2707" spans="1:13" ht="15" hidden="1" customHeight="1" x14ac:dyDescent="0.3">
      <c r="B2707" t="s">
        <v>179</v>
      </c>
      <c r="C2707" s="25">
        <v>44755</v>
      </c>
      <c r="D2707" s="26">
        <v>0.46458333333333335</v>
      </c>
      <c r="E2707" t="s">
        <v>30</v>
      </c>
      <c r="F2707" t="s">
        <v>210</v>
      </c>
      <c r="G2707" t="s">
        <v>211</v>
      </c>
      <c r="H2707" t="s">
        <v>180</v>
      </c>
      <c r="I2707" s="173">
        <v>375.46</v>
      </c>
      <c r="J2707" s="231">
        <f>375+135+241</f>
        <v>751</v>
      </c>
      <c r="K2707" s="151"/>
      <c r="L2707" s="231">
        <v>1861</v>
      </c>
      <c r="M2707" s="149">
        <f>+J2707/L2707*100</f>
        <v>40.354648038688879</v>
      </c>
    </row>
    <row r="2708" spans="1:13" ht="15" hidden="1" customHeight="1" x14ac:dyDescent="0.3">
      <c r="B2708" t="s">
        <v>179</v>
      </c>
      <c r="C2708" s="25">
        <v>44755</v>
      </c>
      <c r="D2708" s="26">
        <v>0.97304398148148152</v>
      </c>
      <c r="E2708" t="s">
        <v>30</v>
      </c>
      <c r="F2708" t="s">
        <v>165</v>
      </c>
      <c r="G2708" t="s">
        <v>185</v>
      </c>
      <c r="H2708" t="s">
        <v>180</v>
      </c>
      <c r="I2708" s="173">
        <v>246.62</v>
      </c>
      <c r="J2708" s="23"/>
      <c r="K2708" s="233"/>
      <c r="L2708" s="233"/>
      <c r="M2708" s="91"/>
    </row>
    <row r="2709" spans="1:13" ht="15" hidden="1" customHeight="1" x14ac:dyDescent="0.3">
      <c r="B2709" t="s">
        <v>179</v>
      </c>
      <c r="C2709" s="25">
        <v>44757</v>
      </c>
      <c r="D2709" s="26">
        <v>0.50792824074074072</v>
      </c>
      <c r="E2709" t="s">
        <v>30</v>
      </c>
      <c r="F2709" t="s">
        <v>774</v>
      </c>
      <c r="G2709" t="s">
        <v>161</v>
      </c>
      <c r="H2709" t="s">
        <v>180</v>
      </c>
      <c r="I2709" s="173">
        <v>277.85000000000002</v>
      </c>
      <c r="J2709" s="231">
        <f>278+246</f>
        <v>524</v>
      </c>
      <c r="K2709" s="151"/>
      <c r="L2709" s="231">
        <v>1193</v>
      </c>
      <c r="M2709" s="149">
        <f>+J2709/L2709*100</f>
        <v>43.922883487007539</v>
      </c>
    </row>
    <row r="2710" spans="1:13" ht="15" hidden="1" customHeight="1" x14ac:dyDescent="0.3">
      <c r="B2710" t="s">
        <v>179</v>
      </c>
      <c r="C2710" s="25">
        <v>44758</v>
      </c>
      <c r="D2710" s="26">
        <v>0.54265046296296293</v>
      </c>
      <c r="E2710" t="s">
        <v>30</v>
      </c>
      <c r="F2710" t="s">
        <v>169</v>
      </c>
      <c r="G2710" t="s">
        <v>196</v>
      </c>
      <c r="H2710" t="s">
        <v>180</v>
      </c>
      <c r="I2710" s="173">
        <v>226.39</v>
      </c>
      <c r="J2710" s="23"/>
      <c r="K2710" s="233"/>
      <c r="L2710" s="233"/>
      <c r="M2710" s="91"/>
    </row>
    <row r="2711" spans="1:13" ht="15" hidden="1" customHeight="1" x14ac:dyDescent="0.3">
      <c r="A2711" s="9">
        <v>6751</v>
      </c>
      <c r="B2711" t="s">
        <v>552</v>
      </c>
      <c r="C2711" s="25">
        <v>44742</v>
      </c>
      <c r="D2711" s="26">
        <v>0.36180555555555555</v>
      </c>
      <c r="E2711" t="s">
        <v>29</v>
      </c>
      <c r="F2711" t="s">
        <v>175</v>
      </c>
      <c r="G2711" t="s">
        <v>172</v>
      </c>
      <c r="H2711" t="s">
        <v>209</v>
      </c>
      <c r="I2711" s="148">
        <v>453.16</v>
      </c>
      <c r="J2711" s="253">
        <f>440+530+453+613+200+248</f>
        <v>2484</v>
      </c>
      <c r="K2711" s="233">
        <v>579411</v>
      </c>
      <c r="L2711" s="251">
        <v>5053</v>
      </c>
      <c r="M2711" s="243">
        <f>+J2711/L2711*100</f>
        <v>49.158915495745106</v>
      </c>
    </row>
    <row r="2712" spans="1:13" ht="15" hidden="1" customHeight="1" x14ac:dyDescent="0.3">
      <c r="B2712" t="s">
        <v>179</v>
      </c>
      <c r="C2712" s="25">
        <v>44758</v>
      </c>
      <c r="D2712" s="26">
        <v>0.80532407407407414</v>
      </c>
      <c r="E2712" t="s">
        <v>30</v>
      </c>
      <c r="F2712" t="s">
        <v>428</v>
      </c>
      <c r="G2712" t="s">
        <v>429</v>
      </c>
      <c r="H2712" t="s">
        <v>180</v>
      </c>
      <c r="I2712" s="173">
        <v>100.05</v>
      </c>
      <c r="J2712" s="23"/>
      <c r="K2712" s="233"/>
      <c r="L2712" s="233"/>
      <c r="M2712" s="91"/>
    </row>
    <row r="2713" spans="1:13" ht="15" hidden="1" customHeight="1" x14ac:dyDescent="0.3">
      <c r="B2713" t="s">
        <v>179</v>
      </c>
      <c r="C2713" s="25">
        <v>44765</v>
      </c>
      <c r="D2713" s="26">
        <v>0.44928240740740738</v>
      </c>
      <c r="E2713" t="s">
        <v>30</v>
      </c>
      <c r="F2713" t="s">
        <v>175</v>
      </c>
      <c r="G2713" t="s">
        <v>172</v>
      </c>
      <c r="H2713" t="s">
        <v>180</v>
      </c>
      <c r="I2713" s="160">
        <v>152.43</v>
      </c>
      <c r="J2713" s="8"/>
      <c r="K2713" s="8"/>
      <c r="L2713" s="236"/>
      <c r="M2713" s="254"/>
    </row>
    <row r="2714" spans="1:13" ht="15" hidden="1" customHeight="1" x14ac:dyDescent="0.3">
      <c r="B2714" t="s">
        <v>179</v>
      </c>
      <c r="C2714" s="25">
        <v>44766</v>
      </c>
      <c r="D2714" s="26">
        <v>0.40263888888888894</v>
      </c>
      <c r="E2714" t="s">
        <v>30</v>
      </c>
      <c r="F2714" t="s">
        <v>210</v>
      </c>
      <c r="G2714" t="s">
        <v>211</v>
      </c>
      <c r="H2714" t="s">
        <v>180</v>
      </c>
      <c r="I2714" s="160">
        <v>365.95</v>
      </c>
      <c r="J2714" s="160">
        <f>366+152+100+226</f>
        <v>844</v>
      </c>
      <c r="K2714" s="160">
        <v>786080</v>
      </c>
      <c r="L2714" s="173">
        <v>1935</v>
      </c>
      <c r="M2714" s="150">
        <f>+J2714/L2714*100</f>
        <v>43.617571059431526</v>
      </c>
    </row>
    <row r="2715" spans="1:13" ht="15" hidden="1" customHeight="1" x14ac:dyDescent="0.3">
      <c r="B2715" t="s">
        <v>179</v>
      </c>
      <c r="C2715" s="25">
        <v>44766</v>
      </c>
      <c r="D2715" s="26">
        <v>0.87075231481481474</v>
      </c>
      <c r="E2715" t="s">
        <v>30</v>
      </c>
      <c r="F2715" t="s">
        <v>165</v>
      </c>
      <c r="G2715" t="s">
        <v>185</v>
      </c>
      <c r="H2715" t="s">
        <v>180</v>
      </c>
      <c r="I2715" s="160">
        <v>240.3</v>
      </c>
      <c r="J2715" s="8"/>
      <c r="K2715" s="8"/>
      <c r="L2715" s="236"/>
      <c r="M2715" s="254"/>
    </row>
    <row r="2716" spans="1:13" ht="15" hidden="1" customHeight="1" x14ac:dyDescent="0.3">
      <c r="A2716" s="9">
        <v>2598</v>
      </c>
      <c r="B2716" t="s">
        <v>552</v>
      </c>
      <c r="C2716" s="25">
        <v>44665</v>
      </c>
      <c r="D2716" s="26">
        <v>0.91450231481481481</v>
      </c>
      <c r="E2716" t="s">
        <v>27</v>
      </c>
      <c r="F2716" t="s">
        <v>197</v>
      </c>
      <c r="G2716" t="s">
        <v>44</v>
      </c>
      <c r="H2716" t="s">
        <v>195</v>
      </c>
      <c r="I2716" s="4">
        <v>132.88</v>
      </c>
      <c r="J2716" s="37">
        <v>0</v>
      </c>
      <c r="K2716" s="92">
        <f t="shared" ref="K2716:K2732" si="160">+L2716-J2716</f>
        <v>1379.57</v>
      </c>
      <c r="L2716" s="37">
        <v>1379.57</v>
      </c>
      <c r="M2716" s="61">
        <f t="shared" ref="M2716:M2747" si="161">I2716/K2716*100</f>
        <v>9.6319867784889492</v>
      </c>
    </row>
    <row r="2717" spans="1:13" ht="15" hidden="1" customHeight="1" x14ac:dyDescent="0.3">
      <c r="A2717" s="9">
        <v>2599</v>
      </c>
      <c r="B2717" t="s">
        <v>552</v>
      </c>
      <c r="C2717" s="25">
        <v>44666</v>
      </c>
      <c r="D2717" s="26">
        <v>0.41315972222222225</v>
      </c>
      <c r="E2717" t="s">
        <v>27</v>
      </c>
      <c r="F2717" t="s">
        <v>311</v>
      </c>
      <c r="G2717" t="s">
        <v>303</v>
      </c>
      <c r="H2717" t="s">
        <v>195</v>
      </c>
      <c r="I2717" s="4">
        <v>250</v>
      </c>
      <c r="J2717" s="32">
        <v>0</v>
      </c>
      <c r="K2717" s="89">
        <f t="shared" si="160"/>
        <v>157.41</v>
      </c>
      <c r="L2717" s="32">
        <v>157.41</v>
      </c>
      <c r="M2717" s="10">
        <f t="shared" si="161"/>
        <v>158.82091353789468</v>
      </c>
    </row>
    <row r="2718" spans="1:13" ht="15" hidden="1" customHeight="1" x14ac:dyDescent="0.3">
      <c r="A2718" s="9">
        <v>2600</v>
      </c>
      <c r="B2718" t="s">
        <v>552</v>
      </c>
      <c r="C2718" s="25">
        <v>44666</v>
      </c>
      <c r="D2718" s="26">
        <v>0.72457175925925921</v>
      </c>
      <c r="E2718" t="s">
        <v>27</v>
      </c>
      <c r="F2718" t="s">
        <v>210</v>
      </c>
      <c r="G2718" t="s">
        <v>211</v>
      </c>
      <c r="H2718" t="s">
        <v>195</v>
      </c>
      <c r="I2718" s="4">
        <v>377.73</v>
      </c>
      <c r="J2718" s="32">
        <v>0</v>
      </c>
      <c r="K2718" s="89">
        <f t="shared" si="160"/>
        <v>430.8</v>
      </c>
      <c r="L2718" s="32">
        <v>430.8</v>
      </c>
      <c r="M2718" s="10">
        <f t="shared" si="161"/>
        <v>87.681058495821731</v>
      </c>
    </row>
    <row r="2719" spans="1:13" ht="15" hidden="1" customHeight="1" x14ac:dyDescent="0.3">
      <c r="A2719" s="9">
        <v>2601</v>
      </c>
      <c r="B2719" t="s">
        <v>552</v>
      </c>
      <c r="C2719" s="25">
        <v>44667</v>
      </c>
      <c r="D2719" s="26">
        <v>0.70848379629629632</v>
      </c>
      <c r="E2719" t="s">
        <v>27</v>
      </c>
      <c r="F2719" t="s">
        <v>210</v>
      </c>
      <c r="G2719" t="s">
        <v>211</v>
      </c>
      <c r="H2719" t="s">
        <v>195</v>
      </c>
      <c r="I2719" s="4">
        <v>355.23</v>
      </c>
      <c r="J2719" s="32">
        <v>0</v>
      </c>
      <c r="K2719" s="89">
        <f t="shared" si="160"/>
        <v>891.85</v>
      </c>
      <c r="L2719" s="37">
        <v>891.85</v>
      </c>
      <c r="M2719" s="10">
        <f t="shared" si="161"/>
        <v>39.830689017211419</v>
      </c>
    </row>
    <row r="2720" spans="1:13" ht="15" hidden="1" customHeight="1" x14ac:dyDescent="0.3">
      <c r="A2720" s="9">
        <v>2602</v>
      </c>
      <c r="B2720" t="s">
        <v>552</v>
      </c>
      <c r="C2720" s="25">
        <v>44670</v>
      </c>
      <c r="D2720" s="26">
        <v>0.52387731481481481</v>
      </c>
      <c r="E2720" t="s">
        <v>27</v>
      </c>
      <c r="F2720" t="s">
        <v>175</v>
      </c>
      <c r="G2720" t="s">
        <v>172</v>
      </c>
      <c r="H2720" t="s">
        <v>195</v>
      </c>
      <c r="I2720" s="4">
        <v>388.87</v>
      </c>
      <c r="J2720" s="32">
        <v>0</v>
      </c>
      <c r="K2720" s="89">
        <f t="shared" si="160"/>
        <v>939.46</v>
      </c>
      <c r="L2720" s="32">
        <v>939.46</v>
      </c>
      <c r="M2720" s="10">
        <f t="shared" si="161"/>
        <v>41.392927852170395</v>
      </c>
    </row>
    <row r="2721" spans="1:13" ht="15" hidden="1" customHeight="1" x14ac:dyDescent="0.3">
      <c r="A2721" s="9">
        <v>2603</v>
      </c>
      <c r="B2721" t="s">
        <v>552</v>
      </c>
      <c r="C2721" s="25">
        <v>44671</v>
      </c>
      <c r="D2721" s="26">
        <v>0.67928240740740742</v>
      </c>
      <c r="E2721" t="s">
        <v>27</v>
      </c>
      <c r="F2721" t="s">
        <v>210</v>
      </c>
      <c r="G2721" t="s">
        <v>211</v>
      </c>
      <c r="H2721" t="s">
        <v>195</v>
      </c>
      <c r="I2721" s="4">
        <v>391.87</v>
      </c>
      <c r="J2721" s="32">
        <v>0</v>
      </c>
      <c r="K2721" s="89">
        <f t="shared" si="160"/>
        <v>832</v>
      </c>
      <c r="L2721" s="32">
        <v>832</v>
      </c>
      <c r="M2721" s="10">
        <f t="shared" si="161"/>
        <v>47.09975961538462</v>
      </c>
    </row>
    <row r="2722" spans="1:13" ht="15" hidden="1" customHeight="1" x14ac:dyDescent="0.3">
      <c r="A2722" s="9">
        <v>2604</v>
      </c>
      <c r="B2722" t="s">
        <v>552</v>
      </c>
      <c r="C2722" s="25">
        <v>44672</v>
      </c>
      <c r="D2722" s="26">
        <v>0.92748842592592595</v>
      </c>
      <c r="E2722" t="s">
        <v>27</v>
      </c>
      <c r="F2722" t="s">
        <v>210</v>
      </c>
      <c r="G2722" t="s">
        <v>211</v>
      </c>
      <c r="H2722" t="s">
        <v>195</v>
      </c>
      <c r="I2722" s="4">
        <v>448.01</v>
      </c>
      <c r="J2722" s="32">
        <v>0</v>
      </c>
      <c r="K2722" s="89">
        <f t="shared" si="160"/>
        <v>1145.78</v>
      </c>
      <c r="L2722" s="32">
        <v>1145.78</v>
      </c>
      <c r="M2722" s="10">
        <f t="shared" si="161"/>
        <v>39.100874513431897</v>
      </c>
    </row>
    <row r="2723" spans="1:13" ht="15" hidden="1" customHeight="1" x14ac:dyDescent="0.3">
      <c r="A2723" s="9">
        <v>2605</v>
      </c>
      <c r="B2723" t="s">
        <v>552</v>
      </c>
      <c r="C2723" s="25">
        <v>44674</v>
      </c>
      <c r="D2723" s="26">
        <v>0.42539351851851853</v>
      </c>
      <c r="E2723" t="s">
        <v>27</v>
      </c>
      <c r="F2723" t="s">
        <v>175</v>
      </c>
      <c r="G2723" t="s">
        <v>172</v>
      </c>
      <c r="H2723" t="s">
        <v>195</v>
      </c>
      <c r="I2723" s="4">
        <v>390.12</v>
      </c>
      <c r="J2723" s="32">
        <v>0</v>
      </c>
      <c r="K2723" s="89">
        <f t="shared" si="160"/>
        <v>971.47</v>
      </c>
      <c r="L2723" s="32">
        <v>971.47</v>
      </c>
      <c r="M2723" s="10">
        <f t="shared" si="161"/>
        <v>40.157699156947722</v>
      </c>
    </row>
    <row r="2724" spans="1:13" ht="15" hidden="1" customHeight="1" x14ac:dyDescent="0.3">
      <c r="A2724" s="9">
        <v>2606</v>
      </c>
      <c r="B2724" t="s">
        <v>552</v>
      </c>
      <c r="C2724" s="25">
        <v>44675</v>
      </c>
      <c r="D2724" s="26">
        <v>0.58321759259259254</v>
      </c>
      <c r="E2724" t="s">
        <v>27</v>
      </c>
      <c r="F2724" t="s">
        <v>210</v>
      </c>
      <c r="G2724" t="s">
        <v>211</v>
      </c>
      <c r="H2724" t="s">
        <v>195</v>
      </c>
      <c r="I2724" s="4">
        <v>383.87</v>
      </c>
      <c r="J2724" s="32">
        <v>0</v>
      </c>
      <c r="K2724" s="89">
        <f t="shared" si="160"/>
        <v>831.95</v>
      </c>
      <c r="L2724" s="52">
        <v>831.95</v>
      </c>
      <c r="M2724" s="10">
        <f t="shared" si="161"/>
        <v>46.140994050123204</v>
      </c>
    </row>
    <row r="2725" spans="1:13" ht="15" hidden="1" customHeight="1" x14ac:dyDescent="0.3">
      <c r="A2725" s="9">
        <v>2607</v>
      </c>
      <c r="B2725" t="s">
        <v>552</v>
      </c>
      <c r="C2725" s="25">
        <v>44676</v>
      </c>
      <c r="D2725" s="26">
        <v>0.96599537037037031</v>
      </c>
      <c r="E2725" t="s">
        <v>27</v>
      </c>
      <c r="F2725" t="s">
        <v>210</v>
      </c>
      <c r="G2725" t="s">
        <v>211</v>
      </c>
      <c r="H2725" t="s">
        <v>195</v>
      </c>
      <c r="I2725">
        <v>515.77</v>
      </c>
      <c r="J2725" s="32">
        <v>0</v>
      </c>
      <c r="K2725" s="89">
        <f t="shared" si="160"/>
        <v>1064</v>
      </c>
      <c r="L2725" s="51">
        <v>1064</v>
      </c>
      <c r="M2725" s="10">
        <f t="shared" si="161"/>
        <v>48.474624060150376</v>
      </c>
    </row>
    <row r="2726" spans="1:13" ht="15" hidden="1" customHeight="1" x14ac:dyDescent="0.3">
      <c r="A2726" s="9">
        <v>3717</v>
      </c>
      <c r="B2726" t="s">
        <v>552</v>
      </c>
      <c r="C2726" s="25">
        <v>44683</v>
      </c>
      <c r="D2726" s="26">
        <v>0.85563657407407412</v>
      </c>
      <c r="E2726" t="s">
        <v>28</v>
      </c>
      <c r="F2726" t="s">
        <v>278</v>
      </c>
      <c r="G2726" t="s">
        <v>279</v>
      </c>
      <c r="H2726" t="s">
        <v>195</v>
      </c>
      <c r="I2726">
        <v>331.08</v>
      </c>
      <c r="J2726" s="32">
        <v>0</v>
      </c>
      <c r="K2726" s="89">
        <f t="shared" si="160"/>
        <v>748.66</v>
      </c>
      <c r="L2726" s="52">
        <v>748.66</v>
      </c>
      <c r="M2726" s="10">
        <f t="shared" si="161"/>
        <v>44.223011781048804</v>
      </c>
    </row>
    <row r="2727" spans="1:13" ht="15" hidden="1" customHeight="1" x14ac:dyDescent="0.3">
      <c r="A2727" s="9">
        <v>3796</v>
      </c>
      <c r="B2727" t="s">
        <v>552</v>
      </c>
      <c r="C2727" s="25">
        <v>44685</v>
      </c>
      <c r="D2727" s="26">
        <v>0.70681712962962961</v>
      </c>
      <c r="E2727" t="s">
        <v>28</v>
      </c>
      <c r="F2727" t="s">
        <v>202</v>
      </c>
      <c r="G2727" t="s">
        <v>203</v>
      </c>
      <c r="H2727" t="s">
        <v>195</v>
      </c>
      <c r="I2727">
        <v>150</v>
      </c>
      <c r="J2727" s="32">
        <v>0</v>
      </c>
      <c r="K2727" s="89">
        <f t="shared" si="160"/>
        <v>896</v>
      </c>
      <c r="L2727" s="52">
        <v>896</v>
      </c>
      <c r="M2727" s="10">
        <f t="shared" si="161"/>
        <v>16.741071428571427</v>
      </c>
    </row>
    <row r="2728" spans="1:13" ht="15" hidden="1" customHeight="1" x14ac:dyDescent="0.3">
      <c r="A2728" s="9">
        <v>3865</v>
      </c>
      <c r="B2728" t="s">
        <v>552</v>
      </c>
      <c r="C2728" s="25">
        <v>44686</v>
      </c>
      <c r="D2728" s="26">
        <v>0.55193287037037042</v>
      </c>
      <c r="E2728" t="s">
        <v>28</v>
      </c>
      <c r="F2728" t="s">
        <v>165</v>
      </c>
      <c r="G2728" t="s">
        <v>185</v>
      </c>
      <c r="H2728" t="s">
        <v>195</v>
      </c>
      <c r="I2728">
        <v>473.56</v>
      </c>
      <c r="J2728" s="32">
        <v>0</v>
      </c>
      <c r="K2728" s="89">
        <f t="shared" si="160"/>
        <v>541</v>
      </c>
      <c r="L2728" s="52">
        <v>541</v>
      </c>
      <c r="M2728" s="10">
        <f t="shared" si="161"/>
        <v>87.534195933456559</v>
      </c>
    </row>
    <row r="2729" spans="1:13" ht="15" hidden="1" customHeight="1" x14ac:dyDescent="0.3">
      <c r="A2729" s="9">
        <v>3916</v>
      </c>
      <c r="B2729" t="s">
        <v>552</v>
      </c>
      <c r="C2729" s="25">
        <v>44687</v>
      </c>
      <c r="D2729" s="26">
        <v>6.3032407407407412E-2</v>
      </c>
      <c r="E2729" t="s">
        <v>28</v>
      </c>
      <c r="F2729" t="s">
        <v>210</v>
      </c>
      <c r="G2729" t="s">
        <v>211</v>
      </c>
      <c r="H2729" t="s">
        <v>195</v>
      </c>
      <c r="I2729">
        <v>215.3</v>
      </c>
      <c r="J2729" s="32">
        <v>0</v>
      </c>
      <c r="K2729" s="89">
        <f t="shared" si="160"/>
        <v>550</v>
      </c>
      <c r="L2729" s="32">
        <v>550</v>
      </c>
      <c r="M2729" s="36">
        <f t="shared" si="161"/>
        <v>39.145454545454548</v>
      </c>
    </row>
    <row r="2730" spans="1:13" ht="15" hidden="1" customHeight="1" x14ac:dyDescent="0.3">
      <c r="A2730" s="9">
        <v>4018</v>
      </c>
      <c r="B2730" t="s">
        <v>552</v>
      </c>
      <c r="C2730" s="25">
        <v>44689</v>
      </c>
      <c r="D2730" s="26">
        <v>0.32109953703703703</v>
      </c>
      <c r="E2730" t="s">
        <v>28</v>
      </c>
      <c r="F2730" t="s">
        <v>559</v>
      </c>
      <c r="G2730" t="s">
        <v>303</v>
      </c>
      <c r="H2730" t="s">
        <v>195</v>
      </c>
      <c r="I2730">
        <v>597.33000000000004</v>
      </c>
      <c r="J2730" s="32">
        <v>0</v>
      </c>
      <c r="K2730" s="89">
        <f t="shared" si="160"/>
        <v>1457</v>
      </c>
      <c r="L2730" s="32">
        <v>1457</v>
      </c>
      <c r="M2730" s="36">
        <f t="shared" si="161"/>
        <v>40.997254632807142</v>
      </c>
    </row>
    <row r="2731" spans="1:13" ht="15" hidden="1" customHeight="1" x14ac:dyDescent="0.3">
      <c r="A2731" s="9">
        <v>4019</v>
      </c>
      <c r="B2731" t="s">
        <v>552</v>
      </c>
      <c r="C2731" s="25">
        <v>44689</v>
      </c>
      <c r="D2731" s="26">
        <v>0.58567129629629633</v>
      </c>
      <c r="E2731" t="s">
        <v>28</v>
      </c>
      <c r="F2731" t="s">
        <v>210</v>
      </c>
      <c r="G2731" t="s">
        <v>211</v>
      </c>
      <c r="H2731" t="s">
        <v>195</v>
      </c>
      <c r="I2731">
        <v>190.96</v>
      </c>
      <c r="J2731" s="32">
        <v>0</v>
      </c>
      <c r="K2731" s="89">
        <f t="shared" si="160"/>
        <v>430</v>
      </c>
      <c r="L2731" s="32">
        <v>430</v>
      </c>
      <c r="M2731" s="36">
        <f t="shared" si="161"/>
        <v>44.409302325581393</v>
      </c>
    </row>
    <row r="2732" spans="1:13" ht="15" hidden="1" customHeight="1" x14ac:dyDescent="0.3">
      <c r="A2732" s="9">
        <v>4066</v>
      </c>
      <c r="B2732" t="s">
        <v>552</v>
      </c>
      <c r="C2732" s="25">
        <v>44690</v>
      </c>
      <c r="D2732" s="26">
        <v>0.98370370370370364</v>
      </c>
      <c r="E2732" t="s">
        <v>28</v>
      </c>
      <c r="F2732" t="s">
        <v>210</v>
      </c>
      <c r="G2732" t="s">
        <v>211</v>
      </c>
      <c r="H2732" t="s">
        <v>195</v>
      </c>
      <c r="I2732">
        <v>465.94</v>
      </c>
      <c r="J2732" s="32">
        <v>0</v>
      </c>
      <c r="K2732" s="89">
        <f t="shared" si="160"/>
        <v>1121</v>
      </c>
      <c r="L2732" s="32">
        <v>1121</v>
      </c>
      <c r="M2732" s="36">
        <f t="shared" si="161"/>
        <v>41.564674397859051</v>
      </c>
    </row>
    <row r="2733" spans="1:13" ht="15" hidden="1" customHeight="1" x14ac:dyDescent="0.3">
      <c r="A2733" s="9">
        <v>4305</v>
      </c>
      <c r="B2733" t="s">
        <v>552</v>
      </c>
      <c r="C2733" s="25">
        <v>44695</v>
      </c>
      <c r="D2733" s="26">
        <v>0.4165625</v>
      </c>
      <c r="E2733" t="s">
        <v>28</v>
      </c>
      <c r="F2733" t="s">
        <v>175</v>
      </c>
      <c r="G2733" t="s">
        <v>172</v>
      </c>
      <c r="H2733" t="s">
        <v>195</v>
      </c>
      <c r="I2733">
        <v>342.92</v>
      </c>
      <c r="J2733" s="32">
        <v>0</v>
      </c>
      <c r="K2733" s="89">
        <f>+L2733-J2861</f>
        <v>952</v>
      </c>
      <c r="L2733" s="32">
        <v>952</v>
      </c>
      <c r="M2733" s="36">
        <f t="shared" si="161"/>
        <v>36.02100840336135</v>
      </c>
    </row>
    <row r="2734" spans="1:13" ht="15" hidden="1" customHeight="1" x14ac:dyDescent="0.3">
      <c r="A2734" s="9">
        <v>4370</v>
      </c>
      <c r="B2734" t="s">
        <v>552</v>
      </c>
      <c r="C2734" s="25">
        <v>44696</v>
      </c>
      <c r="D2734" s="26">
        <v>0.38280092592592596</v>
      </c>
      <c r="E2734" t="s">
        <v>28</v>
      </c>
      <c r="F2734" t="s">
        <v>210</v>
      </c>
      <c r="G2734" t="s">
        <v>211</v>
      </c>
      <c r="H2734" t="s">
        <v>195</v>
      </c>
      <c r="I2734">
        <v>351.44</v>
      </c>
      <c r="J2734" s="32">
        <v>0</v>
      </c>
      <c r="K2734" s="89">
        <f>+L2734-J2862</f>
        <v>831</v>
      </c>
      <c r="L2734" s="32">
        <v>831</v>
      </c>
      <c r="M2734" s="36">
        <f t="shared" si="161"/>
        <v>42.29121540312876</v>
      </c>
    </row>
    <row r="2735" spans="1:13" ht="15" hidden="1" customHeight="1" x14ac:dyDescent="0.3">
      <c r="A2735" s="9">
        <v>4371</v>
      </c>
      <c r="B2735" t="s">
        <v>552</v>
      </c>
      <c r="C2735" s="25">
        <v>44696</v>
      </c>
      <c r="D2735" s="26">
        <v>0.86376157407407417</v>
      </c>
      <c r="E2735" t="s">
        <v>28</v>
      </c>
      <c r="F2735" t="s">
        <v>165</v>
      </c>
      <c r="G2735" t="s">
        <v>185</v>
      </c>
      <c r="H2735" t="s">
        <v>195</v>
      </c>
      <c r="I2735">
        <v>279.02</v>
      </c>
      <c r="J2735" s="32">
        <v>0</v>
      </c>
      <c r="K2735" s="89">
        <f>+L2735-J2863</f>
        <v>549</v>
      </c>
      <c r="L2735" s="32">
        <v>549</v>
      </c>
      <c r="M2735" s="36">
        <f t="shared" si="161"/>
        <v>50.823315118397083</v>
      </c>
    </row>
    <row r="2736" spans="1:13" ht="15" hidden="1" customHeight="1" x14ac:dyDescent="0.3">
      <c r="A2736" s="9">
        <v>4444</v>
      </c>
      <c r="B2736" t="s">
        <v>552</v>
      </c>
      <c r="C2736" s="25">
        <v>44697</v>
      </c>
      <c r="D2736" s="26">
        <v>0.54614583333333333</v>
      </c>
      <c r="E2736" t="s">
        <v>28</v>
      </c>
      <c r="F2736" t="s">
        <v>210</v>
      </c>
      <c r="G2736" t="s">
        <v>211</v>
      </c>
      <c r="H2736" t="s">
        <v>195</v>
      </c>
      <c r="I2736">
        <v>185.02</v>
      </c>
      <c r="J2736" s="32">
        <v>0</v>
      </c>
      <c r="K2736" s="97">
        <f>+L2736-J2864</f>
        <v>514</v>
      </c>
      <c r="L2736" s="37">
        <v>514</v>
      </c>
      <c r="M2736" s="10">
        <f t="shared" si="161"/>
        <v>35.996108949416346</v>
      </c>
    </row>
    <row r="2737" spans="1:13" ht="15" hidden="1" customHeight="1" x14ac:dyDescent="0.3">
      <c r="A2737" s="9">
        <v>4538</v>
      </c>
      <c r="B2737" t="s">
        <v>552</v>
      </c>
      <c r="C2737" s="25">
        <v>44699</v>
      </c>
      <c r="D2737" s="26">
        <v>0.58548611111111104</v>
      </c>
      <c r="E2737" t="s">
        <v>28</v>
      </c>
      <c r="F2737" t="s">
        <v>414</v>
      </c>
      <c r="G2737" t="s">
        <v>449</v>
      </c>
      <c r="H2737" t="s">
        <v>195</v>
      </c>
      <c r="I2737">
        <v>150</v>
      </c>
      <c r="J2737" s="65">
        <v>0</v>
      </c>
      <c r="K2737" s="101">
        <f>+L2737-J2863</f>
        <v>1228</v>
      </c>
      <c r="L2737" s="37">
        <v>1228</v>
      </c>
      <c r="M2737" s="10">
        <f t="shared" si="161"/>
        <v>12.214983713355048</v>
      </c>
    </row>
    <row r="2738" spans="1:13" ht="15" hidden="1" customHeight="1" x14ac:dyDescent="0.3">
      <c r="A2738" s="9">
        <v>4539</v>
      </c>
      <c r="B2738" t="s">
        <v>552</v>
      </c>
      <c r="C2738" s="25">
        <v>44699</v>
      </c>
      <c r="D2738" s="26">
        <v>0.6289583333333334</v>
      </c>
      <c r="E2738" t="s">
        <v>28</v>
      </c>
      <c r="F2738" t="s">
        <v>512</v>
      </c>
      <c r="G2738" t="s">
        <v>513</v>
      </c>
      <c r="H2738" t="s">
        <v>195</v>
      </c>
      <c r="I2738">
        <v>526.01</v>
      </c>
      <c r="J2738" s="32">
        <v>0</v>
      </c>
      <c r="K2738" s="99">
        <f>+L2738-J2864</f>
        <v>36</v>
      </c>
      <c r="L2738" s="33">
        <v>36</v>
      </c>
      <c r="M2738" s="10">
        <f t="shared" si="161"/>
        <v>1461.1388888888889</v>
      </c>
    </row>
    <row r="2739" spans="1:13" ht="15" hidden="1" customHeight="1" x14ac:dyDescent="0.3">
      <c r="A2739" s="9">
        <v>4548</v>
      </c>
      <c r="B2739" t="s">
        <v>552</v>
      </c>
      <c r="C2739" s="25">
        <v>44699</v>
      </c>
      <c r="D2739" s="26">
        <v>0.96371527777777777</v>
      </c>
      <c r="E2739" t="s">
        <v>28</v>
      </c>
      <c r="F2739" t="s">
        <v>166</v>
      </c>
      <c r="G2739" t="s">
        <v>161</v>
      </c>
      <c r="H2739" t="s">
        <v>195</v>
      </c>
      <c r="I2739">
        <v>199.84</v>
      </c>
      <c r="J2739" s="32">
        <v>0</v>
      </c>
      <c r="K2739" s="90">
        <f>+L2739-J2865</f>
        <v>510</v>
      </c>
      <c r="L2739" s="32">
        <v>510</v>
      </c>
      <c r="M2739" s="10">
        <f t="shared" si="161"/>
        <v>39.184313725490192</v>
      </c>
    </row>
    <row r="2740" spans="1:13" ht="15" hidden="1" customHeight="1" x14ac:dyDescent="0.3">
      <c r="A2740" s="9">
        <v>4602</v>
      </c>
      <c r="B2740" t="s">
        <v>552</v>
      </c>
      <c r="C2740" s="25">
        <v>44700</v>
      </c>
      <c r="D2740" s="26">
        <v>0.96939814814814806</v>
      </c>
      <c r="E2740" t="s">
        <v>28</v>
      </c>
      <c r="F2740" t="s">
        <v>165</v>
      </c>
      <c r="G2740" t="s">
        <v>185</v>
      </c>
      <c r="H2740" t="s">
        <v>195</v>
      </c>
      <c r="I2740">
        <v>300</v>
      </c>
      <c r="J2740" s="32">
        <v>0</v>
      </c>
      <c r="K2740" s="90">
        <f t="shared" ref="K2740:K2747" si="162">+L2740-J3010</f>
        <v>416</v>
      </c>
      <c r="L2740" s="32">
        <v>1131</v>
      </c>
      <c r="M2740" s="10">
        <f t="shared" si="161"/>
        <v>72.115384615384613</v>
      </c>
    </row>
    <row r="2741" spans="1:13" ht="15" hidden="1" customHeight="1" x14ac:dyDescent="0.3">
      <c r="A2741" s="9">
        <v>4652</v>
      </c>
      <c r="B2741" t="s">
        <v>552</v>
      </c>
      <c r="C2741" s="25">
        <v>44701</v>
      </c>
      <c r="D2741" s="26">
        <v>0.65278935185185183</v>
      </c>
      <c r="E2741" t="s">
        <v>28</v>
      </c>
      <c r="F2741" t="s">
        <v>210</v>
      </c>
      <c r="G2741" t="s">
        <v>211</v>
      </c>
      <c r="H2741" t="s">
        <v>195</v>
      </c>
      <c r="I2741">
        <v>168.46</v>
      </c>
      <c r="J2741" s="32">
        <v>0</v>
      </c>
      <c r="K2741" s="100">
        <f t="shared" si="162"/>
        <v>517</v>
      </c>
      <c r="L2741" s="38">
        <v>517</v>
      </c>
      <c r="M2741" s="10">
        <f t="shared" si="161"/>
        <v>32.584139264990327</v>
      </c>
    </row>
    <row r="2742" spans="1:13" ht="15" hidden="1" customHeight="1" x14ac:dyDescent="0.3">
      <c r="A2742" s="9">
        <v>4704</v>
      </c>
      <c r="B2742" t="s">
        <v>552</v>
      </c>
      <c r="C2742" s="25">
        <v>44702</v>
      </c>
      <c r="D2742" s="26">
        <v>0.64355324074074072</v>
      </c>
      <c r="E2742" t="s">
        <v>28</v>
      </c>
      <c r="F2742" t="s">
        <v>262</v>
      </c>
      <c r="G2742" t="s">
        <v>263</v>
      </c>
      <c r="H2742" t="s">
        <v>195</v>
      </c>
      <c r="I2742">
        <v>200</v>
      </c>
      <c r="J2742" s="33">
        <v>0</v>
      </c>
      <c r="K2742" s="99">
        <f t="shared" si="162"/>
        <v>900</v>
      </c>
      <c r="L2742" s="32">
        <v>900</v>
      </c>
      <c r="M2742" s="10">
        <f t="shared" si="161"/>
        <v>22.222222222222221</v>
      </c>
    </row>
    <row r="2743" spans="1:13" ht="15" hidden="1" customHeight="1" x14ac:dyDescent="0.3">
      <c r="A2743" s="9">
        <v>4761</v>
      </c>
      <c r="B2743" t="s">
        <v>552</v>
      </c>
      <c r="C2743" s="25">
        <v>44703</v>
      </c>
      <c r="D2743" s="26">
        <v>0.37405092592592593</v>
      </c>
      <c r="E2743" t="s">
        <v>28</v>
      </c>
      <c r="F2743" t="s">
        <v>197</v>
      </c>
      <c r="G2743" t="s">
        <v>44</v>
      </c>
      <c r="H2743" t="s">
        <v>195</v>
      </c>
      <c r="I2743">
        <v>115.68</v>
      </c>
      <c r="J2743" s="32">
        <v>0</v>
      </c>
      <c r="K2743" s="90">
        <f t="shared" si="162"/>
        <v>281</v>
      </c>
      <c r="L2743" s="32">
        <v>281</v>
      </c>
      <c r="M2743" s="10">
        <f t="shared" si="161"/>
        <v>41.167259786476876</v>
      </c>
    </row>
    <row r="2744" spans="1:13" ht="15" hidden="1" customHeight="1" x14ac:dyDescent="0.3">
      <c r="A2744" s="9">
        <v>4762</v>
      </c>
      <c r="B2744" t="s">
        <v>552</v>
      </c>
      <c r="C2744" s="25">
        <v>44703</v>
      </c>
      <c r="D2744" s="26">
        <v>0.51074074074074072</v>
      </c>
      <c r="E2744" t="s">
        <v>28</v>
      </c>
      <c r="F2744" t="s">
        <v>311</v>
      </c>
      <c r="G2744" t="s">
        <v>303</v>
      </c>
      <c r="H2744" t="s">
        <v>195</v>
      </c>
      <c r="I2744">
        <v>217.29</v>
      </c>
      <c r="J2744" s="37">
        <v>0</v>
      </c>
      <c r="K2744" s="97">
        <f t="shared" si="162"/>
        <v>156</v>
      </c>
      <c r="L2744" s="32">
        <v>156</v>
      </c>
      <c r="M2744" s="10">
        <f t="shared" si="161"/>
        <v>139.28846153846152</v>
      </c>
    </row>
    <row r="2745" spans="1:13" ht="15" hidden="1" customHeight="1" x14ac:dyDescent="0.3">
      <c r="A2745" s="9">
        <v>4763</v>
      </c>
      <c r="B2745" t="s">
        <v>552</v>
      </c>
      <c r="C2745" s="25">
        <v>44703</v>
      </c>
      <c r="D2745" s="26">
        <v>0.7779166666666667</v>
      </c>
      <c r="E2745" t="s">
        <v>28</v>
      </c>
      <c r="F2745" t="s">
        <v>210</v>
      </c>
      <c r="G2745" t="s">
        <v>211</v>
      </c>
      <c r="H2745" t="s">
        <v>195</v>
      </c>
      <c r="I2745">
        <v>213.1</v>
      </c>
      <c r="J2745" s="37">
        <v>0</v>
      </c>
      <c r="K2745" s="97">
        <f t="shared" si="162"/>
        <v>430</v>
      </c>
      <c r="L2745" s="32">
        <v>430</v>
      </c>
      <c r="M2745" s="10">
        <f t="shared" si="161"/>
        <v>49.558139534883722</v>
      </c>
    </row>
    <row r="2746" spans="1:13" ht="15" hidden="1" customHeight="1" x14ac:dyDescent="0.3">
      <c r="A2746" s="9">
        <v>4815</v>
      </c>
      <c r="B2746" t="s">
        <v>552</v>
      </c>
      <c r="C2746" s="25">
        <v>44704</v>
      </c>
      <c r="D2746" s="26">
        <v>0.7357407407407407</v>
      </c>
      <c r="E2746" t="s">
        <v>28</v>
      </c>
      <c r="F2746" t="s">
        <v>165</v>
      </c>
      <c r="G2746" t="s">
        <v>185</v>
      </c>
      <c r="H2746" t="s">
        <v>195</v>
      </c>
      <c r="I2746">
        <v>297.02</v>
      </c>
      <c r="J2746" s="32">
        <v>0</v>
      </c>
      <c r="K2746" s="97">
        <f t="shared" si="162"/>
        <v>548</v>
      </c>
      <c r="L2746" s="37">
        <v>548</v>
      </c>
      <c r="M2746" s="10">
        <f t="shared" si="161"/>
        <v>54.200729927007295</v>
      </c>
    </row>
    <row r="2747" spans="1:13" ht="15" hidden="1" customHeight="1" x14ac:dyDescent="0.3">
      <c r="A2747" s="9">
        <v>4869</v>
      </c>
      <c r="B2747" t="s">
        <v>552</v>
      </c>
      <c r="C2747" s="25">
        <v>44705</v>
      </c>
      <c r="D2747" s="26">
        <v>5.4560185185185184E-2</v>
      </c>
      <c r="E2747" t="s">
        <v>28</v>
      </c>
      <c r="F2747" t="s">
        <v>210</v>
      </c>
      <c r="G2747" t="s">
        <v>211</v>
      </c>
      <c r="H2747" t="s">
        <v>195</v>
      </c>
      <c r="I2747">
        <v>184.03</v>
      </c>
      <c r="J2747" s="33">
        <v>0</v>
      </c>
      <c r="K2747" s="99">
        <f t="shared" si="162"/>
        <v>515</v>
      </c>
      <c r="L2747" s="32">
        <v>515</v>
      </c>
      <c r="M2747" s="10">
        <f t="shared" si="161"/>
        <v>35.733980582524275</v>
      </c>
    </row>
    <row r="2748" spans="1:13" ht="15" hidden="1" customHeight="1" x14ac:dyDescent="0.3">
      <c r="A2748" s="9">
        <v>5125</v>
      </c>
      <c r="B2748" t="s">
        <v>552</v>
      </c>
      <c r="C2748" s="25">
        <v>44710</v>
      </c>
      <c r="D2748" s="26">
        <v>0.36805555555555558</v>
      </c>
      <c r="E2748" t="s">
        <v>28</v>
      </c>
      <c r="F2748" t="s">
        <v>639</v>
      </c>
      <c r="G2748" t="s">
        <v>44</v>
      </c>
      <c r="H2748" t="s">
        <v>184</v>
      </c>
      <c r="I2748">
        <v>115.68</v>
      </c>
      <c r="J2748" s="55">
        <v>0</v>
      </c>
      <c r="K2748" s="96">
        <f>+L2748-J2944</f>
        <v>668</v>
      </c>
      <c r="L2748" s="7">
        <v>668</v>
      </c>
      <c r="M2748" s="10">
        <f t="shared" ref="M2748:M2772" si="163">I2748/K2748*100</f>
        <v>17.317365269461078</v>
      </c>
    </row>
    <row r="2749" spans="1:13" ht="15" hidden="1" customHeight="1" x14ac:dyDescent="0.3">
      <c r="A2749" s="9">
        <v>5126</v>
      </c>
      <c r="B2749" t="s">
        <v>552</v>
      </c>
      <c r="C2749" s="25">
        <v>44710</v>
      </c>
      <c r="D2749" s="26">
        <v>0.72372685185185182</v>
      </c>
      <c r="E2749" t="s">
        <v>28</v>
      </c>
      <c r="F2749" t="s">
        <v>632</v>
      </c>
      <c r="G2749" t="s">
        <v>161</v>
      </c>
      <c r="H2749" t="s">
        <v>184</v>
      </c>
      <c r="I2749">
        <v>376.01</v>
      </c>
      <c r="J2749" s="55">
        <v>0</v>
      </c>
      <c r="K2749" s="96">
        <f>+L2749-J2945</f>
        <v>511</v>
      </c>
      <c r="L2749" s="7">
        <v>511</v>
      </c>
      <c r="M2749" s="10">
        <f t="shared" si="163"/>
        <v>73.583170254403129</v>
      </c>
    </row>
    <row r="2750" spans="1:13" ht="15" hidden="1" customHeight="1" x14ac:dyDescent="0.3">
      <c r="A2750" s="9">
        <v>5182</v>
      </c>
      <c r="B2750" t="s">
        <v>552</v>
      </c>
      <c r="C2750" s="25">
        <v>44711</v>
      </c>
      <c r="D2750" s="26">
        <v>0.65128472222222222</v>
      </c>
      <c r="E2750" t="s">
        <v>28</v>
      </c>
      <c r="F2750" t="s">
        <v>635</v>
      </c>
      <c r="G2750" t="s">
        <v>185</v>
      </c>
      <c r="H2750" t="s">
        <v>184</v>
      </c>
      <c r="I2750">
        <v>344.92</v>
      </c>
      <c r="J2750" s="33">
        <v>0</v>
      </c>
      <c r="K2750" s="100">
        <f>+L2750-J2966</f>
        <v>591</v>
      </c>
      <c r="L2750" s="35">
        <v>591</v>
      </c>
      <c r="M2750" s="10">
        <f t="shared" si="163"/>
        <v>58.362098138747889</v>
      </c>
    </row>
    <row r="2751" spans="1:13" ht="15" hidden="1" customHeight="1" x14ac:dyDescent="0.3">
      <c r="A2751" s="9">
        <v>5230</v>
      </c>
      <c r="B2751" t="s">
        <v>552</v>
      </c>
      <c r="C2751" s="25">
        <v>44712</v>
      </c>
      <c r="D2751" s="26">
        <v>0.45565972222222223</v>
      </c>
      <c r="E2751" t="s">
        <v>28</v>
      </c>
      <c r="F2751" t="s">
        <v>634</v>
      </c>
      <c r="G2751" t="s">
        <v>211</v>
      </c>
      <c r="H2751" t="s">
        <v>184</v>
      </c>
      <c r="I2751">
        <v>210</v>
      </c>
      <c r="J2751" s="32">
        <v>0</v>
      </c>
      <c r="K2751" s="90">
        <f>+L2751-J2964</f>
        <v>548</v>
      </c>
      <c r="L2751" s="7">
        <v>548</v>
      </c>
      <c r="M2751" s="10">
        <f t="shared" si="163"/>
        <v>38.321167883211679</v>
      </c>
    </row>
    <row r="2752" spans="1:13" ht="15" hidden="1" customHeight="1" x14ac:dyDescent="0.3">
      <c r="A2752" s="9">
        <v>5266</v>
      </c>
      <c r="B2752" t="s">
        <v>552</v>
      </c>
      <c r="C2752" s="25">
        <v>44713</v>
      </c>
      <c r="D2752" s="26">
        <v>0.61518518518518517</v>
      </c>
      <c r="E2752" t="s">
        <v>29</v>
      </c>
      <c r="F2752" t="s">
        <v>696</v>
      </c>
      <c r="G2752" t="s">
        <v>390</v>
      </c>
      <c r="H2752" t="s">
        <v>184</v>
      </c>
      <c r="I2752">
        <v>100</v>
      </c>
      <c r="J2752" s="37">
        <v>0</v>
      </c>
      <c r="K2752" s="97">
        <v>865</v>
      </c>
      <c r="L2752" s="34">
        <v>865</v>
      </c>
      <c r="M2752" s="10">
        <f t="shared" si="163"/>
        <v>11.560693641618498</v>
      </c>
    </row>
    <row r="2753" spans="1:19" ht="15" hidden="1" customHeight="1" x14ac:dyDescent="0.3">
      <c r="A2753" s="9">
        <v>5267</v>
      </c>
      <c r="B2753" t="s">
        <v>552</v>
      </c>
      <c r="C2753" s="25">
        <v>44713</v>
      </c>
      <c r="D2753" s="26">
        <v>0.68658564814814815</v>
      </c>
      <c r="E2753" t="s">
        <v>29</v>
      </c>
      <c r="F2753" t="s">
        <v>679</v>
      </c>
      <c r="G2753" t="s">
        <v>392</v>
      </c>
      <c r="H2753" t="s">
        <v>184</v>
      </c>
      <c r="I2753">
        <v>276.5</v>
      </c>
      <c r="J2753" s="55">
        <v>0</v>
      </c>
      <c r="K2753" s="96">
        <v>865</v>
      </c>
      <c r="L2753" s="7">
        <v>39</v>
      </c>
      <c r="M2753" s="10">
        <f t="shared" si="163"/>
        <v>31.965317919075144</v>
      </c>
    </row>
    <row r="2754" spans="1:19" ht="15" hidden="1" customHeight="1" x14ac:dyDescent="0.3">
      <c r="A2754" s="9">
        <v>5320</v>
      </c>
      <c r="B2754" t="s">
        <v>552</v>
      </c>
      <c r="C2754" s="25">
        <v>44714</v>
      </c>
      <c r="D2754" s="26">
        <v>0.79864583333333339</v>
      </c>
      <c r="E2754" t="s">
        <v>29</v>
      </c>
      <c r="F2754" t="s">
        <v>632</v>
      </c>
      <c r="G2754" t="s">
        <v>161</v>
      </c>
      <c r="H2754" t="s">
        <v>184</v>
      </c>
      <c r="I2754">
        <v>350.39</v>
      </c>
      <c r="J2754" s="55">
        <v>0</v>
      </c>
      <c r="K2754" s="96">
        <v>764</v>
      </c>
      <c r="L2754" s="7">
        <v>764</v>
      </c>
      <c r="M2754" s="10">
        <f t="shared" si="163"/>
        <v>45.862565445026178</v>
      </c>
    </row>
    <row r="2755" spans="1:19" ht="15" hidden="1" customHeight="1" x14ac:dyDescent="0.3">
      <c r="A2755" s="9">
        <v>5387</v>
      </c>
      <c r="B2755" t="s">
        <v>552</v>
      </c>
      <c r="C2755" s="25">
        <v>44715</v>
      </c>
      <c r="D2755" s="26">
        <v>0.50870370370370377</v>
      </c>
      <c r="E2755" t="s">
        <v>29</v>
      </c>
      <c r="F2755" t="s">
        <v>640</v>
      </c>
      <c r="G2755" t="s">
        <v>185</v>
      </c>
      <c r="H2755" t="s">
        <v>184</v>
      </c>
      <c r="I2755">
        <v>330.99</v>
      </c>
      <c r="J2755" s="33">
        <v>0</v>
      </c>
      <c r="K2755" s="99">
        <v>568</v>
      </c>
      <c r="L2755" s="31">
        <v>568</v>
      </c>
      <c r="M2755" s="10">
        <f t="shared" si="163"/>
        <v>58.272887323943664</v>
      </c>
    </row>
    <row r="2756" spans="1:19" ht="15" hidden="1" customHeight="1" x14ac:dyDescent="0.3">
      <c r="A2756" s="9">
        <v>5388</v>
      </c>
      <c r="B2756" t="s">
        <v>552</v>
      </c>
      <c r="C2756" s="25">
        <v>44715</v>
      </c>
      <c r="D2756" s="26">
        <v>0.86752314814814813</v>
      </c>
      <c r="E2756" t="s">
        <v>29</v>
      </c>
      <c r="F2756" t="s">
        <v>634</v>
      </c>
      <c r="G2756" t="s">
        <v>211</v>
      </c>
      <c r="H2756" t="s">
        <v>184</v>
      </c>
      <c r="I2756">
        <v>198.12</v>
      </c>
      <c r="J2756" s="32">
        <v>0</v>
      </c>
      <c r="K2756" s="89">
        <v>326</v>
      </c>
      <c r="L2756" s="7">
        <v>326</v>
      </c>
      <c r="M2756" s="10">
        <f t="shared" si="163"/>
        <v>60.773006134969329</v>
      </c>
    </row>
    <row r="2757" spans="1:19" ht="15" hidden="1" customHeight="1" x14ac:dyDescent="0.3">
      <c r="A2757" s="9">
        <v>5445</v>
      </c>
      <c r="B2757" t="s">
        <v>552</v>
      </c>
      <c r="C2757" s="25">
        <v>44716</v>
      </c>
      <c r="D2757" s="26">
        <v>0.72436342592592595</v>
      </c>
      <c r="E2757" t="s">
        <v>29</v>
      </c>
      <c r="F2757" t="s">
        <v>638</v>
      </c>
      <c r="G2757" t="s">
        <v>263</v>
      </c>
      <c r="H2757" t="s">
        <v>184</v>
      </c>
      <c r="I2757">
        <v>200</v>
      </c>
      <c r="J2757" s="37">
        <v>0</v>
      </c>
      <c r="K2757" s="89">
        <v>855</v>
      </c>
      <c r="L2757" s="7">
        <v>855</v>
      </c>
      <c r="M2757" s="10">
        <f t="shared" si="163"/>
        <v>23.391812865497073</v>
      </c>
    </row>
    <row r="2758" spans="1:19" ht="15" hidden="1" customHeight="1" x14ac:dyDescent="0.3">
      <c r="A2758" s="9">
        <v>5644</v>
      </c>
      <c r="B2758" t="s">
        <v>552</v>
      </c>
      <c r="C2758" s="25">
        <v>44720</v>
      </c>
      <c r="D2758" s="26">
        <v>0.52601851851851855</v>
      </c>
      <c r="E2758" t="s">
        <v>29</v>
      </c>
      <c r="F2758" t="s">
        <v>673</v>
      </c>
      <c r="G2758" t="s">
        <v>172</v>
      </c>
      <c r="H2758" t="s">
        <v>184</v>
      </c>
      <c r="I2758">
        <v>241.94</v>
      </c>
      <c r="J2758" s="37">
        <v>0</v>
      </c>
      <c r="K2758" s="89">
        <v>855</v>
      </c>
      <c r="L2758" s="7">
        <v>93</v>
      </c>
      <c r="M2758" s="10">
        <f t="shared" si="163"/>
        <v>28.297076023391813</v>
      </c>
    </row>
    <row r="2759" spans="1:19" ht="15" hidden="1" customHeight="1" x14ac:dyDescent="0.3">
      <c r="A2759" s="9">
        <v>5709</v>
      </c>
      <c r="B2759" t="s">
        <v>552</v>
      </c>
      <c r="C2759" s="25">
        <v>44721</v>
      </c>
      <c r="D2759" s="26">
        <v>0.66255787037037039</v>
      </c>
      <c r="E2759" t="s">
        <v>29</v>
      </c>
      <c r="F2759" t="s">
        <v>634</v>
      </c>
      <c r="G2759" t="s">
        <v>211</v>
      </c>
      <c r="H2759" t="s">
        <v>184</v>
      </c>
      <c r="I2759">
        <v>407.65</v>
      </c>
      <c r="J2759" s="33">
        <v>0</v>
      </c>
      <c r="K2759" s="89">
        <v>826</v>
      </c>
      <c r="L2759" s="34">
        <v>826</v>
      </c>
      <c r="M2759" s="10">
        <f t="shared" si="163"/>
        <v>49.352300242130745</v>
      </c>
    </row>
    <row r="2760" spans="1:19" ht="15" hidden="1" customHeight="1" x14ac:dyDescent="0.3">
      <c r="A2760" s="9">
        <v>5755</v>
      </c>
      <c r="B2760" t="s">
        <v>552</v>
      </c>
      <c r="C2760" s="25">
        <v>44722</v>
      </c>
      <c r="D2760" s="26">
        <v>0.59373842592592596</v>
      </c>
      <c r="E2760" t="s">
        <v>29</v>
      </c>
      <c r="F2760" t="s">
        <v>645</v>
      </c>
      <c r="G2760" t="s">
        <v>279</v>
      </c>
      <c r="H2760" t="s">
        <v>184</v>
      </c>
      <c r="I2760">
        <v>100.6</v>
      </c>
      <c r="J2760" s="38">
        <v>0</v>
      </c>
      <c r="K2760" s="89">
        <v>557</v>
      </c>
      <c r="L2760" s="7">
        <v>557</v>
      </c>
      <c r="M2760" s="10">
        <f t="shared" si="163"/>
        <v>18.061041292639139</v>
      </c>
    </row>
    <row r="2761" spans="1:19" ht="15" hidden="1" customHeight="1" x14ac:dyDescent="0.3">
      <c r="A2761" s="9">
        <v>5756</v>
      </c>
      <c r="B2761" t="s">
        <v>552</v>
      </c>
      <c r="C2761" s="25">
        <v>44722</v>
      </c>
      <c r="D2761" s="26">
        <v>0.81687500000000002</v>
      </c>
      <c r="E2761" t="s">
        <v>29</v>
      </c>
      <c r="F2761" t="s">
        <v>634</v>
      </c>
      <c r="G2761" t="s">
        <v>211</v>
      </c>
      <c r="H2761" t="s">
        <v>184</v>
      </c>
      <c r="I2761">
        <v>362.6</v>
      </c>
      <c r="J2761" s="32">
        <v>0</v>
      </c>
      <c r="K2761" s="89">
        <v>350</v>
      </c>
      <c r="L2761" s="34">
        <v>350</v>
      </c>
      <c r="M2761" s="10">
        <f t="shared" si="163"/>
        <v>103.60000000000001</v>
      </c>
    </row>
    <row r="2762" spans="1:19" ht="15" hidden="1" customHeight="1" x14ac:dyDescent="0.3">
      <c r="A2762" s="9">
        <v>5891</v>
      </c>
      <c r="B2762" t="s">
        <v>552</v>
      </c>
      <c r="C2762" s="25">
        <v>44724</v>
      </c>
      <c r="D2762" s="26">
        <v>0.40121527777777777</v>
      </c>
      <c r="E2762" t="s">
        <v>29</v>
      </c>
      <c r="F2762" t="s">
        <v>651</v>
      </c>
      <c r="G2762" t="s">
        <v>172</v>
      </c>
      <c r="H2762" t="s">
        <v>115</v>
      </c>
      <c r="I2762">
        <v>289.93</v>
      </c>
      <c r="J2762" s="37">
        <v>0</v>
      </c>
      <c r="K2762" s="89">
        <f>+L2762-J2968</f>
        <v>636</v>
      </c>
      <c r="L2762" s="7">
        <v>636</v>
      </c>
      <c r="M2762" s="10">
        <f t="shared" si="163"/>
        <v>45.586477987421389</v>
      </c>
    </row>
    <row r="2763" spans="1:19" ht="15" hidden="1" customHeight="1" x14ac:dyDescent="0.3">
      <c r="A2763" s="9">
        <v>5952</v>
      </c>
      <c r="B2763" t="s">
        <v>552</v>
      </c>
      <c r="C2763" s="25">
        <v>44725</v>
      </c>
      <c r="D2763" s="26">
        <v>0.37346064814814817</v>
      </c>
      <c r="E2763" t="s">
        <v>29</v>
      </c>
      <c r="F2763" t="s">
        <v>634</v>
      </c>
      <c r="G2763" t="s">
        <v>211</v>
      </c>
      <c r="H2763" t="s">
        <v>115</v>
      </c>
      <c r="I2763" s="148">
        <v>340.57</v>
      </c>
      <c r="J2763" s="37">
        <v>0</v>
      </c>
      <c r="K2763" s="89">
        <v>696</v>
      </c>
      <c r="L2763" s="7">
        <v>696</v>
      </c>
      <c r="M2763" s="10">
        <f t="shared" si="163"/>
        <v>48.93247126436782</v>
      </c>
      <c r="N2763" s="2"/>
      <c r="O2763" s="2"/>
      <c r="P2763" s="2"/>
      <c r="Q2763" s="2"/>
      <c r="R2763" s="2"/>
      <c r="S2763" s="2"/>
    </row>
    <row r="2764" spans="1:19" ht="15" hidden="1" customHeight="1" x14ac:dyDescent="0.3">
      <c r="A2764" s="9">
        <v>6007</v>
      </c>
      <c r="B2764" t="s">
        <v>552</v>
      </c>
      <c r="C2764" s="25">
        <v>44726</v>
      </c>
      <c r="D2764" s="26">
        <v>1.8148148148148146E-2</v>
      </c>
      <c r="E2764" t="s">
        <v>29</v>
      </c>
      <c r="F2764" t="s">
        <v>634</v>
      </c>
      <c r="G2764" t="s">
        <v>211</v>
      </c>
      <c r="H2764" t="s">
        <v>115</v>
      </c>
      <c r="I2764" s="148">
        <v>375.36</v>
      </c>
      <c r="J2764" s="37">
        <v>0</v>
      </c>
      <c r="K2764" s="89">
        <v>910</v>
      </c>
      <c r="L2764" s="7">
        <v>910</v>
      </c>
      <c r="M2764" s="10">
        <f t="shared" si="163"/>
        <v>41.248351648351651</v>
      </c>
    </row>
    <row r="2765" spans="1:19" ht="15" hidden="1" customHeight="1" x14ac:dyDescent="0.3">
      <c r="A2765" s="9">
        <v>6096</v>
      </c>
      <c r="B2765" t="s">
        <v>552</v>
      </c>
      <c r="C2765" s="25">
        <v>44728</v>
      </c>
      <c r="D2765" s="26">
        <v>0.35930555555555554</v>
      </c>
      <c r="E2765" t="s">
        <v>29</v>
      </c>
      <c r="F2765" t="s">
        <v>639</v>
      </c>
      <c r="G2765" t="s">
        <v>44</v>
      </c>
      <c r="H2765" t="s">
        <v>209</v>
      </c>
      <c r="I2765">
        <v>283</v>
      </c>
      <c r="J2765" s="32">
        <v>0</v>
      </c>
      <c r="K2765" s="89">
        <v>1180</v>
      </c>
      <c r="L2765" s="7">
        <v>1180</v>
      </c>
      <c r="M2765" s="10">
        <f t="shared" si="163"/>
        <v>23.983050847457626</v>
      </c>
    </row>
    <row r="2766" spans="1:19" ht="15" hidden="1" customHeight="1" x14ac:dyDescent="0.3">
      <c r="A2766" s="9">
        <v>6097</v>
      </c>
      <c r="B2766" t="s">
        <v>552</v>
      </c>
      <c r="C2766" s="25">
        <v>44728</v>
      </c>
      <c r="D2766" s="26">
        <v>0.88896990740740733</v>
      </c>
      <c r="E2766" t="s">
        <v>29</v>
      </c>
      <c r="F2766" t="s">
        <v>634</v>
      </c>
      <c r="G2766" t="s">
        <v>211</v>
      </c>
      <c r="H2766" t="s">
        <v>209</v>
      </c>
      <c r="I2766">
        <v>511</v>
      </c>
      <c r="J2766" s="32">
        <v>0</v>
      </c>
      <c r="K2766" s="89">
        <v>587</v>
      </c>
      <c r="L2766" s="34">
        <v>587</v>
      </c>
      <c r="M2766" s="10">
        <f t="shared" si="163"/>
        <v>87.052810902896084</v>
      </c>
    </row>
    <row r="2767" spans="1:19" ht="15" hidden="1" customHeight="1" x14ac:dyDescent="0.3">
      <c r="A2767" s="9">
        <v>6292</v>
      </c>
      <c r="B2767" t="s">
        <v>552</v>
      </c>
      <c r="C2767" s="25">
        <v>44733</v>
      </c>
      <c r="D2767" s="26">
        <v>0.25839120370370372</v>
      </c>
      <c r="E2767" t="s">
        <v>29</v>
      </c>
      <c r="F2767" t="s">
        <v>634</v>
      </c>
      <c r="G2767" t="s">
        <v>211</v>
      </c>
      <c r="H2767" t="s">
        <v>209</v>
      </c>
      <c r="I2767" s="148">
        <v>613.21</v>
      </c>
      <c r="J2767" s="32">
        <v>0</v>
      </c>
      <c r="K2767" s="89">
        <v>1142</v>
      </c>
      <c r="L2767" s="7">
        <v>1142</v>
      </c>
      <c r="M2767" s="10">
        <f t="shared" si="163"/>
        <v>53.696147110332745</v>
      </c>
    </row>
    <row r="2768" spans="1:19" ht="15" hidden="1" customHeight="1" x14ac:dyDescent="0.3">
      <c r="A2768" s="9">
        <v>6329</v>
      </c>
      <c r="B2768" t="s">
        <v>552</v>
      </c>
      <c r="C2768" s="25">
        <v>44734</v>
      </c>
      <c r="D2768" s="26">
        <v>0.46112268518518523</v>
      </c>
      <c r="E2768" t="s">
        <v>29</v>
      </c>
      <c r="F2768" t="s">
        <v>638</v>
      </c>
      <c r="G2768" t="s">
        <v>263</v>
      </c>
      <c r="H2768" t="s">
        <v>209</v>
      </c>
      <c r="I2768" s="148">
        <v>200</v>
      </c>
      <c r="J2768" s="32">
        <v>0</v>
      </c>
      <c r="K2768" s="89">
        <v>778</v>
      </c>
      <c r="L2768" s="7">
        <v>778</v>
      </c>
      <c r="M2768" s="10">
        <f t="shared" si="163"/>
        <v>25.70694087403599</v>
      </c>
    </row>
    <row r="2769" spans="1:13" ht="15" hidden="1" customHeight="1" x14ac:dyDescent="0.3">
      <c r="A2769" s="9">
        <v>6330</v>
      </c>
      <c r="B2769" t="s">
        <v>552</v>
      </c>
      <c r="C2769" s="25">
        <v>44734</v>
      </c>
      <c r="D2769" s="26">
        <v>0.59475694444444438</v>
      </c>
      <c r="E2769" t="s">
        <v>29</v>
      </c>
      <c r="F2769" t="s">
        <v>679</v>
      </c>
      <c r="G2769" t="s">
        <v>392</v>
      </c>
      <c r="H2769" t="s">
        <v>209</v>
      </c>
      <c r="I2769" s="148">
        <v>247.23</v>
      </c>
      <c r="J2769" s="32">
        <v>0</v>
      </c>
      <c r="K2769" s="89">
        <v>111</v>
      </c>
      <c r="L2769" s="7">
        <v>111</v>
      </c>
      <c r="M2769" s="10">
        <f t="shared" si="163"/>
        <v>222.72972972972971</v>
      </c>
    </row>
    <row r="2770" spans="1:13" ht="15" hidden="1" customHeight="1" x14ac:dyDescent="0.3">
      <c r="A2770" s="9">
        <v>6540</v>
      </c>
      <c r="B2770" t="s">
        <v>552</v>
      </c>
      <c r="C2770" s="25">
        <v>44738</v>
      </c>
      <c r="D2770" s="26">
        <v>0.65611111111111109</v>
      </c>
      <c r="E2770" t="s">
        <v>29</v>
      </c>
      <c r="F2770" t="s">
        <v>634</v>
      </c>
      <c r="G2770" t="s">
        <v>211</v>
      </c>
      <c r="H2770" t="s">
        <v>209</v>
      </c>
      <c r="I2770" s="148">
        <v>440.5</v>
      </c>
      <c r="J2770" s="37">
        <v>0</v>
      </c>
      <c r="K2770" s="89">
        <v>851</v>
      </c>
      <c r="L2770" s="34">
        <v>851</v>
      </c>
      <c r="M2770" s="10">
        <f t="shared" si="163"/>
        <v>51.762632197414803</v>
      </c>
    </row>
    <row r="2771" spans="1:13" ht="15" hidden="1" customHeight="1" x14ac:dyDescent="0.3">
      <c r="A2771" s="9">
        <v>6650</v>
      </c>
      <c r="B2771" t="s">
        <v>552</v>
      </c>
      <c r="C2771" s="25">
        <v>44740</v>
      </c>
      <c r="D2771" s="26">
        <v>0.48556712962962961</v>
      </c>
      <c r="E2771" t="s">
        <v>29</v>
      </c>
      <c r="F2771" t="s">
        <v>645</v>
      </c>
      <c r="G2771" t="s">
        <v>279</v>
      </c>
      <c r="H2771" t="s">
        <v>209</v>
      </c>
      <c r="I2771" s="148">
        <v>200</v>
      </c>
      <c r="J2771" s="37">
        <v>0</v>
      </c>
      <c r="K2771" s="89">
        <v>728</v>
      </c>
      <c r="L2771" s="7">
        <v>728</v>
      </c>
      <c r="M2771" s="10">
        <f t="shared" si="163"/>
        <v>27.472527472527474</v>
      </c>
    </row>
    <row r="2772" spans="1:13" ht="15" hidden="1" customHeight="1" x14ac:dyDescent="0.3">
      <c r="A2772" s="9">
        <v>6651</v>
      </c>
      <c r="B2772" t="s">
        <v>552</v>
      </c>
      <c r="C2772" s="25">
        <v>44740</v>
      </c>
      <c r="D2772" s="26">
        <v>0.75202546296296291</v>
      </c>
      <c r="E2772" t="s">
        <v>29</v>
      </c>
      <c r="F2772" t="s">
        <v>634</v>
      </c>
      <c r="G2772" t="s">
        <v>211</v>
      </c>
      <c r="H2772" t="s">
        <v>209</v>
      </c>
      <c r="I2772" s="148">
        <v>330</v>
      </c>
      <c r="J2772" s="32">
        <v>0</v>
      </c>
      <c r="K2772" s="89">
        <v>350</v>
      </c>
      <c r="L2772" s="34">
        <v>350</v>
      </c>
      <c r="M2772" s="10">
        <f t="shared" si="163"/>
        <v>94.285714285714278</v>
      </c>
    </row>
    <row r="2773" spans="1:13" ht="15" hidden="1" customHeight="1" x14ac:dyDescent="0.3">
      <c r="A2773" s="9">
        <v>6751</v>
      </c>
      <c r="B2773" t="s">
        <v>552</v>
      </c>
      <c r="C2773" s="25">
        <v>44742</v>
      </c>
      <c r="D2773" s="26">
        <v>0.97710648148148149</v>
      </c>
      <c r="E2773" t="s">
        <v>29</v>
      </c>
      <c r="F2773" t="s">
        <v>210</v>
      </c>
      <c r="G2773" t="s">
        <v>211</v>
      </c>
      <c r="H2773" t="s">
        <v>209</v>
      </c>
      <c r="I2773" s="148">
        <v>369.63</v>
      </c>
      <c r="J2773" s="45"/>
      <c r="K2773" s="56">
        <v>578114</v>
      </c>
      <c r="L2773" s="54">
        <f>+K2773-J2773</f>
        <v>578114</v>
      </c>
      <c r="M2773" s="131">
        <f>I2773/L2773*100</f>
        <v>6.3937216535147057E-2</v>
      </c>
    </row>
    <row r="2774" spans="1:13" ht="15" hidden="1" customHeight="1" x14ac:dyDescent="0.3">
      <c r="B2774" t="s">
        <v>179</v>
      </c>
      <c r="C2774" s="25">
        <v>44767</v>
      </c>
      <c r="D2774" s="26">
        <v>0.94568287037037047</v>
      </c>
      <c r="E2774" t="s">
        <v>30</v>
      </c>
      <c r="F2774" t="s">
        <v>210</v>
      </c>
      <c r="G2774" t="s">
        <v>211</v>
      </c>
      <c r="H2774" t="s">
        <v>180</v>
      </c>
      <c r="I2774" s="160">
        <v>200.02</v>
      </c>
      <c r="J2774" s="160">
        <f>200+240</f>
        <v>440</v>
      </c>
      <c r="K2774" s="160">
        <v>787284</v>
      </c>
      <c r="L2774" s="173">
        <v>1157</v>
      </c>
      <c r="M2774" s="150">
        <f>+J2774/L2774*100</f>
        <v>38.029386343993089</v>
      </c>
    </row>
    <row r="2775" spans="1:13" ht="15" hidden="1" customHeight="1" x14ac:dyDescent="0.3">
      <c r="B2775" t="s">
        <v>179</v>
      </c>
      <c r="C2775" s="25">
        <v>44769</v>
      </c>
      <c r="D2775" s="26">
        <v>0.77508101851851852</v>
      </c>
      <c r="E2775" t="s">
        <v>30</v>
      </c>
      <c r="F2775" t="s">
        <v>428</v>
      </c>
      <c r="G2775" t="s">
        <v>429</v>
      </c>
      <c r="H2775" t="s">
        <v>180</v>
      </c>
      <c r="I2775" s="160">
        <v>100.07</v>
      </c>
      <c r="J2775" s="8"/>
      <c r="K2775" s="8"/>
      <c r="L2775" s="8"/>
      <c r="M2775" s="254"/>
    </row>
    <row r="2776" spans="1:13" ht="15" hidden="1" customHeight="1" x14ac:dyDescent="0.3">
      <c r="B2776" t="s">
        <v>179</v>
      </c>
      <c r="C2776" s="25">
        <v>44770</v>
      </c>
      <c r="D2776" s="26">
        <v>0.36186342592592591</v>
      </c>
      <c r="E2776" t="s">
        <v>30</v>
      </c>
      <c r="F2776" t="s">
        <v>428</v>
      </c>
      <c r="G2776" t="s">
        <v>429</v>
      </c>
      <c r="H2776" t="s">
        <v>180</v>
      </c>
      <c r="I2776" s="160">
        <v>100.08</v>
      </c>
      <c r="J2776" s="8"/>
      <c r="K2776" s="8"/>
      <c r="L2776" s="8"/>
      <c r="M2776" s="254"/>
    </row>
    <row r="2777" spans="1:13" ht="15" hidden="1" customHeight="1" x14ac:dyDescent="0.3">
      <c r="B2777" t="s">
        <v>183</v>
      </c>
      <c r="C2777" s="25">
        <v>44743</v>
      </c>
      <c r="D2777" s="26">
        <v>0.6789236111111111</v>
      </c>
      <c r="E2777" t="s">
        <v>30</v>
      </c>
      <c r="F2777" t="s">
        <v>210</v>
      </c>
      <c r="G2777" t="s">
        <v>211</v>
      </c>
      <c r="H2777" t="s">
        <v>184</v>
      </c>
      <c r="I2777" s="173">
        <v>320.94</v>
      </c>
      <c r="J2777" s="8"/>
      <c r="K2777" s="8">
        <v>765723</v>
      </c>
      <c r="L2777" s="8">
        <f>+K2777-J2777</f>
        <v>765723</v>
      </c>
      <c r="M2777" s="91">
        <f>I2777/L2777*100</f>
        <v>4.1913328971442676E-2</v>
      </c>
    </row>
    <row r="2778" spans="1:13" ht="15" hidden="1" customHeight="1" x14ac:dyDescent="0.3">
      <c r="B2778" t="s">
        <v>183</v>
      </c>
      <c r="C2778" s="25">
        <v>44744</v>
      </c>
      <c r="D2778" s="26">
        <v>0.35254629629629625</v>
      </c>
      <c r="E2778" t="s">
        <v>30</v>
      </c>
      <c r="F2778" t="s">
        <v>499</v>
      </c>
      <c r="G2778" t="s">
        <v>500</v>
      </c>
      <c r="H2778" t="s">
        <v>184</v>
      </c>
      <c r="I2778" s="173">
        <v>150</v>
      </c>
      <c r="J2778" s="8"/>
      <c r="K2778" s="8">
        <v>766444</v>
      </c>
      <c r="L2778" s="8">
        <f>+K2778-J2778</f>
        <v>766444</v>
      </c>
      <c r="M2778" s="91">
        <f>I2778/L2778*100</f>
        <v>1.9570901461815868E-2</v>
      </c>
    </row>
    <row r="2779" spans="1:13" ht="15" hidden="1" customHeight="1" x14ac:dyDescent="0.3">
      <c r="A2779" s="9">
        <v>6621</v>
      </c>
      <c r="B2779" t="s">
        <v>349</v>
      </c>
      <c r="C2779" s="25">
        <v>44739</v>
      </c>
      <c r="D2779" s="26">
        <v>0.6074074074074074</v>
      </c>
      <c r="E2779" t="s">
        <v>29</v>
      </c>
      <c r="F2779" t="s">
        <v>693</v>
      </c>
      <c r="G2779" t="s">
        <v>277</v>
      </c>
      <c r="H2779" t="s">
        <v>122</v>
      </c>
      <c r="I2779" s="148">
        <v>291.08</v>
      </c>
      <c r="J2779" s="193">
        <f>291+441+140+260+128</f>
        <v>1260</v>
      </c>
      <c r="K2779" s="264">
        <v>793</v>
      </c>
      <c r="L2779" s="203">
        <v>3071</v>
      </c>
      <c r="M2779" s="243">
        <f>+J2779/L2779*100</f>
        <v>41.028980788016931</v>
      </c>
    </row>
    <row r="2780" spans="1:13" ht="15" hidden="1" customHeight="1" x14ac:dyDescent="0.3">
      <c r="A2780" s="9">
        <v>6833</v>
      </c>
      <c r="B2780" t="s">
        <v>183</v>
      </c>
      <c r="C2780" s="25">
        <v>44744</v>
      </c>
      <c r="D2780" s="26">
        <v>0.86012731481481486</v>
      </c>
      <c r="E2780" t="s">
        <v>30</v>
      </c>
      <c r="F2780" t="s">
        <v>197</v>
      </c>
      <c r="G2780" t="s">
        <v>44</v>
      </c>
      <c r="H2780" t="s">
        <v>184</v>
      </c>
      <c r="I2780" s="173">
        <v>134.77000000000001</v>
      </c>
      <c r="J2780" s="8"/>
      <c r="K2780" s="8">
        <v>766899</v>
      </c>
      <c r="L2780" s="8">
        <f>+K2780-J2780</f>
        <v>766899</v>
      </c>
      <c r="M2780" s="91">
        <f>I2780/L2780*100</f>
        <v>1.7573370156956786E-2</v>
      </c>
    </row>
    <row r="2781" spans="1:13" ht="15" hidden="1" customHeight="1" x14ac:dyDescent="0.3">
      <c r="B2781" t="s">
        <v>183</v>
      </c>
      <c r="C2781" s="25">
        <v>44745</v>
      </c>
      <c r="D2781" s="26">
        <v>0.60409722222222217</v>
      </c>
      <c r="E2781" t="s">
        <v>30</v>
      </c>
      <c r="F2781" t="s">
        <v>210</v>
      </c>
      <c r="G2781" t="s">
        <v>211</v>
      </c>
      <c r="H2781" t="s">
        <v>184</v>
      </c>
      <c r="I2781" s="173">
        <v>403.47</v>
      </c>
      <c r="J2781" s="8"/>
      <c r="K2781" s="8">
        <v>767504</v>
      </c>
      <c r="L2781" s="8">
        <f>+K2781-J2781</f>
        <v>767504</v>
      </c>
      <c r="M2781" s="91">
        <f>I2781/L2781*100</f>
        <v>5.2569107131689219E-2</v>
      </c>
    </row>
    <row r="2782" spans="1:13" ht="15" hidden="1" customHeight="1" x14ac:dyDescent="0.3">
      <c r="B2782" t="s">
        <v>183</v>
      </c>
      <c r="C2782" s="25">
        <v>44746</v>
      </c>
      <c r="D2782" s="26">
        <v>0.47249999999999998</v>
      </c>
      <c r="E2782" t="s">
        <v>30</v>
      </c>
      <c r="F2782" t="s">
        <v>210</v>
      </c>
      <c r="G2782" t="s">
        <v>211</v>
      </c>
      <c r="H2782" t="s">
        <v>184</v>
      </c>
      <c r="I2782" s="173">
        <v>339.95</v>
      </c>
      <c r="J2782" s="160">
        <f>321+150+135+404+340</f>
        <v>1350</v>
      </c>
      <c r="K2782" s="160">
        <v>768439</v>
      </c>
      <c r="L2782" s="160">
        <v>3552</v>
      </c>
      <c r="M2782" s="149">
        <f>+J2782/L2782*100</f>
        <v>38.006756756756758</v>
      </c>
    </row>
    <row r="2783" spans="1:13" ht="15" hidden="1" customHeight="1" x14ac:dyDescent="0.3">
      <c r="A2783" s="9">
        <v>6835</v>
      </c>
      <c r="B2783" t="s">
        <v>183</v>
      </c>
      <c r="C2783" s="25">
        <v>44747</v>
      </c>
      <c r="D2783" s="26">
        <v>0.27402777777777776</v>
      </c>
      <c r="E2783" t="s">
        <v>30</v>
      </c>
      <c r="F2783" t="s">
        <v>169</v>
      </c>
      <c r="G2783" t="s">
        <v>196</v>
      </c>
      <c r="H2783" t="s">
        <v>184</v>
      </c>
      <c r="I2783" s="173">
        <v>166.26</v>
      </c>
      <c r="J2783" s="8"/>
      <c r="K2783" s="8">
        <v>768934</v>
      </c>
      <c r="L2783" s="8">
        <f>+K2783-J2783</f>
        <v>768934</v>
      </c>
      <c r="M2783" s="91">
        <f>I2783/L2783*100</f>
        <v>2.1622141822315047E-2</v>
      </c>
    </row>
    <row r="2784" spans="1:13" ht="15" hidden="1" customHeight="1" x14ac:dyDescent="0.3">
      <c r="B2784" t="s">
        <v>183</v>
      </c>
      <c r="C2784" s="25">
        <v>44754</v>
      </c>
      <c r="D2784" s="26">
        <v>0.76927083333333324</v>
      </c>
      <c r="E2784" t="s">
        <v>30</v>
      </c>
      <c r="F2784" t="s">
        <v>197</v>
      </c>
      <c r="G2784" t="s">
        <v>44</v>
      </c>
      <c r="H2784" t="s">
        <v>184</v>
      </c>
      <c r="I2784" s="173" t="s">
        <v>790</v>
      </c>
      <c r="J2784" s="23"/>
      <c r="K2784" s="90"/>
      <c r="L2784" s="185"/>
      <c r="M2784" s="254"/>
    </row>
    <row r="2785" spans="2:13" ht="15" hidden="1" customHeight="1" x14ac:dyDescent="0.3">
      <c r="B2785" t="s">
        <v>349</v>
      </c>
      <c r="C2785" s="25">
        <v>44563</v>
      </c>
      <c r="D2785" s="26">
        <v>0.53118055555555554</v>
      </c>
      <c r="E2785" t="s">
        <v>24</v>
      </c>
      <c r="F2785" t="s">
        <v>210</v>
      </c>
      <c r="G2785" t="s">
        <v>211</v>
      </c>
      <c r="H2785" t="s">
        <v>216</v>
      </c>
      <c r="I2785">
        <v>313.26</v>
      </c>
      <c r="J2785" s="34">
        <v>0</v>
      </c>
      <c r="K2785" s="30">
        <f t="shared" ref="K2785:K2816" si="164">+L2785-J2785</f>
        <v>766.35</v>
      </c>
      <c r="L2785" s="51">
        <v>766.35</v>
      </c>
      <c r="M2785" s="61">
        <f t="shared" ref="M2785:M2816" si="165">I2785/K2785*100</f>
        <v>40.876883930319039</v>
      </c>
    </row>
    <row r="2786" spans="2:13" ht="15" hidden="1" customHeight="1" x14ac:dyDescent="0.3">
      <c r="B2786" t="s">
        <v>349</v>
      </c>
      <c r="C2786" s="25">
        <v>44564</v>
      </c>
      <c r="D2786" s="26">
        <v>3.8194444444444446E-4</v>
      </c>
      <c r="E2786" t="s">
        <v>24</v>
      </c>
      <c r="F2786" t="s">
        <v>165</v>
      </c>
      <c r="G2786" t="s">
        <v>185</v>
      </c>
      <c r="H2786" t="s">
        <v>216</v>
      </c>
      <c r="I2786">
        <v>285.02999999999997</v>
      </c>
      <c r="J2786" s="7">
        <v>0</v>
      </c>
      <c r="K2786" s="11">
        <f t="shared" si="164"/>
        <v>547.54999999999995</v>
      </c>
      <c r="L2786" s="7">
        <v>547.54999999999995</v>
      </c>
      <c r="M2786" s="10">
        <f t="shared" si="165"/>
        <v>52.055520043831613</v>
      </c>
    </row>
    <row r="2787" spans="2:13" ht="15" hidden="1" customHeight="1" x14ac:dyDescent="0.3">
      <c r="B2787" t="s">
        <v>349</v>
      </c>
      <c r="C2787" s="25">
        <v>44564</v>
      </c>
      <c r="D2787" s="26">
        <v>0.72304398148148152</v>
      </c>
      <c r="E2787" t="s">
        <v>24</v>
      </c>
      <c r="F2787" t="s">
        <v>340</v>
      </c>
      <c r="G2787" t="s">
        <v>337</v>
      </c>
      <c r="H2787" t="s">
        <v>216</v>
      </c>
      <c r="I2787">
        <v>242.03</v>
      </c>
      <c r="J2787" s="34">
        <v>0</v>
      </c>
      <c r="K2787" s="11">
        <f t="shared" si="164"/>
        <v>803.63</v>
      </c>
      <c r="L2787" s="34">
        <v>803.63</v>
      </c>
      <c r="M2787" s="10">
        <f t="shared" si="165"/>
        <v>30.117093687393453</v>
      </c>
    </row>
    <row r="2788" spans="2:13" ht="15" hidden="1" customHeight="1" x14ac:dyDescent="0.3">
      <c r="B2788" t="s">
        <v>349</v>
      </c>
      <c r="C2788" s="25">
        <v>44565</v>
      </c>
      <c r="D2788" s="26">
        <v>0.70281249999999995</v>
      </c>
      <c r="E2788" t="s">
        <v>24</v>
      </c>
      <c r="F2788" t="s">
        <v>165</v>
      </c>
      <c r="G2788" t="s">
        <v>185</v>
      </c>
      <c r="H2788" t="s">
        <v>216</v>
      </c>
      <c r="I2788">
        <v>348.21</v>
      </c>
      <c r="J2788" s="31">
        <v>0</v>
      </c>
      <c r="K2788" s="11">
        <f t="shared" si="164"/>
        <v>801.26</v>
      </c>
      <c r="L2788" s="7">
        <v>801.26</v>
      </c>
      <c r="M2788" s="10">
        <f t="shared" si="165"/>
        <v>43.457803958764949</v>
      </c>
    </row>
    <row r="2789" spans="2:13" ht="15" hidden="1" customHeight="1" x14ac:dyDescent="0.3">
      <c r="B2789" t="s">
        <v>349</v>
      </c>
      <c r="C2789" s="25">
        <v>44566</v>
      </c>
      <c r="D2789" s="26">
        <v>0.36200231481481482</v>
      </c>
      <c r="E2789" t="s">
        <v>24</v>
      </c>
      <c r="F2789" t="s">
        <v>210</v>
      </c>
      <c r="G2789" t="s">
        <v>211</v>
      </c>
      <c r="H2789" t="s">
        <v>216</v>
      </c>
      <c r="I2789">
        <v>132.06</v>
      </c>
      <c r="J2789" s="7">
        <v>0</v>
      </c>
      <c r="K2789" s="11">
        <f t="shared" si="164"/>
        <v>515.97</v>
      </c>
      <c r="L2789" s="7">
        <v>515.97</v>
      </c>
      <c r="M2789" s="10">
        <f t="shared" si="165"/>
        <v>25.594511308797024</v>
      </c>
    </row>
    <row r="2790" spans="2:13" ht="15" hidden="1" customHeight="1" x14ac:dyDescent="0.3">
      <c r="B2790" t="s">
        <v>349</v>
      </c>
      <c r="C2790" s="25">
        <v>44568</v>
      </c>
      <c r="D2790" s="26">
        <v>0.59288194444444442</v>
      </c>
      <c r="E2790" t="s">
        <v>24</v>
      </c>
      <c r="F2790" t="s">
        <v>175</v>
      </c>
      <c r="G2790" t="s">
        <v>172</v>
      </c>
      <c r="H2790" t="s">
        <v>115</v>
      </c>
      <c r="I2790">
        <v>184.23</v>
      </c>
      <c r="J2790" s="34">
        <v>0</v>
      </c>
      <c r="K2790" s="11">
        <f t="shared" si="164"/>
        <v>451.54</v>
      </c>
      <c r="L2790" s="34">
        <v>451.54</v>
      </c>
      <c r="M2790" s="10">
        <f t="shared" si="165"/>
        <v>40.800372060061122</v>
      </c>
    </row>
    <row r="2791" spans="2:13" ht="15" hidden="1" customHeight="1" x14ac:dyDescent="0.3">
      <c r="B2791" t="s">
        <v>349</v>
      </c>
      <c r="C2791" s="25">
        <v>44569</v>
      </c>
      <c r="D2791" s="26">
        <v>0.96268518518518509</v>
      </c>
      <c r="E2791" t="s">
        <v>24</v>
      </c>
      <c r="F2791" t="s">
        <v>210</v>
      </c>
      <c r="G2791" t="s">
        <v>211</v>
      </c>
      <c r="H2791" t="s">
        <v>115</v>
      </c>
      <c r="I2791">
        <v>339.06</v>
      </c>
      <c r="J2791" s="34">
        <v>0</v>
      </c>
      <c r="K2791" s="11">
        <f t="shared" si="164"/>
        <v>806.6</v>
      </c>
      <c r="L2791" s="7">
        <v>806.6</v>
      </c>
      <c r="M2791" s="10">
        <f t="shared" si="165"/>
        <v>42.035705430200842</v>
      </c>
    </row>
    <row r="2792" spans="2:13" ht="15" hidden="1" customHeight="1" x14ac:dyDescent="0.3">
      <c r="B2792" t="s">
        <v>349</v>
      </c>
      <c r="C2792" s="25">
        <v>44570</v>
      </c>
      <c r="D2792" s="26">
        <v>0.80026620370370372</v>
      </c>
      <c r="E2792" t="s">
        <v>24</v>
      </c>
      <c r="F2792" t="s">
        <v>278</v>
      </c>
      <c r="G2792" t="s">
        <v>279</v>
      </c>
      <c r="H2792" t="s">
        <v>115</v>
      </c>
      <c r="I2792">
        <v>288.89</v>
      </c>
      <c r="J2792" s="7">
        <v>0</v>
      </c>
      <c r="K2792" s="11">
        <f t="shared" si="164"/>
        <v>713.17</v>
      </c>
      <c r="L2792" s="34">
        <v>713.17</v>
      </c>
      <c r="M2792" s="10">
        <f t="shared" si="165"/>
        <v>40.507873298091617</v>
      </c>
    </row>
    <row r="2793" spans="2:13" ht="15" hidden="1" customHeight="1" x14ac:dyDescent="0.3">
      <c r="B2793" t="s">
        <v>349</v>
      </c>
      <c r="C2793" s="25">
        <v>44573</v>
      </c>
      <c r="D2793" s="26">
        <v>0.30084490740740738</v>
      </c>
      <c r="E2793" t="s">
        <v>24</v>
      </c>
      <c r="F2793" t="s">
        <v>278</v>
      </c>
      <c r="G2793" t="s">
        <v>279</v>
      </c>
      <c r="H2793" t="s">
        <v>115</v>
      </c>
      <c r="I2793">
        <v>439.89</v>
      </c>
      <c r="J2793" s="7">
        <v>0</v>
      </c>
      <c r="K2793" s="11">
        <f t="shared" si="164"/>
        <v>1264.8900000000001</v>
      </c>
      <c r="L2793" s="34">
        <v>1264.8900000000001</v>
      </c>
      <c r="M2793" s="10">
        <f t="shared" si="165"/>
        <v>34.776937124967382</v>
      </c>
    </row>
    <row r="2794" spans="2:13" ht="15" hidden="1" customHeight="1" x14ac:dyDescent="0.3">
      <c r="B2794" t="s">
        <v>349</v>
      </c>
      <c r="C2794" s="25">
        <v>44574</v>
      </c>
      <c r="D2794" s="26">
        <v>0.36306712962962967</v>
      </c>
      <c r="E2794" t="s">
        <v>24</v>
      </c>
      <c r="F2794" t="s">
        <v>210</v>
      </c>
      <c r="G2794" t="s">
        <v>211</v>
      </c>
      <c r="H2794" t="s">
        <v>115</v>
      </c>
      <c r="I2794">
        <v>235.72</v>
      </c>
      <c r="J2794" s="39">
        <v>0</v>
      </c>
      <c r="K2794" s="11">
        <f t="shared" si="164"/>
        <v>713.36</v>
      </c>
      <c r="L2794" s="7">
        <v>713.36</v>
      </c>
      <c r="M2794" s="10">
        <f t="shared" si="165"/>
        <v>33.043624537400468</v>
      </c>
    </row>
    <row r="2795" spans="2:13" ht="15" hidden="1" customHeight="1" x14ac:dyDescent="0.3">
      <c r="B2795" t="s">
        <v>349</v>
      </c>
      <c r="C2795" s="25">
        <v>44575</v>
      </c>
      <c r="D2795" s="26">
        <v>0.52645833333333336</v>
      </c>
      <c r="E2795" t="s">
        <v>24</v>
      </c>
      <c r="F2795" t="s">
        <v>175</v>
      </c>
      <c r="G2795" t="s">
        <v>172</v>
      </c>
      <c r="H2795" t="s">
        <v>115</v>
      </c>
      <c r="I2795">
        <v>338.43</v>
      </c>
      <c r="J2795" s="7">
        <v>0</v>
      </c>
      <c r="K2795" s="11">
        <f t="shared" si="164"/>
        <v>917.62</v>
      </c>
      <c r="L2795" s="35">
        <v>917.62</v>
      </c>
      <c r="M2795" s="10">
        <f t="shared" si="165"/>
        <v>36.881279832610446</v>
      </c>
    </row>
    <row r="2796" spans="2:13" ht="15" hidden="1" customHeight="1" x14ac:dyDescent="0.3">
      <c r="B2796" t="s">
        <v>349</v>
      </c>
      <c r="C2796" s="25">
        <v>44578</v>
      </c>
      <c r="D2796" s="26">
        <v>0.48894675925925929</v>
      </c>
      <c r="E2796" t="s">
        <v>24</v>
      </c>
      <c r="F2796" t="s">
        <v>210</v>
      </c>
      <c r="G2796" t="s">
        <v>211</v>
      </c>
      <c r="H2796" t="s">
        <v>122</v>
      </c>
      <c r="I2796">
        <v>394.33</v>
      </c>
      <c r="J2796" s="31">
        <v>0</v>
      </c>
      <c r="K2796" s="11">
        <f t="shared" si="164"/>
        <v>891.28</v>
      </c>
      <c r="L2796" s="7">
        <v>891.28</v>
      </c>
      <c r="M2796" s="10">
        <f t="shared" si="165"/>
        <v>44.243111031325732</v>
      </c>
    </row>
    <row r="2797" spans="2:13" ht="15" hidden="1" customHeight="1" x14ac:dyDescent="0.3">
      <c r="B2797" t="s">
        <v>349</v>
      </c>
      <c r="C2797" s="25">
        <v>44579</v>
      </c>
      <c r="D2797" s="26">
        <v>0.50792824074074072</v>
      </c>
      <c r="E2797" t="s">
        <v>24</v>
      </c>
      <c r="F2797" t="s">
        <v>166</v>
      </c>
      <c r="G2797" t="s">
        <v>161</v>
      </c>
      <c r="H2797" t="s">
        <v>122</v>
      </c>
      <c r="I2797">
        <v>476.49</v>
      </c>
      <c r="J2797" s="31">
        <v>0</v>
      </c>
      <c r="K2797" s="11">
        <f t="shared" si="164"/>
        <v>1158.5999999999999</v>
      </c>
      <c r="L2797" s="31">
        <v>1158.5999999999999</v>
      </c>
      <c r="M2797" s="10">
        <f t="shared" si="165"/>
        <v>41.126359399274989</v>
      </c>
    </row>
    <row r="2798" spans="2:13" ht="15" hidden="1" customHeight="1" x14ac:dyDescent="0.3">
      <c r="B2798" t="s">
        <v>349</v>
      </c>
      <c r="C2798" s="25">
        <v>44580</v>
      </c>
      <c r="D2798" s="26">
        <v>0.56484953703703711</v>
      </c>
      <c r="E2798" t="s">
        <v>24</v>
      </c>
      <c r="F2798" t="s">
        <v>391</v>
      </c>
      <c r="G2798" t="s">
        <v>392</v>
      </c>
      <c r="H2798" t="s">
        <v>122</v>
      </c>
      <c r="I2798">
        <v>360.29</v>
      </c>
      <c r="J2798" s="7">
        <v>0</v>
      </c>
      <c r="K2798" s="11">
        <f t="shared" si="164"/>
        <v>837.12</v>
      </c>
      <c r="L2798" s="7">
        <v>837.12</v>
      </c>
      <c r="M2798" s="10">
        <f t="shared" si="165"/>
        <v>43.039229740061167</v>
      </c>
    </row>
    <row r="2799" spans="2:13" ht="15" hidden="1" customHeight="1" x14ac:dyDescent="0.3">
      <c r="B2799" t="s">
        <v>349</v>
      </c>
      <c r="C2799" s="25">
        <v>44583</v>
      </c>
      <c r="D2799" s="26">
        <v>0.87425925925925929</v>
      </c>
      <c r="E2799" t="s">
        <v>24</v>
      </c>
      <c r="F2799" t="s">
        <v>210</v>
      </c>
      <c r="G2799" t="s">
        <v>211</v>
      </c>
      <c r="H2799" t="s">
        <v>122</v>
      </c>
      <c r="I2799">
        <v>363.85</v>
      </c>
      <c r="J2799" s="7">
        <v>0</v>
      </c>
      <c r="K2799" s="11">
        <f t="shared" si="164"/>
        <v>864.19</v>
      </c>
      <c r="L2799" s="7">
        <v>864.19</v>
      </c>
      <c r="M2799" s="10">
        <f t="shared" si="165"/>
        <v>42.103009754799295</v>
      </c>
    </row>
    <row r="2800" spans="2:13" ht="15" hidden="1" customHeight="1" x14ac:dyDescent="0.3">
      <c r="B2800" t="s">
        <v>349</v>
      </c>
      <c r="C2800" s="25">
        <v>44585</v>
      </c>
      <c r="D2800" s="26">
        <v>0.30856481481481485</v>
      </c>
      <c r="E2800" t="s">
        <v>24</v>
      </c>
      <c r="F2800" t="s">
        <v>210</v>
      </c>
      <c r="G2800" t="s">
        <v>211</v>
      </c>
      <c r="H2800" t="s">
        <v>122</v>
      </c>
      <c r="I2800">
        <v>399.38</v>
      </c>
      <c r="J2800" s="7">
        <v>0</v>
      </c>
      <c r="K2800" s="11">
        <f t="shared" si="164"/>
        <v>1063.1199999999999</v>
      </c>
      <c r="L2800" s="34">
        <v>1063.1199999999999</v>
      </c>
      <c r="M2800" s="10">
        <f t="shared" si="165"/>
        <v>37.566784558657538</v>
      </c>
    </row>
    <row r="2801" spans="1:13" ht="15" hidden="1" customHeight="1" x14ac:dyDescent="0.3">
      <c r="B2801" t="s">
        <v>349</v>
      </c>
      <c r="C2801" s="25">
        <v>44586</v>
      </c>
      <c r="D2801" s="26">
        <v>0.42041666666666666</v>
      </c>
      <c r="E2801" t="s">
        <v>24</v>
      </c>
      <c r="F2801" t="s">
        <v>175</v>
      </c>
      <c r="G2801" t="s">
        <v>172</v>
      </c>
      <c r="H2801" t="s">
        <v>122</v>
      </c>
      <c r="I2801">
        <v>324.52</v>
      </c>
      <c r="J2801" s="31">
        <v>0</v>
      </c>
      <c r="K2801" s="11">
        <f t="shared" si="164"/>
        <v>942.55</v>
      </c>
      <c r="L2801" s="7">
        <v>942.55</v>
      </c>
      <c r="M2801" s="10">
        <f t="shared" si="165"/>
        <v>34.430003713330862</v>
      </c>
    </row>
    <row r="2802" spans="1:13" ht="15" hidden="1" customHeight="1" x14ac:dyDescent="0.3">
      <c r="B2802" t="s">
        <v>349</v>
      </c>
      <c r="C2802" s="25">
        <v>44587</v>
      </c>
      <c r="D2802" s="26">
        <v>0.35749999999999998</v>
      </c>
      <c r="E2802" t="s">
        <v>24</v>
      </c>
      <c r="F2802" t="s">
        <v>210</v>
      </c>
      <c r="G2802" t="s">
        <v>211</v>
      </c>
      <c r="H2802" t="s">
        <v>122</v>
      </c>
      <c r="I2802">
        <v>337.86</v>
      </c>
      <c r="J2802" s="31">
        <v>0</v>
      </c>
      <c r="K2802" s="11">
        <f t="shared" si="164"/>
        <v>814.19</v>
      </c>
      <c r="L2802" s="7">
        <v>814.19</v>
      </c>
      <c r="M2802" s="10">
        <f t="shared" si="165"/>
        <v>41.496456601039064</v>
      </c>
    </row>
    <row r="2803" spans="1:13" ht="15" hidden="1" customHeight="1" x14ac:dyDescent="0.3">
      <c r="B2803" t="s">
        <v>349</v>
      </c>
      <c r="C2803" s="25">
        <v>44588</v>
      </c>
      <c r="D2803" s="26">
        <v>0.45193287037037039</v>
      </c>
      <c r="E2803" t="s">
        <v>24</v>
      </c>
      <c r="F2803" t="s">
        <v>210</v>
      </c>
      <c r="G2803" t="s">
        <v>211</v>
      </c>
      <c r="H2803" t="s">
        <v>122</v>
      </c>
      <c r="I2803">
        <v>423.9</v>
      </c>
      <c r="J2803" s="31">
        <v>0</v>
      </c>
      <c r="K2803" s="11">
        <f t="shared" si="164"/>
        <v>1194</v>
      </c>
      <c r="L2803" s="7">
        <v>1194</v>
      </c>
      <c r="M2803" s="10">
        <f t="shared" si="165"/>
        <v>35.502512562814069</v>
      </c>
    </row>
    <row r="2804" spans="1:13" ht="15" hidden="1" customHeight="1" x14ac:dyDescent="0.3">
      <c r="B2804" t="s">
        <v>349</v>
      </c>
      <c r="C2804" s="25">
        <v>44589</v>
      </c>
      <c r="D2804" s="26">
        <v>0.51424768518518515</v>
      </c>
      <c r="E2804" t="s">
        <v>24</v>
      </c>
      <c r="F2804" t="s">
        <v>175</v>
      </c>
      <c r="G2804" t="s">
        <v>172</v>
      </c>
      <c r="H2804" t="s">
        <v>122</v>
      </c>
      <c r="I2804">
        <v>353.48</v>
      </c>
      <c r="J2804" s="31">
        <v>0</v>
      </c>
      <c r="K2804" s="11">
        <f t="shared" si="164"/>
        <v>955.26</v>
      </c>
      <c r="L2804" s="34">
        <v>955.26</v>
      </c>
      <c r="M2804" s="10">
        <f t="shared" si="165"/>
        <v>37.003538303707892</v>
      </c>
    </row>
    <row r="2805" spans="1:13" ht="15" hidden="1" customHeight="1" x14ac:dyDescent="0.3">
      <c r="B2805" t="s">
        <v>349</v>
      </c>
      <c r="C2805" s="25">
        <v>44590</v>
      </c>
      <c r="D2805" s="26">
        <v>0.45870370370370367</v>
      </c>
      <c r="E2805" t="s">
        <v>24</v>
      </c>
      <c r="F2805" t="s">
        <v>210</v>
      </c>
      <c r="G2805" t="s">
        <v>211</v>
      </c>
      <c r="H2805" t="s">
        <v>122</v>
      </c>
      <c r="I2805">
        <v>339.8</v>
      </c>
      <c r="J2805" s="7">
        <v>0</v>
      </c>
      <c r="K2805" s="7">
        <f t="shared" si="164"/>
        <v>831.16</v>
      </c>
      <c r="L2805" s="7">
        <v>831.16</v>
      </c>
      <c r="M2805" s="10">
        <f t="shared" si="165"/>
        <v>40.882621877857453</v>
      </c>
    </row>
    <row r="2806" spans="1:13" ht="15" hidden="1" customHeight="1" x14ac:dyDescent="0.3">
      <c r="B2806" t="s">
        <v>349</v>
      </c>
      <c r="C2806" s="25">
        <v>44591</v>
      </c>
      <c r="D2806" s="26">
        <v>0.38400462962962961</v>
      </c>
      <c r="E2806" t="s">
        <v>24</v>
      </c>
      <c r="F2806" t="s">
        <v>165</v>
      </c>
      <c r="G2806" t="s">
        <v>185</v>
      </c>
      <c r="H2806" t="s">
        <v>122</v>
      </c>
      <c r="I2806">
        <v>254.47</v>
      </c>
      <c r="J2806" s="7">
        <v>0</v>
      </c>
      <c r="K2806" s="34">
        <f t="shared" si="164"/>
        <v>831.26</v>
      </c>
      <c r="L2806" s="34">
        <v>831.26</v>
      </c>
      <c r="M2806" s="10">
        <f t="shared" si="165"/>
        <v>30.612564059379739</v>
      </c>
    </row>
    <row r="2807" spans="1:13" ht="15" hidden="1" customHeight="1" x14ac:dyDescent="0.3">
      <c r="B2807" t="s">
        <v>349</v>
      </c>
      <c r="C2807" s="25">
        <v>44592</v>
      </c>
      <c r="D2807" s="26">
        <v>0.51593750000000005</v>
      </c>
      <c r="E2807" t="s">
        <v>24</v>
      </c>
      <c r="F2807" t="s">
        <v>340</v>
      </c>
      <c r="G2807" t="s">
        <v>337</v>
      </c>
      <c r="H2807" t="s">
        <v>122</v>
      </c>
      <c r="I2807">
        <v>238.95</v>
      </c>
      <c r="J2807" s="31">
        <v>0</v>
      </c>
      <c r="K2807" s="31">
        <f t="shared" si="164"/>
        <v>824.14</v>
      </c>
      <c r="L2807" s="31">
        <v>824.14</v>
      </c>
      <c r="M2807" s="10">
        <f t="shared" si="165"/>
        <v>28.993860266459581</v>
      </c>
    </row>
    <row r="2808" spans="1:13" ht="15" hidden="1" customHeight="1" x14ac:dyDescent="0.3">
      <c r="A2808" s="9">
        <v>1075</v>
      </c>
      <c r="B2808" t="s">
        <v>349</v>
      </c>
      <c r="C2808" s="25">
        <v>743</v>
      </c>
      <c r="D2808" s="26">
        <v>0.60644675925925928</v>
      </c>
      <c r="E2808" t="s">
        <v>25</v>
      </c>
      <c r="F2808" t="s">
        <v>205</v>
      </c>
      <c r="G2808" t="s">
        <v>206</v>
      </c>
      <c r="H2808" t="s">
        <v>122</v>
      </c>
      <c r="I2808">
        <v>341.89</v>
      </c>
      <c r="J2808" s="31">
        <v>0</v>
      </c>
      <c r="K2808" s="31">
        <f t="shared" si="164"/>
        <v>865.85</v>
      </c>
      <c r="L2808" s="7">
        <v>865.85</v>
      </c>
      <c r="M2808" s="10">
        <f t="shared" si="165"/>
        <v>39.486054166426058</v>
      </c>
    </row>
    <row r="2809" spans="1:13" ht="15" hidden="1" customHeight="1" x14ac:dyDescent="0.3">
      <c r="A2809" s="9">
        <v>1076</v>
      </c>
      <c r="B2809" t="s">
        <v>349</v>
      </c>
      <c r="C2809" s="25">
        <v>44593</v>
      </c>
      <c r="D2809" s="26">
        <v>0.61873842592592598</v>
      </c>
      <c r="E2809" t="s">
        <v>25</v>
      </c>
      <c r="F2809" t="s">
        <v>165</v>
      </c>
      <c r="G2809" t="s">
        <v>185</v>
      </c>
      <c r="H2809" t="s">
        <v>122</v>
      </c>
      <c r="I2809">
        <v>333.98</v>
      </c>
      <c r="J2809" s="31">
        <v>0</v>
      </c>
      <c r="K2809" s="7">
        <f t="shared" si="164"/>
        <v>802.74</v>
      </c>
      <c r="L2809" s="11">
        <v>802.74</v>
      </c>
      <c r="M2809" s="10">
        <f t="shared" si="165"/>
        <v>41.605002865186734</v>
      </c>
    </row>
    <row r="2810" spans="1:13" ht="15" hidden="1" customHeight="1" x14ac:dyDescent="0.3">
      <c r="A2810" s="9">
        <v>1077</v>
      </c>
      <c r="B2810" t="s">
        <v>349</v>
      </c>
      <c r="C2810" s="25">
        <v>44594</v>
      </c>
      <c r="D2810" s="26">
        <v>0.3958564814814815</v>
      </c>
      <c r="E2810" t="s">
        <v>25</v>
      </c>
      <c r="F2810" t="s">
        <v>210</v>
      </c>
      <c r="G2810" t="s">
        <v>211</v>
      </c>
      <c r="H2810" t="s">
        <v>122</v>
      </c>
      <c r="I2810">
        <v>150.05000000000001</v>
      </c>
      <c r="J2810" s="7">
        <v>0</v>
      </c>
      <c r="K2810" s="7">
        <f t="shared" si="164"/>
        <v>516.41</v>
      </c>
      <c r="L2810" s="30">
        <v>516.41</v>
      </c>
      <c r="M2810" s="10">
        <f t="shared" si="165"/>
        <v>29.056369938614669</v>
      </c>
    </row>
    <row r="2811" spans="1:13" ht="15" hidden="1" customHeight="1" x14ac:dyDescent="0.3">
      <c r="A2811" s="9">
        <v>1078</v>
      </c>
      <c r="B2811" t="s">
        <v>349</v>
      </c>
      <c r="C2811" s="25">
        <v>44595</v>
      </c>
      <c r="D2811" s="26">
        <v>0.51276620370370374</v>
      </c>
      <c r="E2811" t="s">
        <v>25</v>
      </c>
      <c r="F2811" t="s">
        <v>391</v>
      </c>
      <c r="G2811" t="s">
        <v>392</v>
      </c>
      <c r="H2811" t="s">
        <v>122</v>
      </c>
      <c r="I2811">
        <v>323.37</v>
      </c>
      <c r="J2811" s="34">
        <v>0</v>
      </c>
      <c r="K2811" s="7">
        <f t="shared" si="164"/>
        <v>913.78</v>
      </c>
      <c r="L2811" s="51">
        <v>913.78</v>
      </c>
      <c r="M2811" s="10">
        <f t="shared" si="165"/>
        <v>35.388167830331149</v>
      </c>
    </row>
    <row r="2812" spans="1:13" ht="15" hidden="1" customHeight="1" x14ac:dyDescent="0.3">
      <c r="A2812" s="9">
        <v>1079</v>
      </c>
      <c r="B2812" t="s">
        <v>349</v>
      </c>
      <c r="C2812" s="25">
        <v>44599</v>
      </c>
      <c r="D2812" s="26">
        <v>0.68598379629629624</v>
      </c>
      <c r="E2812" t="s">
        <v>25</v>
      </c>
      <c r="F2812" t="s">
        <v>210</v>
      </c>
      <c r="G2812" t="s">
        <v>211</v>
      </c>
      <c r="H2812" t="s">
        <v>122</v>
      </c>
      <c r="I2812">
        <v>388.57</v>
      </c>
      <c r="J2812" s="34">
        <v>0</v>
      </c>
      <c r="K2812" s="7">
        <f t="shared" si="164"/>
        <v>890.24</v>
      </c>
      <c r="L2812" s="11">
        <v>890.24</v>
      </c>
      <c r="M2812" s="10">
        <f t="shared" si="165"/>
        <v>43.647780373831772</v>
      </c>
    </row>
    <row r="2813" spans="1:13" ht="15" hidden="1" customHeight="1" x14ac:dyDescent="0.3">
      <c r="A2813" s="9">
        <v>1080</v>
      </c>
      <c r="B2813" t="s">
        <v>349</v>
      </c>
      <c r="C2813" s="25">
        <v>44600</v>
      </c>
      <c r="D2813" s="26">
        <v>0.54284722222222226</v>
      </c>
      <c r="E2813" t="s">
        <v>25</v>
      </c>
      <c r="F2813" t="s">
        <v>210</v>
      </c>
      <c r="G2813" t="s">
        <v>211</v>
      </c>
      <c r="H2813" t="s">
        <v>122</v>
      </c>
      <c r="I2813">
        <v>408.89</v>
      </c>
      <c r="J2813" s="34">
        <v>0</v>
      </c>
      <c r="K2813" s="7">
        <f t="shared" si="164"/>
        <v>1062.47</v>
      </c>
      <c r="L2813" s="11">
        <v>1062.47</v>
      </c>
      <c r="M2813" s="10">
        <f t="shared" si="165"/>
        <v>38.484851336978927</v>
      </c>
    </row>
    <row r="2814" spans="1:13" ht="15" hidden="1" customHeight="1" x14ac:dyDescent="0.3">
      <c r="A2814" s="9">
        <v>1081</v>
      </c>
      <c r="B2814" t="s">
        <v>349</v>
      </c>
      <c r="C2814" s="25">
        <v>44602</v>
      </c>
      <c r="D2814" s="26">
        <v>0.6353240740740741</v>
      </c>
      <c r="E2814" t="s">
        <v>25</v>
      </c>
      <c r="F2814" t="s">
        <v>210</v>
      </c>
      <c r="G2814" t="s">
        <v>211</v>
      </c>
      <c r="H2814" t="s">
        <v>122</v>
      </c>
      <c r="I2814">
        <v>326.47000000000003</v>
      </c>
      <c r="J2814" s="31">
        <v>0</v>
      </c>
      <c r="K2814" s="7">
        <f t="shared" si="164"/>
        <v>743.54</v>
      </c>
      <c r="L2814" s="11">
        <v>743.54</v>
      </c>
      <c r="M2814" s="10">
        <f t="shared" si="165"/>
        <v>43.907523468811362</v>
      </c>
    </row>
    <row r="2815" spans="1:13" ht="15" hidden="1" customHeight="1" x14ac:dyDescent="0.3">
      <c r="A2815" s="9">
        <v>1082</v>
      </c>
      <c r="B2815" t="s">
        <v>349</v>
      </c>
      <c r="C2815" s="25">
        <v>44603</v>
      </c>
      <c r="D2815" s="26">
        <v>0.43137731481481478</v>
      </c>
      <c r="E2815" t="s">
        <v>25</v>
      </c>
      <c r="F2815" t="s">
        <v>210</v>
      </c>
      <c r="G2815" t="s">
        <v>211</v>
      </c>
      <c r="H2815" t="s">
        <v>122</v>
      </c>
      <c r="I2815">
        <v>425.75</v>
      </c>
      <c r="J2815" s="31">
        <v>0</v>
      </c>
      <c r="K2815" s="11">
        <f t="shared" si="164"/>
        <v>1061.79</v>
      </c>
      <c r="L2815" s="11">
        <v>1061.79</v>
      </c>
      <c r="M2815" s="10">
        <f t="shared" si="165"/>
        <v>40.097382721630453</v>
      </c>
    </row>
    <row r="2816" spans="1:13" ht="15" hidden="1" customHeight="1" x14ac:dyDescent="0.3">
      <c r="A2816" s="9">
        <v>1083</v>
      </c>
      <c r="B2816" t="s">
        <v>349</v>
      </c>
      <c r="C2816" s="25">
        <v>44604</v>
      </c>
      <c r="D2816" s="26">
        <v>0.40319444444444441</v>
      </c>
      <c r="E2816" t="s">
        <v>25</v>
      </c>
      <c r="F2816" t="s">
        <v>175</v>
      </c>
      <c r="G2816" t="s">
        <v>172</v>
      </c>
      <c r="H2816" t="s">
        <v>122</v>
      </c>
      <c r="I2816">
        <v>365.57</v>
      </c>
      <c r="J2816" s="34">
        <v>0</v>
      </c>
      <c r="K2816" s="11">
        <f t="shared" si="164"/>
        <v>949.3</v>
      </c>
      <c r="L2816" s="30">
        <v>949.3</v>
      </c>
      <c r="M2816" s="10">
        <f t="shared" si="165"/>
        <v>38.509427999578641</v>
      </c>
    </row>
    <row r="2817" spans="1:13" ht="15" hidden="1" customHeight="1" x14ac:dyDescent="0.3">
      <c r="A2817" s="9">
        <v>1084</v>
      </c>
      <c r="B2817" t="s">
        <v>349</v>
      </c>
      <c r="C2817" s="25">
        <v>44607</v>
      </c>
      <c r="D2817" s="26">
        <v>0.4984837962962963</v>
      </c>
      <c r="E2817" t="s">
        <v>25</v>
      </c>
      <c r="F2817" t="s">
        <v>210</v>
      </c>
      <c r="G2817" t="s">
        <v>211</v>
      </c>
      <c r="H2817" t="s">
        <v>122</v>
      </c>
      <c r="I2817">
        <v>357.82</v>
      </c>
      <c r="J2817" s="7">
        <v>0</v>
      </c>
      <c r="K2817" s="11">
        <f t="shared" ref="K2817:K2848" si="166">+L2817-J2817</f>
        <v>843.55</v>
      </c>
      <c r="L2817" s="30">
        <v>843.55</v>
      </c>
      <c r="M2817" s="10">
        <f t="shared" ref="M2817:M2848" si="167">I2817/K2817*100</f>
        <v>42.418351016537251</v>
      </c>
    </row>
    <row r="2818" spans="1:13" ht="15" hidden="1" customHeight="1" x14ac:dyDescent="0.3">
      <c r="A2818" s="9">
        <v>1085</v>
      </c>
      <c r="B2818" t="s">
        <v>349</v>
      </c>
      <c r="C2818" s="25">
        <v>44608</v>
      </c>
      <c r="D2818" s="26">
        <v>7.9722222222222222E-2</v>
      </c>
      <c r="E2818" t="s">
        <v>25</v>
      </c>
      <c r="F2818" t="s">
        <v>165</v>
      </c>
      <c r="G2818" t="s">
        <v>185</v>
      </c>
      <c r="H2818" t="s">
        <v>122</v>
      </c>
      <c r="I2818">
        <v>234.86</v>
      </c>
      <c r="J2818" s="34">
        <v>0</v>
      </c>
      <c r="K2818" s="11">
        <f t="shared" si="166"/>
        <v>547.66</v>
      </c>
      <c r="L2818" s="11">
        <v>547.66</v>
      </c>
      <c r="M2818" s="10">
        <f t="shared" si="167"/>
        <v>42.884271263192495</v>
      </c>
    </row>
    <row r="2819" spans="1:13" ht="15" hidden="1" customHeight="1" x14ac:dyDescent="0.3">
      <c r="A2819" s="9">
        <v>1086</v>
      </c>
      <c r="B2819" t="s">
        <v>349</v>
      </c>
      <c r="C2819" s="25">
        <v>44608</v>
      </c>
      <c r="D2819" s="26">
        <v>0.96043981481481477</v>
      </c>
      <c r="E2819" t="s">
        <v>25</v>
      </c>
      <c r="F2819" t="s">
        <v>166</v>
      </c>
      <c r="G2819" t="s">
        <v>161</v>
      </c>
      <c r="H2819" t="s">
        <v>122</v>
      </c>
      <c r="I2819">
        <v>278.97000000000003</v>
      </c>
      <c r="J2819" s="34">
        <v>0</v>
      </c>
      <c r="K2819" s="11">
        <f t="shared" si="166"/>
        <v>649.29</v>
      </c>
      <c r="L2819" s="11">
        <v>649.29</v>
      </c>
      <c r="M2819" s="10">
        <f t="shared" si="167"/>
        <v>42.965392967703195</v>
      </c>
    </row>
    <row r="2820" spans="1:13" ht="15" hidden="1" customHeight="1" x14ac:dyDescent="0.3">
      <c r="A2820" s="9">
        <v>1087</v>
      </c>
      <c r="B2820" t="s">
        <v>349</v>
      </c>
      <c r="C2820" s="25">
        <v>44610</v>
      </c>
      <c r="D2820" s="26">
        <v>0.59978009259259257</v>
      </c>
      <c r="E2820" t="s">
        <v>25</v>
      </c>
      <c r="F2820" t="s">
        <v>175</v>
      </c>
      <c r="G2820" t="s">
        <v>172</v>
      </c>
      <c r="H2820" t="s">
        <v>122</v>
      </c>
      <c r="I2820">
        <v>321.60000000000002</v>
      </c>
      <c r="J2820" s="34">
        <v>0</v>
      </c>
      <c r="K2820" s="11">
        <f t="shared" si="166"/>
        <v>881.44</v>
      </c>
      <c r="L2820" s="32">
        <v>881.44</v>
      </c>
      <c r="M2820" s="10">
        <f t="shared" si="167"/>
        <v>36.485750589943727</v>
      </c>
    </row>
    <row r="2821" spans="1:13" ht="15" hidden="1" customHeight="1" x14ac:dyDescent="0.3">
      <c r="A2821" s="9">
        <v>1088</v>
      </c>
      <c r="B2821" t="s">
        <v>349</v>
      </c>
      <c r="C2821" s="25">
        <v>44613</v>
      </c>
      <c r="D2821" s="26">
        <v>0.59498842592592593</v>
      </c>
      <c r="E2821" t="s">
        <v>25</v>
      </c>
      <c r="F2821" t="s">
        <v>210</v>
      </c>
      <c r="G2821" t="s">
        <v>211</v>
      </c>
      <c r="H2821" t="s">
        <v>122</v>
      </c>
      <c r="I2821">
        <v>414.48</v>
      </c>
      <c r="J2821" s="7">
        <v>0</v>
      </c>
      <c r="K2821" s="11">
        <f t="shared" si="166"/>
        <v>867.55</v>
      </c>
      <c r="L2821" s="32">
        <v>867.55</v>
      </c>
      <c r="M2821" s="10">
        <f t="shared" si="167"/>
        <v>47.775920696213483</v>
      </c>
    </row>
    <row r="2822" spans="1:13" ht="15" hidden="1" customHeight="1" x14ac:dyDescent="0.3">
      <c r="A2822" s="9">
        <v>1089</v>
      </c>
      <c r="B2822" t="s">
        <v>349</v>
      </c>
      <c r="C2822" s="25">
        <v>44614</v>
      </c>
      <c r="D2822" s="26">
        <v>0.79390046296296291</v>
      </c>
      <c r="E2822" t="s">
        <v>25</v>
      </c>
      <c r="F2822" t="s">
        <v>210</v>
      </c>
      <c r="G2822" t="s">
        <v>211</v>
      </c>
      <c r="H2822" t="s">
        <v>122</v>
      </c>
      <c r="I2822">
        <v>417.16</v>
      </c>
      <c r="J2822" s="7">
        <v>0</v>
      </c>
      <c r="K2822" s="11">
        <f t="shared" si="166"/>
        <v>1062.45</v>
      </c>
      <c r="L2822" s="7">
        <v>1062.45</v>
      </c>
      <c r="M2822" s="10">
        <f t="shared" si="167"/>
        <v>39.263965363075911</v>
      </c>
    </row>
    <row r="2823" spans="1:13" ht="15" hidden="1" customHeight="1" x14ac:dyDescent="0.3">
      <c r="A2823" s="9">
        <v>1090</v>
      </c>
      <c r="B2823" t="s">
        <v>349</v>
      </c>
      <c r="C2823" s="25">
        <v>44616</v>
      </c>
      <c r="D2823" s="26">
        <v>3.4803240740740739E-2</v>
      </c>
      <c r="E2823" t="s">
        <v>25</v>
      </c>
      <c r="F2823" t="s">
        <v>175</v>
      </c>
      <c r="G2823" t="s">
        <v>172</v>
      </c>
      <c r="H2823" t="s">
        <v>122</v>
      </c>
      <c r="I2823">
        <v>435.29</v>
      </c>
      <c r="J2823" s="7">
        <v>0</v>
      </c>
      <c r="K2823" s="11">
        <f t="shared" si="166"/>
        <v>1093.26</v>
      </c>
      <c r="L2823" s="7">
        <v>1093.26</v>
      </c>
      <c r="M2823" s="10">
        <f t="shared" si="167"/>
        <v>39.815780326729232</v>
      </c>
    </row>
    <row r="2824" spans="1:13" ht="15" hidden="1" customHeight="1" x14ac:dyDescent="0.3">
      <c r="A2824" s="9">
        <v>1091</v>
      </c>
      <c r="B2824" t="s">
        <v>349</v>
      </c>
      <c r="C2824" s="25">
        <v>44617</v>
      </c>
      <c r="D2824" s="26">
        <v>0.51288194444444446</v>
      </c>
      <c r="E2824" t="s">
        <v>25</v>
      </c>
      <c r="F2824" t="s">
        <v>210</v>
      </c>
      <c r="G2824" t="s">
        <v>211</v>
      </c>
      <c r="H2824" t="s">
        <v>122</v>
      </c>
      <c r="I2824">
        <v>317.02999999999997</v>
      </c>
      <c r="J2824" s="7">
        <v>0</v>
      </c>
      <c r="K2824" s="11">
        <f t="shared" si="166"/>
        <v>725.87</v>
      </c>
      <c r="L2824" s="34">
        <v>725.87</v>
      </c>
      <c r="M2824" s="10">
        <f t="shared" si="167"/>
        <v>43.675864824279827</v>
      </c>
    </row>
    <row r="2825" spans="1:13" ht="15" hidden="1" customHeight="1" x14ac:dyDescent="0.3">
      <c r="A2825" s="9">
        <v>1092</v>
      </c>
      <c r="B2825" t="s">
        <v>349</v>
      </c>
      <c r="C2825" s="25">
        <v>44618</v>
      </c>
      <c r="D2825" s="26">
        <v>0.55233796296296289</v>
      </c>
      <c r="E2825" t="s">
        <v>25</v>
      </c>
      <c r="F2825" t="s">
        <v>165</v>
      </c>
      <c r="G2825" t="s">
        <v>185</v>
      </c>
      <c r="H2825" t="s">
        <v>122</v>
      </c>
      <c r="I2825">
        <v>274.89999999999998</v>
      </c>
      <c r="J2825" s="7">
        <v>0</v>
      </c>
      <c r="K2825" s="11">
        <f t="shared" si="166"/>
        <v>548.39</v>
      </c>
      <c r="L2825" s="7">
        <v>548.39</v>
      </c>
      <c r="M2825" s="10">
        <f t="shared" si="167"/>
        <v>50.128558142927474</v>
      </c>
    </row>
    <row r="2826" spans="1:13" ht="15" hidden="1" customHeight="1" x14ac:dyDescent="0.3">
      <c r="A2826" s="9">
        <v>1093</v>
      </c>
      <c r="B2826" t="s">
        <v>349</v>
      </c>
      <c r="C2826" s="25">
        <v>44620</v>
      </c>
      <c r="D2826" s="26">
        <v>0.59504629629629624</v>
      </c>
      <c r="E2826" t="s">
        <v>25</v>
      </c>
      <c r="F2826" t="s">
        <v>340</v>
      </c>
      <c r="G2826" t="s">
        <v>337</v>
      </c>
      <c r="H2826" t="s">
        <v>122</v>
      </c>
      <c r="I2826">
        <v>273.99</v>
      </c>
      <c r="J2826" s="7">
        <v>0</v>
      </c>
      <c r="K2826" s="11">
        <f t="shared" si="166"/>
        <v>846.3</v>
      </c>
      <c r="L2826" s="7">
        <v>846.3</v>
      </c>
      <c r="M2826" s="10">
        <f t="shared" si="167"/>
        <v>32.375044310528182</v>
      </c>
    </row>
    <row r="2827" spans="1:13" ht="15" hidden="1" customHeight="1" x14ac:dyDescent="0.3">
      <c r="A2827" s="9">
        <v>2261</v>
      </c>
      <c r="B2827" t="s">
        <v>349</v>
      </c>
      <c r="C2827" s="25">
        <v>44621</v>
      </c>
      <c r="D2827" s="26">
        <v>0.34488425925925931</v>
      </c>
      <c r="E2827" t="s">
        <v>26</v>
      </c>
      <c r="F2827" t="s">
        <v>165</v>
      </c>
      <c r="G2827" t="s">
        <v>185</v>
      </c>
      <c r="H2827" t="s">
        <v>122</v>
      </c>
      <c r="I2827">
        <v>354.01</v>
      </c>
      <c r="J2827" s="7">
        <v>0</v>
      </c>
      <c r="K2827" s="89">
        <f t="shared" si="166"/>
        <v>803.86</v>
      </c>
      <c r="L2827" s="7">
        <v>803.86</v>
      </c>
      <c r="M2827" s="10">
        <f t="shared" si="167"/>
        <v>44.038762968676139</v>
      </c>
    </row>
    <row r="2828" spans="1:13" ht="15" hidden="1" customHeight="1" x14ac:dyDescent="0.3">
      <c r="A2828" s="9">
        <v>2262</v>
      </c>
      <c r="B2828" t="s">
        <v>349</v>
      </c>
      <c r="C2828" s="25">
        <v>44621</v>
      </c>
      <c r="D2828" s="26">
        <v>0.7193518518518518</v>
      </c>
      <c r="E2828" t="s">
        <v>26</v>
      </c>
      <c r="F2828" t="s">
        <v>210</v>
      </c>
      <c r="G2828" t="s">
        <v>211</v>
      </c>
      <c r="H2828" t="s">
        <v>122</v>
      </c>
      <c r="I2828">
        <v>143.38999999999999</v>
      </c>
      <c r="J2828" s="7">
        <v>0</v>
      </c>
      <c r="K2828" s="89">
        <f t="shared" si="166"/>
        <v>514.78</v>
      </c>
      <c r="L2828" s="7">
        <v>514.78</v>
      </c>
      <c r="M2828" s="10">
        <f t="shared" si="167"/>
        <v>27.854617506507633</v>
      </c>
    </row>
    <row r="2829" spans="1:13" ht="15" hidden="1" customHeight="1" x14ac:dyDescent="0.3">
      <c r="A2829" s="9">
        <v>2263</v>
      </c>
      <c r="B2829" t="s">
        <v>349</v>
      </c>
      <c r="C2829" s="25">
        <v>44622</v>
      </c>
      <c r="D2829" s="26">
        <v>0.72561342592592604</v>
      </c>
      <c r="E2829" t="s">
        <v>26</v>
      </c>
      <c r="F2829" t="s">
        <v>175</v>
      </c>
      <c r="G2829" t="s">
        <v>172</v>
      </c>
      <c r="H2829" t="s">
        <v>122</v>
      </c>
      <c r="I2829">
        <v>322.44</v>
      </c>
      <c r="J2829" s="31">
        <v>0</v>
      </c>
      <c r="K2829" s="89">
        <f t="shared" si="166"/>
        <v>923.45</v>
      </c>
      <c r="L2829" s="34">
        <v>923.45</v>
      </c>
      <c r="M2829" s="10">
        <f t="shared" si="167"/>
        <v>34.916887757864529</v>
      </c>
    </row>
    <row r="2830" spans="1:13" ht="15" hidden="1" customHeight="1" x14ac:dyDescent="0.3">
      <c r="A2830" s="9">
        <v>2264</v>
      </c>
      <c r="B2830" t="s">
        <v>349</v>
      </c>
      <c r="C2830" s="25">
        <v>44623</v>
      </c>
      <c r="D2830" s="26">
        <v>0.64346064814814818</v>
      </c>
      <c r="E2830" t="s">
        <v>26</v>
      </c>
      <c r="F2830" t="s">
        <v>210</v>
      </c>
      <c r="G2830" t="s">
        <v>211</v>
      </c>
      <c r="H2830" t="s">
        <v>122</v>
      </c>
      <c r="I2830">
        <v>346.97</v>
      </c>
      <c r="J2830" s="31">
        <v>0</v>
      </c>
      <c r="K2830" s="89">
        <f t="shared" si="166"/>
        <v>828.47</v>
      </c>
      <c r="L2830" s="32">
        <v>828.47</v>
      </c>
      <c r="M2830" s="10">
        <f t="shared" si="167"/>
        <v>41.880816444771689</v>
      </c>
    </row>
    <row r="2831" spans="1:13" ht="15" hidden="1" customHeight="1" x14ac:dyDescent="0.3">
      <c r="A2831" s="9">
        <v>2265</v>
      </c>
      <c r="B2831" t="s">
        <v>349</v>
      </c>
      <c r="C2831" s="25">
        <v>44624</v>
      </c>
      <c r="D2831" s="26">
        <v>0.97943287037037041</v>
      </c>
      <c r="E2831" t="s">
        <v>26</v>
      </c>
      <c r="F2831" t="s">
        <v>210</v>
      </c>
      <c r="G2831" t="s">
        <v>211</v>
      </c>
      <c r="H2831" t="s">
        <v>122</v>
      </c>
      <c r="I2831">
        <v>402.09</v>
      </c>
      <c r="J2831" s="31">
        <v>0</v>
      </c>
      <c r="K2831" s="89">
        <f t="shared" si="166"/>
        <v>1063.6600000000001</v>
      </c>
      <c r="L2831" s="31">
        <v>1063.6600000000001</v>
      </c>
      <c r="M2831" s="10">
        <f t="shared" si="167"/>
        <v>37.802493277927155</v>
      </c>
    </row>
    <row r="2832" spans="1:13" ht="15" hidden="1" customHeight="1" x14ac:dyDescent="0.3">
      <c r="A2832" s="9">
        <v>2266</v>
      </c>
      <c r="B2832" t="s">
        <v>349</v>
      </c>
      <c r="C2832" s="25">
        <v>44626</v>
      </c>
      <c r="D2832" s="26">
        <v>0.47856481481481478</v>
      </c>
      <c r="E2832" t="s">
        <v>26</v>
      </c>
      <c r="F2832" t="s">
        <v>428</v>
      </c>
      <c r="G2832" t="s">
        <v>429</v>
      </c>
      <c r="H2832" t="s">
        <v>122</v>
      </c>
      <c r="I2832">
        <v>335.81</v>
      </c>
      <c r="J2832" s="7">
        <v>0</v>
      </c>
      <c r="K2832" s="89">
        <f t="shared" si="166"/>
        <v>903.4</v>
      </c>
      <c r="L2832" s="7">
        <v>903.4</v>
      </c>
      <c r="M2832" s="36">
        <f t="shared" si="167"/>
        <v>37.171795439450968</v>
      </c>
    </row>
    <row r="2833" spans="1:13" ht="15" hidden="1" customHeight="1" x14ac:dyDescent="0.3">
      <c r="A2833" s="9">
        <v>2267</v>
      </c>
      <c r="B2833" t="s">
        <v>349</v>
      </c>
      <c r="C2833" s="25">
        <v>44632</v>
      </c>
      <c r="D2833" s="26">
        <v>0.47879629629629633</v>
      </c>
      <c r="E2833" t="s">
        <v>26</v>
      </c>
      <c r="F2833" t="s">
        <v>210</v>
      </c>
      <c r="G2833" t="s">
        <v>211</v>
      </c>
      <c r="H2833" t="s">
        <v>122</v>
      </c>
      <c r="I2833">
        <v>454.01</v>
      </c>
      <c r="J2833" s="7">
        <v>0</v>
      </c>
      <c r="K2833" s="89">
        <f t="shared" si="166"/>
        <v>1052.8900000000001</v>
      </c>
      <c r="L2833" s="7">
        <v>1052.8900000000001</v>
      </c>
      <c r="M2833" s="36">
        <f t="shared" si="167"/>
        <v>43.120363950650109</v>
      </c>
    </row>
    <row r="2834" spans="1:13" ht="15" hidden="1" customHeight="1" x14ac:dyDescent="0.3">
      <c r="A2834" s="9">
        <v>2268</v>
      </c>
      <c r="B2834" t="s">
        <v>349</v>
      </c>
      <c r="C2834" s="25">
        <v>44633</v>
      </c>
      <c r="D2834" s="26">
        <v>0.6169675925925926</v>
      </c>
      <c r="E2834" t="s">
        <v>26</v>
      </c>
      <c r="F2834" t="s">
        <v>210</v>
      </c>
      <c r="G2834" t="s">
        <v>211</v>
      </c>
      <c r="H2834" t="s">
        <v>122</v>
      </c>
      <c r="I2834">
        <v>320.7</v>
      </c>
      <c r="J2834" s="7">
        <v>0</v>
      </c>
      <c r="K2834" s="89">
        <f t="shared" si="166"/>
        <v>885.66</v>
      </c>
      <c r="L2834" s="7">
        <v>885.66</v>
      </c>
      <c r="M2834" s="36">
        <f t="shared" si="167"/>
        <v>36.21028385610731</v>
      </c>
    </row>
    <row r="2835" spans="1:13" ht="15" hidden="1" customHeight="1" x14ac:dyDescent="0.3">
      <c r="A2835" s="9">
        <v>2269</v>
      </c>
      <c r="B2835" t="s">
        <v>349</v>
      </c>
      <c r="C2835" s="25">
        <v>44636</v>
      </c>
      <c r="D2835" s="26">
        <v>3.9131944444444448E-2</v>
      </c>
      <c r="E2835" t="s">
        <v>26</v>
      </c>
      <c r="F2835" t="s">
        <v>175</v>
      </c>
      <c r="G2835" t="s">
        <v>172</v>
      </c>
      <c r="H2835" t="s">
        <v>122</v>
      </c>
      <c r="I2835">
        <v>298.01</v>
      </c>
      <c r="J2835" s="7">
        <v>0</v>
      </c>
      <c r="K2835" s="89">
        <f t="shared" si="166"/>
        <v>1126.3</v>
      </c>
      <c r="L2835" s="7">
        <v>1126.3</v>
      </c>
      <c r="M2835" s="36">
        <f t="shared" si="167"/>
        <v>26.459202699103258</v>
      </c>
    </row>
    <row r="2836" spans="1:13" ht="15" hidden="1" customHeight="1" x14ac:dyDescent="0.3">
      <c r="A2836" s="9">
        <v>2270</v>
      </c>
      <c r="B2836" t="s">
        <v>349</v>
      </c>
      <c r="C2836" s="25">
        <v>44636</v>
      </c>
      <c r="D2836" s="26">
        <v>0.90525462962962966</v>
      </c>
      <c r="E2836" t="s">
        <v>26</v>
      </c>
      <c r="F2836" t="s">
        <v>210</v>
      </c>
      <c r="G2836" t="s">
        <v>211</v>
      </c>
      <c r="H2836" t="s">
        <v>122</v>
      </c>
      <c r="I2836">
        <v>441.31</v>
      </c>
      <c r="J2836" s="31">
        <v>0</v>
      </c>
      <c r="K2836" s="89">
        <f t="shared" si="166"/>
        <v>805.46</v>
      </c>
      <c r="L2836" s="7">
        <v>805.46</v>
      </c>
      <c r="M2836" s="36">
        <f t="shared" si="167"/>
        <v>54.789809549822458</v>
      </c>
    </row>
    <row r="2837" spans="1:13" ht="15" hidden="1" customHeight="1" x14ac:dyDescent="0.3">
      <c r="A2837" s="9">
        <v>2271</v>
      </c>
      <c r="B2837" t="s">
        <v>349</v>
      </c>
      <c r="C2837" s="25">
        <v>44637</v>
      </c>
      <c r="D2837" s="26">
        <v>0.86593749999999992</v>
      </c>
      <c r="E2837" t="s">
        <v>26</v>
      </c>
      <c r="F2837" t="s">
        <v>210</v>
      </c>
      <c r="G2837" t="s">
        <v>211</v>
      </c>
      <c r="H2837" t="s">
        <v>122</v>
      </c>
      <c r="I2837">
        <v>400.08</v>
      </c>
      <c r="J2837" s="31">
        <v>0</v>
      </c>
      <c r="K2837" s="89">
        <f t="shared" si="166"/>
        <v>1062.9100000000001</v>
      </c>
      <c r="L2837" s="7">
        <v>1062.9100000000001</v>
      </c>
      <c r="M2837" s="36">
        <f t="shared" si="167"/>
        <v>37.64006359898768</v>
      </c>
    </row>
    <row r="2838" spans="1:13" ht="15" hidden="1" customHeight="1" x14ac:dyDescent="0.3">
      <c r="A2838" s="9">
        <v>2272</v>
      </c>
      <c r="B2838" t="s">
        <v>349</v>
      </c>
      <c r="C2838" s="25">
        <v>44639</v>
      </c>
      <c r="D2838" s="26">
        <v>0.8394328703703704</v>
      </c>
      <c r="E2838" t="s">
        <v>26</v>
      </c>
      <c r="F2838" t="s">
        <v>175</v>
      </c>
      <c r="G2838" t="s">
        <v>172</v>
      </c>
      <c r="H2838" t="s">
        <v>122</v>
      </c>
      <c r="I2838">
        <v>404.23</v>
      </c>
      <c r="J2838" s="7">
        <v>0</v>
      </c>
      <c r="K2838" s="97">
        <f t="shared" si="166"/>
        <v>1098.25</v>
      </c>
      <c r="L2838" s="34">
        <v>1098.25</v>
      </c>
      <c r="M2838" s="10">
        <f t="shared" si="167"/>
        <v>36.806737992260416</v>
      </c>
    </row>
    <row r="2839" spans="1:13" ht="15" hidden="1" customHeight="1" x14ac:dyDescent="0.3">
      <c r="A2839" s="9">
        <v>2273</v>
      </c>
      <c r="B2839" t="s">
        <v>349</v>
      </c>
      <c r="C2839" s="25">
        <v>44644</v>
      </c>
      <c r="D2839" s="26">
        <v>0.58987268518518521</v>
      </c>
      <c r="E2839" t="s">
        <v>26</v>
      </c>
      <c r="F2839" t="s">
        <v>210</v>
      </c>
      <c r="G2839" t="s">
        <v>211</v>
      </c>
      <c r="H2839" t="s">
        <v>122</v>
      </c>
      <c r="I2839">
        <v>438.39</v>
      </c>
      <c r="J2839" s="7">
        <v>0</v>
      </c>
      <c r="K2839" s="90">
        <f t="shared" si="166"/>
        <v>819.19</v>
      </c>
      <c r="L2839" s="7">
        <v>819.19</v>
      </c>
      <c r="M2839" s="10">
        <f t="shared" si="167"/>
        <v>53.515057556854941</v>
      </c>
    </row>
    <row r="2840" spans="1:13" ht="15" hidden="1" customHeight="1" x14ac:dyDescent="0.3">
      <c r="A2840" s="9">
        <v>2274</v>
      </c>
      <c r="B2840" t="s">
        <v>349</v>
      </c>
      <c r="C2840" s="25">
        <v>44645</v>
      </c>
      <c r="D2840" s="26">
        <v>0.83090277777777777</v>
      </c>
      <c r="E2840" t="s">
        <v>26</v>
      </c>
      <c r="F2840" t="s">
        <v>210</v>
      </c>
      <c r="G2840" t="s">
        <v>211</v>
      </c>
      <c r="H2840" t="s">
        <v>122</v>
      </c>
      <c r="I2840">
        <v>432.89</v>
      </c>
      <c r="J2840" s="31">
        <v>0</v>
      </c>
      <c r="K2840" s="99">
        <f t="shared" si="166"/>
        <v>1064.1300000000001</v>
      </c>
      <c r="L2840" s="7">
        <v>1064.1300000000001</v>
      </c>
      <c r="M2840" s="10">
        <f t="shared" si="167"/>
        <v>40.680180053188984</v>
      </c>
    </row>
    <row r="2841" spans="1:13" ht="15" hidden="1" customHeight="1" x14ac:dyDescent="0.3">
      <c r="A2841" s="9">
        <v>2275</v>
      </c>
      <c r="B2841" t="s">
        <v>349</v>
      </c>
      <c r="C2841" s="25">
        <v>44647</v>
      </c>
      <c r="D2841" s="26">
        <v>0.44912037037037034</v>
      </c>
      <c r="E2841" t="s">
        <v>26</v>
      </c>
      <c r="F2841" t="s">
        <v>175</v>
      </c>
      <c r="G2841" t="s">
        <v>172</v>
      </c>
      <c r="H2841" t="s">
        <v>122</v>
      </c>
      <c r="I2841">
        <v>375</v>
      </c>
      <c r="J2841" s="7">
        <v>0</v>
      </c>
      <c r="K2841" s="97">
        <f t="shared" si="166"/>
        <v>1047.43</v>
      </c>
      <c r="L2841" s="34">
        <v>1047.43</v>
      </c>
      <c r="M2841" s="10">
        <f t="shared" si="167"/>
        <v>35.801915163781828</v>
      </c>
    </row>
    <row r="2842" spans="1:13" ht="15" hidden="1" customHeight="1" x14ac:dyDescent="0.3">
      <c r="A2842" s="9">
        <v>2276</v>
      </c>
      <c r="B2842" t="s">
        <v>349</v>
      </c>
      <c r="C2842" s="25">
        <v>44648</v>
      </c>
      <c r="D2842" s="26">
        <v>0.98048611111111106</v>
      </c>
      <c r="E2842" t="s">
        <v>26</v>
      </c>
      <c r="F2842" t="s">
        <v>166</v>
      </c>
      <c r="G2842" t="s">
        <v>161</v>
      </c>
      <c r="H2842" t="s">
        <v>122</v>
      </c>
      <c r="I2842">
        <v>299.75</v>
      </c>
      <c r="J2842" s="7">
        <v>0</v>
      </c>
      <c r="K2842" s="90">
        <f t="shared" si="166"/>
        <v>747.62</v>
      </c>
      <c r="L2842" s="7">
        <v>747.62</v>
      </c>
      <c r="M2842" s="10">
        <f t="shared" si="167"/>
        <v>40.093897969556721</v>
      </c>
    </row>
    <row r="2843" spans="1:13" ht="15" hidden="1" customHeight="1" x14ac:dyDescent="0.3">
      <c r="A2843" s="9">
        <v>2277</v>
      </c>
      <c r="B2843" t="s">
        <v>349</v>
      </c>
      <c r="C2843" s="25">
        <v>44650</v>
      </c>
      <c r="D2843" s="26">
        <v>0.4642592592592592</v>
      </c>
      <c r="E2843" t="s">
        <v>26</v>
      </c>
      <c r="F2843" t="s">
        <v>210</v>
      </c>
      <c r="G2843" t="s">
        <v>211</v>
      </c>
      <c r="H2843" t="s">
        <v>122</v>
      </c>
      <c r="I2843">
        <v>482.87</v>
      </c>
      <c r="J2843" s="7">
        <v>0</v>
      </c>
      <c r="K2843" s="90">
        <f t="shared" si="166"/>
        <v>1131.5899999999999</v>
      </c>
      <c r="L2843" s="7">
        <v>1131.5899999999999</v>
      </c>
      <c r="M2843" s="10">
        <f t="shared" si="167"/>
        <v>42.671815763659986</v>
      </c>
    </row>
    <row r="2844" spans="1:13" ht="15" hidden="1" customHeight="1" x14ac:dyDescent="0.3">
      <c r="A2844" s="9">
        <v>3537</v>
      </c>
      <c r="B2844" t="s">
        <v>349</v>
      </c>
      <c r="C2844" s="25">
        <v>44652</v>
      </c>
      <c r="D2844" s="26">
        <v>0.28181712962962963</v>
      </c>
      <c r="E2844" t="s">
        <v>27</v>
      </c>
      <c r="F2844" t="s">
        <v>175</v>
      </c>
      <c r="G2844" t="s">
        <v>172</v>
      </c>
      <c r="H2844" t="s">
        <v>122</v>
      </c>
      <c r="I2844" s="4">
        <v>418.14</v>
      </c>
      <c r="J2844" s="7">
        <v>0</v>
      </c>
      <c r="K2844" s="90">
        <f t="shared" si="166"/>
        <v>1101.73</v>
      </c>
      <c r="L2844" s="7">
        <v>1101.73</v>
      </c>
      <c r="M2844" s="10">
        <f t="shared" si="167"/>
        <v>37.953037495575138</v>
      </c>
    </row>
    <row r="2845" spans="1:13" ht="15" hidden="1" customHeight="1" x14ac:dyDescent="0.3">
      <c r="A2845" s="9">
        <v>3538</v>
      </c>
      <c r="B2845" t="s">
        <v>349</v>
      </c>
      <c r="C2845" s="25">
        <v>44652</v>
      </c>
      <c r="D2845" s="26">
        <v>0.86762731481481481</v>
      </c>
      <c r="E2845" t="s">
        <v>27</v>
      </c>
      <c r="F2845" t="s">
        <v>210</v>
      </c>
      <c r="G2845" t="s">
        <v>211</v>
      </c>
      <c r="H2845" t="s">
        <v>122</v>
      </c>
      <c r="I2845" s="4">
        <v>300.89</v>
      </c>
      <c r="J2845" s="7">
        <v>0</v>
      </c>
      <c r="K2845" s="90">
        <f t="shared" si="166"/>
        <v>1793</v>
      </c>
      <c r="L2845" s="7">
        <v>1793</v>
      </c>
      <c r="M2845" s="10">
        <f t="shared" si="167"/>
        <v>16.781372002230896</v>
      </c>
    </row>
    <row r="2846" spans="1:13" ht="15" hidden="1" customHeight="1" x14ac:dyDescent="0.3">
      <c r="A2846" s="9">
        <v>3539</v>
      </c>
      <c r="B2846" t="s">
        <v>349</v>
      </c>
      <c r="C2846" s="25">
        <v>44654</v>
      </c>
      <c r="D2846" s="26">
        <v>0.6004976851851852</v>
      </c>
      <c r="E2846" t="s">
        <v>27</v>
      </c>
      <c r="F2846" t="s">
        <v>210</v>
      </c>
      <c r="G2846" t="s">
        <v>211</v>
      </c>
      <c r="H2846" t="s">
        <v>122</v>
      </c>
      <c r="I2846" s="4">
        <v>410.34</v>
      </c>
      <c r="J2846" s="7">
        <v>0</v>
      </c>
      <c r="K2846" s="97">
        <f t="shared" si="166"/>
        <v>1062.68</v>
      </c>
      <c r="L2846" s="34">
        <v>1062.68</v>
      </c>
      <c r="M2846" s="10">
        <f t="shared" si="167"/>
        <v>38.613693680129479</v>
      </c>
    </row>
    <row r="2847" spans="1:13" ht="15" hidden="1" customHeight="1" x14ac:dyDescent="0.3">
      <c r="A2847" s="9">
        <v>3540</v>
      </c>
      <c r="B2847" t="s">
        <v>349</v>
      </c>
      <c r="C2847" s="25">
        <v>44659</v>
      </c>
      <c r="D2847" s="26">
        <v>0.35539351851851847</v>
      </c>
      <c r="E2847" t="s">
        <v>27</v>
      </c>
      <c r="F2847" t="s">
        <v>175</v>
      </c>
      <c r="G2847" t="s">
        <v>172</v>
      </c>
      <c r="H2847" t="s">
        <v>122</v>
      </c>
      <c r="I2847" s="4">
        <v>354.51</v>
      </c>
      <c r="J2847" s="7">
        <v>0</v>
      </c>
      <c r="K2847" s="90">
        <f t="shared" si="166"/>
        <v>965.46</v>
      </c>
      <c r="L2847" s="7">
        <v>965.46</v>
      </c>
      <c r="M2847" s="10">
        <f t="shared" si="167"/>
        <v>36.7192840718414</v>
      </c>
    </row>
    <row r="2848" spans="1:13" ht="15" hidden="1" customHeight="1" x14ac:dyDescent="0.3">
      <c r="A2848" s="9">
        <v>3541</v>
      </c>
      <c r="B2848" t="s">
        <v>349</v>
      </c>
      <c r="C2848" s="25">
        <v>44660</v>
      </c>
      <c r="D2848" s="26">
        <v>0.70442129629629635</v>
      </c>
      <c r="E2848" t="s">
        <v>27</v>
      </c>
      <c r="F2848" t="s">
        <v>166</v>
      </c>
      <c r="G2848" t="s">
        <v>161</v>
      </c>
      <c r="H2848" t="s">
        <v>122</v>
      </c>
      <c r="I2848" s="4">
        <v>434.49</v>
      </c>
      <c r="J2848" s="7">
        <v>0</v>
      </c>
      <c r="K2848" s="90">
        <f t="shared" si="166"/>
        <v>1153.32</v>
      </c>
      <c r="L2848" s="7">
        <v>1153.32</v>
      </c>
      <c r="M2848" s="10">
        <f t="shared" si="167"/>
        <v>37.672978878368539</v>
      </c>
    </row>
    <row r="2849" spans="1:13" ht="15" hidden="1" customHeight="1" x14ac:dyDescent="0.3">
      <c r="A2849" s="9">
        <v>3542</v>
      </c>
      <c r="B2849" t="s">
        <v>349</v>
      </c>
      <c r="C2849" s="25">
        <v>44662</v>
      </c>
      <c r="D2849" s="26">
        <v>0.95277777777777783</v>
      </c>
      <c r="E2849" t="s">
        <v>27</v>
      </c>
      <c r="F2849" t="s">
        <v>210</v>
      </c>
      <c r="G2849" t="s">
        <v>211</v>
      </c>
      <c r="H2849" t="s">
        <v>122</v>
      </c>
      <c r="I2849" s="4">
        <v>523.72</v>
      </c>
      <c r="J2849" s="7">
        <v>0</v>
      </c>
      <c r="K2849" s="97">
        <f t="shared" ref="K2849:K2858" si="168">+L2849-J2849</f>
        <v>1197.3900000000001</v>
      </c>
      <c r="L2849" s="37">
        <v>1197.3900000000001</v>
      </c>
      <c r="M2849" s="10">
        <f t="shared" ref="M2849:M2880" si="169">I2849/K2849*100</f>
        <v>43.738464493606926</v>
      </c>
    </row>
    <row r="2850" spans="1:13" ht="15" hidden="1" customHeight="1" x14ac:dyDescent="0.3">
      <c r="A2850" s="9">
        <v>3543</v>
      </c>
      <c r="B2850" t="s">
        <v>349</v>
      </c>
      <c r="C2850" s="25">
        <v>44664</v>
      </c>
      <c r="D2850" s="26">
        <v>0.41849537037037038</v>
      </c>
      <c r="E2850" t="s">
        <v>27</v>
      </c>
      <c r="F2850" t="s">
        <v>175</v>
      </c>
      <c r="G2850" t="s">
        <v>172</v>
      </c>
      <c r="H2850" t="s">
        <v>122</v>
      </c>
      <c r="I2850" s="4">
        <v>313.38</v>
      </c>
      <c r="J2850" s="7">
        <v>0</v>
      </c>
      <c r="K2850" s="90">
        <f t="shared" si="168"/>
        <v>927.59</v>
      </c>
      <c r="L2850" s="32">
        <v>927.59</v>
      </c>
      <c r="M2850" s="10">
        <f t="shared" si="169"/>
        <v>33.784322815036816</v>
      </c>
    </row>
    <row r="2851" spans="1:13" ht="15" hidden="1" customHeight="1" x14ac:dyDescent="0.3">
      <c r="A2851" s="9">
        <v>3544</v>
      </c>
      <c r="B2851" t="s">
        <v>349</v>
      </c>
      <c r="C2851" s="25">
        <v>44665</v>
      </c>
      <c r="D2851" s="26">
        <v>0.62570601851851848</v>
      </c>
      <c r="E2851" t="s">
        <v>27</v>
      </c>
      <c r="F2851" t="s">
        <v>210</v>
      </c>
      <c r="G2851" t="s">
        <v>211</v>
      </c>
      <c r="H2851" t="s">
        <v>122</v>
      </c>
      <c r="I2851" s="4">
        <v>330.42</v>
      </c>
      <c r="J2851" s="34">
        <v>0</v>
      </c>
      <c r="K2851" s="97">
        <f t="shared" si="168"/>
        <v>830</v>
      </c>
      <c r="L2851" s="32">
        <v>830</v>
      </c>
      <c r="M2851" s="10">
        <f t="shared" si="169"/>
        <v>39.809638554216868</v>
      </c>
    </row>
    <row r="2852" spans="1:13" ht="15" hidden="1" customHeight="1" x14ac:dyDescent="0.3">
      <c r="A2852" s="9">
        <v>3545</v>
      </c>
      <c r="B2852" t="s">
        <v>349</v>
      </c>
      <c r="C2852" s="25">
        <v>44666</v>
      </c>
      <c r="D2852" s="26">
        <v>0.88408564814814816</v>
      </c>
      <c r="E2852" t="s">
        <v>27</v>
      </c>
      <c r="F2852" t="s">
        <v>210</v>
      </c>
      <c r="G2852" t="s">
        <v>211</v>
      </c>
      <c r="H2852" t="s">
        <v>122</v>
      </c>
      <c r="I2852" s="4">
        <v>397.54</v>
      </c>
      <c r="J2852" s="7">
        <v>0</v>
      </c>
      <c r="K2852" s="90">
        <f t="shared" si="168"/>
        <v>1064</v>
      </c>
      <c r="L2852" s="32">
        <v>1064</v>
      </c>
      <c r="M2852" s="10">
        <f t="shared" si="169"/>
        <v>37.362781954887218</v>
      </c>
    </row>
    <row r="2853" spans="1:13" ht="15" hidden="1" customHeight="1" x14ac:dyDescent="0.3">
      <c r="A2853" s="9">
        <v>3546</v>
      </c>
      <c r="B2853" t="s">
        <v>349</v>
      </c>
      <c r="C2853" s="25">
        <v>44669</v>
      </c>
      <c r="D2853" s="26">
        <v>0.43480324074074073</v>
      </c>
      <c r="E2853" t="s">
        <v>27</v>
      </c>
      <c r="F2853" t="s">
        <v>175</v>
      </c>
      <c r="G2853" t="s">
        <v>172</v>
      </c>
      <c r="H2853" t="s">
        <v>122</v>
      </c>
      <c r="I2853" s="4">
        <v>345.32</v>
      </c>
      <c r="J2853" s="34">
        <v>0</v>
      </c>
      <c r="K2853" s="97">
        <f t="shared" si="168"/>
        <v>953</v>
      </c>
      <c r="L2853" s="32">
        <v>953</v>
      </c>
      <c r="M2853" s="10">
        <f t="shared" si="169"/>
        <v>36.235047219307447</v>
      </c>
    </row>
    <row r="2854" spans="1:13" ht="15" hidden="1" customHeight="1" x14ac:dyDescent="0.3">
      <c r="A2854" s="9">
        <v>3547</v>
      </c>
      <c r="B2854" t="s">
        <v>349</v>
      </c>
      <c r="C2854" s="25">
        <v>44674</v>
      </c>
      <c r="D2854" s="26">
        <v>0.27163194444444444</v>
      </c>
      <c r="E2854" t="s">
        <v>27</v>
      </c>
      <c r="F2854" t="s">
        <v>210</v>
      </c>
      <c r="G2854" t="s">
        <v>211</v>
      </c>
      <c r="H2854" t="s">
        <v>122</v>
      </c>
      <c r="I2854" s="4">
        <v>377.67</v>
      </c>
      <c r="J2854" s="7">
        <v>0</v>
      </c>
      <c r="K2854" s="90">
        <f t="shared" si="168"/>
        <v>858.43</v>
      </c>
      <c r="L2854" s="53">
        <v>858.43</v>
      </c>
      <c r="M2854" s="10">
        <f t="shared" si="169"/>
        <v>43.99543352399148</v>
      </c>
    </row>
    <row r="2855" spans="1:13" ht="15" hidden="1" customHeight="1" x14ac:dyDescent="0.3">
      <c r="A2855" s="9">
        <v>3548</v>
      </c>
      <c r="B2855" t="s">
        <v>349</v>
      </c>
      <c r="C2855" s="25">
        <v>44675</v>
      </c>
      <c r="D2855" s="26">
        <v>0.65564814814814809</v>
      </c>
      <c r="E2855" t="s">
        <v>27</v>
      </c>
      <c r="F2855" t="s">
        <v>210</v>
      </c>
      <c r="G2855" t="s">
        <v>211</v>
      </c>
      <c r="H2855" t="s">
        <v>122</v>
      </c>
      <c r="I2855" s="4">
        <v>437.08</v>
      </c>
      <c r="J2855" s="7">
        <v>0</v>
      </c>
      <c r="K2855" s="90">
        <f t="shared" si="168"/>
        <v>1062.49</v>
      </c>
      <c r="L2855" s="53">
        <v>1062.49</v>
      </c>
      <c r="M2855" s="10">
        <f t="shared" si="169"/>
        <v>41.137328351325657</v>
      </c>
    </row>
    <row r="2856" spans="1:13" ht="15" hidden="1" customHeight="1" x14ac:dyDescent="0.3">
      <c r="A2856" s="9">
        <v>3549</v>
      </c>
      <c r="B2856" t="s">
        <v>349</v>
      </c>
      <c r="C2856" s="25">
        <v>44677</v>
      </c>
      <c r="D2856" s="26">
        <v>0.45225694444444442</v>
      </c>
      <c r="E2856" t="s">
        <v>27</v>
      </c>
      <c r="F2856" t="s">
        <v>171</v>
      </c>
      <c r="G2856" t="s">
        <v>172</v>
      </c>
      <c r="H2856" t="s">
        <v>122</v>
      </c>
      <c r="I2856">
        <v>400.82</v>
      </c>
      <c r="J2856" s="7">
        <v>0</v>
      </c>
      <c r="K2856" s="90">
        <f t="shared" si="168"/>
        <v>1122.99</v>
      </c>
      <c r="L2856" s="51">
        <v>1122.99</v>
      </c>
      <c r="M2856" s="10">
        <f t="shared" si="169"/>
        <v>35.692214534412592</v>
      </c>
    </row>
    <row r="2857" spans="1:13" ht="15" hidden="1" customHeight="1" x14ac:dyDescent="0.3">
      <c r="A2857" s="9">
        <v>3550</v>
      </c>
      <c r="B2857" t="s">
        <v>349</v>
      </c>
      <c r="C2857" s="25">
        <v>44678</v>
      </c>
      <c r="D2857" s="26">
        <v>0.27057870370370368</v>
      </c>
      <c r="E2857" t="s">
        <v>27</v>
      </c>
      <c r="F2857" t="s">
        <v>166</v>
      </c>
      <c r="G2857" t="s">
        <v>161</v>
      </c>
      <c r="H2857" t="s">
        <v>122</v>
      </c>
      <c r="I2857">
        <v>259.35000000000002</v>
      </c>
      <c r="J2857" s="7">
        <v>0</v>
      </c>
      <c r="K2857" s="90">
        <f t="shared" si="168"/>
        <v>616.66</v>
      </c>
      <c r="L2857" s="11">
        <v>616.66</v>
      </c>
      <c r="M2857" s="10">
        <f t="shared" si="169"/>
        <v>42.057211429312758</v>
      </c>
    </row>
    <row r="2858" spans="1:13" ht="15" hidden="1" customHeight="1" x14ac:dyDescent="0.3">
      <c r="A2858" s="9">
        <v>3551</v>
      </c>
      <c r="B2858" t="s">
        <v>349</v>
      </c>
      <c r="C2858" s="25">
        <v>44679</v>
      </c>
      <c r="D2858" s="26">
        <v>0.42699074074074073</v>
      </c>
      <c r="E2858" t="s">
        <v>27</v>
      </c>
      <c r="F2858" t="s">
        <v>210</v>
      </c>
      <c r="G2858" t="s">
        <v>211</v>
      </c>
      <c r="H2858" t="s">
        <v>122</v>
      </c>
      <c r="I2858">
        <v>453.39</v>
      </c>
      <c r="J2858" s="7">
        <v>0</v>
      </c>
      <c r="K2858" s="90">
        <f t="shared" si="168"/>
        <v>1138.68</v>
      </c>
      <c r="L2858" s="11">
        <v>1138.68</v>
      </c>
      <c r="M2858" s="10">
        <f t="shared" si="169"/>
        <v>39.817156707766884</v>
      </c>
    </row>
    <row r="2859" spans="1:13" ht="15" hidden="1" customHeight="1" x14ac:dyDescent="0.3">
      <c r="A2859" s="9">
        <v>3743</v>
      </c>
      <c r="B2859" t="s">
        <v>349</v>
      </c>
      <c r="C2859" s="25">
        <v>44683</v>
      </c>
      <c r="D2859" s="26">
        <v>0.65798611111111105</v>
      </c>
      <c r="E2859" t="s">
        <v>28</v>
      </c>
      <c r="F2859" t="s">
        <v>165</v>
      </c>
      <c r="G2859" t="s">
        <v>185</v>
      </c>
      <c r="H2859" t="s">
        <v>122</v>
      </c>
      <c r="I2859">
        <v>464.36</v>
      </c>
      <c r="J2859" s="7">
        <v>0</v>
      </c>
      <c r="K2859" s="90">
        <f>+L2859-J2990</f>
        <v>1065</v>
      </c>
      <c r="L2859" s="51">
        <v>1065</v>
      </c>
      <c r="M2859" s="10">
        <f t="shared" si="169"/>
        <v>43.601877934272302</v>
      </c>
    </row>
    <row r="2860" spans="1:13" ht="15" hidden="1" customHeight="1" x14ac:dyDescent="0.3">
      <c r="A2860" s="9">
        <v>3850</v>
      </c>
      <c r="B2860" t="s">
        <v>349</v>
      </c>
      <c r="C2860" s="25">
        <v>44685</v>
      </c>
      <c r="D2860" s="26">
        <v>0.73607638888888882</v>
      </c>
      <c r="E2860" t="s">
        <v>28</v>
      </c>
      <c r="F2860" t="s">
        <v>165</v>
      </c>
      <c r="G2860" t="s">
        <v>185</v>
      </c>
      <c r="H2860" t="s">
        <v>122</v>
      </c>
      <c r="I2860">
        <v>190.05</v>
      </c>
      <c r="J2860" s="7">
        <v>0</v>
      </c>
      <c r="K2860" s="90">
        <f>+L2860-J2987</f>
        <v>880</v>
      </c>
      <c r="L2860" s="52">
        <v>880</v>
      </c>
      <c r="M2860" s="10">
        <f t="shared" si="169"/>
        <v>21.59659090909091</v>
      </c>
    </row>
    <row r="2861" spans="1:13" ht="15" hidden="1" customHeight="1" x14ac:dyDescent="0.3">
      <c r="A2861" s="9">
        <v>3904</v>
      </c>
      <c r="B2861" t="s">
        <v>349</v>
      </c>
      <c r="C2861" s="25">
        <v>44686</v>
      </c>
      <c r="D2861" s="26">
        <v>0.71177083333333335</v>
      </c>
      <c r="E2861" t="s">
        <v>28</v>
      </c>
      <c r="F2861" t="s">
        <v>210</v>
      </c>
      <c r="G2861" t="s">
        <v>211</v>
      </c>
      <c r="H2861" t="s">
        <v>122</v>
      </c>
      <c r="I2861">
        <v>394.82</v>
      </c>
      <c r="J2861" s="7">
        <v>0</v>
      </c>
      <c r="K2861" s="90">
        <f>+L2861-J2988</f>
        <v>571.86</v>
      </c>
      <c r="L2861" s="52">
        <v>571.86</v>
      </c>
      <c r="M2861" s="10">
        <f t="shared" si="169"/>
        <v>69.041373762809073</v>
      </c>
    </row>
    <row r="2862" spans="1:13" ht="15" hidden="1" customHeight="1" x14ac:dyDescent="0.3">
      <c r="A2862" s="9">
        <v>3960</v>
      </c>
      <c r="B2862" t="s">
        <v>349</v>
      </c>
      <c r="C2862" s="25">
        <v>44687</v>
      </c>
      <c r="D2862" s="26">
        <v>0.71226851851851858</v>
      </c>
      <c r="E2862" t="s">
        <v>28</v>
      </c>
      <c r="F2862" t="s">
        <v>391</v>
      </c>
      <c r="G2862" t="s">
        <v>392</v>
      </c>
      <c r="H2862" t="s">
        <v>122</v>
      </c>
      <c r="I2862">
        <v>160.03</v>
      </c>
      <c r="J2862" s="7">
        <v>0</v>
      </c>
      <c r="K2862" s="90">
        <f>+L2862-J2990</f>
        <v>913</v>
      </c>
      <c r="L2862" s="52">
        <v>913</v>
      </c>
      <c r="M2862" s="10">
        <f t="shared" si="169"/>
        <v>17.527929901423878</v>
      </c>
    </row>
    <row r="2863" spans="1:13" ht="15" hidden="1" customHeight="1" x14ac:dyDescent="0.3">
      <c r="A2863" s="9">
        <v>4147</v>
      </c>
      <c r="B2863" t="s">
        <v>349</v>
      </c>
      <c r="C2863" s="25">
        <v>44691</v>
      </c>
      <c r="D2863" s="26">
        <v>0.48655092592592591</v>
      </c>
      <c r="E2863" t="s">
        <v>28</v>
      </c>
      <c r="F2863" t="s">
        <v>175</v>
      </c>
      <c r="G2863" t="s">
        <v>172</v>
      </c>
      <c r="H2863" t="s">
        <v>122</v>
      </c>
      <c r="I2863">
        <v>340</v>
      </c>
      <c r="J2863" s="32">
        <v>0</v>
      </c>
      <c r="K2863" s="90">
        <f>+L2863-J2993</f>
        <v>51</v>
      </c>
      <c r="L2863" s="52">
        <v>51</v>
      </c>
      <c r="M2863" s="10">
        <f t="shared" si="169"/>
        <v>666.66666666666674</v>
      </c>
    </row>
    <row r="2864" spans="1:13" ht="15" hidden="1" customHeight="1" x14ac:dyDescent="0.3">
      <c r="A2864" s="9">
        <v>4191</v>
      </c>
      <c r="B2864" t="s">
        <v>349</v>
      </c>
      <c r="C2864" s="25">
        <v>44692</v>
      </c>
      <c r="D2864" s="26">
        <v>0.58504629629629623</v>
      </c>
      <c r="E2864" t="s">
        <v>28</v>
      </c>
      <c r="F2864" t="s">
        <v>210</v>
      </c>
      <c r="G2864" t="s">
        <v>211</v>
      </c>
      <c r="H2864" t="s">
        <v>122</v>
      </c>
      <c r="I2864">
        <v>341.9</v>
      </c>
      <c r="J2864" s="32">
        <v>0</v>
      </c>
      <c r="K2864" s="90">
        <f t="shared" ref="K2864:K2869" si="170">+L2864-J2995</f>
        <v>831</v>
      </c>
      <c r="L2864" s="52">
        <v>831</v>
      </c>
      <c r="M2864" s="10">
        <f t="shared" si="169"/>
        <v>41.143200962695545</v>
      </c>
    </row>
    <row r="2865" spans="1:13" ht="15" hidden="1" customHeight="1" x14ac:dyDescent="0.3">
      <c r="A2865" s="9">
        <v>4235</v>
      </c>
      <c r="B2865" t="s">
        <v>349</v>
      </c>
      <c r="C2865" s="25">
        <v>44693</v>
      </c>
      <c r="D2865" s="26">
        <v>0.83807870370370363</v>
      </c>
      <c r="E2865" t="s">
        <v>28</v>
      </c>
      <c r="F2865" t="s">
        <v>210</v>
      </c>
      <c r="G2865" t="s">
        <v>211</v>
      </c>
      <c r="H2865" t="s">
        <v>122</v>
      </c>
      <c r="I2865">
        <v>469.53</v>
      </c>
      <c r="J2865" s="32">
        <v>0</v>
      </c>
      <c r="K2865" s="90">
        <f t="shared" si="170"/>
        <v>1121</v>
      </c>
      <c r="L2865" s="53">
        <v>1121</v>
      </c>
      <c r="M2865" s="10">
        <f t="shared" si="169"/>
        <v>41.884924174843889</v>
      </c>
    </row>
    <row r="2866" spans="1:13" ht="15" hidden="1" customHeight="1" x14ac:dyDescent="0.3">
      <c r="A2866" s="9">
        <v>4355</v>
      </c>
      <c r="B2866" t="s">
        <v>349</v>
      </c>
      <c r="C2866" s="25">
        <v>44695</v>
      </c>
      <c r="D2866" s="26">
        <v>0.8836342592592592</v>
      </c>
      <c r="E2866" t="s">
        <v>28</v>
      </c>
      <c r="F2866" t="s">
        <v>175</v>
      </c>
      <c r="G2866" t="s">
        <v>172</v>
      </c>
      <c r="H2866" t="s">
        <v>122</v>
      </c>
      <c r="I2866">
        <v>385.59</v>
      </c>
      <c r="J2866" s="32">
        <v>0</v>
      </c>
      <c r="K2866" s="90">
        <f t="shared" si="170"/>
        <v>1045</v>
      </c>
      <c r="L2866" s="53">
        <v>1045</v>
      </c>
      <c r="M2866" s="10">
        <f t="shared" si="169"/>
        <v>36.89856459330143</v>
      </c>
    </row>
    <row r="2867" spans="1:13" ht="15" hidden="1" customHeight="1" x14ac:dyDescent="0.3">
      <c r="A2867" s="9">
        <v>4427</v>
      </c>
      <c r="B2867" t="s">
        <v>349</v>
      </c>
      <c r="C2867" s="25">
        <v>44696</v>
      </c>
      <c r="D2867" s="26">
        <v>0.83261574074074074</v>
      </c>
      <c r="E2867" t="s">
        <v>28</v>
      </c>
      <c r="F2867" t="s">
        <v>166</v>
      </c>
      <c r="G2867" t="s">
        <v>161</v>
      </c>
      <c r="H2867" t="s">
        <v>122</v>
      </c>
      <c r="I2867">
        <v>100</v>
      </c>
      <c r="J2867" s="32">
        <v>0</v>
      </c>
      <c r="K2867" s="90">
        <f t="shared" si="170"/>
        <v>615</v>
      </c>
      <c r="L2867" s="53">
        <v>615</v>
      </c>
      <c r="M2867" s="10">
        <f t="shared" si="169"/>
        <v>16.260162601626014</v>
      </c>
    </row>
    <row r="2868" spans="1:13" ht="15" hidden="1" customHeight="1" x14ac:dyDescent="0.3">
      <c r="A2868" s="9">
        <v>4430</v>
      </c>
      <c r="B2868" t="s">
        <v>349</v>
      </c>
      <c r="C2868" s="25">
        <v>44696</v>
      </c>
      <c r="D2868" s="26">
        <v>0.8833333333333333</v>
      </c>
      <c r="E2868" t="s">
        <v>28</v>
      </c>
      <c r="F2868" t="s">
        <v>210</v>
      </c>
      <c r="G2868" t="s">
        <v>211</v>
      </c>
      <c r="H2868" t="s">
        <v>122</v>
      </c>
      <c r="I2868">
        <v>224.99</v>
      </c>
      <c r="J2868" s="32">
        <v>0</v>
      </c>
      <c r="K2868" s="90">
        <f t="shared" si="170"/>
        <v>76</v>
      </c>
      <c r="L2868" s="53">
        <v>76</v>
      </c>
      <c r="M2868" s="10">
        <f t="shared" si="169"/>
        <v>296.03947368421058</v>
      </c>
    </row>
    <row r="2869" spans="1:13" ht="15" hidden="1" customHeight="1" x14ac:dyDescent="0.3">
      <c r="A2869" s="9">
        <v>4481</v>
      </c>
      <c r="B2869" t="s">
        <v>349</v>
      </c>
      <c r="C2869" s="25">
        <v>44697</v>
      </c>
      <c r="D2869" s="26">
        <v>0.88606481481481481</v>
      </c>
      <c r="E2869" t="s">
        <v>28</v>
      </c>
      <c r="F2869" t="s">
        <v>210</v>
      </c>
      <c r="G2869" t="s">
        <v>211</v>
      </c>
      <c r="H2869" t="s">
        <v>122</v>
      </c>
      <c r="I2869">
        <v>418.57</v>
      </c>
      <c r="J2869" s="37">
        <v>0</v>
      </c>
      <c r="K2869" s="97">
        <f t="shared" si="170"/>
        <v>1063</v>
      </c>
      <c r="L2869" s="37">
        <v>1063</v>
      </c>
      <c r="M2869" s="10">
        <f t="shared" si="169"/>
        <v>39.376293508936975</v>
      </c>
    </row>
    <row r="2870" spans="1:13" ht="15" hidden="1" customHeight="1" x14ac:dyDescent="0.3">
      <c r="A2870" s="9">
        <v>4583</v>
      </c>
      <c r="B2870" t="s">
        <v>349</v>
      </c>
      <c r="C2870" s="25">
        <v>44699</v>
      </c>
      <c r="D2870" s="26">
        <v>0.51444444444444448</v>
      </c>
      <c r="E2870" t="s">
        <v>28</v>
      </c>
      <c r="F2870" t="s">
        <v>331</v>
      </c>
      <c r="G2870" t="s">
        <v>277</v>
      </c>
      <c r="H2870" t="s">
        <v>122</v>
      </c>
      <c r="I2870">
        <v>324.93</v>
      </c>
      <c r="J2870" s="37">
        <v>0</v>
      </c>
      <c r="K2870" s="100">
        <f>+L2870-J3141</f>
        <v>806</v>
      </c>
      <c r="L2870" s="33">
        <v>806</v>
      </c>
      <c r="M2870" s="10">
        <f t="shared" si="169"/>
        <v>40.313895781637719</v>
      </c>
    </row>
    <row r="2871" spans="1:13" ht="15" hidden="1" customHeight="1" x14ac:dyDescent="0.3">
      <c r="A2871" s="9">
        <v>4635</v>
      </c>
      <c r="B2871" t="s">
        <v>349</v>
      </c>
      <c r="C2871" s="25">
        <v>44700</v>
      </c>
      <c r="D2871" s="26">
        <v>0.46953703703703703</v>
      </c>
      <c r="E2871" t="s">
        <v>28</v>
      </c>
      <c r="F2871" t="s">
        <v>197</v>
      </c>
      <c r="G2871" t="s">
        <v>44</v>
      </c>
      <c r="H2871" t="s">
        <v>122</v>
      </c>
      <c r="I2871">
        <v>138.08000000000001</v>
      </c>
      <c r="J2871" s="32">
        <v>0</v>
      </c>
      <c r="K2871" s="90">
        <f>+L2871-J3142</f>
        <v>352</v>
      </c>
      <c r="L2871" s="32">
        <v>352</v>
      </c>
      <c r="M2871" s="10">
        <f t="shared" si="169"/>
        <v>39.227272727272734</v>
      </c>
    </row>
    <row r="2872" spans="1:13" ht="15" hidden="1" customHeight="1" x14ac:dyDescent="0.3">
      <c r="A2872" s="9">
        <v>4636</v>
      </c>
      <c r="B2872" t="s">
        <v>349</v>
      </c>
      <c r="C2872" s="25">
        <v>44700</v>
      </c>
      <c r="D2872" s="26">
        <v>0.88509259259259254</v>
      </c>
      <c r="E2872" t="s">
        <v>28</v>
      </c>
      <c r="F2872" t="s">
        <v>166</v>
      </c>
      <c r="G2872" t="s">
        <v>161</v>
      </c>
      <c r="H2872" t="s">
        <v>122</v>
      </c>
      <c r="I2872">
        <v>212.39</v>
      </c>
      <c r="J2872" s="37">
        <v>0</v>
      </c>
      <c r="K2872" s="97">
        <f>+L2872-J3143</f>
        <v>500</v>
      </c>
      <c r="L2872" s="37">
        <v>500</v>
      </c>
      <c r="M2872" s="10">
        <f t="shared" si="169"/>
        <v>42.478000000000002</v>
      </c>
    </row>
    <row r="2873" spans="1:13" ht="15" hidden="1" customHeight="1" x14ac:dyDescent="0.3">
      <c r="A2873" s="9">
        <v>4910</v>
      </c>
      <c r="B2873" t="s">
        <v>349</v>
      </c>
      <c r="C2873" s="25">
        <v>44705</v>
      </c>
      <c r="D2873" s="26">
        <v>0.74490740740740735</v>
      </c>
      <c r="E2873" t="s">
        <v>28</v>
      </c>
      <c r="F2873" t="s">
        <v>210</v>
      </c>
      <c r="G2873" t="s">
        <v>211</v>
      </c>
      <c r="H2873" t="s">
        <v>122</v>
      </c>
      <c r="I2873">
        <v>499.64</v>
      </c>
      <c r="J2873" s="32">
        <v>0</v>
      </c>
      <c r="K2873" s="90">
        <f>+L2873-J3144</f>
        <v>1141</v>
      </c>
      <c r="L2873" s="32">
        <v>1141</v>
      </c>
      <c r="M2873" s="10">
        <f t="shared" si="169"/>
        <v>43.789658194566165</v>
      </c>
    </row>
    <row r="2874" spans="1:13" ht="15" hidden="1" customHeight="1" x14ac:dyDescent="0.3">
      <c r="A2874" s="9">
        <v>4968</v>
      </c>
      <c r="B2874" t="s">
        <v>349</v>
      </c>
      <c r="C2874" s="25">
        <v>44706</v>
      </c>
      <c r="D2874" s="26">
        <v>0.53106481481481482</v>
      </c>
      <c r="E2874" t="s">
        <v>28</v>
      </c>
      <c r="F2874" t="s">
        <v>331</v>
      </c>
      <c r="G2874" t="s">
        <v>277</v>
      </c>
      <c r="H2874" t="s">
        <v>122</v>
      </c>
      <c r="I2874">
        <v>290.14999999999998</v>
      </c>
      <c r="J2874" s="32">
        <v>0</v>
      </c>
      <c r="K2874" s="99">
        <f>+L2874-J3145</f>
        <v>790</v>
      </c>
      <c r="L2874" s="32">
        <v>790</v>
      </c>
      <c r="M2874" s="10">
        <f t="shared" si="169"/>
        <v>36.72784810126582</v>
      </c>
    </row>
    <row r="2875" spans="1:13" ht="15" hidden="1" customHeight="1" x14ac:dyDescent="0.3">
      <c r="A2875" s="9">
        <v>5260</v>
      </c>
      <c r="B2875" t="s">
        <v>349</v>
      </c>
      <c r="C2875" s="25">
        <v>44712</v>
      </c>
      <c r="D2875" s="26">
        <v>0.51959490740740744</v>
      </c>
      <c r="E2875" t="s">
        <v>28</v>
      </c>
      <c r="F2875" t="s">
        <v>662</v>
      </c>
      <c r="G2875" t="s">
        <v>542</v>
      </c>
      <c r="H2875" t="s">
        <v>122</v>
      </c>
      <c r="I2875">
        <v>250.01</v>
      </c>
      <c r="J2875" s="32">
        <v>0</v>
      </c>
      <c r="K2875" s="90">
        <f>+L2875-J3044</f>
        <v>833</v>
      </c>
      <c r="L2875" s="11">
        <v>833</v>
      </c>
      <c r="M2875" s="10">
        <f t="shared" si="169"/>
        <v>30.013205282112843</v>
      </c>
    </row>
    <row r="2876" spans="1:13" ht="15" hidden="1" customHeight="1" x14ac:dyDescent="0.3">
      <c r="A2876" s="9">
        <v>5310</v>
      </c>
      <c r="B2876" t="s">
        <v>349</v>
      </c>
      <c r="C2876" s="25">
        <v>44713</v>
      </c>
      <c r="D2876" s="26">
        <v>0.34156249999999999</v>
      </c>
      <c r="E2876" t="s">
        <v>29</v>
      </c>
      <c r="F2876" t="s">
        <v>632</v>
      </c>
      <c r="G2876" t="s">
        <v>161</v>
      </c>
      <c r="H2876" t="s">
        <v>122</v>
      </c>
      <c r="I2876">
        <v>312.8</v>
      </c>
      <c r="J2876" s="32">
        <v>0</v>
      </c>
      <c r="K2876" s="90">
        <f>+L2876-J3047</f>
        <v>459</v>
      </c>
      <c r="L2876" s="30">
        <v>459</v>
      </c>
      <c r="M2876" s="10">
        <f t="shared" si="169"/>
        <v>68.148148148148152</v>
      </c>
    </row>
    <row r="2877" spans="1:13" ht="15" hidden="1" customHeight="1" x14ac:dyDescent="0.3">
      <c r="A2877" s="9">
        <v>5378</v>
      </c>
      <c r="B2877" t="s">
        <v>349</v>
      </c>
      <c r="C2877" s="25">
        <v>44714</v>
      </c>
      <c r="D2877" s="26">
        <v>0.75215277777777778</v>
      </c>
      <c r="E2877" t="s">
        <v>29</v>
      </c>
      <c r="F2877" t="s">
        <v>634</v>
      </c>
      <c r="G2877" t="s">
        <v>211</v>
      </c>
      <c r="H2877" t="s">
        <v>122</v>
      </c>
      <c r="I2877">
        <v>458.61</v>
      </c>
      <c r="J2877" s="37">
        <v>0</v>
      </c>
      <c r="K2877" s="97">
        <f>+L2877-J3048</f>
        <v>1140</v>
      </c>
      <c r="L2877" s="7">
        <v>1140</v>
      </c>
      <c r="M2877" s="10">
        <f t="shared" si="169"/>
        <v>40.228947368421053</v>
      </c>
    </row>
    <row r="2878" spans="1:13" ht="15" hidden="1" customHeight="1" x14ac:dyDescent="0.3">
      <c r="A2878" s="9">
        <v>5433</v>
      </c>
      <c r="B2878" t="s">
        <v>349</v>
      </c>
      <c r="C2878" s="25">
        <v>44715</v>
      </c>
      <c r="D2878" s="26">
        <v>0.53328703703703706</v>
      </c>
      <c r="E2878" t="s">
        <v>29</v>
      </c>
      <c r="F2878" t="s">
        <v>693</v>
      </c>
      <c r="G2878" t="s">
        <v>277</v>
      </c>
      <c r="H2878" t="s">
        <v>122</v>
      </c>
      <c r="I2878">
        <v>293.75</v>
      </c>
      <c r="J2878" s="32">
        <v>0</v>
      </c>
      <c r="K2878" s="97">
        <v>572</v>
      </c>
      <c r="L2878" s="34">
        <v>572</v>
      </c>
      <c r="M2878" s="10">
        <f t="shared" si="169"/>
        <v>51.354895104895107</v>
      </c>
    </row>
    <row r="2879" spans="1:13" ht="15" hidden="1" customHeight="1" x14ac:dyDescent="0.3">
      <c r="A2879" s="9">
        <v>5689</v>
      </c>
      <c r="B2879" t="s">
        <v>349</v>
      </c>
      <c r="C2879" s="25">
        <v>44720</v>
      </c>
      <c r="D2879" s="26">
        <v>0.41028935185185184</v>
      </c>
      <c r="E2879" t="s">
        <v>29</v>
      </c>
      <c r="F2879" t="s">
        <v>662</v>
      </c>
      <c r="G2879" t="s">
        <v>542</v>
      </c>
      <c r="H2879" t="s">
        <v>122</v>
      </c>
      <c r="I2879">
        <v>150</v>
      </c>
      <c r="J2879" s="32">
        <v>0</v>
      </c>
      <c r="K2879" s="90">
        <v>349</v>
      </c>
      <c r="L2879" s="7">
        <v>349</v>
      </c>
      <c r="M2879" s="10">
        <f t="shared" si="169"/>
        <v>42.97994269340974</v>
      </c>
    </row>
    <row r="2880" spans="1:13" ht="15" hidden="1" customHeight="1" x14ac:dyDescent="0.3">
      <c r="A2880" s="9">
        <v>5690</v>
      </c>
      <c r="B2880" t="s">
        <v>349</v>
      </c>
      <c r="C2880" s="25">
        <v>44720</v>
      </c>
      <c r="D2880" s="26">
        <v>0.67935185185185187</v>
      </c>
      <c r="E2880" t="s">
        <v>29</v>
      </c>
      <c r="F2880" t="s">
        <v>632</v>
      </c>
      <c r="G2880" t="s">
        <v>161</v>
      </c>
      <c r="H2880" t="s">
        <v>122</v>
      </c>
      <c r="I2880">
        <v>242.63</v>
      </c>
      <c r="J2880" s="65">
        <v>0</v>
      </c>
      <c r="K2880" s="101">
        <v>459</v>
      </c>
      <c r="L2880" s="34">
        <v>459</v>
      </c>
      <c r="M2880" s="10">
        <f t="shared" si="169"/>
        <v>52.860566448801741</v>
      </c>
    </row>
    <row r="2881" spans="1:19" ht="15" hidden="1" customHeight="1" x14ac:dyDescent="0.3">
      <c r="A2881" s="9">
        <v>5743</v>
      </c>
      <c r="B2881" t="s">
        <v>349</v>
      </c>
      <c r="C2881" s="25">
        <v>44721</v>
      </c>
      <c r="D2881" s="26">
        <v>0.77655092592592589</v>
      </c>
      <c r="E2881" t="s">
        <v>29</v>
      </c>
      <c r="F2881" t="s">
        <v>634</v>
      </c>
      <c r="G2881" t="s">
        <v>211</v>
      </c>
      <c r="H2881" t="s">
        <v>122</v>
      </c>
      <c r="I2881">
        <v>450.41</v>
      </c>
      <c r="J2881" s="32">
        <v>0</v>
      </c>
      <c r="K2881" s="90">
        <v>1139</v>
      </c>
      <c r="L2881" s="7">
        <v>1139</v>
      </c>
      <c r="M2881" s="10">
        <f t="shared" ref="M2881:M2899" si="171">I2881/K2881*100</f>
        <v>39.544337137840216</v>
      </c>
    </row>
    <row r="2882" spans="1:19" ht="15" hidden="1" customHeight="1" x14ac:dyDescent="0.3">
      <c r="A2882" s="9">
        <v>5847</v>
      </c>
      <c r="B2882" t="s">
        <v>349</v>
      </c>
      <c r="C2882" s="25">
        <v>44723</v>
      </c>
      <c r="D2882" s="26">
        <v>0.42281250000000004</v>
      </c>
      <c r="E2882" t="s">
        <v>29</v>
      </c>
      <c r="F2882" t="s">
        <v>651</v>
      </c>
      <c r="G2882" t="s">
        <v>172</v>
      </c>
      <c r="H2882" t="s">
        <v>122</v>
      </c>
      <c r="I2882">
        <v>381.46</v>
      </c>
      <c r="J2882" s="32">
        <v>0</v>
      </c>
      <c r="K2882" s="90">
        <v>1045</v>
      </c>
      <c r="L2882" s="7">
        <v>1045</v>
      </c>
      <c r="M2882" s="10">
        <f t="shared" si="171"/>
        <v>36.503349282296647</v>
      </c>
    </row>
    <row r="2883" spans="1:19" ht="15" hidden="1" customHeight="1" x14ac:dyDescent="0.3">
      <c r="A2883" s="9">
        <v>5896</v>
      </c>
      <c r="B2883" t="s">
        <v>349</v>
      </c>
      <c r="C2883" s="25">
        <v>44724</v>
      </c>
      <c r="D2883" s="26">
        <v>9.8819444444444446E-2</v>
      </c>
      <c r="E2883" t="s">
        <v>29</v>
      </c>
      <c r="F2883" t="s">
        <v>634</v>
      </c>
      <c r="G2883" t="s">
        <v>211</v>
      </c>
      <c r="H2883" t="s">
        <v>122</v>
      </c>
      <c r="I2883">
        <v>289.29000000000002</v>
      </c>
      <c r="J2883" s="32">
        <v>0</v>
      </c>
      <c r="K2883" s="89">
        <v>687</v>
      </c>
      <c r="L2883" s="7">
        <v>687</v>
      </c>
      <c r="M2883" s="10">
        <f t="shared" si="171"/>
        <v>42.109170305676855</v>
      </c>
    </row>
    <row r="2884" spans="1:19" ht="15" hidden="1" customHeight="1" x14ac:dyDescent="0.3">
      <c r="A2884" s="9">
        <v>5897</v>
      </c>
      <c r="B2884" t="s">
        <v>349</v>
      </c>
      <c r="C2884" s="25">
        <v>44724</v>
      </c>
      <c r="D2884" s="26">
        <v>0.82945601851851858</v>
      </c>
      <c r="E2884" t="s">
        <v>29</v>
      </c>
      <c r="F2884" t="s">
        <v>634</v>
      </c>
      <c r="G2884" t="s">
        <v>211</v>
      </c>
      <c r="H2884" t="s">
        <v>122</v>
      </c>
      <c r="I2884">
        <v>349.59</v>
      </c>
      <c r="J2884" s="32">
        <v>0</v>
      </c>
      <c r="K2884" s="89">
        <v>910</v>
      </c>
      <c r="L2884" s="7">
        <v>910</v>
      </c>
      <c r="M2884" s="10">
        <f t="shared" si="171"/>
        <v>38.41648351648351</v>
      </c>
    </row>
    <row r="2885" spans="1:19" ht="15" hidden="1" customHeight="1" x14ac:dyDescent="0.3">
      <c r="A2885" s="9">
        <v>5956</v>
      </c>
      <c r="B2885" t="s">
        <v>349</v>
      </c>
      <c r="C2885" s="25">
        <v>44725</v>
      </c>
      <c r="D2885" s="26">
        <v>0.83151620370370372</v>
      </c>
      <c r="E2885" t="s">
        <v>29</v>
      </c>
      <c r="F2885" t="s">
        <v>693</v>
      </c>
      <c r="G2885" t="s">
        <v>277</v>
      </c>
      <c r="H2885" t="s">
        <v>122</v>
      </c>
      <c r="I2885">
        <v>299.37</v>
      </c>
      <c r="J2885" s="32">
        <v>0</v>
      </c>
      <c r="K2885" s="89">
        <v>791</v>
      </c>
      <c r="L2885" s="7">
        <v>791</v>
      </c>
      <c r="M2885" s="10">
        <f t="shared" si="171"/>
        <v>37.847029077117575</v>
      </c>
      <c r="N2885" s="2"/>
      <c r="O2885" s="2"/>
      <c r="P2885" s="2"/>
      <c r="Q2885" s="2"/>
      <c r="R2885" s="2"/>
      <c r="S2885" s="2"/>
    </row>
    <row r="2886" spans="1:19" ht="15" hidden="1" customHeight="1" x14ac:dyDescent="0.3">
      <c r="A2886" s="9">
        <v>6012</v>
      </c>
      <c r="B2886" t="s">
        <v>349</v>
      </c>
      <c r="C2886" s="25">
        <v>44726</v>
      </c>
      <c r="D2886" s="26">
        <v>0.81439814814814815</v>
      </c>
      <c r="E2886" t="s">
        <v>29</v>
      </c>
      <c r="F2886" t="s">
        <v>639</v>
      </c>
      <c r="G2886" t="s">
        <v>44</v>
      </c>
      <c r="H2886" t="s">
        <v>122</v>
      </c>
      <c r="I2886">
        <v>165.35</v>
      </c>
      <c r="J2886" s="32">
        <v>0</v>
      </c>
      <c r="K2886" s="89">
        <v>412</v>
      </c>
      <c r="L2886" s="7">
        <v>412</v>
      </c>
      <c r="M2886" s="10">
        <f t="shared" si="171"/>
        <v>40.133495145631066</v>
      </c>
    </row>
    <row r="2887" spans="1:19" ht="15" hidden="1" customHeight="1" x14ac:dyDescent="0.3">
      <c r="A2887" s="9">
        <v>6075</v>
      </c>
      <c r="B2887" t="s">
        <v>349</v>
      </c>
      <c r="C2887" s="25">
        <v>44727</v>
      </c>
      <c r="D2887" s="26">
        <v>0.5097800925925926</v>
      </c>
      <c r="E2887" t="s">
        <v>29</v>
      </c>
      <c r="F2887" t="s">
        <v>634</v>
      </c>
      <c r="G2887" t="s">
        <v>211</v>
      </c>
      <c r="H2887" t="s">
        <v>122</v>
      </c>
      <c r="I2887">
        <v>255.19</v>
      </c>
      <c r="J2887" s="32">
        <v>0</v>
      </c>
      <c r="K2887" s="89">
        <v>587</v>
      </c>
      <c r="L2887" s="7">
        <v>587</v>
      </c>
      <c r="M2887" s="10">
        <f t="shared" si="171"/>
        <v>43.473594548551958</v>
      </c>
    </row>
    <row r="2888" spans="1:19" ht="15" hidden="1" customHeight="1" x14ac:dyDescent="0.3">
      <c r="A2888" s="9">
        <v>6126</v>
      </c>
      <c r="B2888" t="s">
        <v>349</v>
      </c>
      <c r="C2888" s="25">
        <v>44728</v>
      </c>
      <c r="D2888" s="26">
        <v>0.69030092592592596</v>
      </c>
      <c r="E2888" t="s">
        <v>29</v>
      </c>
      <c r="F2888" t="s">
        <v>634</v>
      </c>
      <c r="G2888" t="s">
        <v>211</v>
      </c>
      <c r="H2888" t="s">
        <v>122</v>
      </c>
      <c r="I2888">
        <v>400.29</v>
      </c>
      <c r="J2888" s="32">
        <v>0</v>
      </c>
      <c r="K2888" s="89">
        <v>1063</v>
      </c>
      <c r="L2888" s="31">
        <v>1063</v>
      </c>
      <c r="M2888" s="10">
        <f t="shared" si="171"/>
        <v>37.656632173095019</v>
      </c>
    </row>
    <row r="2889" spans="1:19" ht="15" hidden="1" customHeight="1" x14ac:dyDescent="0.3">
      <c r="A2889" s="9">
        <v>6177</v>
      </c>
      <c r="B2889" t="s">
        <v>349</v>
      </c>
      <c r="C2889" s="25">
        <v>44729</v>
      </c>
      <c r="D2889" s="26">
        <v>0.55084490740740744</v>
      </c>
      <c r="E2889" t="s">
        <v>29</v>
      </c>
      <c r="F2889" t="s">
        <v>693</v>
      </c>
      <c r="G2889" t="s">
        <v>277</v>
      </c>
      <c r="H2889" t="s">
        <v>122</v>
      </c>
      <c r="I2889">
        <v>282.02</v>
      </c>
      <c r="J2889" s="55">
        <v>0</v>
      </c>
      <c r="K2889" s="89">
        <v>790</v>
      </c>
      <c r="L2889" s="7">
        <v>790</v>
      </c>
      <c r="M2889" s="10">
        <f t="shared" si="171"/>
        <v>35.698734177215186</v>
      </c>
    </row>
    <row r="2890" spans="1:19" ht="15" hidden="1" customHeight="1" x14ac:dyDescent="0.3">
      <c r="A2890" s="9">
        <v>6248</v>
      </c>
      <c r="B2890" t="s">
        <v>349</v>
      </c>
      <c r="C2890" s="25">
        <v>44731</v>
      </c>
      <c r="D2890" s="26">
        <v>0.94707175925925924</v>
      </c>
      <c r="E2890" t="s">
        <v>29</v>
      </c>
      <c r="F2890" t="s">
        <v>639</v>
      </c>
      <c r="G2890" t="s">
        <v>44</v>
      </c>
      <c r="H2890" t="s">
        <v>122</v>
      </c>
      <c r="I2890">
        <v>168.47</v>
      </c>
      <c r="J2890" s="32">
        <v>0</v>
      </c>
      <c r="K2890" s="89">
        <v>443</v>
      </c>
      <c r="L2890" s="7">
        <v>443</v>
      </c>
      <c r="M2890" s="10">
        <f t="shared" si="171"/>
        <v>38.029345372460497</v>
      </c>
    </row>
    <row r="2891" spans="1:19" ht="15" hidden="1" customHeight="1" x14ac:dyDescent="0.3">
      <c r="A2891" s="9">
        <v>6278</v>
      </c>
      <c r="B2891" t="s">
        <v>349</v>
      </c>
      <c r="C2891" s="25">
        <v>44732</v>
      </c>
      <c r="D2891" s="26">
        <v>0.71412037037037035</v>
      </c>
      <c r="E2891" t="s">
        <v>29</v>
      </c>
      <c r="F2891" t="s">
        <v>634</v>
      </c>
      <c r="G2891" t="s">
        <v>211</v>
      </c>
      <c r="H2891" t="s">
        <v>122</v>
      </c>
      <c r="I2891">
        <v>282.62</v>
      </c>
      <c r="J2891" s="32">
        <v>0</v>
      </c>
      <c r="K2891" s="89">
        <v>588</v>
      </c>
      <c r="L2891" s="7">
        <v>588</v>
      </c>
      <c r="M2891" s="10">
        <f t="shared" si="171"/>
        <v>48.064625850340136</v>
      </c>
    </row>
    <row r="2892" spans="1:19" ht="15" hidden="1" customHeight="1" x14ac:dyDescent="0.3">
      <c r="A2892" s="9">
        <v>6357</v>
      </c>
      <c r="B2892" t="s">
        <v>349</v>
      </c>
      <c r="C2892" s="25">
        <v>44734</v>
      </c>
      <c r="D2892" s="26">
        <v>0.58693287037037034</v>
      </c>
      <c r="E2892" t="s">
        <v>29</v>
      </c>
      <c r="F2892" t="s">
        <v>634</v>
      </c>
      <c r="G2892" t="s">
        <v>211</v>
      </c>
      <c r="H2892" t="s">
        <v>122</v>
      </c>
      <c r="I2892">
        <v>434.96</v>
      </c>
      <c r="J2892" s="32">
        <v>0</v>
      </c>
      <c r="K2892" s="89">
        <v>1063</v>
      </c>
      <c r="L2892" s="7">
        <v>1063</v>
      </c>
      <c r="M2892" s="10">
        <f t="shared" si="171"/>
        <v>40.918156161806209</v>
      </c>
    </row>
    <row r="2893" spans="1:19" ht="15" hidden="1" customHeight="1" x14ac:dyDescent="0.3">
      <c r="A2893" s="9">
        <v>6405</v>
      </c>
      <c r="B2893" t="s">
        <v>349</v>
      </c>
      <c r="C2893" s="25">
        <v>44735</v>
      </c>
      <c r="D2893" s="26">
        <v>0.50040509259259258</v>
      </c>
      <c r="E2893" t="s">
        <v>29</v>
      </c>
      <c r="F2893" t="s">
        <v>693</v>
      </c>
      <c r="G2893" t="s">
        <v>277</v>
      </c>
      <c r="H2893" t="s">
        <v>122</v>
      </c>
      <c r="I2893">
        <v>294.88</v>
      </c>
      <c r="J2893" s="32">
        <v>0</v>
      </c>
      <c r="K2893" s="89">
        <v>797</v>
      </c>
      <c r="L2893" s="7">
        <v>797</v>
      </c>
      <c r="M2893" s="10">
        <f t="shared" si="171"/>
        <v>36.998745294855709</v>
      </c>
    </row>
    <row r="2894" spans="1:19" ht="15" hidden="1" customHeight="1" x14ac:dyDescent="0.3">
      <c r="A2894" s="9">
        <v>6406</v>
      </c>
      <c r="B2894" t="s">
        <v>349</v>
      </c>
      <c r="C2894" s="25">
        <v>44735</v>
      </c>
      <c r="D2894" s="26">
        <v>0.77384259259259258</v>
      </c>
      <c r="E2894" t="s">
        <v>29</v>
      </c>
      <c r="F2894" t="s">
        <v>639</v>
      </c>
      <c r="G2894" t="s">
        <v>44</v>
      </c>
      <c r="H2894" t="s">
        <v>122</v>
      </c>
      <c r="I2894" s="148">
        <v>128.18</v>
      </c>
      <c r="J2894" s="37">
        <v>0</v>
      </c>
      <c r="K2894" s="89">
        <v>346</v>
      </c>
      <c r="L2894" s="7">
        <v>346</v>
      </c>
      <c r="M2894" s="10">
        <f t="shared" si="171"/>
        <v>37.046242774566473</v>
      </c>
    </row>
    <row r="2895" spans="1:19" ht="15" hidden="1" customHeight="1" x14ac:dyDescent="0.3">
      <c r="A2895" s="9">
        <v>6463</v>
      </c>
      <c r="B2895" t="s">
        <v>349</v>
      </c>
      <c r="C2895" s="25">
        <v>44736</v>
      </c>
      <c r="D2895" s="26">
        <v>0.49649305555555556</v>
      </c>
      <c r="E2895" t="s">
        <v>29</v>
      </c>
      <c r="F2895" t="s">
        <v>634</v>
      </c>
      <c r="G2895" t="s">
        <v>211</v>
      </c>
      <c r="H2895" t="s">
        <v>122</v>
      </c>
      <c r="I2895" s="148">
        <v>260.74</v>
      </c>
      <c r="J2895" s="37">
        <v>0</v>
      </c>
      <c r="K2895" s="89">
        <v>587</v>
      </c>
      <c r="L2895" s="7">
        <v>587</v>
      </c>
      <c r="M2895" s="10">
        <f t="shared" si="171"/>
        <v>44.419080068143103</v>
      </c>
    </row>
    <row r="2896" spans="1:19" ht="15" hidden="1" customHeight="1" x14ac:dyDescent="0.3">
      <c r="A2896" s="9">
        <v>6464</v>
      </c>
      <c r="B2896" t="s">
        <v>349</v>
      </c>
      <c r="C2896" s="25">
        <v>44736</v>
      </c>
      <c r="D2896" s="26">
        <v>0.98743055555555559</v>
      </c>
      <c r="E2896" t="s">
        <v>29</v>
      </c>
      <c r="F2896" t="s">
        <v>645</v>
      </c>
      <c r="G2896" t="s">
        <v>279</v>
      </c>
      <c r="H2896" t="s">
        <v>122</v>
      </c>
      <c r="I2896" s="148">
        <v>140.01</v>
      </c>
      <c r="J2896" s="37">
        <v>0</v>
      </c>
      <c r="K2896" s="89">
        <v>560</v>
      </c>
      <c r="L2896" s="7">
        <v>560</v>
      </c>
      <c r="M2896" s="10">
        <f t="shared" si="171"/>
        <v>25.001785714285713</v>
      </c>
    </row>
    <row r="2897" spans="1:13" ht="15" hidden="1" customHeight="1" x14ac:dyDescent="0.3">
      <c r="A2897" s="9">
        <v>6567</v>
      </c>
      <c r="B2897" t="s">
        <v>349</v>
      </c>
      <c r="C2897" s="25">
        <v>44738</v>
      </c>
      <c r="D2897" s="26">
        <v>0.60042824074074075</v>
      </c>
      <c r="E2897" t="s">
        <v>29</v>
      </c>
      <c r="F2897" t="s">
        <v>634</v>
      </c>
      <c r="G2897" t="s">
        <v>211</v>
      </c>
      <c r="H2897" t="s">
        <v>122</v>
      </c>
      <c r="I2897" s="148">
        <v>441.65</v>
      </c>
      <c r="J2897" s="32">
        <v>0</v>
      </c>
      <c r="K2897" s="89">
        <v>783</v>
      </c>
      <c r="L2897" s="7">
        <v>783</v>
      </c>
      <c r="M2897" s="10">
        <f t="shared" si="171"/>
        <v>56.404853128991064</v>
      </c>
    </row>
    <row r="2898" spans="1:13" ht="15" hidden="1" customHeight="1" x14ac:dyDescent="0.3">
      <c r="A2898" s="9">
        <v>6685</v>
      </c>
      <c r="B2898" t="s">
        <v>349</v>
      </c>
      <c r="C2898" s="25">
        <v>44740</v>
      </c>
      <c r="D2898" s="26">
        <v>0.4071643518518519</v>
      </c>
      <c r="E2898" t="s">
        <v>29</v>
      </c>
      <c r="F2898" t="s">
        <v>639</v>
      </c>
      <c r="G2898" t="s">
        <v>44</v>
      </c>
      <c r="H2898" t="s">
        <v>122</v>
      </c>
      <c r="I2898" s="148">
        <v>134.13999999999999</v>
      </c>
      <c r="J2898" s="33">
        <v>0</v>
      </c>
      <c r="K2898" s="89">
        <v>377</v>
      </c>
      <c r="L2898" s="34">
        <v>377</v>
      </c>
      <c r="M2898" s="10">
        <f t="shared" si="171"/>
        <v>35.580901856763923</v>
      </c>
    </row>
    <row r="2899" spans="1:13" ht="15" hidden="1" customHeight="1" x14ac:dyDescent="0.3">
      <c r="A2899" s="9">
        <v>6686</v>
      </c>
      <c r="B2899" t="s">
        <v>349</v>
      </c>
      <c r="C2899" s="25">
        <v>44740</v>
      </c>
      <c r="D2899" s="26">
        <v>0.81847222222222227</v>
      </c>
      <c r="E2899" t="s">
        <v>29</v>
      </c>
      <c r="F2899" t="s">
        <v>634</v>
      </c>
      <c r="G2899" t="s">
        <v>211</v>
      </c>
      <c r="H2899" t="s">
        <v>122</v>
      </c>
      <c r="I2899" s="148">
        <v>45.21</v>
      </c>
      <c r="J2899" s="33">
        <v>0</v>
      </c>
      <c r="K2899" s="89">
        <v>587</v>
      </c>
      <c r="L2899" s="7">
        <v>587</v>
      </c>
      <c r="M2899" s="10">
        <f t="shared" si="171"/>
        <v>7.7018739352640546</v>
      </c>
    </row>
    <row r="2900" spans="1:13" ht="15" hidden="1" customHeight="1" x14ac:dyDescent="0.3">
      <c r="A2900" s="9">
        <v>6751</v>
      </c>
      <c r="B2900" t="s">
        <v>349</v>
      </c>
      <c r="C2900" s="25">
        <v>44742</v>
      </c>
      <c r="D2900" s="26">
        <v>0.3079513888888889</v>
      </c>
      <c r="E2900" t="s">
        <v>29</v>
      </c>
      <c r="F2900" t="s">
        <v>210</v>
      </c>
      <c r="G2900" t="s">
        <v>211</v>
      </c>
      <c r="H2900" t="s">
        <v>122</v>
      </c>
      <c r="I2900" s="148">
        <v>450.03</v>
      </c>
      <c r="J2900" s="56"/>
      <c r="K2900" s="56">
        <v>1211</v>
      </c>
      <c r="L2900" s="54">
        <f>+K2900-J2900</f>
        <v>1211</v>
      </c>
      <c r="M2900" s="131">
        <f>I2900/L2900*100</f>
        <v>37.161849710982658</v>
      </c>
    </row>
    <row r="2901" spans="1:13" ht="15" hidden="1" customHeight="1" x14ac:dyDescent="0.3">
      <c r="A2901" s="9">
        <v>6836</v>
      </c>
      <c r="B2901" t="s">
        <v>183</v>
      </c>
      <c r="C2901" s="25">
        <v>44754</v>
      </c>
      <c r="D2901" s="26">
        <v>0.77380787037037047</v>
      </c>
      <c r="E2901" t="s">
        <v>30</v>
      </c>
      <c r="F2901" t="s">
        <v>197</v>
      </c>
      <c r="G2901" t="s">
        <v>44</v>
      </c>
      <c r="H2901" t="s">
        <v>184</v>
      </c>
      <c r="I2901" s="173" t="s">
        <v>930</v>
      </c>
      <c r="J2901" s="23"/>
      <c r="K2901" s="90"/>
      <c r="L2901" s="185"/>
      <c r="M2901" s="254"/>
    </row>
    <row r="2902" spans="1:13" ht="15" hidden="1" customHeight="1" x14ac:dyDescent="0.3">
      <c r="B2902" t="s">
        <v>183</v>
      </c>
      <c r="C2902" s="25">
        <v>44755</v>
      </c>
      <c r="D2902" s="26">
        <v>0.46574074074074073</v>
      </c>
      <c r="E2902" t="s">
        <v>30</v>
      </c>
      <c r="F2902" t="s">
        <v>210</v>
      </c>
      <c r="G2902" t="s">
        <v>211</v>
      </c>
      <c r="H2902" t="s">
        <v>184</v>
      </c>
      <c r="I2902" s="173" t="s">
        <v>1073</v>
      </c>
      <c r="J2902" s="23"/>
      <c r="K2902" s="90"/>
      <c r="L2902" s="185"/>
      <c r="M2902" s="254"/>
    </row>
    <row r="2903" spans="1:13" ht="15" hidden="1" customHeight="1" x14ac:dyDescent="0.3">
      <c r="B2903" t="s">
        <v>183</v>
      </c>
      <c r="C2903" s="25">
        <v>44756</v>
      </c>
      <c r="D2903" s="26">
        <v>0.45521990740740742</v>
      </c>
      <c r="E2903" t="s">
        <v>30</v>
      </c>
      <c r="F2903" t="s">
        <v>210</v>
      </c>
      <c r="G2903" t="s">
        <v>211</v>
      </c>
      <c r="H2903" t="s">
        <v>184</v>
      </c>
      <c r="I2903" s="173" t="s">
        <v>1072</v>
      </c>
      <c r="J2903" s="231">
        <f>334+307+107+135+166</f>
        <v>1049</v>
      </c>
      <c r="K2903" s="151"/>
      <c r="L2903" s="261">
        <v>2682</v>
      </c>
      <c r="M2903" s="150">
        <f>+J2903/L2903*100</f>
        <v>39.112602535421324</v>
      </c>
    </row>
    <row r="2904" spans="1:13" ht="15" hidden="1" customHeight="1" x14ac:dyDescent="0.3">
      <c r="A2904" s="9">
        <v>6829</v>
      </c>
      <c r="B2904" t="s">
        <v>183</v>
      </c>
      <c r="C2904" s="25">
        <v>44756</v>
      </c>
      <c r="D2904" s="26">
        <v>0.91552083333333334</v>
      </c>
      <c r="E2904" t="s">
        <v>30</v>
      </c>
      <c r="F2904" t="s">
        <v>169</v>
      </c>
      <c r="G2904" t="s">
        <v>196</v>
      </c>
      <c r="H2904" t="s">
        <v>184</v>
      </c>
      <c r="I2904" s="173" t="s">
        <v>1071</v>
      </c>
      <c r="J2904" s="23"/>
      <c r="K2904" s="90"/>
      <c r="L2904" s="185"/>
      <c r="M2904" s="254"/>
    </row>
    <row r="2905" spans="1:13" ht="15" hidden="1" customHeight="1" x14ac:dyDescent="0.3">
      <c r="A2905" s="9">
        <v>6556</v>
      </c>
      <c r="B2905" t="s">
        <v>469</v>
      </c>
      <c r="C2905" s="25">
        <v>44738</v>
      </c>
      <c r="D2905" s="26">
        <v>0.82342592592592589</v>
      </c>
      <c r="E2905" t="s">
        <v>29</v>
      </c>
      <c r="F2905" t="s">
        <v>634</v>
      </c>
      <c r="G2905" t="s">
        <v>211</v>
      </c>
      <c r="H2905" t="s">
        <v>255</v>
      </c>
      <c r="I2905" s="148">
        <v>326.39999999999998</v>
      </c>
      <c r="J2905" s="266">
        <f>326+169+68+170+155+358+437</f>
        <v>1683</v>
      </c>
      <c r="K2905" s="264">
        <v>587</v>
      </c>
      <c r="L2905" s="203">
        <v>3649</v>
      </c>
      <c r="M2905" s="243">
        <f>+J2905/L2905*100</f>
        <v>46.122225267196491</v>
      </c>
    </row>
    <row r="2906" spans="1:13" ht="15" hidden="1" customHeight="1" x14ac:dyDescent="0.3">
      <c r="A2906" s="9">
        <v>6831</v>
      </c>
      <c r="B2906" t="s">
        <v>183</v>
      </c>
      <c r="C2906" s="25">
        <v>44756</v>
      </c>
      <c r="D2906" s="26">
        <v>0.91850694444444436</v>
      </c>
      <c r="E2906" t="s">
        <v>30</v>
      </c>
      <c r="F2906" t="s">
        <v>169</v>
      </c>
      <c r="G2906" t="s">
        <v>196</v>
      </c>
      <c r="H2906" t="s">
        <v>184</v>
      </c>
      <c r="I2906" s="173" t="s">
        <v>1070</v>
      </c>
      <c r="J2906" s="23"/>
      <c r="K2906" s="90"/>
      <c r="L2906" s="185"/>
      <c r="M2906" s="254"/>
    </row>
    <row r="2907" spans="1:13" ht="15" hidden="1" customHeight="1" x14ac:dyDescent="0.3">
      <c r="B2907" t="s">
        <v>183</v>
      </c>
      <c r="C2907" s="25">
        <v>44757</v>
      </c>
      <c r="D2907" s="26">
        <v>0.85827546296296298</v>
      </c>
      <c r="E2907" t="s">
        <v>30</v>
      </c>
      <c r="F2907" t="s">
        <v>772</v>
      </c>
      <c r="G2907" t="s">
        <v>44</v>
      </c>
      <c r="H2907" t="s">
        <v>184</v>
      </c>
      <c r="I2907" s="173" t="s">
        <v>790</v>
      </c>
      <c r="J2907" s="23"/>
      <c r="K2907" s="90"/>
      <c r="L2907" s="185"/>
      <c r="M2907" s="254"/>
    </row>
    <row r="2908" spans="1:13" ht="15" hidden="1" customHeight="1" x14ac:dyDescent="0.3">
      <c r="A2908" s="9">
        <v>6830</v>
      </c>
      <c r="B2908" t="s">
        <v>183</v>
      </c>
      <c r="C2908" s="25">
        <v>44757</v>
      </c>
      <c r="D2908" s="26">
        <v>0.86194444444444451</v>
      </c>
      <c r="E2908" t="s">
        <v>30</v>
      </c>
      <c r="F2908" t="s">
        <v>772</v>
      </c>
      <c r="G2908" t="s">
        <v>44</v>
      </c>
      <c r="H2908" t="s">
        <v>184</v>
      </c>
      <c r="I2908" s="173" t="s">
        <v>1069</v>
      </c>
      <c r="J2908" s="23"/>
      <c r="K2908" s="90"/>
      <c r="L2908" s="185"/>
      <c r="M2908" s="254"/>
    </row>
    <row r="2909" spans="1:13" ht="15" hidden="1" customHeight="1" x14ac:dyDescent="0.3">
      <c r="A2909" s="9">
        <v>6843</v>
      </c>
      <c r="B2909" t="s">
        <v>183</v>
      </c>
      <c r="C2909" s="25">
        <v>44758</v>
      </c>
      <c r="D2909" s="26">
        <v>0.59127314814814813</v>
      </c>
      <c r="E2909" t="s">
        <v>30</v>
      </c>
      <c r="F2909" t="s">
        <v>210</v>
      </c>
      <c r="G2909" t="s">
        <v>211</v>
      </c>
      <c r="H2909" t="s">
        <v>184</v>
      </c>
      <c r="I2909" s="159" t="s">
        <v>1068</v>
      </c>
      <c r="J2909" s="268">
        <f>321+113+135+90+100</f>
        <v>759</v>
      </c>
      <c r="K2909" s="167"/>
      <c r="L2909" s="295">
        <v>1751</v>
      </c>
      <c r="M2909" s="303">
        <f>+J2909/L2909*100</f>
        <v>43.346659051970306</v>
      </c>
    </row>
    <row r="2910" spans="1:13" ht="15" hidden="1" customHeight="1" x14ac:dyDescent="0.3">
      <c r="A2910" s="9">
        <v>6840</v>
      </c>
      <c r="B2910" t="s">
        <v>183</v>
      </c>
      <c r="C2910" s="25">
        <v>44758</v>
      </c>
      <c r="D2910" s="26">
        <v>0.97798611111111111</v>
      </c>
      <c r="E2910" t="s">
        <v>30</v>
      </c>
      <c r="F2910" t="s">
        <v>165</v>
      </c>
      <c r="G2910" t="s">
        <v>185</v>
      </c>
      <c r="H2910" t="s">
        <v>184</v>
      </c>
      <c r="I2910" s="159" t="s">
        <v>932</v>
      </c>
      <c r="J2910" s="23"/>
      <c r="K2910" s="89"/>
      <c r="L2910" s="296"/>
      <c r="M2910" s="269"/>
    </row>
    <row r="2911" spans="1:13" ht="15" hidden="1" customHeight="1" x14ac:dyDescent="0.3">
      <c r="B2911" t="s">
        <v>183</v>
      </c>
      <c r="C2911" s="25">
        <v>44759</v>
      </c>
      <c r="D2911" s="26">
        <v>0.56505787037037036</v>
      </c>
      <c r="E2911" t="s">
        <v>30</v>
      </c>
      <c r="F2911" t="s">
        <v>210</v>
      </c>
      <c r="G2911" t="s">
        <v>211</v>
      </c>
      <c r="H2911" t="s">
        <v>184</v>
      </c>
      <c r="I2911" s="159" t="s">
        <v>1067</v>
      </c>
      <c r="J2911" s="256">
        <f>159+250</f>
        <v>409</v>
      </c>
      <c r="K2911" s="255"/>
      <c r="L2911" s="261">
        <v>1062</v>
      </c>
      <c r="M2911" s="304">
        <f>+J2911/L2911*100</f>
        <v>38.512241054613938</v>
      </c>
    </row>
    <row r="2912" spans="1:13" ht="15" hidden="1" customHeight="1" x14ac:dyDescent="0.3">
      <c r="A2912" s="9">
        <v>457</v>
      </c>
      <c r="B2912" t="s">
        <v>469</v>
      </c>
      <c r="C2912" s="25">
        <v>44617</v>
      </c>
      <c r="D2912" s="26">
        <v>0.42101851851851851</v>
      </c>
      <c r="E2912" t="s">
        <v>25</v>
      </c>
      <c r="F2912" t="s">
        <v>175</v>
      </c>
      <c r="G2912" t="s">
        <v>172</v>
      </c>
      <c r="H2912" t="s">
        <v>207</v>
      </c>
      <c r="I2912">
        <v>358.6</v>
      </c>
      <c r="J2912" s="31">
        <v>0</v>
      </c>
      <c r="K2912" s="11">
        <f t="shared" ref="K2912:K2953" si="172">+L2912-J2912</f>
        <v>946.4</v>
      </c>
      <c r="L2912" s="37">
        <v>946.4</v>
      </c>
      <c r="M2912" s="10">
        <f t="shared" ref="M2912:M2943" si="173">I2912/K2912*100</f>
        <v>37.890955198647511</v>
      </c>
    </row>
    <row r="2913" spans="1:13" ht="15" hidden="1" customHeight="1" x14ac:dyDescent="0.3">
      <c r="A2913" s="9">
        <v>458</v>
      </c>
      <c r="B2913" t="s">
        <v>469</v>
      </c>
      <c r="C2913" s="25">
        <v>44618</v>
      </c>
      <c r="D2913" s="26">
        <v>0.33979166666666666</v>
      </c>
      <c r="E2913" t="s">
        <v>25</v>
      </c>
      <c r="F2913" t="s">
        <v>210</v>
      </c>
      <c r="G2913" t="s">
        <v>211</v>
      </c>
      <c r="H2913" t="s">
        <v>207</v>
      </c>
      <c r="I2913">
        <v>311.41000000000003</v>
      </c>
      <c r="J2913" s="31">
        <v>0</v>
      </c>
      <c r="K2913" s="11">
        <f t="shared" si="172"/>
        <v>856.35</v>
      </c>
      <c r="L2913" s="32">
        <v>856.35</v>
      </c>
      <c r="M2913" s="10">
        <f t="shared" si="173"/>
        <v>36.364804110468853</v>
      </c>
    </row>
    <row r="2914" spans="1:13" ht="15" hidden="1" customHeight="1" x14ac:dyDescent="0.3">
      <c r="A2914" s="9">
        <v>459</v>
      </c>
      <c r="B2914" t="s">
        <v>469</v>
      </c>
      <c r="C2914" s="25">
        <v>44620</v>
      </c>
      <c r="D2914" s="26">
        <v>0.76560185185185192</v>
      </c>
      <c r="E2914" t="s">
        <v>25</v>
      </c>
      <c r="F2914" t="s">
        <v>210</v>
      </c>
      <c r="G2914" t="s">
        <v>211</v>
      </c>
      <c r="H2914" t="s">
        <v>207</v>
      </c>
      <c r="I2914">
        <v>351.67</v>
      </c>
      <c r="J2914" s="31">
        <v>0</v>
      </c>
      <c r="K2914" s="11">
        <f t="shared" si="172"/>
        <v>896.7</v>
      </c>
      <c r="L2914" s="32">
        <v>896.7</v>
      </c>
      <c r="M2914" s="10">
        <f t="shared" si="173"/>
        <v>39.218244674919148</v>
      </c>
    </row>
    <row r="2915" spans="1:13" ht="15" hidden="1" customHeight="1" x14ac:dyDescent="0.3">
      <c r="A2915" s="9">
        <v>1489</v>
      </c>
      <c r="B2915" t="s">
        <v>469</v>
      </c>
      <c r="C2915" s="25">
        <v>44622</v>
      </c>
      <c r="D2915" s="26">
        <v>0.8669675925925926</v>
      </c>
      <c r="E2915" t="s">
        <v>26</v>
      </c>
      <c r="F2915" t="s">
        <v>175</v>
      </c>
      <c r="G2915" t="s">
        <v>172</v>
      </c>
      <c r="H2915" t="s">
        <v>207</v>
      </c>
      <c r="I2915">
        <v>313.02999999999997</v>
      </c>
      <c r="J2915" s="7">
        <v>0</v>
      </c>
      <c r="K2915" s="89">
        <f t="shared" si="172"/>
        <v>934.87</v>
      </c>
      <c r="L2915" s="37">
        <v>934.87</v>
      </c>
      <c r="M2915" s="10">
        <f t="shared" si="173"/>
        <v>33.483799886615252</v>
      </c>
    </row>
    <row r="2916" spans="1:13" ht="15" hidden="1" customHeight="1" x14ac:dyDescent="0.3">
      <c r="A2916" s="9">
        <v>1490</v>
      </c>
      <c r="B2916" t="s">
        <v>469</v>
      </c>
      <c r="C2916" s="25">
        <v>44623</v>
      </c>
      <c r="D2916" s="26">
        <v>0.98690972222222229</v>
      </c>
      <c r="E2916" t="s">
        <v>26</v>
      </c>
      <c r="F2916" t="s">
        <v>210</v>
      </c>
      <c r="G2916" t="s">
        <v>211</v>
      </c>
      <c r="H2916" t="s">
        <v>207</v>
      </c>
      <c r="I2916">
        <v>320.70999999999998</v>
      </c>
      <c r="J2916" s="34">
        <v>0</v>
      </c>
      <c r="K2916" s="89">
        <f t="shared" si="172"/>
        <v>853.21</v>
      </c>
      <c r="L2916" s="7">
        <v>853.21</v>
      </c>
      <c r="M2916" s="10">
        <f t="shared" si="173"/>
        <v>37.588635857526285</v>
      </c>
    </row>
    <row r="2917" spans="1:13" ht="15" hidden="1" customHeight="1" x14ac:dyDescent="0.3">
      <c r="A2917" s="9">
        <v>1491</v>
      </c>
      <c r="B2917" t="s">
        <v>469</v>
      </c>
      <c r="C2917" s="25">
        <v>44624</v>
      </c>
      <c r="D2917" s="26">
        <v>0.94170138888888888</v>
      </c>
      <c r="E2917" t="s">
        <v>26</v>
      </c>
      <c r="F2917" t="s">
        <v>210</v>
      </c>
      <c r="G2917" t="s">
        <v>211</v>
      </c>
      <c r="H2917" t="s">
        <v>207</v>
      </c>
      <c r="I2917">
        <v>352.06</v>
      </c>
      <c r="J2917" s="34">
        <v>0</v>
      </c>
      <c r="K2917" s="89">
        <f t="shared" si="172"/>
        <v>894.47</v>
      </c>
      <c r="L2917" s="32">
        <v>894.47</v>
      </c>
      <c r="M2917" s="10">
        <f t="shared" si="173"/>
        <v>39.359620781021164</v>
      </c>
    </row>
    <row r="2918" spans="1:13" ht="15" hidden="1" customHeight="1" x14ac:dyDescent="0.3">
      <c r="A2918" s="9">
        <v>1492</v>
      </c>
      <c r="B2918" t="s">
        <v>469</v>
      </c>
      <c r="C2918" s="25">
        <v>44626</v>
      </c>
      <c r="D2918" s="26">
        <v>0.48033564814814816</v>
      </c>
      <c r="E2918" t="s">
        <v>26</v>
      </c>
      <c r="F2918" t="s">
        <v>428</v>
      </c>
      <c r="G2918" t="s">
        <v>429</v>
      </c>
      <c r="H2918" t="s">
        <v>207</v>
      </c>
      <c r="I2918">
        <v>303.67</v>
      </c>
      <c r="J2918" s="7">
        <v>0</v>
      </c>
      <c r="K2918" s="89">
        <f t="shared" si="172"/>
        <v>888.23</v>
      </c>
      <c r="L2918" s="37">
        <v>888.23</v>
      </c>
      <c r="M2918" s="10">
        <f t="shared" si="173"/>
        <v>34.18821701586301</v>
      </c>
    </row>
    <row r="2919" spans="1:13" ht="15" hidden="1" customHeight="1" x14ac:dyDescent="0.3">
      <c r="A2919" s="9">
        <v>1493</v>
      </c>
      <c r="B2919" t="s">
        <v>469</v>
      </c>
      <c r="C2919" s="25">
        <v>44628</v>
      </c>
      <c r="D2919" s="26">
        <v>0.52827546296296302</v>
      </c>
      <c r="E2919" t="s">
        <v>26</v>
      </c>
      <c r="F2919" t="s">
        <v>210</v>
      </c>
      <c r="G2919" t="s">
        <v>211</v>
      </c>
      <c r="H2919" t="s">
        <v>207</v>
      </c>
      <c r="I2919">
        <v>384.15</v>
      </c>
      <c r="J2919" s="7">
        <v>0</v>
      </c>
      <c r="K2919" s="89">
        <f t="shared" si="172"/>
        <v>1002.89</v>
      </c>
      <c r="L2919" s="32">
        <v>1002.89</v>
      </c>
      <c r="M2919" s="36">
        <f t="shared" si="173"/>
        <v>38.304300571348797</v>
      </c>
    </row>
    <row r="2920" spans="1:13" ht="15" hidden="1" customHeight="1" x14ac:dyDescent="0.3">
      <c r="A2920" s="9">
        <v>1494</v>
      </c>
      <c r="B2920" t="s">
        <v>469</v>
      </c>
      <c r="C2920" s="25">
        <v>44629</v>
      </c>
      <c r="D2920" s="26">
        <v>2.9641203703703701E-2</v>
      </c>
      <c r="E2920" t="s">
        <v>26</v>
      </c>
      <c r="F2920" t="s">
        <v>165</v>
      </c>
      <c r="G2920" t="s">
        <v>185</v>
      </c>
      <c r="H2920" t="s">
        <v>207</v>
      </c>
      <c r="I2920">
        <v>100</v>
      </c>
      <c r="J2920" s="34">
        <v>0</v>
      </c>
      <c r="K2920" s="89">
        <f t="shared" si="172"/>
        <v>546.22</v>
      </c>
      <c r="L2920" s="32">
        <v>546.22</v>
      </c>
      <c r="M2920" s="36">
        <f t="shared" si="173"/>
        <v>18.307641609607849</v>
      </c>
    </row>
    <row r="2921" spans="1:13" ht="15" hidden="1" customHeight="1" x14ac:dyDescent="0.3">
      <c r="A2921" s="9">
        <v>1495</v>
      </c>
      <c r="B2921" t="s">
        <v>469</v>
      </c>
      <c r="C2921" s="25">
        <v>44629</v>
      </c>
      <c r="D2921" s="26">
        <v>0.90625</v>
      </c>
      <c r="E2921" t="s">
        <v>26</v>
      </c>
      <c r="F2921" t="s">
        <v>210</v>
      </c>
      <c r="G2921" t="s">
        <v>211</v>
      </c>
      <c r="H2921" t="s">
        <v>207</v>
      </c>
      <c r="I2921">
        <v>372.2</v>
      </c>
      <c r="J2921" s="7">
        <v>0</v>
      </c>
      <c r="K2921" s="89">
        <f t="shared" si="172"/>
        <v>561.30999999999995</v>
      </c>
      <c r="L2921" s="32">
        <v>561.30999999999995</v>
      </c>
      <c r="M2921" s="36">
        <f t="shared" si="173"/>
        <v>66.30916962106501</v>
      </c>
    </row>
    <row r="2922" spans="1:13" ht="15" hidden="1" customHeight="1" x14ac:dyDescent="0.3">
      <c r="A2922" s="9">
        <v>1496</v>
      </c>
      <c r="B2922" t="s">
        <v>469</v>
      </c>
      <c r="C2922" s="25">
        <v>44631</v>
      </c>
      <c r="D2922" s="26">
        <v>0.56868055555555552</v>
      </c>
      <c r="E2922" t="s">
        <v>26</v>
      </c>
      <c r="F2922" t="s">
        <v>175</v>
      </c>
      <c r="G2922" t="s">
        <v>172</v>
      </c>
      <c r="H2922" t="s">
        <v>207</v>
      </c>
      <c r="I2922">
        <f>29.83+80+275.2</f>
        <v>385.03</v>
      </c>
      <c r="J2922" s="7">
        <v>0</v>
      </c>
      <c r="K2922" s="89">
        <f t="shared" si="172"/>
        <v>1629.49</v>
      </c>
      <c r="L2922" s="32">
        <v>1629.49</v>
      </c>
      <c r="M2922" s="36">
        <f t="shared" si="173"/>
        <v>23.628865473246229</v>
      </c>
    </row>
    <row r="2923" spans="1:13" ht="14.25" hidden="1" customHeight="1" x14ac:dyDescent="0.3">
      <c r="A2923" s="9">
        <v>1497</v>
      </c>
      <c r="B2923" t="s">
        <v>469</v>
      </c>
      <c r="C2923" s="25">
        <v>44632</v>
      </c>
      <c r="D2923" s="26">
        <v>0.47910879629629632</v>
      </c>
      <c r="E2923" t="s">
        <v>26</v>
      </c>
      <c r="F2923" t="s">
        <v>210</v>
      </c>
      <c r="G2923" t="s">
        <v>211</v>
      </c>
      <c r="H2923" t="s">
        <v>207</v>
      </c>
      <c r="I2923">
        <v>271.44</v>
      </c>
      <c r="J2923" s="31">
        <v>0</v>
      </c>
      <c r="K2923" s="100">
        <f t="shared" si="172"/>
        <v>690.29</v>
      </c>
      <c r="L2923" s="37">
        <v>690.29</v>
      </c>
      <c r="M2923" s="10">
        <f t="shared" si="173"/>
        <v>39.322603543438269</v>
      </c>
    </row>
    <row r="2924" spans="1:13" ht="15" hidden="1" customHeight="1" x14ac:dyDescent="0.3">
      <c r="A2924" s="9">
        <v>1498</v>
      </c>
      <c r="B2924" t="s">
        <v>469</v>
      </c>
      <c r="C2924" s="25">
        <v>44633</v>
      </c>
      <c r="D2924" s="26">
        <v>0.6168055555555555</v>
      </c>
      <c r="E2924" t="s">
        <v>26</v>
      </c>
      <c r="F2924" t="s">
        <v>210</v>
      </c>
      <c r="G2924" t="s">
        <v>211</v>
      </c>
      <c r="H2924" t="s">
        <v>207</v>
      </c>
      <c r="I2924">
        <f>17.27+175.24+108.51</f>
        <v>301.02000000000004</v>
      </c>
      <c r="J2924" s="7">
        <v>0</v>
      </c>
      <c r="K2924" s="90">
        <f t="shared" si="172"/>
        <v>870.85</v>
      </c>
      <c r="L2924" s="32">
        <v>870.85</v>
      </c>
      <c r="M2924" s="10">
        <f t="shared" si="173"/>
        <v>34.566228397542638</v>
      </c>
    </row>
    <row r="2925" spans="1:13" ht="15" hidden="1" customHeight="1" x14ac:dyDescent="0.3">
      <c r="A2925" s="9">
        <v>1499</v>
      </c>
      <c r="B2925" t="s">
        <v>469</v>
      </c>
      <c r="C2925" s="25">
        <v>44634</v>
      </c>
      <c r="D2925" s="26">
        <v>0.54931712962962964</v>
      </c>
      <c r="E2925" t="s">
        <v>26</v>
      </c>
      <c r="F2925" t="s">
        <v>175</v>
      </c>
      <c r="G2925" t="s">
        <v>172</v>
      </c>
      <c r="H2925" t="s">
        <v>207</v>
      </c>
      <c r="I2925">
        <v>319.43</v>
      </c>
      <c r="J2925" s="7">
        <v>0</v>
      </c>
      <c r="K2925" s="90">
        <f t="shared" si="172"/>
        <v>969.17</v>
      </c>
      <c r="L2925" s="32">
        <v>969.17</v>
      </c>
      <c r="M2925" s="10">
        <f t="shared" si="173"/>
        <v>32.95912997719698</v>
      </c>
    </row>
    <row r="2926" spans="1:13" ht="15" hidden="1" customHeight="1" x14ac:dyDescent="0.3">
      <c r="A2926" s="9">
        <v>1500</v>
      </c>
      <c r="B2926" t="s">
        <v>469</v>
      </c>
      <c r="C2926" s="25">
        <v>44639</v>
      </c>
      <c r="D2926" s="26">
        <v>0.71460648148148154</v>
      </c>
      <c r="E2926" t="s">
        <v>26</v>
      </c>
      <c r="F2926" t="s">
        <v>210</v>
      </c>
      <c r="G2926" t="s">
        <v>211</v>
      </c>
      <c r="H2926" t="s">
        <v>207</v>
      </c>
      <c r="I2926">
        <v>344.94</v>
      </c>
      <c r="J2926" s="34">
        <v>0</v>
      </c>
      <c r="K2926" s="97">
        <f t="shared" si="172"/>
        <v>852.9</v>
      </c>
      <c r="L2926" s="37">
        <v>852.9</v>
      </c>
      <c r="M2926" s="10">
        <f t="shared" si="173"/>
        <v>40.443193809356316</v>
      </c>
    </row>
    <row r="2927" spans="1:13" ht="15" hidden="1" customHeight="1" x14ac:dyDescent="0.3">
      <c r="A2927" s="9">
        <v>1501</v>
      </c>
      <c r="B2927" t="s">
        <v>469</v>
      </c>
      <c r="C2927" s="25">
        <v>44640</v>
      </c>
      <c r="D2927" s="26">
        <v>0.58918981481481481</v>
      </c>
      <c r="E2927" t="s">
        <v>26</v>
      </c>
      <c r="F2927" t="s">
        <v>210</v>
      </c>
      <c r="G2927" t="s">
        <v>211</v>
      </c>
      <c r="H2927" t="s">
        <v>207</v>
      </c>
      <c r="I2927">
        <v>383.87</v>
      </c>
      <c r="J2927" s="7">
        <v>0</v>
      </c>
      <c r="K2927" s="90">
        <f t="shared" si="172"/>
        <v>1054.51</v>
      </c>
      <c r="L2927" s="32">
        <v>1054.51</v>
      </c>
      <c r="M2927" s="10">
        <f t="shared" si="173"/>
        <v>36.402689400764338</v>
      </c>
    </row>
    <row r="2928" spans="1:13" ht="15" hidden="1" customHeight="1" x14ac:dyDescent="0.3">
      <c r="A2928" s="9">
        <v>1502</v>
      </c>
      <c r="B2928" t="s">
        <v>469</v>
      </c>
      <c r="C2928" s="25">
        <v>44642</v>
      </c>
      <c r="D2928" s="26">
        <v>0.27219907407407407</v>
      </c>
      <c r="E2928" t="s">
        <v>26</v>
      </c>
      <c r="F2928" t="s">
        <v>175</v>
      </c>
      <c r="G2928" t="s">
        <v>172</v>
      </c>
      <c r="H2928" t="s">
        <v>207</v>
      </c>
      <c r="I2928">
        <v>358.83</v>
      </c>
      <c r="J2928" s="7">
        <v>0</v>
      </c>
      <c r="K2928" s="90">
        <f t="shared" si="172"/>
        <v>931.25</v>
      </c>
      <c r="L2928" s="32">
        <v>931.25</v>
      </c>
      <c r="M2928" s="10">
        <f t="shared" si="173"/>
        <v>38.532080536912751</v>
      </c>
    </row>
    <row r="2929" spans="1:13" ht="15" hidden="1" customHeight="1" x14ac:dyDescent="0.3">
      <c r="A2929" s="9">
        <v>1503</v>
      </c>
      <c r="B2929" t="s">
        <v>469</v>
      </c>
      <c r="C2929" s="25">
        <v>44643</v>
      </c>
      <c r="D2929" s="26">
        <v>0.56741898148148151</v>
      </c>
      <c r="E2929" t="s">
        <v>26</v>
      </c>
      <c r="F2929" t="s">
        <v>166</v>
      </c>
      <c r="G2929" t="s">
        <v>161</v>
      </c>
      <c r="H2929" t="s">
        <v>207</v>
      </c>
      <c r="I2929">
        <v>295.93</v>
      </c>
      <c r="J2929" s="34">
        <v>0</v>
      </c>
      <c r="K2929" s="97">
        <f t="shared" si="172"/>
        <v>784.27</v>
      </c>
      <c r="L2929" s="37">
        <v>784.27</v>
      </c>
      <c r="M2929" s="10">
        <f t="shared" si="173"/>
        <v>37.73317862470833</v>
      </c>
    </row>
    <row r="2930" spans="1:13" ht="15" hidden="1" customHeight="1" x14ac:dyDescent="0.3">
      <c r="A2930" s="9">
        <v>1504</v>
      </c>
      <c r="B2930" t="s">
        <v>469</v>
      </c>
      <c r="C2930" s="25">
        <v>44644</v>
      </c>
      <c r="D2930" s="26">
        <v>0.59890046296296295</v>
      </c>
      <c r="E2930" t="s">
        <v>26</v>
      </c>
      <c r="F2930" t="s">
        <v>210</v>
      </c>
      <c r="G2930" t="s">
        <v>211</v>
      </c>
      <c r="H2930" t="s">
        <v>207</v>
      </c>
      <c r="I2930">
        <v>382.18</v>
      </c>
      <c r="J2930" s="7">
        <v>0</v>
      </c>
      <c r="K2930" s="97">
        <f t="shared" si="172"/>
        <v>949.77</v>
      </c>
      <c r="L2930" s="37">
        <v>949.77</v>
      </c>
      <c r="M2930" s="10">
        <f t="shared" si="173"/>
        <v>40.239215810143506</v>
      </c>
    </row>
    <row r="2931" spans="1:13" ht="15" hidden="1" customHeight="1" x14ac:dyDescent="0.3">
      <c r="A2931" s="9">
        <v>1505</v>
      </c>
      <c r="B2931" t="s">
        <v>469</v>
      </c>
      <c r="C2931" s="25">
        <v>44645</v>
      </c>
      <c r="D2931" s="26">
        <v>0.84086805555555555</v>
      </c>
      <c r="E2931" t="s">
        <v>26</v>
      </c>
      <c r="F2931" t="s">
        <v>175</v>
      </c>
      <c r="G2931" t="s">
        <v>172</v>
      </c>
      <c r="H2931" t="s">
        <v>207</v>
      </c>
      <c r="I2931">
        <v>393.94</v>
      </c>
      <c r="J2931" s="7">
        <v>0</v>
      </c>
      <c r="K2931" s="90">
        <f t="shared" si="172"/>
        <v>1053.6600000000001</v>
      </c>
      <c r="L2931" s="32">
        <v>1053.6600000000001</v>
      </c>
      <c r="M2931" s="10">
        <f t="shared" si="173"/>
        <v>37.387772146612761</v>
      </c>
    </row>
    <row r="2932" spans="1:13" ht="15" hidden="1" customHeight="1" x14ac:dyDescent="0.3">
      <c r="A2932" s="9">
        <v>1506</v>
      </c>
      <c r="B2932" t="s">
        <v>469</v>
      </c>
      <c r="C2932" s="25">
        <v>44646</v>
      </c>
      <c r="D2932" s="26">
        <v>0.73872685185185183</v>
      </c>
      <c r="E2932" t="s">
        <v>26</v>
      </c>
      <c r="F2932" t="s">
        <v>166</v>
      </c>
      <c r="G2932" t="s">
        <v>161</v>
      </c>
      <c r="H2932" t="s">
        <v>207</v>
      </c>
      <c r="I2932">
        <v>297.86</v>
      </c>
      <c r="J2932" s="31">
        <v>0</v>
      </c>
      <c r="K2932" s="99">
        <f t="shared" si="172"/>
        <v>741.79</v>
      </c>
      <c r="L2932" s="32">
        <v>741.79</v>
      </c>
      <c r="M2932" s="10">
        <f t="shared" si="173"/>
        <v>40.154221545181258</v>
      </c>
    </row>
    <row r="2933" spans="1:13" ht="15" hidden="1" customHeight="1" x14ac:dyDescent="0.3">
      <c r="A2933" s="9">
        <v>1507</v>
      </c>
      <c r="B2933" t="s">
        <v>469</v>
      </c>
      <c r="C2933" s="25">
        <v>44647</v>
      </c>
      <c r="D2933" s="26">
        <v>0.91862268518518519</v>
      </c>
      <c r="E2933" t="s">
        <v>26</v>
      </c>
      <c r="F2933" t="s">
        <v>210</v>
      </c>
      <c r="G2933" t="s">
        <v>211</v>
      </c>
      <c r="H2933" t="s">
        <v>207</v>
      </c>
      <c r="I2933">
        <v>404.96</v>
      </c>
      <c r="J2933" s="7">
        <v>0</v>
      </c>
      <c r="K2933" s="90">
        <f t="shared" si="172"/>
        <v>1130.8</v>
      </c>
      <c r="L2933" s="32">
        <v>1130.8</v>
      </c>
      <c r="M2933" s="10">
        <f t="shared" si="173"/>
        <v>35.811814644499471</v>
      </c>
    </row>
    <row r="2934" spans="1:13" ht="15" hidden="1" customHeight="1" x14ac:dyDescent="0.3">
      <c r="A2934" s="9">
        <v>1508</v>
      </c>
      <c r="B2934" t="s">
        <v>469</v>
      </c>
      <c r="C2934" s="25">
        <v>44649</v>
      </c>
      <c r="D2934" s="26">
        <v>0.42835648148148148</v>
      </c>
      <c r="E2934" t="s">
        <v>26</v>
      </c>
      <c r="F2934" t="s">
        <v>175</v>
      </c>
      <c r="G2934" t="s">
        <v>172</v>
      </c>
      <c r="H2934" t="s">
        <v>207</v>
      </c>
      <c r="I2934">
        <v>335.56</v>
      </c>
      <c r="J2934" s="34">
        <v>0</v>
      </c>
      <c r="K2934" s="97">
        <f t="shared" si="172"/>
        <v>926.88</v>
      </c>
      <c r="L2934" s="37">
        <v>926.88</v>
      </c>
      <c r="M2934" s="10">
        <f t="shared" si="173"/>
        <v>36.203176247194889</v>
      </c>
    </row>
    <row r="2935" spans="1:13" ht="15" hidden="1" customHeight="1" x14ac:dyDescent="0.3">
      <c r="A2935" s="9">
        <v>2691</v>
      </c>
      <c r="B2935" t="s">
        <v>469</v>
      </c>
      <c r="C2935" s="25">
        <v>44653</v>
      </c>
      <c r="D2935" s="26">
        <v>0.93481481481481488</v>
      </c>
      <c r="E2935" t="s">
        <v>27</v>
      </c>
      <c r="F2935" t="s">
        <v>166</v>
      </c>
      <c r="G2935" t="s">
        <v>161</v>
      </c>
      <c r="H2935" t="s">
        <v>207</v>
      </c>
      <c r="I2935" s="4">
        <v>346.94</v>
      </c>
      <c r="J2935" s="7">
        <v>0</v>
      </c>
      <c r="K2935" s="90">
        <f t="shared" si="172"/>
        <v>850.89</v>
      </c>
      <c r="L2935" s="32">
        <v>850.89</v>
      </c>
      <c r="M2935" s="10">
        <f t="shared" si="173"/>
        <v>40.773778044165518</v>
      </c>
    </row>
    <row r="2936" spans="1:13" ht="15" hidden="1" customHeight="1" x14ac:dyDescent="0.3">
      <c r="A2936" s="9">
        <v>2692</v>
      </c>
      <c r="B2936" t="s">
        <v>469</v>
      </c>
      <c r="C2936" s="25">
        <v>44655</v>
      </c>
      <c r="D2936" s="26">
        <v>0.40870370370370374</v>
      </c>
      <c r="E2936" t="s">
        <v>27</v>
      </c>
      <c r="F2936" t="s">
        <v>210</v>
      </c>
      <c r="G2936" t="s">
        <v>211</v>
      </c>
      <c r="H2936" t="s">
        <v>207</v>
      </c>
      <c r="I2936" s="4">
        <v>432.2</v>
      </c>
      <c r="J2936" s="31">
        <v>0</v>
      </c>
      <c r="K2936" s="100">
        <f t="shared" si="172"/>
        <v>1199.5899999999999</v>
      </c>
      <c r="L2936" s="37">
        <v>1199.5899999999999</v>
      </c>
      <c r="M2936" s="10">
        <f t="shared" si="173"/>
        <v>36.028976566993727</v>
      </c>
    </row>
    <row r="2937" spans="1:13" ht="15" hidden="1" customHeight="1" x14ac:dyDescent="0.3">
      <c r="A2937" s="9">
        <v>2693</v>
      </c>
      <c r="B2937" t="s">
        <v>469</v>
      </c>
      <c r="C2937" s="25">
        <v>44657</v>
      </c>
      <c r="D2937" s="26">
        <v>6.4259259259259252E-2</v>
      </c>
      <c r="E2937" t="s">
        <v>27</v>
      </c>
      <c r="F2937" t="s">
        <v>175</v>
      </c>
      <c r="G2937" t="s">
        <v>172</v>
      </c>
      <c r="H2937" t="s">
        <v>207</v>
      </c>
      <c r="I2937" s="4">
        <v>376.78</v>
      </c>
      <c r="J2937" s="7">
        <v>0</v>
      </c>
      <c r="K2937" s="90">
        <f t="shared" si="172"/>
        <v>1069.31</v>
      </c>
      <c r="L2937" s="32">
        <v>1069.31</v>
      </c>
      <c r="M2937" s="10">
        <f t="shared" si="173"/>
        <v>35.235806267593119</v>
      </c>
    </row>
    <row r="2938" spans="1:13" ht="15" hidden="1" customHeight="1" x14ac:dyDescent="0.3">
      <c r="A2938" s="9">
        <v>2694</v>
      </c>
      <c r="B2938" t="s">
        <v>469</v>
      </c>
      <c r="C2938" s="25">
        <v>44657</v>
      </c>
      <c r="D2938" s="26">
        <v>0.79499999999999993</v>
      </c>
      <c r="E2938" t="s">
        <v>27</v>
      </c>
      <c r="F2938" t="s">
        <v>210</v>
      </c>
      <c r="G2938" t="s">
        <v>211</v>
      </c>
      <c r="H2938" t="s">
        <v>207</v>
      </c>
      <c r="I2938" s="4">
        <v>241.01</v>
      </c>
      <c r="J2938" s="7">
        <v>0</v>
      </c>
      <c r="K2938" s="90">
        <f t="shared" si="172"/>
        <v>691.76</v>
      </c>
      <c r="L2938" s="32">
        <v>691.76</v>
      </c>
      <c r="M2938" s="10">
        <f t="shared" si="173"/>
        <v>34.840117959986124</v>
      </c>
    </row>
    <row r="2939" spans="1:13" ht="15" hidden="1" customHeight="1" x14ac:dyDescent="0.3">
      <c r="A2939" s="9">
        <v>2695</v>
      </c>
      <c r="B2939" t="s">
        <v>469</v>
      </c>
      <c r="C2939" s="25">
        <v>44659</v>
      </c>
      <c r="D2939" s="26">
        <v>0.29045138888888888</v>
      </c>
      <c r="E2939" t="s">
        <v>27</v>
      </c>
      <c r="F2939" t="s">
        <v>210</v>
      </c>
      <c r="G2939" t="s">
        <v>211</v>
      </c>
      <c r="H2939" t="s">
        <v>207</v>
      </c>
      <c r="I2939" s="4">
        <v>346.43</v>
      </c>
      <c r="J2939" s="34">
        <v>0</v>
      </c>
      <c r="K2939" s="97">
        <f t="shared" si="172"/>
        <v>1055.5899999999999</v>
      </c>
      <c r="L2939" s="32">
        <v>1055.5899999999999</v>
      </c>
      <c r="M2939" s="10">
        <f t="shared" si="173"/>
        <v>32.818613287355888</v>
      </c>
    </row>
    <row r="2940" spans="1:13" ht="15" hidden="1" customHeight="1" x14ac:dyDescent="0.3">
      <c r="A2940" s="9">
        <v>2696</v>
      </c>
      <c r="B2940" t="s">
        <v>469</v>
      </c>
      <c r="C2940" s="25">
        <v>44660</v>
      </c>
      <c r="D2940" s="26">
        <v>0.52446759259259257</v>
      </c>
      <c r="E2940" t="s">
        <v>27</v>
      </c>
      <c r="F2940" t="s">
        <v>175</v>
      </c>
      <c r="G2940" t="s">
        <v>172</v>
      </c>
      <c r="H2940" t="s">
        <v>207</v>
      </c>
      <c r="I2940" s="4">
        <v>375.34</v>
      </c>
      <c r="J2940" s="7">
        <v>0</v>
      </c>
      <c r="K2940" s="90">
        <f t="shared" si="172"/>
        <v>1091.56</v>
      </c>
      <c r="L2940" s="32">
        <v>1091.56</v>
      </c>
      <c r="M2940" s="10">
        <f t="shared" si="173"/>
        <v>34.385649895562317</v>
      </c>
    </row>
    <row r="2941" spans="1:13" ht="14.25" hidden="1" customHeight="1" x14ac:dyDescent="0.3">
      <c r="A2941" s="9">
        <v>2697</v>
      </c>
      <c r="B2941" t="s">
        <v>469</v>
      </c>
      <c r="C2941" s="25">
        <v>44660</v>
      </c>
      <c r="D2941" s="26">
        <v>0.94584490740740745</v>
      </c>
      <c r="E2941" t="s">
        <v>27</v>
      </c>
      <c r="F2941" t="s">
        <v>166</v>
      </c>
      <c r="G2941" t="s">
        <v>161</v>
      </c>
      <c r="H2941" t="s">
        <v>207</v>
      </c>
      <c r="I2941" s="4">
        <v>213.11</v>
      </c>
      <c r="J2941" s="7">
        <v>0</v>
      </c>
      <c r="K2941" s="99">
        <f t="shared" si="172"/>
        <v>612.66999999999996</v>
      </c>
      <c r="L2941" s="33">
        <v>612.66999999999996</v>
      </c>
      <c r="M2941" s="10">
        <f t="shared" si="173"/>
        <v>34.783815104379194</v>
      </c>
    </row>
    <row r="2942" spans="1:13" ht="15" hidden="1" customHeight="1" x14ac:dyDescent="0.3">
      <c r="A2942" s="9">
        <v>2698</v>
      </c>
      <c r="B2942" t="s">
        <v>469</v>
      </c>
      <c r="C2942" s="25">
        <v>44662</v>
      </c>
      <c r="D2942" s="26">
        <v>0.26331018518518517</v>
      </c>
      <c r="E2942" t="s">
        <v>27</v>
      </c>
      <c r="F2942" t="s">
        <v>210</v>
      </c>
      <c r="G2942" t="s">
        <v>211</v>
      </c>
      <c r="H2942" t="s">
        <v>207</v>
      </c>
      <c r="I2942" s="4">
        <v>349.08</v>
      </c>
      <c r="J2942" s="7">
        <v>0</v>
      </c>
      <c r="K2942" s="90">
        <f t="shared" si="172"/>
        <v>1562.86</v>
      </c>
      <c r="L2942" s="32">
        <v>1562.86</v>
      </c>
      <c r="M2942" s="10">
        <f t="shared" si="173"/>
        <v>22.335973791638409</v>
      </c>
    </row>
    <row r="2943" spans="1:13" ht="15" hidden="1" customHeight="1" x14ac:dyDescent="0.3">
      <c r="A2943" s="9">
        <v>2699</v>
      </c>
      <c r="B2943" t="s">
        <v>469</v>
      </c>
      <c r="C2943" s="25">
        <v>44663</v>
      </c>
      <c r="D2943" s="26">
        <v>0.50603009259259257</v>
      </c>
      <c r="E2943" t="s">
        <v>27</v>
      </c>
      <c r="F2943" t="s">
        <v>391</v>
      </c>
      <c r="G2943" t="s">
        <v>392</v>
      </c>
      <c r="H2943" t="s">
        <v>207</v>
      </c>
      <c r="I2943" s="4">
        <v>328.17</v>
      </c>
      <c r="J2943" s="31">
        <v>0</v>
      </c>
      <c r="K2943" s="100">
        <f t="shared" si="172"/>
        <v>1002.48</v>
      </c>
      <c r="L2943" s="37">
        <v>1002.48</v>
      </c>
      <c r="M2943" s="10">
        <f t="shared" si="173"/>
        <v>32.735815178357676</v>
      </c>
    </row>
    <row r="2944" spans="1:13" ht="15" hidden="1" customHeight="1" x14ac:dyDescent="0.3">
      <c r="A2944" s="9">
        <v>2700</v>
      </c>
      <c r="B2944" t="s">
        <v>469</v>
      </c>
      <c r="C2944" s="25">
        <v>44667</v>
      </c>
      <c r="D2944" s="26">
        <v>0.48046296296296293</v>
      </c>
      <c r="E2944" t="s">
        <v>27</v>
      </c>
      <c r="F2944" t="s">
        <v>210</v>
      </c>
      <c r="G2944" t="s">
        <v>211</v>
      </c>
      <c r="H2944" t="s">
        <v>207</v>
      </c>
      <c r="I2944" s="4">
        <v>329.78</v>
      </c>
      <c r="J2944" s="7">
        <v>0</v>
      </c>
      <c r="K2944" s="89">
        <f t="shared" si="172"/>
        <v>842.94</v>
      </c>
      <c r="L2944" s="32">
        <v>842.94</v>
      </c>
      <c r="M2944" s="10">
        <f t="shared" ref="M2944:M2975" si="174">I2944/K2944*100</f>
        <v>39.122594727975887</v>
      </c>
    </row>
    <row r="2945" spans="1:13" ht="15" hidden="1" customHeight="1" x14ac:dyDescent="0.3">
      <c r="A2945" s="9">
        <v>2701</v>
      </c>
      <c r="B2945" t="s">
        <v>469</v>
      </c>
      <c r="C2945" s="25">
        <v>44668</v>
      </c>
      <c r="D2945" s="26">
        <v>0.56585648148148149</v>
      </c>
      <c r="E2945" t="s">
        <v>27</v>
      </c>
      <c r="F2945" t="s">
        <v>210</v>
      </c>
      <c r="G2945" t="s">
        <v>211</v>
      </c>
      <c r="H2945" t="s">
        <v>207</v>
      </c>
      <c r="I2945" s="4">
        <v>373.28</v>
      </c>
      <c r="J2945" s="34">
        <v>0</v>
      </c>
      <c r="K2945" s="89">
        <f t="shared" si="172"/>
        <v>1089.8399999999999</v>
      </c>
      <c r="L2945" s="32">
        <v>1089.8399999999999</v>
      </c>
      <c r="M2945" s="10">
        <f t="shared" si="174"/>
        <v>34.25089921456361</v>
      </c>
    </row>
    <row r="2946" spans="1:13" ht="15" hidden="1" customHeight="1" x14ac:dyDescent="0.3">
      <c r="A2946" s="9">
        <v>2702</v>
      </c>
      <c r="B2946" t="s">
        <v>469</v>
      </c>
      <c r="C2946" s="25">
        <v>44669</v>
      </c>
      <c r="D2946" s="26">
        <v>0.91729166666666673</v>
      </c>
      <c r="E2946" t="s">
        <v>27</v>
      </c>
      <c r="F2946" t="s">
        <v>175</v>
      </c>
      <c r="G2946" t="s">
        <v>172</v>
      </c>
      <c r="H2946" t="s">
        <v>207</v>
      </c>
      <c r="I2946" s="4">
        <v>340.59</v>
      </c>
      <c r="J2946" s="31">
        <v>0</v>
      </c>
      <c r="K2946" s="89">
        <f t="shared" si="172"/>
        <v>980.27</v>
      </c>
      <c r="L2946" s="32">
        <v>980.27</v>
      </c>
      <c r="M2946" s="10">
        <f t="shared" si="174"/>
        <v>34.744509165842061</v>
      </c>
    </row>
    <row r="2947" spans="1:13" ht="15" hidden="1" customHeight="1" x14ac:dyDescent="0.3">
      <c r="A2947" s="9">
        <v>2703</v>
      </c>
      <c r="B2947" t="s">
        <v>469</v>
      </c>
      <c r="C2947" s="25">
        <v>44671</v>
      </c>
      <c r="D2947" s="26">
        <v>0.52606481481481482</v>
      </c>
      <c r="E2947" t="s">
        <v>27</v>
      </c>
      <c r="F2947" t="s">
        <v>210</v>
      </c>
      <c r="G2947" t="s">
        <v>211</v>
      </c>
      <c r="H2947" t="s">
        <v>207</v>
      </c>
      <c r="I2947" s="4">
        <v>322.01</v>
      </c>
      <c r="J2947" s="34">
        <v>0</v>
      </c>
      <c r="K2947" s="89">
        <f t="shared" si="172"/>
        <v>816.71</v>
      </c>
      <c r="L2947" s="38">
        <v>816.71</v>
      </c>
      <c r="M2947" s="10">
        <f t="shared" si="174"/>
        <v>39.42770383612298</v>
      </c>
    </row>
    <row r="2948" spans="1:13" ht="15" hidden="1" customHeight="1" x14ac:dyDescent="0.3">
      <c r="A2948" s="9">
        <v>2704</v>
      </c>
      <c r="B2948" t="s">
        <v>469</v>
      </c>
      <c r="C2948" s="25">
        <v>44671</v>
      </c>
      <c r="D2948" s="26">
        <v>0.99688657407407411</v>
      </c>
      <c r="E2948" t="s">
        <v>27</v>
      </c>
      <c r="F2948" t="s">
        <v>165</v>
      </c>
      <c r="G2948" t="s">
        <v>185</v>
      </c>
      <c r="H2948" t="s">
        <v>207</v>
      </c>
      <c r="I2948" s="4">
        <v>100</v>
      </c>
      <c r="J2948" s="34">
        <v>0</v>
      </c>
      <c r="K2948" s="89">
        <f t="shared" si="172"/>
        <v>543.83000000000004</v>
      </c>
      <c r="L2948" s="32">
        <v>543.83000000000004</v>
      </c>
      <c r="M2948" s="10">
        <f t="shared" si="174"/>
        <v>18.388099222183403</v>
      </c>
    </row>
    <row r="2949" spans="1:13" ht="15" hidden="1" customHeight="1" x14ac:dyDescent="0.3">
      <c r="A2949" s="9">
        <v>2705</v>
      </c>
      <c r="B2949" t="s">
        <v>469</v>
      </c>
      <c r="C2949" s="25">
        <v>44672</v>
      </c>
      <c r="D2949" s="26">
        <v>0.8507407407407408</v>
      </c>
      <c r="E2949" t="s">
        <v>27</v>
      </c>
      <c r="F2949" t="s">
        <v>210</v>
      </c>
      <c r="G2949" t="s">
        <v>211</v>
      </c>
      <c r="H2949" t="s">
        <v>207</v>
      </c>
      <c r="I2949" s="4">
        <v>386.08</v>
      </c>
      <c r="J2949" s="34">
        <v>0</v>
      </c>
      <c r="K2949" s="89">
        <f t="shared" si="172"/>
        <v>560.66</v>
      </c>
      <c r="L2949" s="37">
        <v>560.66</v>
      </c>
      <c r="M2949" s="10">
        <f t="shared" si="174"/>
        <v>68.861698712232013</v>
      </c>
    </row>
    <row r="2950" spans="1:13" ht="15" hidden="1" customHeight="1" x14ac:dyDescent="0.3">
      <c r="A2950" s="9">
        <v>2706</v>
      </c>
      <c r="B2950" t="s">
        <v>469</v>
      </c>
      <c r="C2950" s="25">
        <v>44674</v>
      </c>
      <c r="D2950" s="26">
        <v>0.41593750000000002</v>
      </c>
      <c r="E2950" t="s">
        <v>27</v>
      </c>
      <c r="F2950" t="s">
        <v>175</v>
      </c>
      <c r="G2950" t="s">
        <v>172</v>
      </c>
      <c r="H2950" t="s">
        <v>207</v>
      </c>
      <c r="I2950" s="4">
        <v>315.36</v>
      </c>
      <c r="J2950" s="7">
        <v>0</v>
      </c>
      <c r="K2950" s="89">
        <f t="shared" si="172"/>
        <v>926.55</v>
      </c>
      <c r="L2950" s="32">
        <v>926.55</v>
      </c>
      <c r="M2950" s="10">
        <f t="shared" si="174"/>
        <v>34.035939776590581</v>
      </c>
    </row>
    <row r="2951" spans="1:13" ht="15" hidden="1" customHeight="1" x14ac:dyDescent="0.3">
      <c r="A2951" s="9">
        <v>2707</v>
      </c>
      <c r="B2951" t="s">
        <v>469</v>
      </c>
      <c r="C2951" s="25">
        <v>44677</v>
      </c>
      <c r="D2951" s="26">
        <v>0.32555555555555554</v>
      </c>
      <c r="E2951" t="s">
        <v>27</v>
      </c>
      <c r="F2951" t="s">
        <v>175</v>
      </c>
      <c r="G2951" t="s">
        <v>172</v>
      </c>
      <c r="H2951" t="s">
        <v>207</v>
      </c>
      <c r="I2951">
        <v>171.87</v>
      </c>
      <c r="J2951" s="31">
        <v>0</v>
      </c>
      <c r="K2951" s="89">
        <f t="shared" si="172"/>
        <v>413</v>
      </c>
      <c r="L2951" s="7">
        <v>413</v>
      </c>
      <c r="M2951" s="10">
        <f t="shared" si="174"/>
        <v>41.615012106537527</v>
      </c>
    </row>
    <row r="2952" spans="1:13" ht="15" hidden="1" customHeight="1" x14ac:dyDescent="0.3">
      <c r="A2952" s="9">
        <v>2708</v>
      </c>
      <c r="B2952" t="s">
        <v>469</v>
      </c>
      <c r="C2952" s="25">
        <v>44678</v>
      </c>
      <c r="D2952" s="26">
        <v>0.27701388888888889</v>
      </c>
      <c r="E2952" t="s">
        <v>27</v>
      </c>
      <c r="F2952" t="s">
        <v>166</v>
      </c>
      <c r="G2952" t="s">
        <v>161</v>
      </c>
      <c r="H2952" t="s">
        <v>207</v>
      </c>
      <c r="I2952">
        <v>282.13</v>
      </c>
      <c r="J2952" s="31">
        <v>0</v>
      </c>
      <c r="K2952" s="89">
        <f t="shared" si="172"/>
        <v>738</v>
      </c>
      <c r="L2952" s="31">
        <v>738</v>
      </c>
      <c r="M2952" s="10">
        <f t="shared" si="174"/>
        <v>38.228997289972902</v>
      </c>
    </row>
    <row r="2953" spans="1:13" ht="15.75" hidden="1" customHeight="1" x14ac:dyDescent="0.3">
      <c r="A2953" s="9">
        <v>2709</v>
      </c>
      <c r="B2953" t="s">
        <v>469</v>
      </c>
      <c r="C2953" s="25">
        <v>44679</v>
      </c>
      <c r="D2953" s="26">
        <v>0.4271064814814815</v>
      </c>
      <c r="E2953" t="s">
        <v>27</v>
      </c>
      <c r="F2953" t="s">
        <v>210</v>
      </c>
      <c r="G2953" t="s">
        <v>211</v>
      </c>
      <c r="H2953" t="s">
        <v>207</v>
      </c>
      <c r="I2953">
        <v>438.47</v>
      </c>
      <c r="J2953" s="7">
        <v>0</v>
      </c>
      <c r="K2953" s="89">
        <f t="shared" si="172"/>
        <v>1167.95</v>
      </c>
      <c r="L2953" s="7">
        <v>1167.95</v>
      </c>
      <c r="M2953" s="10">
        <f t="shared" si="174"/>
        <v>37.541846825634664</v>
      </c>
    </row>
    <row r="2954" spans="1:13" ht="15.75" hidden="1" customHeight="1" x14ac:dyDescent="0.3">
      <c r="A2954" s="9">
        <v>3839</v>
      </c>
      <c r="B2954" t="s">
        <v>469</v>
      </c>
      <c r="C2954" s="25">
        <v>44685</v>
      </c>
      <c r="D2954" s="26">
        <v>0.58608796296296295</v>
      </c>
      <c r="E2954" t="s">
        <v>28</v>
      </c>
      <c r="F2954" t="s">
        <v>459</v>
      </c>
      <c r="G2954" t="s">
        <v>303</v>
      </c>
      <c r="H2954" t="s">
        <v>255</v>
      </c>
      <c r="I2954">
        <v>249.38</v>
      </c>
      <c r="J2954" s="32">
        <v>0</v>
      </c>
      <c r="K2954" s="89">
        <f>+L2954-J3085</f>
        <v>-412872.12</v>
      </c>
      <c r="L2954" s="38">
        <v>674.88</v>
      </c>
      <c r="M2954" s="10">
        <f t="shared" si="174"/>
        <v>-6.040126904185248E-2</v>
      </c>
    </row>
    <row r="2955" spans="1:13" ht="15.75" hidden="1" customHeight="1" x14ac:dyDescent="0.3">
      <c r="A2955" s="9">
        <v>3840</v>
      </c>
      <c r="B2955" t="s">
        <v>469</v>
      </c>
      <c r="C2955" s="25">
        <v>44685</v>
      </c>
      <c r="D2955" s="26">
        <v>0.91995370370370377</v>
      </c>
      <c r="E2955" t="s">
        <v>28</v>
      </c>
      <c r="F2955" t="s">
        <v>210</v>
      </c>
      <c r="G2955" t="s">
        <v>211</v>
      </c>
      <c r="H2955" t="s">
        <v>255</v>
      </c>
      <c r="I2955">
        <v>387.9</v>
      </c>
      <c r="J2955" s="33">
        <v>0</v>
      </c>
      <c r="K2955" s="89">
        <f>+L2955-J3086</f>
        <v>-414002</v>
      </c>
      <c r="L2955" s="32">
        <v>431</v>
      </c>
      <c r="M2955" s="10">
        <f t="shared" si="174"/>
        <v>-9.3695199540098834E-2</v>
      </c>
    </row>
    <row r="2956" spans="1:13" ht="15.75" hidden="1" customHeight="1" x14ac:dyDescent="0.3">
      <c r="A2956" s="9">
        <v>3895</v>
      </c>
      <c r="B2956" t="s">
        <v>469</v>
      </c>
      <c r="C2956" s="25">
        <v>44686</v>
      </c>
      <c r="D2956" s="26">
        <v>0.56192129629629628</v>
      </c>
      <c r="E2956" t="s">
        <v>28</v>
      </c>
      <c r="F2956" t="s">
        <v>165</v>
      </c>
      <c r="G2956" t="s">
        <v>185</v>
      </c>
      <c r="H2956" t="s">
        <v>255</v>
      </c>
      <c r="I2956">
        <v>273.58</v>
      </c>
      <c r="J2956" s="33">
        <v>0</v>
      </c>
      <c r="K2956" s="90">
        <f>+L2956-J3087</f>
        <v>550</v>
      </c>
      <c r="L2956" s="32">
        <v>550</v>
      </c>
      <c r="M2956" s="10">
        <f t="shared" si="174"/>
        <v>49.741818181818182</v>
      </c>
    </row>
    <row r="2957" spans="1:13" ht="15.75" hidden="1" customHeight="1" x14ac:dyDescent="0.3">
      <c r="A2957" s="9">
        <v>3896</v>
      </c>
      <c r="B2957" t="s">
        <v>469</v>
      </c>
      <c r="C2957" s="25">
        <v>44686</v>
      </c>
      <c r="D2957" s="26">
        <v>0.84334490740740742</v>
      </c>
      <c r="E2957" t="s">
        <v>28</v>
      </c>
      <c r="F2957" t="s">
        <v>210</v>
      </c>
      <c r="G2957" t="s">
        <v>211</v>
      </c>
      <c r="H2957" t="s">
        <v>255</v>
      </c>
      <c r="I2957">
        <v>175.6</v>
      </c>
      <c r="J2957" s="32">
        <v>0</v>
      </c>
      <c r="K2957" s="90">
        <f>+L2957-J3088</f>
        <v>514</v>
      </c>
      <c r="L2957" s="37">
        <v>514</v>
      </c>
      <c r="M2957" s="10">
        <f t="shared" si="174"/>
        <v>34.163424124513618</v>
      </c>
    </row>
    <row r="2958" spans="1:13" ht="15.75" hidden="1" customHeight="1" x14ac:dyDescent="0.3">
      <c r="A2958" s="9">
        <v>3952</v>
      </c>
      <c r="B2958" t="s">
        <v>469</v>
      </c>
      <c r="C2958" s="25">
        <v>44687</v>
      </c>
      <c r="D2958" s="26">
        <v>0.65344907407407404</v>
      </c>
      <c r="E2958" t="s">
        <v>28</v>
      </c>
      <c r="F2958" t="s">
        <v>175</v>
      </c>
      <c r="G2958" t="s">
        <v>172</v>
      </c>
      <c r="H2958" t="s">
        <v>255</v>
      </c>
      <c r="I2958">
        <v>427.74</v>
      </c>
      <c r="J2958" s="37">
        <v>0</v>
      </c>
      <c r="K2958" s="90">
        <f>+L2958-J3087</f>
        <v>993</v>
      </c>
      <c r="L2958" s="33">
        <v>993</v>
      </c>
      <c r="M2958" s="10">
        <f t="shared" si="174"/>
        <v>43.075528700906347</v>
      </c>
    </row>
    <row r="2959" spans="1:13" ht="15.75" hidden="1" customHeight="1" x14ac:dyDescent="0.3">
      <c r="A2959" s="9">
        <v>4132</v>
      </c>
      <c r="B2959" t="s">
        <v>469</v>
      </c>
      <c r="C2959" s="25">
        <v>44691</v>
      </c>
      <c r="D2959" s="26">
        <v>0.93026620370370372</v>
      </c>
      <c r="E2959" t="s">
        <v>28</v>
      </c>
      <c r="F2959" t="s">
        <v>210</v>
      </c>
      <c r="G2959" t="s">
        <v>211</v>
      </c>
      <c r="H2959" t="s">
        <v>255</v>
      </c>
      <c r="I2959">
        <v>410.05</v>
      </c>
      <c r="J2959" s="33">
        <v>0</v>
      </c>
      <c r="K2959" s="90">
        <f>+L2959-J3090</f>
        <v>854</v>
      </c>
      <c r="L2959" s="32">
        <v>854</v>
      </c>
      <c r="M2959" s="10">
        <f t="shared" si="174"/>
        <v>48.015222482435597</v>
      </c>
    </row>
    <row r="2960" spans="1:13" ht="15.75" hidden="1" customHeight="1" x14ac:dyDescent="0.3">
      <c r="A2960" s="9">
        <v>4178</v>
      </c>
      <c r="B2960" t="s">
        <v>469</v>
      </c>
      <c r="C2960" s="25">
        <v>44692</v>
      </c>
      <c r="D2960" s="26">
        <v>0.72368055555555555</v>
      </c>
      <c r="E2960" t="s">
        <v>28</v>
      </c>
      <c r="F2960" t="s">
        <v>165</v>
      </c>
      <c r="G2960" t="s">
        <v>185</v>
      </c>
      <c r="H2960" t="s">
        <v>255</v>
      </c>
      <c r="I2960">
        <v>279.7</v>
      </c>
      <c r="J2960" s="32">
        <v>0</v>
      </c>
      <c r="K2960" s="90">
        <f>+L2960-J3092</f>
        <v>549</v>
      </c>
      <c r="L2960" s="32">
        <v>549</v>
      </c>
      <c r="M2960" s="10">
        <f t="shared" si="174"/>
        <v>50.947176684881597</v>
      </c>
    </row>
    <row r="2961" spans="1:13" ht="15.75" hidden="1" customHeight="1" x14ac:dyDescent="0.3">
      <c r="A2961" s="9">
        <v>4223</v>
      </c>
      <c r="B2961" t="s">
        <v>469</v>
      </c>
      <c r="C2961" s="25">
        <v>44693</v>
      </c>
      <c r="D2961" s="26">
        <v>0.8274421296296296</v>
      </c>
      <c r="E2961" t="s">
        <v>28</v>
      </c>
      <c r="F2961" t="s">
        <v>210</v>
      </c>
      <c r="G2961" t="s">
        <v>211</v>
      </c>
      <c r="H2961" t="s">
        <v>255</v>
      </c>
      <c r="I2961">
        <v>255.48</v>
      </c>
      <c r="J2961" s="32">
        <v>0</v>
      </c>
      <c r="K2961" s="90">
        <f>+L2961-J3093</f>
        <v>354</v>
      </c>
      <c r="L2961" s="32">
        <v>354</v>
      </c>
      <c r="M2961" s="10">
        <f t="shared" si="174"/>
        <v>72.169491525423723</v>
      </c>
    </row>
    <row r="2962" spans="1:13" ht="15.75" hidden="1" customHeight="1" x14ac:dyDescent="0.3">
      <c r="A2962" s="9">
        <v>4340</v>
      </c>
      <c r="B2962" t="s">
        <v>469</v>
      </c>
      <c r="C2962" s="25">
        <v>44695</v>
      </c>
      <c r="D2962" s="26">
        <v>0.89202546296296292</v>
      </c>
      <c r="E2962" t="s">
        <v>28</v>
      </c>
      <c r="F2962" t="s">
        <v>175</v>
      </c>
      <c r="G2962" t="s">
        <v>172</v>
      </c>
      <c r="H2962" t="s">
        <v>255</v>
      </c>
      <c r="I2962">
        <v>408.08</v>
      </c>
      <c r="J2962" s="32">
        <v>0</v>
      </c>
      <c r="K2962" s="90">
        <f>+L2962-J3233</f>
        <v>1618</v>
      </c>
      <c r="L2962" s="53">
        <v>1618</v>
      </c>
      <c r="M2962" s="10">
        <f t="shared" si="174"/>
        <v>25.221260815821999</v>
      </c>
    </row>
    <row r="2963" spans="1:13" ht="15.75" hidden="1" customHeight="1" x14ac:dyDescent="0.3">
      <c r="A2963" s="9">
        <v>4406</v>
      </c>
      <c r="B2963" t="s">
        <v>469</v>
      </c>
      <c r="C2963" s="25">
        <v>44696</v>
      </c>
      <c r="D2963" s="26">
        <v>0.88215277777777779</v>
      </c>
      <c r="E2963" t="s">
        <v>28</v>
      </c>
      <c r="F2963" t="s">
        <v>210</v>
      </c>
      <c r="G2963" t="s">
        <v>211</v>
      </c>
      <c r="H2963" t="s">
        <v>255</v>
      </c>
      <c r="I2963">
        <v>259.51</v>
      </c>
      <c r="J2963" s="32">
        <v>0</v>
      </c>
      <c r="K2963" s="90">
        <f>+L2963-J3234</f>
        <v>75</v>
      </c>
      <c r="L2963" s="67">
        <v>75</v>
      </c>
      <c r="M2963" s="10">
        <f t="shared" si="174"/>
        <v>346.01333333333332</v>
      </c>
    </row>
    <row r="2964" spans="1:13" ht="15.75" hidden="1" customHeight="1" x14ac:dyDescent="0.3">
      <c r="A2964" s="9">
        <v>4415</v>
      </c>
      <c r="B2964" t="s">
        <v>469</v>
      </c>
      <c r="C2964" s="25">
        <v>44696</v>
      </c>
      <c r="D2964" s="26">
        <v>0.83340277777777771</v>
      </c>
      <c r="E2964" t="s">
        <v>28</v>
      </c>
      <c r="F2964" t="s">
        <v>166</v>
      </c>
      <c r="G2964" t="s">
        <v>161</v>
      </c>
      <c r="H2964" t="s">
        <v>255</v>
      </c>
      <c r="I2964">
        <v>100</v>
      </c>
      <c r="J2964" s="32">
        <v>0</v>
      </c>
      <c r="K2964" s="90">
        <f>+L2964-J3235</f>
        <v>620</v>
      </c>
      <c r="L2964" s="53">
        <v>620</v>
      </c>
      <c r="M2964" s="10">
        <f t="shared" si="174"/>
        <v>16.129032258064516</v>
      </c>
    </row>
    <row r="2965" spans="1:13" ht="15.75" hidden="1" customHeight="1" x14ac:dyDescent="0.3">
      <c r="A2965" s="9">
        <v>4467</v>
      </c>
      <c r="B2965" t="s">
        <v>469</v>
      </c>
      <c r="C2965" s="25">
        <v>44697</v>
      </c>
      <c r="D2965" s="26">
        <v>0.8903240740740741</v>
      </c>
      <c r="E2965" t="s">
        <v>28</v>
      </c>
      <c r="F2965" t="s">
        <v>210</v>
      </c>
      <c r="G2965" t="s">
        <v>211</v>
      </c>
      <c r="H2965" t="s">
        <v>255</v>
      </c>
      <c r="I2965">
        <v>447.51</v>
      </c>
      <c r="J2965" s="32">
        <v>0</v>
      </c>
      <c r="K2965" s="90">
        <f>+L2965-J3236</f>
        <v>1062</v>
      </c>
      <c r="L2965" s="53">
        <v>1062</v>
      </c>
      <c r="M2965" s="10">
        <f t="shared" si="174"/>
        <v>42.138418079096049</v>
      </c>
    </row>
    <row r="2966" spans="1:13" ht="15.75" hidden="1" customHeight="1" x14ac:dyDescent="0.3">
      <c r="A2966" s="9">
        <v>4570</v>
      </c>
      <c r="B2966" t="s">
        <v>469</v>
      </c>
      <c r="C2966" s="25">
        <v>44699</v>
      </c>
      <c r="D2966" s="26">
        <v>0.5232175925925926</v>
      </c>
      <c r="E2966" t="s">
        <v>28</v>
      </c>
      <c r="F2966" t="s">
        <v>331</v>
      </c>
      <c r="G2966" t="s">
        <v>277</v>
      </c>
      <c r="H2966" t="s">
        <v>255</v>
      </c>
      <c r="I2966">
        <v>350.01</v>
      </c>
      <c r="J2966" s="32">
        <v>0</v>
      </c>
      <c r="K2966" s="90">
        <f>+L2966-J3238</f>
        <v>805</v>
      </c>
      <c r="L2966" s="55">
        <v>805</v>
      </c>
      <c r="M2966" s="10">
        <f t="shared" si="174"/>
        <v>43.479503105590062</v>
      </c>
    </row>
    <row r="2967" spans="1:13" ht="15.75" hidden="1" customHeight="1" x14ac:dyDescent="0.3">
      <c r="A2967" s="9">
        <v>4625</v>
      </c>
      <c r="B2967" t="s">
        <v>469</v>
      </c>
      <c r="C2967" s="25">
        <v>44700</v>
      </c>
      <c r="D2967" s="26">
        <v>0.82045138888888891</v>
      </c>
      <c r="E2967" t="s">
        <v>28</v>
      </c>
      <c r="F2967" t="s">
        <v>197</v>
      </c>
      <c r="G2967" t="s">
        <v>44</v>
      </c>
      <c r="H2967" t="s">
        <v>255</v>
      </c>
      <c r="I2967">
        <v>157.47999999999999</v>
      </c>
      <c r="J2967" s="32">
        <v>0</v>
      </c>
      <c r="K2967" s="90">
        <f>+L2967-J3238</f>
        <v>421</v>
      </c>
      <c r="L2967" s="53">
        <v>421</v>
      </c>
      <c r="M2967" s="10">
        <f t="shared" si="174"/>
        <v>37.406175771971498</v>
      </c>
    </row>
    <row r="2968" spans="1:13" ht="15.75" hidden="1" customHeight="1" x14ac:dyDescent="0.3">
      <c r="A2968" s="9">
        <v>4658</v>
      </c>
      <c r="B2968" t="s">
        <v>469</v>
      </c>
      <c r="C2968" s="25">
        <v>44701</v>
      </c>
      <c r="D2968" s="26">
        <v>0.10856481481481482</v>
      </c>
      <c r="E2968" t="s">
        <v>28</v>
      </c>
      <c r="F2968" t="s">
        <v>166</v>
      </c>
      <c r="G2968" t="s">
        <v>161</v>
      </c>
      <c r="H2968" t="s">
        <v>255</v>
      </c>
      <c r="I2968">
        <v>269.91000000000003</v>
      </c>
      <c r="J2968" s="32">
        <v>0</v>
      </c>
      <c r="K2968" s="90">
        <f>+L2968-J3236</f>
        <v>510</v>
      </c>
      <c r="L2968" s="52">
        <v>510</v>
      </c>
      <c r="M2968" s="10">
        <f t="shared" si="174"/>
        <v>52.923529411764711</v>
      </c>
    </row>
    <row r="2969" spans="1:13" ht="15.75" hidden="1" customHeight="1" x14ac:dyDescent="0.3">
      <c r="A2969" s="9">
        <v>4786</v>
      </c>
      <c r="B2969" t="s">
        <v>469</v>
      </c>
      <c r="C2969" s="25">
        <v>44703</v>
      </c>
      <c r="D2969" s="26">
        <v>0.38576388888888885</v>
      </c>
      <c r="E2969" t="s">
        <v>28</v>
      </c>
      <c r="F2969" t="s">
        <v>210</v>
      </c>
      <c r="G2969" t="s">
        <v>211</v>
      </c>
      <c r="H2969" t="s">
        <v>255</v>
      </c>
      <c r="I2969">
        <v>517.41</v>
      </c>
      <c r="J2969" s="32">
        <v>0</v>
      </c>
      <c r="K2969" s="90">
        <f>+L2969-J3237</f>
        <v>1139</v>
      </c>
      <c r="L2969" s="52">
        <v>1139</v>
      </c>
      <c r="M2969" s="10">
        <f t="shared" si="174"/>
        <v>45.42669007901668</v>
      </c>
    </row>
    <row r="2970" spans="1:13" ht="15.75" hidden="1" customHeight="1" x14ac:dyDescent="0.3">
      <c r="A2970" s="9">
        <v>4838</v>
      </c>
      <c r="B2970" t="s">
        <v>469</v>
      </c>
      <c r="C2970" s="25">
        <v>44704</v>
      </c>
      <c r="D2970" s="26">
        <v>0.53292824074074074</v>
      </c>
      <c r="E2970" t="s">
        <v>28</v>
      </c>
      <c r="F2970" t="s">
        <v>331</v>
      </c>
      <c r="G2970" t="s">
        <v>277</v>
      </c>
      <c r="H2970" t="s">
        <v>255</v>
      </c>
      <c r="I2970">
        <v>348.69499999999999</v>
      </c>
      <c r="J2970" s="32">
        <v>0</v>
      </c>
      <c r="K2970" s="90">
        <f>+L2970-J3238</f>
        <v>817</v>
      </c>
      <c r="L2970" s="52">
        <v>817</v>
      </c>
      <c r="M2970" s="10">
        <f t="shared" si="174"/>
        <v>42.679926560587518</v>
      </c>
    </row>
    <row r="2971" spans="1:13" ht="15.75" hidden="1" customHeight="1" x14ac:dyDescent="0.3">
      <c r="A2971" s="9">
        <v>5049</v>
      </c>
      <c r="B2971" t="s">
        <v>469</v>
      </c>
      <c r="C2971" s="25">
        <v>44708</v>
      </c>
      <c r="D2971" s="26">
        <v>0.58930555555555553</v>
      </c>
      <c r="E2971" t="s">
        <v>28</v>
      </c>
      <c r="F2971" t="s">
        <v>639</v>
      </c>
      <c r="G2971" t="s">
        <v>44</v>
      </c>
      <c r="H2971" t="s">
        <v>255</v>
      </c>
      <c r="I2971">
        <v>167</v>
      </c>
      <c r="J2971" s="32">
        <v>0</v>
      </c>
      <c r="K2971" s="90">
        <f>+L2971-J3200</f>
        <v>368</v>
      </c>
      <c r="L2971" s="51">
        <v>368</v>
      </c>
      <c r="M2971" s="10">
        <f t="shared" si="174"/>
        <v>45.380434782608695</v>
      </c>
    </row>
    <row r="2972" spans="1:13" ht="15.75" hidden="1" customHeight="1" x14ac:dyDescent="0.3">
      <c r="A2972" s="9">
        <v>5050</v>
      </c>
      <c r="B2972" t="s">
        <v>469</v>
      </c>
      <c r="C2972" s="25">
        <v>44708</v>
      </c>
      <c r="D2972" s="26">
        <v>0.94483796296296296</v>
      </c>
      <c r="E2972" t="s">
        <v>28</v>
      </c>
      <c r="F2972" t="s">
        <v>634</v>
      </c>
      <c r="G2972" t="s">
        <v>211</v>
      </c>
      <c r="H2972" t="s">
        <v>255</v>
      </c>
      <c r="I2972">
        <v>270.38</v>
      </c>
      <c r="J2972" s="32">
        <v>0</v>
      </c>
      <c r="K2972" s="90">
        <f>+L2972-J3201</f>
        <v>587</v>
      </c>
      <c r="L2972" s="11">
        <v>587</v>
      </c>
      <c r="M2972" s="10">
        <f t="shared" si="174"/>
        <v>46.061328790459967</v>
      </c>
    </row>
    <row r="2973" spans="1:13" ht="15.75" hidden="1" customHeight="1" x14ac:dyDescent="0.3">
      <c r="A2973" s="9">
        <v>5101</v>
      </c>
      <c r="B2973" t="s">
        <v>469</v>
      </c>
      <c r="C2973" s="25">
        <v>44709</v>
      </c>
      <c r="D2973" s="26">
        <v>0.77069444444444446</v>
      </c>
      <c r="E2973" t="s">
        <v>28</v>
      </c>
      <c r="F2973" t="s">
        <v>645</v>
      </c>
      <c r="G2973" t="s">
        <v>279</v>
      </c>
      <c r="H2973" t="s">
        <v>255</v>
      </c>
      <c r="I2973">
        <v>344.9</v>
      </c>
      <c r="J2973" s="32">
        <v>0</v>
      </c>
      <c r="K2973" s="90">
        <f>+L2973-J3202</f>
        <v>713</v>
      </c>
      <c r="L2973" s="11">
        <v>713</v>
      </c>
      <c r="M2973" s="10">
        <f t="shared" si="174"/>
        <v>48.373071528751751</v>
      </c>
    </row>
    <row r="2974" spans="1:13" ht="15.75" hidden="1" customHeight="1" x14ac:dyDescent="0.3">
      <c r="A2974" s="9">
        <v>5163</v>
      </c>
      <c r="B2974" t="s">
        <v>469</v>
      </c>
      <c r="C2974" s="25">
        <v>44710</v>
      </c>
      <c r="D2974" s="26">
        <v>0.30515046296296294</v>
      </c>
      <c r="E2974" t="s">
        <v>28</v>
      </c>
      <c r="F2974" t="s">
        <v>634</v>
      </c>
      <c r="G2974" t="s">
        <v>211</v>
      </c>
      <c r="H2974" t="s">
        <v>255</v>
      </c>
      <c r="I2974">
        <v>112.9</v>
      </c>
      <c r="J2974" s="32">
        <v>0</v>
      </c>
      <c r="K2974" s="89">
        <f>+L2974-J3202</f>
        <v>350</v>
      </c>
      <c r="L2974" s="30">
        <v>350</v>
      </c>
      <c r="M2974" s="10">
        <f t="shared" si="174"/>
        <v>32.25714285714286</v>
      </c>
    </row>
    <row r="2975" spans="1:13" ht="15.75" hidden="1" customHeight="1" x14ac:dyDescent="0.3">
      <c r="A2975" s="9">
        <v>5164</v>
      </c>
      <c r="B2975" t="s">
        <v>469</v>
      </c>
      <c r="C2975" s="25">
        <v>44710</v>
      </c>
      <c r="D2975" s="26">
        <v>0.75979166666666664</v>
      </c>
      <c r="E2975" t="s">
        <v>28</v>
      </c>
      <c r="F2975" t="s">
        <v>637</v>
      </c>
      <c r="G2975" t="s">
        <v>196</v>
      </c>
      <c r="H2975" t="s">
        <v>255</v>
      </c>
      <c r="I2975">
        <v>100</v>
      </c>
      <c r="J2975" s="32">
        <v>0</v>
      </c>
      <c r="K2975" s="89">
        <f>+L2975-J3203</f>
        <v>483</v>
      </c>
      <c r="L2975" s="11">
        <v>483</v>
      </c>
      <c r="M2975" s="10">
        <f t="shared" si="174"/>
        <v>20.703933747412009</v>
      </c>
    </row>
    <row r="2976" spans="1:13" ht="15.75" hidden="1" customHeight="1" x14ac:dyDescent="0.3">
      <c r="A2976" s="9">
        <v>5216</v>
      </c>
      <c r="B2976" t="s">
        <v>469</v>
      </c>
      <c r="C2976" s="25">
        <v>44711</v>
      </c>
      <c r="D2976" s="26">
        <v>0.70437500000000008</v>
      </c>
      <c r="E2976" t="s">
        <v>28</v>
      </c>
      <c r="F2976" t="s">
        <v>638</v>
      </c>
      <c r="G2976" t="s">
        <v>263</v>
      </c>
      <c r="H2976" t="s">
        <v>255</v>
      </c>
      <c r="I2976">
        <v>200</v>
      </c>
      <c r="J2976" s="32">
        <v>0</v>
      </c>
      <c r="K2976" s="89">
        <f>+L2976-J3197</f>
        <v>421</v>
      </c>
      <c r="L2976" s="28">
        <v>421</v>
      </c>
      <c r="M2976" s="10">
        <f t="shared" ref="M2976:M3000" si="175">I2976/K2976*100</f>
        <v>47.50593824228028</v>
      </c>
    </row>
    <row r="2977" spans="1:13" ht="15.75" hidden="1" customHeight="1" x14ac:dyDescent="0.3">
      <c r="A2977" s="9">
        <v>5246</v>
      </c>
      <c r="B2977" t="s">
        <v>469</v>
      </c>
      <c r="C2977" s="25">
        <v>44712</v>
      </c>
      <c r="D2977" s="26">
        <v>0.50859953703703698</v>
      </c>
      <c r="E2977" t="s">
        <v>28</v>
      </c>
      <c r="F2977" t="s">
        <v>662</v>
      </c>
      <c r="G2977" t="s">
        <v>542</v>
      </c>
      <c r="H2977" t="s">
        <v>255</v>
      </c>
      <c r="I2977">
        <v>208.01</v>
      </c>
      <c r="J2977" s="32">
        <v>0</v>
      </c>
      <c r="K2977" s="89">
        <f>+L2977-J3198</f>
        <v>358</v>
      </c>
      <c r="L2977" s="7">
        <v>358</v>
      </c>
      <c r="M2977" s="10">
        <f t="shared" si="175"/>
        <v>58.103351955307261</v>
      </c>
    </row>
    <row r="2978" spans="1:13" ht="15.75" hidden="1" customHeight="1" x14ac:dyDescent="0.3">
      <c r="A2978" s="9">
        <v>5296</v>
      </c>
      <c r="B2978" t="s">
        <v>469</v>
      </c>
      <c r="C2978" s="25">
        <v>44713</v>
      </c>
      <c r="D2978" s="26">
        <v>0.34300925925925929</v>
      </c>
      <c r="E2978" t="s">
        <v>29</v>
      </c>
      <c r="F2978" t="s">
        <v>632</v>
      </c>
      <c r="G2978" t="s">
        <v>161</v>
      </c>
      <c r="H2978" t="s">
        <v>255</v>
      </c>
      <c r="I2978">
        <v>211.74</v>
      </c>
      <c r="J2978" s="37">
        <v>0</v>
      </c>
      <c r="K2978" s="89">
        <f>+L2978-J3198</f>
        <v>459</v>
      </c>
      <c r="L2978" s="34">
        <v>459</v>
      </c>
      <c r="M2978" s="10">
        <f t="shared" si="175"/>
        <v>46.130718954248366</v>
      </c>
    </row>
    <row r="2979" spans="1:13" ht="15.75" hidden="1" customHeight="1" x14ac:dyDescent="0.3">
      <c r="A2979" s="9">
        <v>5362</v>
      </c>
      <c r="B2979" t="s">
        <v>469</v>
      </c>
      <c r="C2979" s="25">
        <v>44714</v>
      </c>
      <c r="D2979" s="26">
        <v>0.23083333333333333</v>
      </c>
      <c r="E2979" t="s">
        <v>29</v>
      </c>
      <c r="F2979" t="s">
        <v>635</v>
      </c>
      <c r="G2979" t="s">
        <v>185</v>
      </c>
      <c r="H2979" t="s">
        <v>255</v>
      </c>
      <c r="I2979">
        <v>318.44</v>
      </c>
      <c r="J2979" s="32">
        <v>0</v>
      </c>
      <c r="K2979" s="89">
        <f>+L2979-J3199</f>
        <v>624</v>
      </c>
      <c r="L2979" s="7">
        <v>624</v>
      </c>
      <c r="M2979" s="10">
        <f t="shared" si="175"/>
        <v>51.032051282051285</v>
      </c>
    </row>
    <row r="2980" spans="1:13" ht="15.75" hidden="1" customHeight="1" x14ac:dyDescent="0.3">
      <c r="A2980" s="9">
        <v>5363</v>
      </c>
      <c r="B2980" t="s">
        <v>469</v>
      </c>
      <c r="C2980" s="25">
        <v>44714</v>
      </c>
      <c r="D2980" s="26">
        <v>0.5744907407407408</v>
      </c>
      <c r="E2980" t="s">
        <v>29</v>
      </c>
      <c r="F2980" t="s">
        <v>634</v>
      </c>
      <c r="G2980" t="s">
        <v>211</v>
      </c>
      <c r="H2980" t="s">
        <v>255</v>
      </c>
      <c r="I2980">
        <v>173.1</v>
      </c>
      <c r="J2980" s="37">
        <v>0</v>
      </c>
      <c r="K2980" s="89">
        <f>+L2980-J3200</f>
        <v>514</v>
      </c>
      <c r="L2980" s="35">
        <v>514</v>
      </c>
      <c r="M2980" s="10">
        <f t="shared" si="175"/>
        <v>33.677042801556418</v>
      </c>
    </row>
    <row r="2981" spans="1:13" ht="15.75" hidden="1" customHeight="1" x14ac:dyDescent="0.3">
      <c r="A2981" s="9">
        <v>5421</v>
      </c>
      <c r="B2981" t="s">
        <v>469</v>
      </c>
      <c r="C2981" s="25">
        <v>44715</v>
      </c>
      <c r="D2981" s="26">
        <v>0.53217592592592589</v>
      </c>
      <c r="E2981" t="s">
        <v>29</v>
      </c>
      <c r="F2981" t="s">
        <v>693</v>
      </c>
      <c r="G2981" t="s">
        <v>277</v>
      </c>
      <c r="H2981" t="s">
        <v>255</v>
      </c>
      <c r="I2981">
        <v>321.33</v>
      </c>
      <c r="J2981" s="32">
        <v>0</v>
      </c>
      <c r="K2981" s="89">
        <f>+L2981-J3200</f>
        <v>574</v>
      </c>
      <c r="L2981" s="7">
        <v>574</v>
      </c>
      <c r="M2981" s="10">
        <f t="shared" si="175"/>
        <v>55.980836236933797</v>
      </c>
    </row>
    <row r="2982" spans="1:13" ht="15.75" hidden="1" customHeight="1" x14ac:dyDescent="0.3">
      <c r="A2982" s="9">
        <v>5474</v>
      </c>
      <c r="B2982" t="s">
        <v>469</v>
      </c>
      <c r="C2982" s="25">
        <v>44716</v>
      </c>
      <c r="D2982" s="26">
        <v>2.6689814814814816E-2</v>
      </c>
      <c r="E2982" t="s">
        <v>29</v>
      </c>
      <c r="F2982" t="s">
        <v>639</v>
      </c>
      <c r="G2982" t="s">
        <v>44</v>
      </c>
      <c r="H2982" t="s">
        <v>255</v>
      </c>
      <c r="I2982">
        <v>115.68</v>
      </c>
      <c r="J2982" s="65">
        <v>0</v>
      </c>
      <c r="K2982" s="89">
        <f>+L2982-J3201</f>
        <v>295</v>
      </c>
      <c r="L2982" s="34">
        <v>295</v>
      </c>
      <c r="M2982" s="10">
        <f t="shared" si="175"/>
        <v>39.213559322033902</v>
      </c>
    </row>
    <row r="2983" spans="1:13" ht="15.75" hidden="1" customHeight="1" x14ac:dyDescent="0.3">
      <c r="A2983" s="9">
        <v>5475</v>
      </c>
      <c r="B2983" t="s">
        <v>469</v>
      </c>
      <c r="C2983" s="25">
        <v>44716</v>
      </c>
      <c r="D2983" s="26">
        <v>0.55376157407407411</v>
      </c>
      <c r="E2983" t="s">
        <v>29</v>
      </c>
      <c r="F2983" t="s">
        <v>632</v>
      </c>
      <c r="G2983" t="s">
        <v>161</v>
      </c>
      <c r="H2983" t="s">
        <v>255</v>
      </c>
      <c r="I2983">
        <v>310.70999999999998</v>
      </c>
      <c r="J2983" s="32">
        <v>0</v>
      </c>
      <c r="K2983" s="89">
        <f>+L2983-J3202</f>
        <v>511</v>
      </c>
      <c r="L2983" s="7">
        <v>511</v>
      </c>
      <c r="M2983" s="10">
        <f t="shared" si="175"/>
        <v>60.80430528375733</v>
      </c>
    </row>
    <row r="2984" spans="1:13" ht="15.75" hidden="1" customHeight="1" x14ac:dyDescent="0.3">
      <c r="A2984" s="9">
        <v>5519</v>
      </c>
      <c r="B2984" t="s">
        <v>469</v>
      </c>
      <c r="C2984" s="25">
        <v>44717</v>
      </c>
      <c r="D2984" s="26">
        <v>3.2731481481481479E-2</v>
      </c>
      <c r="E2984" t="s">
        <v>29</v>
      </c>
      <c r="F2984" t="s">
        <v>635</v>
      </c>
      <c r="G2984" t="s">
        <v>185</v>
      </c>
      <c r="H2984" t="s">
        <v>255</v>
      </c>
      <c r="I2984">
        <v>334.7</v>
      </c>
      <c r="J2984" s="32">
        <v>0</v>
      </c>
      <c r="K2984" s="89">
        <f>+L2984-J3203</f>
        <v>624</v>
      </c>
      <c r="L2984" s="34">
        <v>624</v>
      </c>
      <c r="M2984" s="10">
        <f t="shared" si="175"/>
        <v>53.637820512820511</v>
      </c>
    </row>
    <row r="2985" spans="1:13" ht="15.75" hidden="1" customHeight="1" x14ac:dyDescent="0.3">
      <c r="A2985" s="9">
        <v>5520</v>
      </c>
      <c r="B2985" t="s">
        <v>469</v>
      </c>
      <c r="C2985" s="25">
        <v>44717</v>
      </c>
      <c r="D2985" s="26">
        <v>0.72719907407407414</v>
      </c>
      <c r="E2985" t="s">
        <v>29</v>
      </c>
      <c r="F2985" t="s">
        <v>634</v>
      </c>
      <c r="G2985" t="s">
        <v>211</v>
      </c>
      <c r="H2985" t="s">
        <v>255</v>
      </c>
      <c r="I2985">
        <v>161.52000000000001</v>
      </c>
      <c r="J2985" s="32">
        <v>0</v>
      </c>
      <c r="K2985" s="89">
        <f>+L2985-J3204</f>
        <v>514</v>
      </c>
      <c r="L2985" s="7">
        <v>514</v>
      </c>
      <c r="M2985" s="10">
        <f t="shared" si="175"/>
        <v>31.424124513618679</v>
      </c>
    </row>
    <row r="2986" spans="1:13" ht="15.75" hidden="1" customHeight="1" x14ac:dyDescent="0.3">
      <c r="A2986" s="9">
        <v>5831</v>
      </c>
      <c r="B2986" t="s">
        <v>469</v>
      </c>
      <c r="C2986" s="25">
        <v>44723</v>
      </c>
      <c r="D2986" s="26">
        <v>0.4380324074074074</v>
      </c>
      <c r="E2986" t="s">
        <v>29</v>
      </c>
      <c r="F2986" t="s">
        <v>651</v>
      </c>
      <c r="G2986" t="s">
        <v>172</v>
      </c>
      <c r="H2986" t="s">
        <v>255</v>
      </c>
      <c r="I2986">
        <v>397.81</v>
      </c>
      <c r="J2986" s="32">
        <v>0</v>
      </c>
      <c r="K2986" s="89">
        <f>+L2986-J3200</f>
        <v>937</v>
      </c>
      <c r="L2986" s="31">
        <v>937</v>
      </c>
      <c r="M2986" s="10">
        <f t="shared" si="175"/>
        <v>42.455709711846318</v>
      </c>
    </row>
    <row r="2987" spans="1:13" ht="15.75" hidden="1" customHeight="1" x14ac:dyDescent="0.3">
      <c r="A2987" s="9">
        <v>5994</v>
      </c>
      <c r="B2987" t="s">
        <v>469</v>
      </c>
      <c r="C2987" s="25">
        <v>44726</v>
      </c>
      <c r="D2987" s="26">
        <v>0.80531249999999999</v>
      </c>
      <c r="E2987" t="s">
        <v>29</v>
      </c>
      <c r="F2987" t="s">
        <v>634</v>
      </c>
      <c r="G2987" t="s">
        <v>211</v>
      </c>
      <c r="H2987" t="s">
        <v>255</v>
      </c>
      <c r="I2987">
        <v>412.89</v>
      </c>
      <c r="J2987" s="32">
        <v>0</v>
      </c>
      <c r="K2987" s="89">
        <v>830</v>
      </c>
      <c r="L2987" s="7">
        <v>830</v>
      </c>
      <c r="M2987" s="10">
        <f t="shared" si="175"/>
        <v>49.745783132530121</v>
      </c>
    </row>
    <row r="2988" spans="1:13" ht="15.75" hidden="1" customHeight="1" x14ac:dyDescent="0.3">
      <c r="A2988" s="9">
        <v>6058</v>
      </c>
      <c r="B2988" t="s">
        <v>469</v>
      </c>
      <c r="C2988" s="25">
        <v>44727</v>
      </c>
      <c r="D2988" s="26">
        <v>0.78325231481481483</v>
      </c>
      <c r="E2988" t="s">
        <v>29</v>
      </c>
      <c r="F2988" t="s">
        <v>634</v>
      </c>
      <c r="G2988" t="s">
        <v>211</v>
      </c>
      <c r="H2988" t="s">
        <v>255</v>
      </c>
      <c r="I2988">
        <v>403.95</v>
      </c>
      <c r="J2988" s="32">
        <v>0</v>
      </c>
      <c r="K2988" s="89">
        <v>914</v>
      </c>
      <c r="L2988" s="35">
        <v>914</v>
      </c>
      <c r="M2988" s="10">
        <f t="shared" si="175"/>
        <v>44.195842450765866</v>
      </c>
    </row>
    <row r="2989" spans="1:13" ht="15.75" hidden="1" customHeight="1" x14ac:dyDescent="0.3">
      <c r="A2989" s="9">
        <v>6113</v>
      </c>
      <c r="B2989" t="s">
        <v>469</v>
      </c>
      <c r="C2989" s="25">
        <v>44728</v>
      </c>
      <c r="D2989" s="26">
        <v>0.59247685185185184</v>
      </c>
      <c r="E2989" t="s">
        <v>29</v>
      </c>
      <c r="F2989" t="s">
        <v>637</v>
      </c>
      <c r="G2989" t="s">
        <v>196</v>
      </c>
      <c r="H2989" t="s">
        <v>255</v>
      </c>
      <c r="I2989">
        <v>180</v>
      </c>
      <c r="J2989" s="32">
        <v>0</v>
      </c>
      <c r="K2989" s="89">
        <v>481</v>
      </c>
      <c r="L2989" s="7">
        <v>481</v>
      </c>
      <c r="M2989" s="36">
        <f t="shared" si="175"/>
        <v>37.422037422037427</v>
      </c>
    </row>
    <row r="2990" spans="1:13" ht="15.75" hidden="1" customHeight="1" x14ac:dyDescent="0.3">
      <c r="A2990" s="9">
        <v>6222</v>
      </c>
      <c r="B2990" t="s">
        <v>469</v>
      </c>
      <c r="C2990" s="25">
        <v>44730</v>
      </c>
      <c r="D2990" s="26">
        <v>0.39667824074074076</v>
      </c>
      <c r="E2990" t="s">
        <v>29</v>
      </c>
      <c r="F2990" t="s">
        <v>679</v>
      </c>
      <c r="G2990" t="s">
        <v>392</v>
      </c>
      <c r="H2990" t="s">
        <v>255</v>
      </c>
      <c r="I2990">
        <v>189.11</v>
      </c>
      <c r="J2990" s="32">
        <v>0</v>
      </c>
      <c r="K2990" s="89">
        <v>430</v>
      </c>
      <c r="L2990" s="7">
        <v>430</v>
      </c>
      <c r="M2990" s="36">
        <f t="shared" si="175"/>
        <v>43.979069767441864</v>
      </c>
    </row>
    <row r="2991" spans="1:13" ht="15.75" hidden="1" customHeight="1" x14ac:dyDescent="0.3">
      <c r="A2991" s="9">
        <v>6397</v>
      </c>
      <c r="B2991" t="s">
        <v>469</v>
      </c>
      <c r="C2991" s="25">
        <v>44735</v>
      </c>
      <c r="D2991" s="26">
        <v>0.80401620370370364</v>
      </c>
      <c r="E2991" t="s">
        <v>29</v>
      </c>
      <c r="F2991" t="s">
        <v>634</v>
      </c>
      <c r="G2991" t="s">
        <v>211</v>
      </c>
      <c r="H2991" t="s">
        <v>255</v>
      </c>
      <c r="I2991" s="148">
        <v>436.83</v>
      </c>
      <c r="J2991" s="32">
        <v>0</v>
      </c>
      <c r="K2991" s="89">
        <v>854</v>
      </c>
      <c r="L2991" s="7">
        <v>854</v>
      </c>
      <c r="M2991" s="36">
        <f t="shared" si="175"/>
        <v>51.151053864168617</v>
      </c>
    </row>
    <row r="2992" spans="1:13" ht="15.75" hidden="1" customHeight="1" x14ac:dyDescent="0.3">
      <c r="A2992" s="9">
        <v>6447</v>
      </c>
      <c r="B2992" t="s">
        <v>469</v>
      </c>
      <c r="C2992" s="25">
        <v>44736</v>
      </c>
      <c r="D2992" s="26">
        <v>0.72624999999999995</v>
      </c>
      <c r="E2992" t="s">
        <v>29</v>
      </c>
      <c r="F2992" t="s">
        <v>645</v>
      </c>
      <c r="G2992" t="s">
        <v>279</v>
      </c>
      <c r="H2992" t="s">
        <v>255</v>
      </c>
      <c r="I2992" s="148">
        <v>358.49</v>
      </c>
      <c r="J2992" s="32">
        <v>0</v>
      </c>
      <c r="K2992" s="89">
        <v>713</v>
      </c>
      <c r="L2992" s="7">
        <v>713</v>
      </c>
      <c r="M2992" s="36">
        <f t="shared" si="175"/>
        <v>50.279102384291733</v>
      </c>
    </row>
    <row r="2993" spans="1:13" ht="15.75" hidden="1" customHeight="1" x14ac:dyDescent="0.3">
      <c r="A2993" s="9">
        <v>6448</v>
      </c>
      <c r="B2993" t="s">
        <v>469</v>
      </c>
      <c r="C2993" s="25">
        <v>44736</v>
      </c>
      <c r="D2993" s="26">
        <v>0.99844907407407402</v>
      </c>
      <c r="E2993" t="s">
        <v>29</v>
      </c>
      <c r="F2993" t="s">
        <v>632</v>
      </c>
      <c r="G2993" t="s">
        <v>161</v>
      </c>
      <c r="H2993" t="s">
        <v>255</v>
      </c>
      <c r="I2993" s="148">
        <v>154.18</v>
      </c>
      <c r="J2993" s="32">
        <v>0</v>
      </c>
      <c r="K2993" s="89">
        <v>425</v>
      </c>
      <c r="L2993" s="7">
        <v>425</v>
      </c>
      <c r="M2993" s="36">
        <f t="shared" si="175"/>
        <v>36.277647058823533</v>
      </c>
    </row>
    <row r="2994" spans="1:13" ht="15.75" hidden="1" customHeight="1" x14ac:dyDescent="0.3">
      <c r="A2994" s="9">
        <v>6506</v>
      </c>
      <c r="B2994" t="s">
        <v>469</v>
      </c>
      <c r="C2994" s="25">
        <v>44737</v>
      </c>
      <c r="D2994" s="26">
        <v>0.56689814814814821</v>
      </c>
      <c r="E2994" t="s">
        <v>29</v>
      </c>
      <c r="F2994" t="s">
        <v>637</v>
      </c>
      <c r="G2994" t="s">
        <v>196</v>
      </c>
      <c r="H2994" t="s">
        <v>255</v>
      </c>
      <c r="I2994" s="148">
        <v>169.77</v>
      </c>
      <c r="J2994" s="32">
        <v>0</v>
      </c>
      <c r="K2994" s="89">
        <v>405</v>
      </c>
      <c r="L2994" s="7">
        <v>405</v>
      </c>
      <c r="M2994" s="36">
        <f t="shared" si="175"/>
        <v>41.918518518518525</v>
      </c>
    </row>
    <row r="2995" spans="1:13" ht="15.75" hidden="1" customHeight="1" x14ac:dyDescent="0.3">
      <c r="A2995" s="9">
        <v>6554</v>
      </c>
      <c r="B2995" t="s">
        <v>469</v>
      </c>
      <c r="C2995" s="25">
        <v>44738</v>
      </c>
      <c r="D2995" s="26">
        <v>4.4664351851851851E-2</v>
      </c>
      <c r="E2995" t="s">
        <v>29</v>
      </c>
      <c r="F2995" t="s">
        <v>639</v>
      </c>
      <c r="G2995" t="s">
        <v>44</v>
      </c>
      <c r="H2995" t="s">
        <v>255</v>
      </c>
      <c r="I2995" s="148">
        <v>67.39</v>
      </c>
      <c r="J2995" s="32">
        <v>0</v>
      </c>
      <c r="K2995" s="89">
        <v>662</v>
      </c>
      <c r="L2995" s="7">
        <v>662</v>
      </c>
      <c r="M2995" s="36">
        <f t="shared" si="175"/>
        <v>10.179758308157099</v>
      </c>
    </row>
    <row r="2996" spans="1:13" ht="15.75" hidden="1" customHeight="1" x14ac:dyDescent="0.3">
      <c r="A2996" s="9">
        <v>6555</v>
      </c>
      <c r="B2996" t="s">
        <v>469</v>
      </c>
      <c r="C2996" s="25">
        <v>44738</v>
      </c>
      <c r="D2996" s="26">
        <v>0.36256944444444444</v>
      </c>
      <c r="E2996" t="s">
        <v>29</v>
      </c>
      <c r="F2996" t="s">
        <v>639</v>
      </c>
      <c r="G2996" t="s">
        <v>44</v>
      </c>
      <c r="H2996" t="s">
        <v>255</v>
      </c>
      <c r="I2996" s="148">
        <v>168.47</v>
      </c>
      <c r="J2996" s="37">
        <v>0</v>
      </c>
      <c r="K2996" s="97">
        <v>395</v>
      </c>
      <c r="L2996" s="34">
        <v>395</v>
      </c>
      <c r="M2996" s="10">
        <f t="shared" si="175"/>
        <v>42.650632911392407</v>
      </c>
    </row>
    <row r="2997" spans="1:13" ht="15.75" hidden="1" customHeight="1" x14ac:dyDescent="0.3">
      <c r="A2997" s="9">
        <v>6611</v>
      </c>
      <c r="B2997" t="s">
        <v>469</v>
      </c>
      <c r="C2997" s="25">
        <v>44739</v>
      </c>
      <c r="D2997" s="26">
        <v>0.56131944444444448</v>
      </c>
      <c r="E2997" t="s">
        <v>29</v>
      </c>
      <c r="F2997" t="s">
        <v>635</v>
      </c>
      <c r="G2997" t="s">
        <v>185</v>
      </c>
      <c r="H2997" t="s">
        <v>255</v>
      </c>
      <c r="I2997" s="148">
        <v>305.35000000000002</v>
      </c>
      <c r="J2997" s="33">
        <v>0</v>
      </c>
      <c r="K2997" s="99">
        <v>547</v>
      </c>
      <c r="L2997" s="7">
        <v>547</v>
      </c>
      <c r="M2997" s="10">
        <f t="shared" si="175"/>
        <v>55.822669104204756</v>
      </c>
    </row>
    <row r="2998" spans="1:13" ht="15.75" hidden="1" customHeight="1" x14ac:dyDescent="0.3">
      <c r="A2998" s="9">
        <v>6672</v>
      </c>
      <c r="B2998" t="s">
        <v>469</v>
      </c>
      <c r="C2998" s="25">
        <v>44740</v>
      </c>
      <c r="D2998" s="26">
        <v>3.636574074074074E-2</v>
      </c>
      <c r="E2998" t="s">
        <v>29</v>
      </c>
      <c r="F2998" t="s">
        <v>634</v>
      </c>
      <c r="G2998" t="s">
        <v>211</v>
      </c>
      <c r="H2998" t="s">
        <v>255</v>
      </c>
      <c r="I2998" s="148">
        <v>157.31</v>
      </c>
      <c r="J2998" s="37">
        <v>0</v>
      </c>
      <c r="K2998" s="97">
        <v>514</v>
      </c>
      <c r="L2998" s="34">
        <v>514</v>
      </c>
      <c r="M2998" s="10">
        <f t="shared" si="175"/>
        <v>30.605058365758751</v>
      </c>
    </row>
    <row r="2999" spans="1:13" ht="15.75" hidden="1" customHeight="1" x14ac:dyDescent="0.3">
      <c r="A2999" s="9">
        <v>6727</v>
      </c>
      <c r="B2999" t="s">
        <v>469</v>
      </c>
      <c r="C2999" s="25">
        <v>44741</v>
      </c>
      <c r="D2999" s="26">
        <v>0.37657407407407412</v>
      </c>
      <c r="E2999" t="s">
        <v>29</v>
      </c>
      <c r="F2999" t="s">
        <v>693</v>
      </c>
      <c r="G2999" t="s">
        <v>277</v>
      </c>
      <c r="H2999" t="s">
        <v>255</v>
      </c>
      <c r="I2999" s="148">
        <v>256.95999999999998</v>
      </c>
      <c r="J2999" s="37">
        <v>0</v>
      </c>
      <c r="K2999" s="97">
        <v>791</v>
      </c>
      <c r="L2999" s="7">
        <v>791</v>
      </c>
      <c r="M2999" s="10">
        <f t="shared" si="175"/>
        <v>32.485461441213651</v>
      </c>
    </row>
    <row r="3000" spans="1:13" ht="15.75" hidden="1" customHeight="1" x14ac:dyDescent="0.3">
      <c r="A3000" s="9">
        <v>6728</v>
      </c>
      <c r="B3000" t="s">
        <v>469</v>
      </c>
      <c r="C3000" s="25">
        <v>44741</v>
      </c>
      <c r="D3000" s="26">
        <v>0.76744212962962965</v>
      </c>
      <c r="E3000" t="s">
        <v>29</v>
      </c>
      <c r="F3000" t="s">
        <v>639</v>
      </c>
      <c r="G3000" t="s">
        <v>44</v>
      </c>
      <c r="H3000" t="s">
        <v>255</v>
      </c>
      <c r="I3000" s="148">
        <v>295.25</v>
      </c>
      <c r="J3000" s="37">
        <v>0</v>
      </c>
      <c r="K3000" s="97">
        <v>349</v>
      </c>
      <c r="L3000" s="7">
        <v>349</v>
      </c>
      <c r="M3000" s="10">
        <f t="shared" si="175"/>
        <v>84.598853868194851</v>
      </c>
    </row>
    <row r="3001" spans="1:13" ht="15.75" hidden="1" customHeight="1" x14ac:dyDescent="0.3">
      <c r="A3001" s="9">
        <v>6751</v>
      </c>
      <c r="B3001" t="s">
        <v>469</v>
      </c>
      <c r="C3001" s="25">
        <v>44742</v>
      </c>
      <c r="D3001" s="26">
        <v>0.26469907407407406</v>
      </c>
      <c r="E3001" t="s">
        <v>29</v>
      </c>
      <c r="F3001" t="s">
        <v>166</v>
      </c>
      <c r="G3001" t="s">
        <v>161</v>
      </c>
      <c r="H3001" t="s">
        <v>255</v>
      </c>
      <c r="I3001" s="148">
        <v>253.04</v>
      </c>
      <c r="J3001" s="8"/>
      <c r="K3001" s="44">
        <v>1234</v>
      </c>
      <c r="L3001" s="44">
        <f>+K3001-J3001</f>
        <v>1234</v>
      </c>
      <c r="M3001" s="10">
        <f>I3001/L3001*100</f>
        <v>20.505672609400325</v>
      </c>
    </row>
    <row r="3002" spans="1:13" ht="15.75" hidden="1" customHeight="1" x14ac:dyDescent="0.3">
      <c r="A3002" s="9">
        <v>6751</v>
      </c>
      <c r="B3002" t="s">
        <v>469</v>
      </c>
      <c r="C3002" s="25">
        <v>44742</v>
      </c>
      <c r="D3002" s="26">
        <v>0.71990740740740744</v>
      </c>
      <c r="E3002" t="s">
        <v>29</v>
      </c>
      <c r="F3002" t="s">
        <v>165</v>
      </c>
      <c r="G3002" t="s">
        <v>185</v>
      </c>
      <c r="H3002" t="s">
        <v>255</v>
      </c>
      <c r="I3002" s="148">
        <v>328</v>
      </c>
      <c r="J3002" s="54"/>
      <c r="K3002" s="54">
        <v>23456</v>
      </c>
      <c r="L3002" s="54">
        <f>+K3002-J3002</f>
        <v>23456</v>
      </c>
      <c r="M3002" s="131">
        <f>I3002/L3002*100</f>
        <v>1.3983628922237379</v>
      </c>
    </row>
    <row r="3003" spans="1:13" ht="15.75" hidden="1" customHeight="1" x14ac:dyDescent="0.3">
      <c r="A3003" s="9">
        <v>6823</v>
      </c>
      <c r="B3003" t="s">
        <v>183</v>
      </c>
      <c r="C3003" s="25">
        <v>44759</v>
      </c>
      <c r="D3003" s="26">
        <v>0.83349537037037036</v>
      </c>
      <c r="E3003" t="s">
        <v>30</v>
      </c>
      <c r="F3003" t="s">
        <v>169</v>
      </c>
      <c r="G3003" t="s">
        <v>196</v>
      </c>
      <c r="H3003" t="s">
        <v>184</v>
      </c>
      <c r="I3003" s="159" t="s">
        <v>1066</v>
      </c>
      <c r="J3003" s="23"/>
      <c r="K3003" s="90"/>
      <c r="L3003" s="185"/>
      <c r="M3003" s="254"/>
    </row>
    <row r="3004" spans="1:13" ht="15.75" hidden="1" customHeight="1" x14ac:dyDescent="0.3">
      <c r="B3004" t="s">
        <v>183</v>
      </c>
      <c r="C3004" s="25">
        <v>44760</v>
      </c>
      <c r="D3004" s="26">
        <v>0.57347222222222227</v>
      </c>
      <c r="E3004" t="s">
        <v>30</v>
      </c>
      <c r="F3004" t="s">
        <v>262</v>
      </c>
      <c r="G3004" t="s">
        <v>263</v>
      </c>
      <c r="H3004" t="s">
        <v>184</v>
      </c>
      <c r="I3004" s="159">
        <v>168.05</v>
      </c>
      <c r="J3004" s="45"/>
      <c r="K3004" s="45">
        <v>774957</v>
      </c>
      <c r="L3004" s="45"/>
      <c r="M3004" s="299"/>
    </row>
    <row r="3005" spans="1:13" ht="15.75" hidden="1" customHeight="1" x14ac:dyDescent="0.3">
      <c r="B3005" t="s">
        <v>183</v>
      </c>
      <c r="C3005" s="25">
        <v>44761</v>
      </c>
      <c r="D3005" s="26">
        <v>0.65896990740740746</v>
      </c>
      <c r="E3005" t="s">
        <v>30</v>
      </c>
      <c r="F3005" t="s">
        <v>166</v>
      </c>
      <c r="G3005" t="s">
        <v>161</v>
      </c>
      <c r="H3005" t="s">
        <v>184</v>
      </c>
      <c r="I3005" s="159">
        <v>358.1</v>
      </c>
      <c r="J3005" s="160">
        <f>358+168+152</f>
        <v>678</v>
      </c>
      <c r="K3005" s="160">
        <v>775822</v>
      </c>
      <c r="L3005" s="160">
        <v>1670</v>
      </c>
      <c r="M3005" s="254">
        <f>+J3005/L3005*100</f>
        <v>40.598802395209582</v>
      </c>
    </row>
    <row r="3006" spans="1:13" ht="15.75" hidden="1" customHeight="1" x14ac:dyDescent="0.3">
      <c r="B3006" t="s">
        <v>183</v>
      </c>
      <c r="C3006" s="25">
        <v>44762</v>
      </c>
      <c r="D3006" s="26">
        <v>0.1212037037037037</v>
      </c>
      <c r="E3006" t="s">
        <v>30</v>
      </c>
      <c r="F3006" t="s">
        <v>165</v>
      </c>
      <c r="G3006" t="s">
        <v>185</v>
      </c>
      <c r="H3006" t="s">
        <v>184</v>
      </c>
      <c r="I3006" s="159">
        <v>290</v>
      </c>
      <c r="J3006" s="44"/>
      <c r="K3006" s="44"/>
      <c r="L3006" s="44"/>
      <c r="M3006" s="267"/>
    </row>
    <row r="3007" spans="1:13" ht="15.75" hidden="1" customHeight="1" x14ac:dyDescent="0.3">
      <c r="B3007" t="s">
        <v>183</v>
      </c>
      <c r="C3007" s="25">
        <v>44762</v>
      </c>
      <c r="D3007" s="26">
        <v>0.88326388888888896</v>
      </c>
      <c r="E3007" t="s">
        <v>30</v>
      </c>
      <c r="F3007" t="s">
        <v>210</v>
      </c>
      <c r="G3007" t="s">
        <v>211</v>
      </c>
      <c r="H3007" t="s">
        <v>184</v>
      </c>
      <c r="I3007" s="159">
        <v>264.24</v>
      </c>
      <c r="J3007" s="161">
        <f>264+290</f>
        <v>554</v>
      </c>
      <c r="K3007" s="161">
        <v>777061</v>
      </c>
      <c r="L3007" s="161">
        <v>1203</v>
      </c>
      <c r="M3007" s="267">
        <f>+J3007/L3007*100</f>
        <v>46.051537822111385</v>
      </c>
    </row>
    <row r="3008" spans="1:13" ht="15.75" hidden="1" customHeight="1" x14ac:dyDescent="0.3">
      <c r="B3008" t="s">
        <v>183</v>
      </c>
      <c r="C3008" s="25">
        <v>44763</v>
      </c>
      <c r="D3008" s="26">
        <v>0.69156249999999997</v>
      </c>
      <c r="E3008" t="s">
        <v>30</v>
      </c>
      <c r="F3008" t="s">
        <v>169</v>
      </c>
      <c r="G3008" t="s">
        <v>196</v>
      </c>
      <c r="H3008" t="s">
        <v>184</v>
      </c>
      <c r="I3008" s="173">
        <v>185.45</v>
      </c>
      <c r="J3008" s="8"/>
      <c r="K3008" s="8"/>
      <c r="L3008" s="8"/>
      <c r="M3008" s="254"/>
    </row>
    <row r="3009" spans="1:13" ht="15.75" hidden="1" customHeight="1" x14ac:dyDescent="0.3">
      <c r="B3009" t="s">
        <v>183</v>
      </c>
      <c r="C3009" s="25">
        <v>44764</v>
      </c>
      <c r="D3009" s="26">
        <v>0.38988425925925929</v>
      </c>
      <c r="E3009" t="s">
        <v>30</v>
      </c>
      <c r="F3009" t="s">
        <v>391</v>
      </c>
      <c r="G3009" t="s">
        <v>392</v>
      </c>
      <c r="H3009" t="s">
        <v>184</v>
      </c>
      <c r="I3009" s="159">
        <v>170.8</v>
      </c>
      <c r="J3009" s="44"/>
      <c r="K3009" s="44"/>
      <c r="L3009" s="44"/>
      <c r="M3009" s="299"/>
    </row>
    <row r="3010" spans="1:13" ht="15.75" hidden="1" customHeight="1" x14ac:dyDescent="0.3">
      <c r="B3010" t="s">
        <v>183</v>
      </c>
      <c r="C3010" s="25">
        <v>44765</v>
      </c>
      <c r="D3010" s="26">
        <v>0.46747685185185189</v>
      </c>
      <c r="E3010" t="s">
        <v>30</v>
      </c>
      <c r="F3010" t="s">
        <v>210</v>
      </c>
      <c r="G3010" t="s">
        <v>211</v>
      </c>
      <c r="H3010" t="s">
        <v>184</v>
      </c>
      <c r="I3010" s="159">
        <v>359.24</v>
      </c>
      <c r="J3010" s="160">
        <f>359+171+185</f>
        <v>715</v>
      </c>
      <c r="K3010" s="160">
        <v>778861</v>
      </c>
      <c r="L3010" s="162">
        <v>1746</v>
      </c>
      <c r="M3010" s="254">
        <f>+J3010/L3010*100</f>
        <v>40.950744558991978</v>
      </c>
    </row>
    <row r="3011" spans="1:13" ht="15.75" hidden="1" customHeight="1" x14ac:dyDescent="0.3">
      <c r="B3011" t="s">
        <v>352</v>
      </c>
      <c r="C3011" s="25">
        <v>44564</v>
      </c>
      <c r="D3011" s="26">
        <v>7.7916666666666676E-2</v>
      </c>
      <c r="E3011" t="s">
        <v>24</v>
      </c>
      <c r="F3011" t="s">
        <v>226</v>
      </c>
      <c r="G3011" t="s">
        <v>227</v>
      </c>
      <c r="H3011" t="s">
        <v>230</v>
      </c>
      <c r="I3011">
        <v>300</v>
      </c>
      <c r="J3011" s="7">
        <v>0</v>
      </c>
      <c r="K3011" s="34">
        <f t="shared" ref="K3011:K3020" si="176">+L3011-J3011</f>
        <v>643.41999999999996</v>
      </c>
      <c r="L3011" s="34">
        <v>643.41999999999996</v>
      </c>
      <c r="M3011" s="61">
        <f t="shared" ref="M3011:M3042" si="177">I3011/K3011*100</f>
        <v>46.625843150663641</v>
      </c>
    </row>
    <row r="3012" spans="1:13" ht="15.75" hidden="1" customHeight="1" x14ac:dyDescent="0.3">
      <c r="B3012" t="s">
        <v>352</v>
      </c>
      <c r="C3012" s="25">
        <v>44569</v>
      </c>
      <c r="D3012" s="26">
        <v>0.18363425925925925</v>
      </c>
      <c r="E3012" t="s">
        <v>24</v>
      </c>
      <c r="F3012" t="s">
        <v>226</v>
      </c>
      <c r="G3012" t="s">
        <v>227</v>
      </c>
      <c r="H3012" t="s">
        <v>230</v>
      </c>
      <c r="I3012">
        <v>295.77</v>
      </c>
      <c r="J3012" s="7">
        <v>0</v>
      </c>
      <c r="K3012" s="7">
        <f t="shared" si="176"/>
        <v>465.29</v>
      </c>
      <c r="L3012" s="7">
        <v>465.29</v>
      </c>
      <c r="M3012" s="10">
        <f t="shared" si="177"/>
        <v>63.566807797287709</v>
      </c>
    </row>
    <row r="3013" spans="1:13" ht="15.75" hidden="1" customHeight="1" x14ac:dyDescent="0.3">
      <c r="B3013" t="s">
        <v>352</v>
      </c>
      <c r="C3013" s="25">
        <v>44572</v>
      </c>
      <c r="D3013" s="26">
        <v>6.6134259259259254E-2</v>
      </c>
      <c r="E3013" t="s">
        <v>24</v>
      </c>
      <c r="F3013" t="s">
        <v>226</v>
      </c>
      <c r="G3013" t="s">
        <v>227</v>
      </c>
      <c r="H3013" t="s">
        <v>230</v>
      </c>
      <c r="I3013">
        <v>300</v>
      </c>
      <c r="J3013" s="31">
        <v>0</v>
      </c>
      <c r="K3013" s="31">
        <f t="shared" si="176"/>
        <v>567.29999999999995</v>
      </c>
      <c r="L3013" s="7">
        <v>567.29999999999995</v>
      </c>
      <c r="M3013" s="10">
        <f t="shared" si="177"/>
        <v>52.882072977260705</v>
      </c>
    </row>
    <row r="3014" spans="1:13" ht="15.75" hidden="1" customHeight="1" x14ac:dyDescent="0.3">
      <c r="B3014" t="s">
        <v>352</v>
      </c>
      <c r="C3014" s="25">
        <v>44580</v>
      </c>
      <c r="D3014" s="26">
        <v>0.67334490740740749</v>
      </c>
      <c r="E3014" t="s">
        <v>24</v>
      </c>
      <c r="F3014" t="s">
        <v>387</v>
      </c>
      <c r="G3014" t="s">
        <v>388</v>
      </c>
      <c r="H3014" t="s">
        <v>230</v>
      </c>
      <c r="I3014">
        <v>456.47</v>
      </c>
      <c r="J3014" s="7">
        <v>0</v>
      </c>
      <c r="K3014" s="34">
        <f t="shared" si="176"/>
        <v>873.85</v>
      </c>
      <c r="L3014" s="34">
        <v>873.85</v>
      </c>
      <c r="M3014" s="10">
        <f t="shared" si="177"/>
        <v>52.236653887967044</v>
      </c>
    </row>
    <row r="3015" spans="1:13" ht="15.75" hidden="1" customHeight="1" x14ac:dyDescent="0.3">
      <c r="B3015" t="s">
        <v>352</v>
      </c>
      <c r="C3015" s="25">
        <v>44586</v>
      </c>
      <c r="D3015" s="26">
        <v>0.84429398148148149</v>
      </c>
      <c r="E3015" t="s">
        <v>24</v>
      </c>
      <c r="F3015" t="s">
        <v>226</v>
      </c>
      <c r="G3015" t="s">
        <v>227</v>
      </c>
      <c r="H3015" t="s">
        <v>230</v>
      </c>
      <c r="I3015">
        <v>328.96</v>
      </c>
      <c r="J3015" s="7">
        <v>0</v>
      </c>
      <c r="K3015" s="7">
        <f t="shared" si="176"/>
        <v>594.47</v>
      </c>
      <c r="L3015" s="7">
        <v>594.47</v>
      </c>
      <c r="M3015" s="10">
        <f t="shared" si="177"/>
        <v>55.336686460208249</v>
      </c>
    </row>
    <row r="3016" spans="1:13" ht="15.75" hidden="1" customHeight="1" x14ac:dyDescent="0.3">
      <c r="B3016" t="s">
        <v>352</v>
      </c>
      <c r="C3016" s="25">
        <v>44590</v>
      </c>
      <c r="D3016" s="26">
        <v>0.15747685185185187</v>
      </c>
      <c r="E3016" t="s">
        <v>24</v>
      </c>
      <c r="F3016" t="s">
        <v>226</v>
      </c>
      <c r="G3016" t="s">
        <v>227</v>
      </c>
      <c r="H3016" t="s">
        <v>230</v>
      </c>
      <c r="I3016">
        <v>326.47000000000003</v>
      </c>
      <c r="J3016" s="34">
        <v>0</v>
      </c>
      <c r="K3016" s="34">
        <f t="shared" si="176"/>
        <v>564.79</v>
      </c>
      <c r="L3016" s="7">
        <v>564.79</v>
      </c>
      <c r="M3016" s="10">
        <f t="shared" si="177"/>
        <v>57.803785477788217</v>
      </c>
    </row>
    <row r="3017" spans="1:13" ht="15.75" hidden="1" customHeight="1" x14ac:dyDescent="0.3">
      <c r="A3017" s="9">
        <v>1753</v>
      </c>
      <c r="B3017" t="s">
        <v>352</v>
      </c>
      <c r="C3017" s="25">
        <v>44650</v>
      </c>
      <c r="D3017" s="26">
        <v>0.50898148148148148</v>
      </c>
      <c r="E3017" t="s">
        <v>26</v>
      </c>
      <c r="F3017" t="s">
        <v>226</v>
      </c>
      <c r="G3017" t="s">
        <v>227</v>
      </c>
      <c r="H3017" t="s">
        <v>224</v>
      </c>
      <c r="I3017">
        <v>200</v>
      </c>
      <c r="J3017" s="7">
        <v>0</v>
      </c>
      <c r="K3017" s="99">
        <f t="shared" si="176"/>
        <v>9998</v>
      </c>
      <c r="L3017" s="54">
        <v>9998</v>
      </c>
      <c r="M3017" s="10">
        <f t="shared" si="177"/>
        <v>2.0004000800160031</v>
      </c>
    </row>
    <row r="3018" spans="1:13" ht="15.75" hidden="1" customHeight="1" x14ac:dyDescent="0.3">
      <c r="A3018" s="9">
        <v>1758</v>
      </c>
      <c r="B3018" t="s">
        <v>352</v>
      </c>
      <c r="C3018" s="25">
        <v>44641</v>
      </c>
      <c r="D3018" s="26">
        <v>0.42121527777777779</v>
      </c>
      <c r="E3018" t="s">
        <v>26</v>
      </c>
      <c r="F3018" t="s">
        <v>226</v>
      </c>
      <c r="G3018" t="s">
        <v>227</v>
      </c>
      <c r="H3018" t="s">
        <v>228</v>
      </c>
      <c r="I3018">
        <v>300</v>
      </c>
      <c r="J3018" s="33">
        <v>0</v>
      </c>
      <c r="K3018" s="99">
        <f t="shared" si="176"/>
        <v>99988</v>
      </c>
      <c r="L3018" s="42">
        <v>99988</v>
      </c>
      <c r="M3018" s="10">
        <f t="shared" si="177"/>
        <v>0.30003600432051847</v>
      </c>
    </row>
    <row r="3019" spans="1:13" ht="15.75" hidden="1" customHeight="1" x14ac:dyDescent="0.3">
      <c r="A3019" s="9">
        <v>3015</v>
      </c>
      <c r="B3019" t="s">
        <v>352</v>
      </c>
      <c r="C3019" s="25">
        <v>44663</v>
      </c>
      <c r="D3019" s="26">
        <v>0.82857638888888896</v>
      </c>
      <c r="E3019" t="s">
        <v>27</v>
      </c>
      <c r="F3019" t="s">
        <v>226</v>
      </c>
      <c r="G3019" t="s">
        <v>227</v>
      </c>
      <c r="H3019" t="s">
        <v>224</v>
      </c>
      <c r="I3019" s="4">
        <v>242.35</v>
      </c>
      <c r="J3019" s="31">
        <v>0</v>
      </c>
      <c r="K3019" s="99">
        <f t="shared" si="176"/>
        <v>999988</v>
      </c>
      <c r="L3019" s="19">
        <v>999988</v>
      </c>
      <c r="M3019" s="10">
        <f t="shared" si="177"/>
        <v>2.423529082348988E-2</v>
      </c>
    </row>
    <row r="3020" spans="1:13" ht="15.75" hidden="1" customHeight="1" x14ac:dyDescent="0.3">
      <c r="A3020" s="9">
        <v>3016</v>
      </c>
      <c r="B3020" t="s">
        <v>352</v>
      </c>
      <c r="C3020" s="25">
        <v>44666</v>
      </c>
      <c r="D3020" s="26">
        <v>3.5555555555555556E-2</v>
      </c>
      <c r="E3020" t="s">
        <v>27</v>
      </c>
      <c r="F3020" t="s">
        <v>226</v>
      </c>
      <c r="G3020" t="s">
        <v>227</v>
      </c>
      <c r="H3020" t="s">
        <v>224</v>
      </c>
      <c r="I3020" s="4">
        <v>140.15</v>
      </c>
      <c r="J3020" s="7">
        <v>0</v>
      </c>
      <c r="K3020" s="97">
        <f t="shared" si="176"/>
        <v>12369</v>
      </c>
      <c r="L3020" s="48">
        <v>12369</v>
      </c>
      <c r="M3020" s="10">
        <f t="shared" si="177"/>
        <v>1.1330746220389685</v>
      </c>
    </row>
    <row r="3021" spans="1:13" ht="15.75" hidden="1" customHeight="1" x14ac:dyDescent="0.3">
      <c r="A3021" s="9">
        <v>4459</v>
      </c>
      <c r="B3021" t="s">
        <v>352</v>
      </c>
      <c r="C3021" s="25">
        <v>44697</v>
      </c>
      <c r="D3021" s="26">
        <v>8.9351851851851849E-2</v>
      </c>
      <c r="E3021" t="s">
        <v>28</v>
      </c>
      <c r="F3021" t="s">
        <v>226</v>
      </c>
      <c r="G3021" t="s">
        <v>227</v>
      </c>
      <c r="H3021" t="s">
        <v>224</v>
      </c>
      <c r="I3021">
        <v>100</v>
      </c>
      <c r="J3021" s="8"/>
      <c r="K3021" s="90">
        <f>+L3021-J3294</f>
        <v>998909</v>
      </c>
      <c r="L3021" s="8">
        <v>999988</v>
      </c>
      <c r="M3021" s="10">
        <f t="shared" si="177"/>
        <v>1.0010921915810149E-2</v>
      </c>
    </row>
    <row r="3022" spans="1:13" ht="15.75" hidden="1" customHeight="1" x14ac:dyDescent="0.3">
      <c r="A3022" s="9">
        <v>4511</v>
      </c>
      <c r="B3022" t="s">
        <v>352</v>
      </c>
      <c r="C3022" s="25">
        <v>44698</v>
      </c>
      <c r="D3022" s="26">
        <v>0.15464120370370371</v>
      </c>
      <c r="E3022" t="s">
        <v>28</v>
      </c>
      <c r="F3022" t="s">
        <v>226</v>
      </c>
      <c r="G3022" t="s">
        <v>227</v>
      </c>
      <c r="H3022" t="s">
        <v>224</v>
      </c>
      <c r="I3022">
        <v>200</v>
      </c>
      <c r="J3022" s="23"/>
      <c r="K3022" s="90">
        <f>+L3022-J3294</f>
        <v>998909</v>
      </c>
      <c r="L3022" s="8">
        <v>999988</v>
      </c>
      <c r="M3022" s="10">
        <f t="shared" si="177"/>
        <v>2.0021843831620298E-2</v>
      </c>
    </row>
    <row r="3023" spans="1:13" ht="15.75" hidden="1" customHeight="1" x14ac:dyDescent="0.3">
      <c r="A3023" s="9">
        <v>4666</v>
      </c>
      <c r="B3023" t="s">
        <v>352</v>
      </c>
      <c r="C3023" s="25">
        <v>44701</v>
      </c>
      <c r="D3023" s="26">
        <v>6.8078703703703711E-2</v>
      </c>
      <c r="E3023" t="s">
        <v>28</v>
      </c>
      <c r="F3023" t="s">
        <v>226</v>
      </c>
      <c r="G3023" t="s">
        <v>227</v>
      </c>
      <c r="H3023" t="s">
        <v>224</v>
      </c>
      <c r="I3023">
        <v>200</v>
      </c>
      <c r="J3023" s="8"/>
      <c r="K3023" s="89">
        <f>+L3023-J3283</f>
        <v>38442</v>
      </c>
      <c r="L3023" s="8">
        <v>38442</v>
      </c>
      <c r="M3023" s="10">
        <f t="shared" si="177"/>
        <v>0.52026429426148491</v>
      </c>
    </row>
    <row r="3024" spans="1:13" ht="15.75" hidden="1" customHeight="1" x14ac:dyDescent="0.3">
      <c r="A3024" s="9">
        <v>6603</v>
      </c>
      <c r="B3024" t="s">
        <v>352</v>
      </c>
      <c r="C3024" s="25">
        <v>44739</v>
      </c>
      <c r="D3024" s="26">
        <v>0.17128472222222224</v>
      </c>
      <c r="E3024" t="s">
        <v>29</v>
      </c>
      <c r="F3024" t="s">
        <v>675</v>
      </c>
      <c r="G3024" t="s">
        <v>227</v>
      </c>
      <c r="H3024" t="s">
        <v>230</v>
      </c>
      <c r="I3024">
        <v>200</v>
      </c>
      <c r="J3024" s="32">
        <v>0</v>
      </c>
      <c r="K3024" s="89"/>
      <c r="L3024" s="49"/>
      <c r="M3024" s="10" t="e">
        <f t="shared" si="177"/>
        <v>#DIV/0!</v>
      </c>
    </row>
    <row r="3025" spans="1:13" ht="15.75" hidden="1" customHeight="1" x14ac:dyDescent="0.3">
      <c r="B3025" t="s">
        <v>225</v>
      </c>
      <c r="C3025" s="25">
        <v>44563</v>
      </c>
      <c r="D3025" s="26">
        <v>7.554398148148149E-2</v>
      </c>
      <c r="E3025" t="s">
        <v>24</v>
      </c>
      <c r="F3025" t="s">
        <v>226</v>
      </c>
      <c r="G3025" t="s">
        <v>227</v>
      </c>
      <c r="H3025" t="s">
        <v>228</v>
      </c>
      <c r="I3025">
        <v>259.39</v>
      </c>
      <c r="J3025" s="7">
        <v>0</v>
      </c>
      <c r="K3025" s="11">
        <f t="shared" ref="K3025:K3039" si="178">+L3025-J3025</f>
        <v>487.84</v>
      </c>
      <c r="L3025" s="7">
        <v>487.84</v>
      </c>
      <c r="M3025" s="10">
        <f t="shared" si="177"/>
        <v>53.1711216792391</v>
      </c>
    </row>
    <row r="3026" spans="1:13" ht="15.75" hidden="1" customHeight="1" x14ac:dyDescent="0.3">
      <c r="B3026" t="s">
        <v>225</v>
      </c>
      <c r="C3026" s="25">
        <v>44566</v>
      </c>
      <c r="D3026" s="26">
        <v>5.4525462962962963E-2</v>
      </c>
      <c r="E3026" t="s">
        <v>24</v>
      </c>
      <c r="F3026" t="s">
        <v>226</v>
      </c>
      <c r="G3026" t="s">
        <v>227</v>
      </c>
      <c r="H3026" t="s">
        <v>228</v>
      </c>
      <c r="I3026">
        <v>255.56</v>
      </c>
      <c r="J3026" s="7">
        <v>0</v>
      </c>
      <c r="K3026" s="11">
        <f t="shared" si="178"/>
        <v>613.87</v>
      </c>
      <c r="L3026" s="7">
        <v>613.87</v>
      </c>
      <c r="M3026" s="10">
        <f t="shared" si="177"/>
        <v>41.630964210663493</v>
      </c>
    </row>
    <row r="3027" spans="1:13" ht="15.75" hidden="1" customHeight="1" x14ac:dyDescent="0.3">
      <c r="B3027" t="s">
        <v>225</v>
      </c>
      <c r="C3027" s="25">
        <v>44570</v>
      </c>
      <c r="D3027" s="26">
        <v>0.57119212962962962</v>
      </c>
      <c r="E3027" t="s">
        <v>24</v>
      </c>
      <c r="F3027" t="s">
        <v>226</v>
      </c>
      <c r="G3027" t="s">
        <v>227</v>
      </c>
      <c r="H3027" t="s">
        <v>228</v>
      </c>
      <c r="I3027">
        <f>197.3+194.12</f>
        <v>391.42</v>
      </c>
      <c r="J3027" s="7">
        <v>0</v>
      </c>
      <c r="K3027" s="11">
        <f t="shared" si="178"/>
        <v>915.79</v>
      </c>
      <c r="L3027" s="7">
        <v>915.79</v>
      </c>
      <c r="M3027" s="10">
        <f t="shared" si="177"/>
        <v>42.741239803885172</v>
      </c>
    </row>
    <row r="3028" spans="1:13" ht="15.75" hidden="1" customHeight="1" x14ac:dyDescent="0.3">
      <c r="B3028" t="s">
        <v>225</v>
      </c>
      <c r="C3028" s="25">
        <v>44581</v>
      </c>
      <c r="D3028" s="26">
        <v>0.41395833333333337</v>
      </c>
      <c r="E3028" t="s">
        <v>24</v>
      </c>
      <c r="F3028" t="s">
        <v>226</v>
      </c>
      <c r="G3028" t="s">
        <v>227</v>
      </c>
      <c r="H3028" t="s">
        <v>228</v>
      </c>
      <c r="I3028">
        <v>291.08999999999997</v>
      </c>
      <c r="J3028" s="7">
        <v>0</v>
      </c>
      <c r="K3028" s="11">
        <f t="shared" si="178"/>
        <v>641.1</v>
      </c>
      <c r="L3028" s="34">
        <v>641.1</v>
      </c>
      <c r="M3028" s="10">
        <f t="shared" si="177"/>
        <v>45.404773046326618</v>
      </c>
    </row>
    <row r="3029" spans="1:13" ht="15.75" hidden="1" customHeight="1" x14ac:dyDescent="0.3">
      <c r="A3029" s="9">
        <v>668</v>
      </c>
      <c r="B3029" t="s">
        <v>225</v>
      </c>
      <c r="C3029" s="25">
        <v>44593</v>
      </c>
      <c r="D3029" s="26">
        <v>4.988425925925926E-2</v>
      </c>
      <c r="E3029" t="s">
        <v>25</v>
      </c>
      <c r="F3029" t="s">
        <v>226</v>
      </c>
      <c r="G3029" t="s">
        <v>227</v>
      </c>
      <c r="H3029" t="s">
        <v>228</v>
      </c>
      <c r="I3029">
        <v>274.55</v>
      </c>
      <c r="J3029" s="7">
        <v>0</v>
      </c>
      <c r="K3029" s="11">
        <f t="shared" si="178"/>
        <v>566.79999999999995</v>
      </c>
      <c r="L3029" s="7">
        <v>566.79999999999995</v>
      </c>
      <c r="M3029" s="10">
        <f t="shared" si="177"/>
        <v>48.438602681721953</v>
      </c>
    </row>
    <row r="3030" spans="1:13" ht="15.75" hidden="1" customHeight="1" x14ac:dyDescent="0.3">
      <c r="A3030" s="9">
        <v>669</v>
      </c>
      <c r="B3030" t="s">
        <v>225</v>
      </c>
      <c r="C3030" s="25">
        <v>44597</v>
      </c>
      <c r="D3030" s="26">
        <v>6.322916666666667E-2</v>
      </c>
      <c r="E3030" t="s">
        <v>25</v>
      </c>
      <c r="F3030" t="s">
        <v>226</v>
      </c>
      <c r="G3030" t="s">
        <v>227</v>
      </c>
      <c r="H3030" t="s">
        <v>228</v>
      </c>
      <c r="I3030">
        <v>322.63</v>
      </c>
      <c r="J3030" s="7">
        <v>0</v>
      </c>
      <c r="K3030" s="11">
        <f t="shared" si="178"/>
        <v>756.5</v>
      </c>
      <c r="L3030" s="7">
        <v>756.5</v>
      </c>
      <c r="M3030" s="10">
        <f t="shared" si="177"/>
        <v>42.647719762062124</v>
      </c>
    </row>
    <row r="3031" spans="1:13" ht="15.75" hidden="1" customHeight="1" x14ac:dyDescent="0.3">
      <c r="A3031" s="9">
        <v>670</v>
      </c>
      <c r="B3031" t="s">
        <v>225</v>
      </c>
      <c r="C3031" s="25">
        <v>44599</v>
      </c>
      <c r="D3031" s="26">
        <v>0.99513888888888891</v>
      </c>
      <c r="E3031" t="s">
        <v>25</v>
      </c>
      <c r="F3031" t="s">
        <v>226</v>
      </c>
      <c r="G3031" t="s">
        <v>227</v>
      </c>
      <c r="H3031" t="s">
        <v>228</v>
      </c>
      <c r="I3031">
        <v>280.33</v>
      </c>
      <c r="J3031" s="39">
        <v>0</v>
      </c>
      <c r="K3031" s="11">
        <f t="shared" si="178"/>
        <v>664.41</v>
      </c>
      <c r="L3031" s="11">
        <v>664.41</v>
      </c>
      <c r="M3031" s="10">
        <f t="shared" si="177"/>
        <v>42.192321006607365</v>
      </c>
    </row>
    <row r="3032" spans="1:13" ht="15.75" hidden="1" customHeight="1" x14ac:dyDescent="0.3">
      <c r="A3032" s="9">
        <v>673</v>
      </c>
      <c r="B3032" t="s">
        <v>225</v>
      </c>
      <c r="C3032" s="25">
        <v>44612</v>
      </c>
      <c r="D3032" s="26">
        <v>5.9386574074074071E-2</v>
      </c>
      <c r="E3032" t="s">
        <v>25</v>
      </c>
      <c r="F3032" t="s">
        <v>226</v>
      </c>
      <c r="G3032" t="s">
        <v>227</v>
      </c>
      <c r="H3032" t="s">
        <v>228</v>
      </c>
      <c r="I3032">
        <v>300.01</v>
      </c>
      <c r="J3032" s="7">
        <v>0</v>
      </c>
      <c r="K3032" s="11">
        <f t="shared" si="178"/>
        <v>672.9</v>
      </c>
      <c r="L3032" s="53">
        <v>672.9</v>
      </c>
      <c r="M3032" s="10">
        <f t="shared" si="177"/>
        <v>44.584633675137461</v>
      </c>
    </row>
    <row r="3033" spans="1:13" ht="15.75" hidden="1" customHeight="1" x14ac:dyDescent="0.3">
      <c r="A3033" s="9">
        <v>674</v>
      </c>
      <c r="B3033" t="s">
        <v>225</v>
      </c>
      <c r="C3033" s="25">
        <v>44617</v>
      </c>
      <c r="D3033" s="26">
        <v>0.85960648148148155</v>
      </c>
      <c r="E3033" t="s">
        <v>25</v>
      </c>
      <c r="F3033" t="s">
        <v>226</v>
      </c>
      <c r="G3033" t="s">
        <v>227</v>
      </c>
      <c r="H3033" t="s">
        <v>228</v>
      </c>
      <c r="I3033">
        <v>340.19</v>
      </c>
      <c r="J3033" s="32">
        <v>0</v>
      </c>
      <c r="K3033" s="53">
        <f t="shared" si="178"/>
        <v>688558</v>
      </c>
      <c r="L3033" s="52">
        <v>688558</v>
      </c>
      <c r="M3033" s="10">
        <f t="shared" si="177"/>
        <v>4.9406150244423852E-2</v>
      </c>
    </row>
    <row r="3034" spans="1:13" ht="15.75" hidden="1" customHeight="1" x14ac:dyDescent="0.3">
      <c r="A3034" s="9">
        <v>1761</v>
      </c>
      <c r="B3034" t="s">
        <v>225</v>
      </c>
      <c r="C3034" s="25">
        <v>44651</v>
      </c>
      <c r="D3034" s="26">
        <v>0.87878472222222215</v>
      </c>
      <c r="E3034" t="s">
        <v>26</v>
      </c>
      <c r="F3034" t="s">
        <v>226</v>
      </c>
      <c r="G3034" t="s">
        <v>227</v>
      </c>
      <c r="H3034" t="s">
        <v>228</v>
      </c>
      <c r="I3034">
        <v>200</v>
      </c>
      <c r="J3034" s="42"/>
      <c r="K3034" s="89">
        <f t="shared" si="178"/>
        <v>12369</v>
      </c>
      <c r="L3034" s="114">
        <v>12369</v>
      </c>
      <c r="M3034" s="10">
        <f t="shared" si="177"/>
        <v>1.6169455897809037</v>
      </c>
    </row>
    <row r="3035" spans="1:13" ht="15.75" hidden="1" customHeight="1" x14ac:dyDescent="0.3">
      <c r="A3035" s="9">
        <v>3025</v>
      </c>
      <c r="B3035" t="s">
        <v>225</v>
      </c>
      <c r="C3035" s="25">
        <v>44663</v>
      </c>
      <c r="D3035" s="26">
        <v>0.10555555555555556</v>
      </c>
      <c r="E3035" t="s">
        <v>27</v>
      </c>
      <c r="F3035" t="s">
        <v>226</v>
      </c>
      <c r="G3035" t="s">
        <v>227</v>
      </c>
      <c r="H3035" t="s">
        <v>228</v>
      </c>
      <c r="I3035" s="4">
        <v>300.01</v>
      </c>
      <c r="J3035" s="8"/>
      <c r="K3035" s="89">
        <f t="shared" si="178"/>
        <v>898858</v>
      </c>
      <c r="L3035" s="80">
        <v>898858</v>
      </c>
      <c r="M3035" s="10">
        <f t="shared" si="177"/>
        <v>3.3376795889895845E-2</v>
      </c>
    </row>
    <row r="3036" spans="1:13" ht="15.75" hidden="1" customHeight="1" x14ac:dyDescent="0.3">
      <c r="A3036" s="9">
        <v>3026</v>
      </c>
      <c r="B3036" t="s">
        <v>225</v>
      </c>
      <c r="C3036" s="25">
        <v>44667</v>
      </c>
      <c r="D3036" s="26">
        <v>5.3298611111111116E-2</v>
      </c>
      <c r="E3036" t="s">
        <v>27</v>
      </c>
      <c r="F3036" t="s">
        <v>226</v>
      </c>
      <c r="G3036" t="s">
        <v>227</v>
      </c>
      <c r="H3036" t="s">
        <v>228</v>
      </c>
      <c r="I3036" s="4">
        <v>200</v>
      </c>
      <c r="J3036" s="8"/>
      <c r="K3036" s="89">
        <f t="shared" si="178"/>
        <v>13256</v>
      </c>
      <c r="L3036" s="4">
        <v>13256</v>
      </c>
      <c r="M3036" s="10">
        <f t="shared" si="177"/>
        <v>1.5087507543753771</v>
      </c>
    </row>
    <row r="3037" spans="1:13" ht="15.75" hidden="1" customHeight="1" x14ac:dyDescent="0.3">
      <c r="A3037" s="9">
        <v>3027</v>
      </c>
      <c r="B3037" t="s">
        <v>225</v>
      </c>
      <c r="C3037" s="25">
        <v>44669</v>
      </c>
      <c r="D3037" s="26">
        <v>0.54604166666666665</v>
      </c>
      <c r="E3037" t="s">
        <v>27</v>
      </c>
      <c r="F3037" t="s">
        <v>226</v>
      </c>
      <c r="G3037" t="s">
        <v>227</v>
      </c>
      <c r="H3037" t="s">
        <v>228</v>
      </c>
      <c r="I3037" s="4">
        <v>200</v>
      </c>
      <c r="J3037" s="8"/>
      <c r="K3037" s="89">
        <f t="shared" si="178"/>
        <v>452454</v>
      </c>
      <c r="L3037" s="4">
        <v>452454</v>
      </c>
      <c r="M3037" s="10">
        <f t="shared" si="177"/>
        <v>4.4203388631772512E-2</v>
      </c>
    </row>
    <row r="3038" spans="1:13" ht="15.75" hidden="1" customHeight="1" x14ac:dyDescent="0.3">
      <c r="A3038" s="9">
        <v>3028</v>
      </c>
      <c r="B3038" t="s">
        <v>225</v>
      </c>
      <c r="C3038" s="25">
        <v>44671</v>
      </c>
      <c r="D3038" s="26">
        <v>0.51395833333333341</v>
      </c>
      <c r="E3038" t="s">
        <v>27</v>
      </c>
      <c r="F3038" t="s">
        <v>226</v>
      </c>
      <c r="G3038" t="s">
        <v>227</v>
      </c>
      <c r="H3038" t="s">
        <v>228</v>
      </c>
      <c r="I3038" s="4">
        <v>135.78</v>
      </c>
      <c r="J3038" s="8"/>
      <c r="K3038" s="89">
        <f t="shared" si="178"/>
        <v>999988</v>
      </c>
      <c r="L3038" s="80">
        <v>999988</v>
      </c>
      <c r="M3038" s="10">
        <f t="shared" si="177"/>
        <v>1.3578162937955256E-2</v>
      </c>
    </row>
    <row r="3039" spans="1:13" ht="15.75" hidden="1" customHeight="1" x14ac:dyDescent="0.3">
      <c r="A3039" s="9">
        <v>3030</v>
      </c>
      <c r="B3039" t="s">
        <v>225</v>
      </c>
      <c r="C3039" s="25">
        <v>44678</v>
      </c>
      <c r="D3039" s="26">
        <v>0.86694444444444441</v>
      </c>
      <c r="E3039" t="s">
        <v>27</v>
      </c>
      <c r="F3039" t="s">
        <v>226</v>
      </c>
      <c r="G3039" t="s">
        <v>227</v>
      </c>
      <c r="H3039" t="s">
        <v>228</v>
      </c>
      <c r="I3039">
        <v>200</v>
      </c>
      <c r="J3039" s="8"/>
      <c r="K3039" s="89">
        <f t="shared" si="178"/>
        <v>0</v>
      </c>
      <c r="L3039" s="11"/>
      <c r="M3039" s="10" t="e">
        <f t="shared" si="177"/>
        <v>#DIV/0!</v>
      </c>
    </row>
    <row r="3040" spans="1:13" ht="15.75" hidden="1" customHeight="1" x14ac:dyDescent="0.3">
      <c r="A3040" s="9">
        <v>4080</v>
      </c>
      <c r="B3040" t="s">
        <v>225</v>
      </c>
      <c r="C3040" s="25">
        <v>44690</v>
      </c>
      <c r="D3040" s="26">
        <v>0.88465277777777773</v>
      </c>
      <c r="E3040" t="s">
        <v>28</v>
      </c>
      <c r="F3040" t="s">
        <v>226</v>
      </c>
      <c r="G3040" t="s">
        <v>227</v>
      </c>
      <c r="H3040" t="s">
        <v>228</v>
      </c>
      <c r="I3040">
        <v>200</v>
      </c>
      <c r="J3040" s="8"/>
      <c r="K3040" s="89">
        <f>+L3040-J3171</f>
        <v>100000</v>
      </c>
      <c r="L3040" s="82">
        <v>100000</v>
      </c>
      <c r="M3040" s="10">
        <f t="shared" si="177"/>
        <v>0.2</v>
      </c>
    </row>
    <row r="3041" spans="1:13" ht="15.75" hidden="1" customHeight="1" x14ac:dyDescent="0.3">
      <c r="A3041" s="9">
        <v>4215</v>
      </c>
      <c r="B3041" t="s">
        <v>225</v>
      </c>
      <c r="C3041" s="25">
        <v>44693</v>
      </c>
      <c r="D3041" s="26">
        <v>9.0891203703703696E-2</v>
      </c>
      <c r="E3041" t="s">
        <v>28</v>
      </c>
      <c r="F3041" t="s">
        <v>226</v>
      </c>
      <c r="G3041" t="s">
        <v>227</v>
      </c>
      <c r="H3041" t="s">
        <v>228</v>
      </c>
      <c r="I3041">
        <v>200</v>
      </c>
      <c r="J3041" s="24"/>
      <c r="K3041" s="89">
        <f>+L3041-J3174</f>
        <v>859889</v>
      </c>
      <c r="L3041" s="106">
        <v>859889</v>
      </c>
      <c r="M3041" s="10">
        <f t="shared" si="177"/>
        <v>2.3258815963455748E-2</v>
      </c>
    </row>
    <row r="3042" spans="1:13" ht="15.75" hidden="1" customHeight="1" x14ac:dyDescent="0.3">
      <c r="A3042" s="9">
        <v>4828</v>
      </c>
      <c r="B3042" t="s">
        <v>225</v>
      </c>
      <c r="C3042" s="25">
        <v>44704</v>
      </c>
      <c r="D3042" s="26">
        <v>0.8291087962962963</v>
      </c>
      <c r="E3042" t="s">
        <v>28</v>
      </c>
      <c r="F3042" t="s">
        <v>226</v>
      </c>
      <c r="G3042" t="s">
        <v>227</v>
      </c>
      <c r="H3042" t="s">
        <v>228</v>
      </c>
      <c r="I3042">
        <v>222.15</v>
      </c>
      <c r="J3042" s="24"/>
      <c r="K3042" s="89" t="e">
        <f>+L3042-#REF!</f>
        <v>#REF!</v>
      </c>
      <c r="L3042" s="82">
        <v>100000</v>
      </c>
      <c r="M3042" s="10" t="e">
        <f t="shared" si="177"/>
        <v>#REF!</v>
      </c>
    </row>
    <row r="3043" spans="1:13" ht="15.75" hidden="1" customHeight="1" x14ac:dyDescent="0.3">
      <c r="A3043" s="9">
        <v>5208</v>
      </c>
      <c r="B3043" t="s">
        <v>225</v>
      </c>
      <c r="C3043" s="25">
        <v>44711</v>
      </c>
      <c r="D3043" s="26">
        <v>0.40347222222222223</v>
      </c>
      <c r="E3043" t="s">
        <v>28</v>
      </c>
      <c r="F3043" t="s">
        <v>686</v>
      </c>
      <c r="G3043" t="s">
        <v>388</v>
      </c>
      <c r="H3043" t="s">
        <v>563</v>
      </c>
      <c r="I3043">
        <v>82.14</v>
      </c>
      <c r="J3043" s="41">
        <v>0</v>
      </c>
      <c r="K3043" s="89"/>
      <c r="L3043" s="11"/>
      <c r="M3043" s="10" t="e">
        <f t="shared" ref="M3043:M3065" si="179">I3043/K3043*100</f>
        <v>#DIV/0!</v>
      </c>
    </row>
    <row r="3044" spans="1:13" ht="15.75" hidden="1" customHeight="1" x14ac:dyDescent="0.3">
      <c r="A3044" s="9">
        <v>5608</v>
      </c>
      <c r="B3044" t="s">
        <v>225</v>
      </c>
      <c r="C3044" s="25">
        <v>44719</v>
      </c>
      <c r="D3044" s="26">
        <v>8.6817129629629633E-2</v>
      </c>
      <c r="E3044" t="s">
        <v>29</v>
      </c>
      <c r="F3044" t="s">
        <v>675</v>
      </c>
      <c r="G3044" t="s">
        <v>227</v>
      </c>
      <c r="H3044" t="s">
        <v>228</v>
      </c>
      <c r="I3044">
        <v>200</v>
      </c>
      <c r="J3044" s="174">
        <v>0</v>
      </c>
      <c r="K3044" s="89">
        <f>+L3044-J2604</f>
        <v>-672579</v>
      </c>
      <c r="L3044" s="30"/>
      <c r="M3044" s="10">
        <f t="shared" si="179"/>
        <v>-2.9736283767408733E-2</v>
      </c>
    </row>
    <row r="3045" spans="1:13" ht="15.75" hidden="1" customHeight="1" x14ac:dyDescent="0.3">
      <c r="A3045" s="9">
        <v>5669</v>
      </c>
      <c r="B3045" t="s">
        <v>225</v>
      </c>
      <c r="C3045" s="25">
        <v>44720</v>
      </c>
      <c r="D3045" s="26">
        <v>0.91635416666666669</v>
      </c>
      <c r="E3045" t="s">
        <v>29</v>
      </c>
      <c r="F3045" t="s">
        <v>675</v>
      </c>
      <c r="G3045" t="s">
        <v>227</v>
      </c>
      <c r="H3045" t="s">
        <v>228</v>
      </c>
      <c r="I3045">
        <v>200</v>
      </c>
      <c r="J3045" s="174">
        <v>0</v>
      </c>
      <c r="K3045" s="89">
        <f>+L3045-J2646</f>
        <v>405</v>
      </c>
      <c r="L3045" s="11">
        <v>405</v>
      </c>
      <c r="M3045" s="10">
        <f t="shared" si="179"/>
        <v>49.382716049382715</v>
      </c>
    </row>
    <row r="3046" spans="1:13" ht="15.75" hidden="1" customHeight="1" x14ac:dyDescent="0.3">
      <c r="A3046" s="9">
        <v>5821</v>
      </c>
      <c r="B3046" t="s">
        <v>225</v>
      </c>
      <c r="C3046" s="25">
        <v>44723</v>
      </c>
      <c r="D3046" s="26">
        <v>8.3368055555555556E-2</v>
      </c>
      <c r="E3046" t="s">
        <v>29</v>
      </c>
      <c r="F3046" t="s">
        <v>675</v>
      </c>
      <c r="G3046" t="s">
        <v>227</v>
      </c>
      <c r="H3046" t="s">
        <v>228</v>
      </c>
      <c r="I3046">
        <v>192.7</v>
      </c>
      <c r="J3046" s="103"/>
      <c r="K3046" s="89"/>
      <c r="L3046" s="23"/>
      <c r="M3046" s="10" t="e">
        <f t="shared" si="179"/>
        <v>#DIV/0!</v>
      </c>
    </row>
    <row r="3047" spans="1:13" ht="15.75" hidden="1" customHeight="1" x14ac:dyDescent="0.3">
      <c r="A3047" s="9">
        <v>116</v>
      </c>
      <c r="B3047" t="s">
        <v>229</v>
      </c>
      <c r="C3047" s="25">
        <v>44565</v>
      </c>
      <c r="D3047" s="26">
        <v>0.60164351851851849</v>
      </c>
      <c r="E3047" t="s">
        <v>24</v>
      </c>
      <c r="F3047" t="s">
        <v>241</v>
      </c>
      <c r="G3047" t="s">
        <v>242</v>
      </c>
      <c r="H3047" t="s">
        <v>290</v>
      </c>
      <c r="I3047">
        <v>472.46</v>
      </c>
      <c r="J3047" s="34">
        <v>0</v>
      </c>
      <c r="K3047" s="11">
        <f t="shared" ref="K3047:K3065" si="180">+L3047-J3047</f>
        <v>1262.3599999999999</v>
      </c>
      <c r="L3047" s="34">
        <v>1262.3599999999999</v>
      </c>
      <c r="M3047" s="10">
        <f t="shared" si="179"/>
        <v>37.426724547672613</v>
      </c>
    </row>
    <row r="3048" spans="1:13" ht="15.75" hidden="1" customHeight="1" x14ac:dyDescent="0.3">
      <c r="A3048" s="9">
        <v>117</v>
      </c>
      <c r="B3048" t="s">
        <v>229</v>
      </c>
      <c r="C3048" s="25">
        <v>44567</v>
      </c>
      <c r="D3048" s="26">
        <v>0.13185185185185186</v>
      </c>
      <c r="E3048" t="s">
        <v>24</v>
      </c>
      <c r="F3048" t="s">
        <v>296</v>
      </c>
      <c r="G3048" t="s">
        <v>297</v>
      </c>
      <c r="H3048" t="s">
        <v>290</v>
      </c>
      <c r="I3048">
        <v>375.58</v>
      </c>
      <c r="J3048" s="34">
        <v>0</v>
      </c>
      <c r="K3048" s="11">
        <f t="shared" si="180"/>
        <v>989.28700000000003</v>
      </c>
      <c r="L3048" s="31">
        <v>989.28700000000003</v>
      </c>
      <c r="M3048" s="10">
        <f t="shared" si="179"/>
        <v>37.964716002535155</v>
      </c>
    </row>
    <row r="3049" spans="1:13" ht="15.75" hidden="1" customHeight="1" x14ac:dyDescent="0.3">
      <c r="A3049" s="9">
        <v>118</v>
      </c>
      <c r="B3049" t="s">
        <v>229</v>
      </c>
      <c r="C3049" s="25">
        <v>44568</v>
      </c>
      <c r="D3049" s="26">
        <v>0.63743055555555561</v>
      </c>
      <c r="E3049" t="s">
        <v>24</v>
      </c>
      <c r="F3049" t="s">
        <v>329</v>
      </c>
      <c r="G3049" t="s">
        <v>330</v>
      </c>
      <c r="H3049" t="s">
        <v>290</v>
      </c>
      <c r="I3049">
        <v>500.14</v>
      </c>
      <c r="J3049" s="7">
        <v>0</v>
      </c>
      <c r="K3049" s="11">
        <f t="shared" si="180"/>
        <v>1339.78</v>
      </c>
      <c r="L3049" s="7">
        <v>1339.78</v>
      </c>
      <c r="M3049" s="36">
        <f t="shared" si="179"/>
        <v>37.3300094045291</v>
      </c>
    </row>
    <row r="3050" spans="1:13" ht="15.75" hidden="1" customHeight="1" x14ac:dyDescent="0.3">
      <c r="A3050" s="9">
        <v>119</v>
      </c>
      <c r="B3050" t="s">
        <v>229</v>
      </c>
      <c r="C3050" s="25">
        <v>44571</v>
      </c>
      <c r="D3050" s="26">
        <v>0.29927083333333332</v>
      </c>
      <c r="E3050" t="s">
        <v>24</v>
      </c>
      <c r="F3050" t="s">
        <v>360</v>
      </c>
      <c r="G3050" t="s">
        <v>334</v>
      </c>
      <c r="H3050" t="s">
        <v>290</v>
      </c>
      <c r="I3050">
        <v>450.03</v>
      </c>
      <c r="J3050" s="34">
        <v>0</v>
      </c>
      <c r="K3050" s="11">
        <f t="shared" si="180"/>
        <v>1143.1199999999999</v>
      </c>
      <c r="L3050" s="7">
        <v>1143.1199999999999</v>
      </c>
      <c r="M3050" s="36">
        <f t="shared" si="179"/>
        <v>39.368570228847368</v>
      </c>
    </row>
    <row r="3051" spans="1:13" ht="15.75" hidden="1" customHeight="1" x14ac:dyDescent="0.3">
      <c r="A3051" s="9">
        <v>120</v>
      </c>
      <c r="B3051" t="s">
        <v>229</v>
      </c>
      <c r="C3051" s="25">
        <v>44573</v>
      </c>
      <c r="D3051" s="26">
        <v>0.45729166666666665</v>
      </c>
      <c r="E3051" t="s">
        <v>24</v>
      </c>
      <c r="F3051" t="s">
        <v>319</v>
      </c>
      <c r="G3051" t="s">
        <v>320</v>
      </c>
      <c r="H3051" t="s">
        <v>290</v>
      </c>
      <c r="I3051">
        <v>533.6</v>
      </c>
      <c r="J3051" s="31">
        <v>0</v>
      </c>
      <c r="K3051" s="11">
        <f t="shared" si="180"/>
        <v>1420.2</v>
      </c>
      <c r="L3051" s="7">
        <v>1420.2</v>
      </c>
      <c r="M3051" s="36">
        <f t="shared" si="179"/>
        <v>37.572172933389666</v>
      </c>
    </row>
    <row r="3052" spans="1:13" ht="15.75" hidden="1" customHeight="1" x14ac:dyDescent="0.3">
      <c r="A3052" s="9">
        <v>121</v>
      </c>
      <c r="B3052" t="s">
        <v>229</v>
      </c>
      <c r="C3052" s="25">
        <v>44574</v>
      </c>
      <c r="D3052" s="26">
        <v>0.83020833333333333</v>
      </c>
      <c r="E3052" t="s">
        <v>24</v>
      </c>
      <c r="F3052" t="s">
        <v>319</v>
      </c>
      <c r="G3052" t="s">
        <v>320</v>
      </c>
      <c r="H3052" t="s">
        <v>290</v>
      </c>
      <c r="I3052">
        <v>430</v>
      </c>
      <c r="J3052" s="7">
        <v>0</v>
      </c>
      <c r="K3052" s="11">
        <f t="shared" si="180"/>
        <v>1215.25</v>
      </c>
      <c r="L3052" s="7">
        <v>1215.25</v>
      </c>
      <c r="M3052" s="36">
        <f t="shared" si="179"/>
        <v>35.383665912363711</v>
      </c>
    </row>
    <row r="3053" spans="1:13" ht="15.75" hidden="1" customHeight="1" x14ac:dyDescent="0.3">
      <c r="A3053" s="9">
        <v>122</v>
      </c>
      <c r="B3053" t="s">
        <v>229</v>
      </c>
      <c r="C3053" s="25">
        <v>44579</v>
      </c>
      <c r="D3053" s="26">
        <v>2.4074074074074076E-3</v>
      </c>
      <c r="E3053" t="s">
        <v>24</v>
      </c>
      <c r="F3053" t="s">
        <v>234</v>
      </c>
      <c r="G3053" t="s">
        <v>235</v>
      </c>
      <c r="H3053" t="s">
        <v>290</v>
      </c>
      <c r="I3053">
        <v>484.84</v>
      </c>
      <c r="J3053" s="34">
        <v>0</v>
      </c>
      <c r="K3053" s="11">
        <f t="shared" si="180"/>
        <v>1313.64</v>
      </c>
      <c r="L3053" s="7">
        <v>1313.64</v>
      </c>
      <c r="M3053" s="36">
        <f t="shared" si="179"/>
        <v>36.908133126275075</v>
      </c>
    </row>
    <row r="3054" spans="1:13" ht="15.75" hidden="1" customHeight="1" x14ac:dyDescent="0.3">
      <c r="A3054" s="9">
        <v>123</v>
      </c>
      <c r="B3054" t="s">
        <v>229</v>
      </c>
      <c r="C3054" s="25">
        <v>44582</v>
      </c>
      <c r="D3054" s="26">
        <v>0.65218750000000003</v>
      </c>
      <c r="E3054" t="s">
        <v>24</v>
      </c>
      <c r="F3054" t="s">
        <v>268</v>
      </c>
      <c r="G3054" t="s">
        <v>269</v>
      </c>
      <c r="H3054" t="s">
        <v>290</v>
      </c>
      <c r="I3054">
        <v>413.54</v>
      </c>
      <c r="J3054" s="34">
        <v>0</v>
      </c>
      <c r="K3054" s="11">
        <f t="shared" si="180"/>
        <v>1075.49</v>
      </c>
      <c r="L3054" s="7">
        <v>1075.49</v>
      </c>
      <c r="M3054" s="36">
        <f t="shared" si="179"/>
        <v>38.451310565416698</v>
      </c>
    </row>
    <row r="3055" spans="1:13" ht="15.75" hidden="1" customHeight="1" x14ac:dyDescent="0.3">
      <c r="A3055" s="9">
        <v>124</v>
      </c>
      <c r="B3055" t="s">
        <v>229</v>
      </c>
      <c r="C3055" s="25">
        <v>44586</v>
      </c>
      <c r="D3055" s="26">
        <v>0.30820601851851853</v>
      </c>
      <c r="E3055" t="s">
        <v>24</v>
      </c>
      <c r="F3055" t="s">
        <v>234</v>
      </c>
      <c r="G3055" t="s">
        <v>235</v>
      </c>
      <c r="H3055" t="s">
        <v>290</v>
      </c>
      <c r="I3055">
        <v>200</v>
      </c>
      <c r="J3055" s="50">
        <v>0</v>
      </c>
      <c r="K3055" s="11">
        <f t="shared" si="180"/>
        <v>1399.33</v>
      </c>
      <c r="L3055" s="7">
        <v>1399.33</v>
      </c>
      <c r="M3055" s="36">
        <f t="shared" si="179"/>
        <v>14.292554293840626</v>
      </c>
    </row>
    <row r="3056" spans="1:13" ht="15.75" hidden="1" customHeight="1" x14ac:dyDescent="0.3">
      <c r="A3056" s="9">
        <v>125</v>
      </c>
      <c r="B3056" t="s">
        <v>229</v>
      </c>
      <c r="C3056" s="25">
        <v>44588</v>
      </c>
      <c r="D3056" s="26">
        <v>4.9062500000000002E-2</v>
      </c>
      <c r="E3056" t="s">
        <v>24</v>
      </c>
      <c r="F3056" t="s">
        <v>268</v>
      </c>
      <c r="G3056" t="s">
        <v>269</v>
      </c>
      <c r="H3056" t="s">
        <v>290</v>
      </c>
      <c r="I3056">
        <v>461.4</v>
      </c>
      <c r="J3056" s="50">
        <v>0</v>
      </c>
      <c r="K3056" s="11">
        <f t="shared" si="180"/>
        <v>305.72000000000003</v>
      </c>
      <c r="L3056" s="7">
        <v>305.72000000000003</v>
      </c>
      <c r="M3056" s="36">
        <f t="shared" si="179"/>
        <v>150.9224126651838</v>
      </c>
    </row>
    <row r="3057" spans="1:13" ht="15.75" hidden="1" customHeight="1" x14ac:dyDescent="0.3">
      <c r="A3057" s="9">
        <v>126</v>
      </c>
      <c r="B3057" t="s">
        <v>229</v>
      </c>
      <c r="C3057" s="25">
        <v>44589</v>
      </c>
      <c r="D3057" s="26">
        <v>0.88010416666666658</v>
      </c>
      <c r="E3057" t="s">
        <v>24</v>
      </c>
      <c r="F3057" t="s">
        <v>368</v>
      </c>
      <c r="G3057" t="s">
        <v>369</v>
      </c>
      <c r="H3057" t="s">
        <v>290</v>
      </c>
      <c r="I3057">
        <v>572.41999999999996</v>
      </c>
      <c r="J3057" s="7">
        <v>0</v>
      </c>
      <c r="K3057" s="11">
        <f t="shared" si="180"/>
        <v>1411.45</v>
      </c>
      <c r="L3057" s="7">
        <v>1411.45</v>
      </c>
      <c r="M3057" s="36">
        <f t="shared" si="179"/>
        <v>40.555457153990574</v>
      </c>
    </row>
    <row r="3058" spans="1:13" ht="15.75" hidden="1" customHeight="1" x14ac:dyDescent="0.3">
      <c r="A3058" s="9">
        <v>1003</v>
      </c>
      <c r="B3058" t="s">
        <v>229</v>
      </c>
      <c r="C3058" s="25">
        <v>44600</v>
      </c>
      <c r="D3058" s="26">
        <v>0.54445601851851855</v>
      </c>
      <c r="E3058" t="s">
        <v>25</v>
      </c>
      <c r="F3058" t="s">
        <v>175</v>
      </c>
      <c r="G3058" t="s">
        <v>172</v>
      </c>
      <c r="H3058" t="s">
        <v>120</v>
      </c>
      <c r="I3058">
        <v>366.33</v>
      </c>
      <c r="J3058" s="7">
        <v>0</v>
      </c>
      <c r="K3058" s="7">
        <f t="shared" si="180"/>
        <v>919.9</v>
      </c>
      <c r="L3058" s="34">
        <v>919.9</v>
      </c>
      <c r="M3058" s="10">
        <f t="shared" si="179"/>
        <v>39.822806826829002</v>
      </c>
    </row>
    <row r="3059" spans="1:13" ht="15.75" hidden="1" customHeight="1" x14ac:dyDescent="0.3">
      <c r="A3059" s="9">
        <v>1004</v>
      </c>
      <c r="B3059" t="s">
        <v>229</v>
      </c>
      <c r="C3059" s="25">
        <v>44601</v>
      </c>
      <c r="D3059" s="26">
        <v>0.58329861111111114</v>
      </c>
      <c r="E3059" t="s">
        <v>25</v>
      </c>
      <c r="F3059" t="s">
        <v>166</v>
      </c>
      <c r="G3059" t="s">
        <v>161</v>
      </c>
      <c r="H3059" t="s">
        <v>120</v>
      </c>
      <c r="I3059">
        <v>329.57</v>
      </c>
      <c r="J3059" s="7">
        <v>0</v>
      </c>
      <c r="K3059" s="34">
        <f t="shared" si="180"/>
        <v>762.93</v>
      </c>
      <c r="L3059" s="37">
        <v>762.93</v>
      </c>
      <c r="M3059" s="10">
        <f t="shared" si="179"/>
        <v>43.197934279684901</v>
      </c>
    </row>
    <row r="3060" spans="1:13" ht="15.75" hidden="1" customHeight="1" x14ac:dyDescent="0.3">
      <c r="A3060" s="9">
        <v>1005</v>
      </c>
      <c r="B3060" t="s">
        <v>229</v>
      </c>
      <c r="C3060" s="25">
        <v>44603</v>
      </c>
      <c r="D3060" s="26">
        <v>0.53309027777777784</v>
      </c>
      <c r="E3060" t="s">
        <v>25</v>
      </c>
      <c r="F3060" t="s">
        <v>166</v>
      </c>
      <c r="G3060" t="s">
        <v>161</v>
      </c>
      <c r="H3060" t="s">
        <v>120</v>
      </c>
      <c r="I3060">
        <v>508.29</v>
      </c>
      <c r="J3060" s="7">
        <v>0</v>
      </c>
      <c r="K3060" s="7">
        <f t="shared" si="180"/>
        <v>1216.33</v>
      </c>
      <c r="L3060" s="7">
        <v>1216.33</v>
      </c>
      <c r="M3060" s="10">
        <f t="shared" si="179"/>
        <v>41.788823756710762</v>
      </c>
    </row>
    <row r="3061" spans="1:13" ht="15.75" hidden="1" customHeight="1" x14ac:dyDescent="0.3">
      <c r="A3061" s="9">
        <v>1006</v>
      </c>
      <c r="B3061" t="s">
        <v>229</v>
      </c>
      <c r="C3061" s="25">
        <v>44605</v>
      </c>
      <c r="D3061" s="26">
        <v>4.9131944444444443E-2</v>
      </c>
      <c r="E3061" t="s">
        <v>25</v>
      </c>
      <c r="F3061" t="s">
        <v>262</v>
      </c>
      <c r="G3061" t="s">
        <v>263</v>
      </c>
      <c r="H3061" t="s">
        <v>120</v>
      </c>
      <c r="I3061">
        <v>459.85</v>
      </c>
      <c r="J3061" s="31">
        <v>0</v>
      </c>
      <c r="K3061" s="35">
        <f t="shared" si="180"/>
        <v>1006</v>
      </c>
      <c r="L3061" s="35">
        <v>1006</v>
      </c>
      <c r="M3061" s="10">
        <f t="shared" si="179"/>
        <v>45.710735586481114</v>
      </c>
    </row>
    <row r="3062" spans="1:13" ht="15.75" hidden="1" customHeight="1" x14ac:dyDescent="0.3">
      <c r="A3062" s="9">
        <v>1007</v>
      </c>
      <c r="B3062" t="s">
        <v>229</v>
      </c>
      <c r="C3062" s="25">
        <v>44606</v>
      </c>
      <c r="D3062" s="26">
        <v>0.35128472222222223</v>
      </c>
      <c r="E3062" t="s">
        <v>25</v>
      </c>
      <c r="F3062" t="s">
        <v>166</v>
      </c>
      <c r="G3062" t="s">
        <v>161</v>
      </c>
      <c r="H3062" t="s">
        <v>120</v>
      </c>
      <c r="I3062">
        <v>253.76</v>
      </c>
      <c r="J3062" s="31">
        <v>0</v>
      </c>
      <c r="K3062" s="31">
        <f t="shared" si="180"/>
        <v>555.11</v>
      </c>
      <c r="L3062" s="32">
        <v>555.11</v>
      </c>
      <c r="M3062" s="10">
        <f t="shared" si="179"/>
        <v>45.713462196681739</v>
      </c>
    </row>
    <row r="3063" spans="1:13" ht="15.75" hidden="1" customHeight="1" x14ac:dyDescent="0.3">
      <c r="A3063" s="9">
        <v>1008</v>
      </c>
      <c r="B3063" t="s">
        <v>229</v>
      </c>
      <c r="C3063" s="25">
        <v>44607</v>
      </c>
      <c r="D3063" s="26">
        <v>0.33209490740740738</v>
      </c>
      <c r="E3063" t="s">
        <v>25</v>
      </c>
      <c r="F3063" t="s">
        <v>210</v>
      </c>
      <c r="G3063" t="s">
        <v>211</v>
      </c>
      <c r="H3063" t="s">
        <v>120</v>
      </c>
      <c r="I3063">
        <v>465.96</v>
      </c>
      <c r="J3063" s="7">
        <v>0</v>
      </c>
      <c r="K3063" s="7">
        <f t="shared" si="180"/>
        <v>1139.68</v>
      </c>
      <c r="L3063" s="7">
        <v>1139.68</v>
      </c>
      <c r="M3063" s="10">
        <f t="shared" si="179"/>
        <v>40.885160746876316</v>
      </c>
    </row>
    <row r="3064" spans="1:13" ht="15.75" hidden="1" customHeight="1" x14ac:dyDescent="0.3">
      <c r="A3064" s="9">
        <v>1220</v>
      </c>
      <c r="B3064" t="s">
        <v>229</v>
      </c>
      <c r="C3064" s="25">
        <v>44593</v>
      </c>
      <c r="D3064" s="26">
        <v>0.36486111111111108</v>
      </c>
      <c r="E3064" t="s">
        <v>25</v>
      </c>
      <c r="F3064" t="s">
        <v>291</v>
      </c>
      <c r="G3064" t="s">
        <v>408</v>
      </c>
      <c r="H3064" t="s">
        <v>290</v>
      </c>
      <c r="I3064">
        <v>502.63</v>
      </c>
      <c r="J3064" s="7">
        <v>0</v>
      </c>
      <c r="K3064" s="7">
        <f t="shared" si="180"/>
        <v>1230.3</v>
      </c>
      <c r="L3064" s="7">
        <v>1230.3</v>
      </c>
      <c r="M3064" s="10">
        <f t="shared" si="179"/>
        <v>40.854263187840367</v>
      </c>
    </row>
    <row r="3065" spans="1:13" ht="15.75" hidden="1" customHeight="1" x14ac:dyDescent="0.3">
      <c r="A3065" s="9">
        <v>1221</v>
      </c>
      <c r="B3065" t="s">
        <v>229</v>
      </c>
      <c r="C3065" s="25">
        <v>44596</v>
      </c>
      <c r="D3065" s="26">
        <v>4.3541666666666666E-2</v>
      </c>
      <c r="E3065" t="s">
        <v>25</v>
      </c>
      <c r="F3065" t="s">
        <v>425</v>
      </c>
      <c r="G3065" t="s">
        <v>426</v>
      </c>
      <c r="H3065" t="s">
        <v>290</v>
      </c>
      <c r="I3065">
        <v>430</v>
      </c>
      <c r="J3065" s="7">
        <v>0</v>
      </c>
      <c r="K3065" s="7">
        <f t="shared" si="180"/>
        <v>1695.77</v>
      </c>
      <c r="L3065" s="7">
        <v>1695.77</v>
      </c>
      <c r="M3065" s="10">
        <f t="shared" si="179"/>
        <v>25.357212357807956</v>
      </c>
    </row>
    <row r="3066" spans="1:13" ht="15.75" hidden="1" customHeight="1" x14ac:dyDescent="0.3">
      <c r="A3066" s="9">
        <v>6403</v>
      </c>
      <c r="B3066" t="s">
        <v>362</v>
      </c>
      <c r="C3066" s="25">
        <v>44735</v>
      </c>
      <c r="D3066" s="26">
        <v>0.44840277777777776</v>
      </c>
      <c r="E3066" t="s">
        <v>29</v>
      </c>
      <c r="F3066" t="s">
        <v>679</v>
      </c>
      <c r="G3066" t="s">
        <v>392</v>
      </c>
      <c r="H3066" t="s">
        <v>115</v>
      </c>
      <c r="I3066" s="148">
        <v>230.28</v>
      </c>
      <c r="J3066" s="246">
        <f>230+153+461+384+350+677+340</f>
        <v>2595</v>
      </c>
      <c r="K3066" s="154">
        <v>506</v>
      </c>
      <c r="L3066" s="228">
        <v>5365</v>
      </c>
      <c r="M3066" s="229">
        <f>+J3066/L3066*100</f>
        <v>48.369058713886297</v>
      </c>
    </row>
    <row r="3067" spans="1:13" ht="15.75" hidden="1" customHeight="1" x14ac:dyDescent="0.3">
      <c r="B3067" t="s">
        <v>183</v>
      </c>
      <c r="C3067" s="25">
        <v>44765</v>
      </c>
      <c r="D3067" s="26">
        <v>0.89949074074074076</v>
      </c>
      <c r="E3067" t="s">
        <v>30</v>
      </c>
      <c r="F3067" t="s">
        <v>165</v>
      </c>
      <c r="G3067" t="s">
        <v>185</v>
      </c>
      <c r="H3067" t="s">
        <v>184</v>
      </c>
      <c r="I3067" s="159">
        <v>234.01</v>
      </c>
      <c r="J3067" s="8"/>
      <c r="K3067" s="8"/>
      <c r="L3067" s="8"/>
      <c r="M3067" s="254"/>
    </row>
    <row r="3068" spans="1:13" ht="15.75" hidden="1" customHeight="1" x14ac:dyDescent="0.3">
      <c r="B3068" t="s">
        <v>183</v>
      </c>
      <c r="C3068" s="25">
        <v>44769</v>
      </c>
      <c r="D3068" s="26">
        <v>1.545138888888889E-2</v>
      </c>
      <c r="E3068" t="s">
        <v>30</v>
      </c>
      <c r="F3068" t="s">
        <v>210</v>
      </c>
      <c r="G3068" t="s">
        <v>211</v>
      </c>
      <c r="H3068" t="s">
        <v>184</v>
      </c>
      <c r="I3068" s="159">
        <v>369.99</v>
      </c>
      <c r="J3068" s="289">
        <f>234+370</f>
        <v>604</v>
      </c>
      <c r="K3068" s="160">
        <v>780511</v>
      </c>
      <c r="L3068" s="284">
        <v>1601</v>
      </c>
      <c r="M3068" s="269">
        <f>+J3068/L3068*100</f>
        <v>37.726420986883198</v>
      </c>
    </row>
    <row r="3069" spans="1:13" ht="15.75" hidden="1" customHeight="1" x14ac:dyDescent="0.3">
      <c r="B3069" t="s">
        <v>362</v>
      </c>
      <c r="C3069" s="25">
        <v>44580</v>
      </c>
      <c r="D3069" s="26">
        <v>0.75495370370370374</v>
      </c>
      <c r="E3069" t="s">
        <v>24</v>
      </c>
      <c r="F3069" t="s">
        <v>210</v>
      </c>
      <c r="G3069" t="s">
        <v>211</v>
      </c>
      <c r="H3069" t="s">
        <v>308</v>
      </c>
      <c r="I3069">
        <v>419.7</v>
      </c>
      <c r="J3069" s="77">
        <v>0</v>
      </c>
      <c r="K3069" s="7">
        <f t="shared" ref="K3069:K3100" si="181">+L3069-J3069</f>
        <v>1080.2</v>
      </c>
      <c r="L3069" s="11">
        <v>1080.2</v>
      </c>
      <c r="M3069" s="10">
        <f t="shared" ref="M3069:M3100" si="182">I3069/K3069*100</f>
        <v>38.853915941492311</v>
      </c>
    </row>
    <row r="3070" spans="1:13" ht="15.75" hidden="1" customHeight="1" x14ac:dyDescent="0.3">
      <c r="B3070" t="s">
        <v>362</v>
      </c>
      <c r="C3070" s="25">
        <v>44581</v>
      </c>
      <c r="D3070" s="26">
        <v>0.75393518518518521</v>
      </c>
      <c r="E3070" t="s">
        <v>24</v>
      </c>
      <c r="F3070" t="s">
        <v>210</v>
      </c>
      <c r="G3070" t="s">
        <v>211</v>
      </c>
      <c r="H3070" t="s">
        <v>308</v>
      </c>
      <c r="I3070">
        <v>409.12</v>
      </c>
      <c r="J3070" s="7">
        <v>0</v>
      </c>
      <c r="K3070" s="7">
        <f t="shared" si="181"/>
        <v>1062.17</v>
      </c>
      <c r="L3070" s="29">
        <v>1062.17</v>
      </c>
      <c r="M3070" s="10">
        <f t="shared" si="182"/>
        <v>38.517374808175717</v>
      </c>
    </row>
    <row r="3071" spans="1:13" ht="15.75" hidden="1" customHeight="1" x14ac:dyDescent="0.3">
      <c r="B3071" t="s">
        <v>362</v>
      </c>
      <c r="C3071" s="25">
        <v>44582</v>
      </c>
      <c r="D3071" s="26">
        <v>0.75305555555555559</v>
      </c>
      <c r="E3071" t="s">
        <v>24</v>
      </c>
      <c r="F3071" t="s">
        <v>175</v>
      </c>
      <c r="G3071" t="s">
        <v>172</v>
      </c>
      <c r="H3071" t="s">
        <v>308</v>
      </c>
      <c r="I3071">
        <v>377.05</v>
      </c>
      <c r="J3071" s="7">
        <v>0</v>
      </c>
      <c r="K3071" s="7">
        <f t="shared" si="181"/>
        <v>979.24</v>
      </c>
      <c r="L3071" s="11">
        <v>979.24</v>
      </c>
      <c r="M3071" s="10">
        <f t="shared" si="182"/>
        <v>38.504350312487233</v>
      </c>
    </row>
    <row r="3072" spans="1:13" ht="15.75" hidden="1" customHeight="1" x14ac:dyDescent="0.3">
      <c r="B3072" t="s">
        <v>362</v>
      </c>
      <c r="C3072" s="25">
        <v>44564</v>
      </c>
      <c r="D3072" s="26">
        <v>1.8402777777777777E-3</v>
      </c>
      <c r="E3072" t="s">
        <v>24</v>
      </c>
      <c r="F3072" t="s">
        <v>210</v>
      </c>
      <c r="G3072" t="s">
        <v>211</v>
      </c>
      <c r="H3072" t="s">
        <v>117</v>
      </c>
      <c r="I3072">
        <v>293.76</v>
      </c>
      <c r="J3072" s="7">
        <v>0</v>
      </c>
      <c r="K3072" s="7">
        <f t="shared" si="181"/>
        <v>685.76</v>
      </c>
      <c r="L3072" s="7">
        <v>685.76</v>
      </c>
      <c r="M3072" s="10">
        <f t="shared" si="182"/>
        <v>42.837144190387306</v>
      </c>
    </row>
    <row r="3073" spans="1:13" ht="15.75" hidden="1" customHeight="1" x14ac:dyDescent="0.3">
      <c r="B3073" t="s">
        <v>362</v>
      </c>
      <c r="C3073" s="25">
        <v>44564</v>
      </c>
      <c r="D3073" s="26">
        <v>0.69475694444444447</v>
      </c>
      <c r="E3073" t="s">
        <v>24</v>
      </c>
      <c r="F3073" t="s">
        <v>165</v>
      </c>
      <c r="G3073" t="s">
        <v>185</v>
      </c>
      <c r="H3073" t="s">
        <v>117</v>
      </c>
      <c r="I3073">
        <v>247.2</v>
      </c>
      <c r="J3073" s="7">
        <v>0</v>
      </c>
      <c r="K3073" s="34">
        <f t="shared" si="181"/>
        <v>544.24</v>
      </c>
      <c r="L3073" s="34">
        <v>544.24</v>
      </c>
      <c r="M3073" s="10">
        <f t="shared" si="182"/>
        <v>45.421137733352928</v>
      </c>
    </row>
    <row r="3074" spans="1:13" ht="15.75" hidden="1" customHeight="1" x14ac:dyDescent="0.3">
      <c r="B3074" t="s">
        <v>362</v>
      </c>
      <c r="C3074" s="25">
        <v>44566</v>
      </c>
      <c r="D3074" s="26">
        <v>0.44150462962962966</v>
      </c>
      <c r="E3074" t="s">
        <v>24</v>
      </c>
      <c r="F3074" t="s">
        <v>340</v>
      </c>
      <c r="G3074" t="s">
        <v>337</v>
      </c>
      <c r="H3074" t="s">
        <v>117</v>
      </c>
      <c r="I3074">
        <v>246</v>
      </c>
      <c r="J3074" s="39">
        <v>0</v>
      </c>
      <c r="K3074" s="7">
        <f t="shared" si="181"/>
        <v>812.27</v>
      </c>
      <c r="L3074" s="11">
        <v>812.27</v>
      </c>
      <c r="M3074" s="10">
        <f t="shared" si="182"/>
        <v>30.285496202001799</v>
      </c>
    </row>
    <row r="3075" spans="1:13" ht="15.75" hidden="1" customHeight="1" x14ac:dyDescent="0.3">
      <c r="B3075" t="s">
        <v>362</v>
      </c>
      <c r="C3075" s="25">
        <v>44567</v>
      </c>
      <c r="D3075" s="26">
        <v>0.62626157407407412</v>
      </c>
      <c r="E3075" t="s">
        <v>24</v>
      </c>
      <c r="F3075" t="s">
        <v>165</v>
      </c>
      <c r="G3075" t="s">
        <v>185</v>
      </c>
      <c r="H3075" t="s">
        <v>117</v>
      </c>
      <c r="I3075">
        <v>318.27999999999997</v>
      </c>
      <c r="J3075" s="77">
        <v>0</v>
      </c>
      <c r="K3075" s="11">
        <f t="shared" si="181"/>
        <v>795.1</v>
      </c>
      <c r="L3075" s="29">
        <v>795.1</v>
      </c>
      <c r="M3075" s="10">
        <f t="shared" si="182"/>
        <v>40.030184882404725</v>
      </c>
    </row>
    <row r="3076" spans="1:13" ht="15.75" hidden="1" customHeight="1" x14ac:dyDescent="0.3">
      <c r="B3076" t="s">
        <v>362</v>
      </c>
      <c r="C3076" s="25">
        <v>44568</v>
      </c>
      <c r="D3076" s="26">
        <v>0.35424768518518518</v>
      </c>
      <c r="E3076" t="s">
        <v>24</v>
      </c>
      <c r="F3076" t="s">
        <v>210</v>
      </c>
      <c r="G3076" t="s">
        <v>211</v>
      </c>
      <c r="H3076" t="s">
        <v>117</v>
      </c>
      <c r="I3076">
        <v>153.43</v>
      </c>
      <c r="J3076" s="77">
        <v>0</v>
      </c>
      <c r="K3076" s="11">
        <f t="shared" si="181"/>
        <v>512.5</v>
      </c>
      <c r="L3076" s="11">
        <v>512.5</v>
      </c>
      <c r="M3076" s="10">
        <f t="shared" si="182"/>
        <v>29.937560975609756</v>
      </c>
    </row>
    <row r="3077" spans="1:13" ht="15.75" hidden="1" customHeight="1" x14ac:dyDescent="0.3">
      <c r="B3077" t="s">
        <v>362</v>
      </c>
      <c r="C3077" s="25">
        <v>44569</v>
      </c>
      <c r="D3077" s="26">
        <v>0.5524189814814815</v>
      </c>
      <c r="E3077" t="s">
        <v>24</v>
      </c>
      <c r="F3077" t="s">
        <v>175</v>
      </c>
      <c r="G3077" t="s">
        <v>172</v>
      </c>
      <c r="H3077" t="s">
        <v>117</v>
      </c>
      <c r="I3077">
        <v>316.77</v>
      </c>
      <c r="J3077" s="77">
        <v>0</v>
      </c>
      <c r="K3077" s="11">
        <f t="shared" si="181"/>
        <v>885.28</v>
      </c>
      <c r="L3077" s="11">
        <v>885.28</v>
      </c>
      <c r="M3077" s="10">
        <f t="shared" si="182"/>
        <v>35.781899512018796</v>
      </c>
    </row>
    <row r="3078" spans="1:13" ht="15.75" hidden="1" customHeight="1" x14ac:dyDescent="0.3">
      <c r="A3078" s="9">
        <v>20</v>
      </c>
      <c r="B3078" t="s">
        <v>362</v>
      </c>
      <c r="C3078" s="25">
        <v>44572</v>
      </c>
      <c r="D3078" s="26">
        <v>0.39480324074074075</v>
      </c>
      <c r="E3078" t="s">
        <v>24</v>
      </c>
      <c r="F3078" t="s">
        <v>210</v>
      </c>
      <c r="G3078" t="s">
        <v>211</v>
      </c>
      <c r="H3078" t="s">
        <v>282</v>
      </c>
      <c r="I3078">
        <v>407.04</v>
      </c>
      <c r="J3078" s="39">
        <v>728567</v>
      </c>
      <c r="K3078" s="11">
        <f t="shared" si="181"/>
        <v>846</v>
      </c>
      <c r="L3078" s="30">
        <v>729413</v>
      </c>
      <c r="M3078" s="10">
        <f t="shared" si="182"/>
        <v>48.113475177304963</v>
      </c>
    </row>
    <row r="3079" spans="1:13" ht="15.75" hidden="1" customHeight="1" x14ac:dyDescent="0.3">
      <c r="A3079" s="9">
        <v>21</v>
      </c>
      <c r="B3079" t="s">
        <v>362</v>
      </c>
      <c r="C3079" s="25">
        <v>44573</v>
      </c>
      <c r="D3079" s="26">
        <v>0.60299768518518515</v>
      </c>
      <c r="E3079" t="s">
        <v>24</v>
      </c>
      <c r="F3079" t="s">
        <v>210</v>
      </c>
      <c r="G3079" t="s">
        <v>211</v>
      </c>
      <c r="H3079" t="s">
        <v>282</v>
      </c>
      <c r="I3079">
        <v>469.37</v>
      </c>
      <c r="J3079" s="76">
        <v>729413</v>
      </c>
      <c r="K3079" s="11">
        <f t="shared" si="181"/>
        <v>1061</v>
      </c>
      <c r="L3079" s="11">
        <v>730474</v>
      </c>
      <c r="M3079" s="10">
        <f t="shared" si="182"/>
        <v>44.238454288407162</v>
      </c>
    </row>
    <row r="3080" spans="1:13" ht="15.75" hidden="1" customHeight="1" x14ac:dyDescent="0.3">
      <c r="A3080" s="9">
        <v>22</v>
      </c>
      <c r="B3080" t="s">
        <v>362</v>
      </c>
      <c r="C3080" s="25">
        <v>44574</v>
      </c>
      <c r="D3080" s="26">
        <v>0.59920138888888885</v>
      </c>
      <c r="E3080" t="s">
        <v>24</v>
      </c>
      <c r="F3080" t="s">
        <v>175</v>
      </c>
      <c r="G3080" t="s">
        <v>172</v>
      </c>
      <c r="H3080" t="s">
        <v>282</v>
      </c>
      <c r="I3080">
        <v>419.89</v>
      </c>
      <c r="J3080" s="76">
        <v>730474</v>
      </c>
      <c r="K3080" s="11">
        <f t="shared" si="181"/>
        <v>922</v>
      </c>
      <c r="L3080" s="11">
        <v>731396</v>
      </c>
      <c r="M3080" s="10">
        <f t="shared" si="182"/>
        <v>45.541214750542295</v>
      </c>
    </row>
    <row r="3081" spans="1:13" ht="15.75" hidden="1" customHeight="1" x14ac:dyDescent="0.3">
      <c r="A3081" s="9">
        <v>23</v>
      </c>
      <c r="B3081" t="s">
        <v>362</v>
      </c>
      <c r="C3081" s="25">
        <v>44587</v>
      </c>
      <c r="D3081" s="26">
        <v>0.34369212962962964</v>
      </c>
      <c r="E3081" t="s">
        <v>24</v>
      </c>
      <c r="F3081" t="s">
        <v>210</v>
      </c>
      <c r="G3081" t="s">
        <v>211</v>
      </c>
      <c r="H3081" t="s">
        <v>282</v>
      </c>
      <c r="I3081">
        <v>474.55</v>
      </c>
      <c r="J3081" s="76">
        <v>0</v>
      </c>
      <c r="K3081" s="11">
        <f t="shared" si="181"/>
        <v>963.9</v>
      </c>
      <c r="L3081" s="11">
        <v>963.9</v>
      </c>
      <c r="M3081" s="10">
        <f t="shared" si="182"/>
        <v>49.232285506795314</v>
      </c>
    </row>
    <row r="3082" spans="1:13" ht="15.75" hidden="1" customHeight="1" x14ac:dyDescent="0.3">
      <c r="A3082" s="9">
        <v>24</v>
      </c>
      <c r="B3082" t="s">
        <v>362</v>
      </c>
      <c r="C3082" s="25">
        <v>44588</v>
      </c>
      <c r="D3082" s="26">
        <v>0.44283564814814813</v>
      </c>
      <c r="E3082" t="s">
        <v>24</v>
      </c>
      <c r="F3082" t="s">
        <v>210</v>
      </c>
      <c r="G3082" t="s">
        <v>211</v>
      </c>
      <c r="H3082" t="s">
        <v>282</v>
      </c>
      <c r="I3082">
        <v>495.62</v>
      </c>
      <c r="J3082" s="76">
        <v>0</v>
      </c>
      <c r="K3082" s="11">
        <f t="shared" si="181"/>
        <v>1062.5</v>
      </c>
      <c r="L3082" s="29">
        <v>1062.5</v>
      </c>
      <c r="M3082" s="10">
        <f t="shared" si="182"/>
        <v>46.646588235294118</v>
      </c>
    </row>
    <row r="3083" spans="1:13" ht="15.75" hidden="1" customHeight="1" x14ac:dyDescent="0.3">
      <c r="A3083" s="9">
        <v>25</v>
      </c>
      <c r="B3083" t="s">
        <v>362</v>
      </c>
      <c r="C3083" s="25">
        <v>44589</v>
      </c>
      <c r="D3083" s="26">
        <v>0.54237268518518522</v>
      </c>
      <c r="E3083" t="s">
        <v>24</v>
      </c>
      <c r="F3083" t="s">
        <v>175</v>
      </c>
      <c r="G3083" t="s">
        <v>172</v>
      </c>
      <c r="H3083" t="s">
        <v>282</v>
      </c>
      <c r="I3083">
        <v>413.6</v>
      </c>
      <c r="J3083" s="39">
        <v>0</v>
      </c>
      <c r="K3083" s="11">
        <f t="shared" si="181"/>
        <v>964.58</v>
      </c>
      <c r="L3083" s="11">
        <v>964.58</v>
      </c>
      <c r="M3083" s="10">
        <f t="shared" si="182"/>
        <v>42.878765887743889</v>
      </c>
    </row>
    <row r="3084" spans="1:13" ht="15.75" hidden="1" customHeight="1" x14ac:dyDescent="0.3">
      <c r="A3084" s="9">
        <v>26</v>
      </c>
      <c r="B3084" t="s">
        <v>362</v>
      </c>
      <c r="C3084" s="25">
        <v>44592</v>
      </c>
      <c r="D3084" s="26">
        <v>0.61189814814814814</v>
      </c>
      <c r="E3084" t="s">
        <v>24</v>
      </c>
      <c r="F3084" t="s">
        <v>210</v>
      </c>
      <c r="G3084" t="s">
        <v>211</v>
      </c>
      <c r="H3084" t="s">
        <v>282</v>
      </c>
      <c r="I3084">
        <v>398.91</v>
      </c>
      <c r="J3084" s="39">
        <v>0</v>
      </c>
      <c r="K3084" s="11">
        <f t="shared" si="181"/>
        <v>823.26</v>
      </c>
      <c r="L3084" s="11">
        <v>823.26</v>
      </c>
      <c r="M3084" s="10">
        <f t="shared" si="182"/>
        <v>48.454923110560458</v>
      </c>
    </row>
    <row r="3085" spans="1:13" ht="15.75" hidden="1" customHeight="1" x14ac:dyDescent="0.3">
      <c r="A3085" s="9">
        <v>851</v>
      </c>
      <c r="B3085" t="s">
        <v>362</v>
      </c>
      <c r="C3085" s="25">
        <v>44597</v>
      </c>
      <c r="D3085" s="26">
        <v>0.63774305555555555</v>
      </c>
      <c r="E3085" t="s">
        <v>25</v>
      </c>
      <c r="F3085" t="s">
        <v>210</v>
      </c>
      <c r="G3085" t="s">
        <v>211</v>
      </c>
      <c r="H3085" t="s">
        <v>259</v>
      </c>
      <c r="I3085">
        <v>416.65</v>
      </c>
      <c r="J3085" s="41">
        <v>413547</v>
      </c>
      <c r="K3085" s="53">
        <f t="shared" si="181"/>
        <v>886</v>
      </c>
      <c r="L3085" s="11">
        <v>414433</v>
      </c>
      <c r="M3085" s="10">
        <f t="shared" si="182"/>
        <v>47.025959367945816</v>
      </c>
    </row>
    <row r="3086" spans="1:13" ht="15.75" hidden="1" customHeight="1" x14ac:dyDescent="0.3">
      <c r="A3086" s="9">
        <v>852</v>
      </c>
      <c r="B3086" t="s">
        <v>362</v>
      </c>
      <c r="C3086" s="25">
        <v>44598</v>
      </c>
      <c r="D3086" s="26">
        <v>0.69005787037037036</v>
      </c>
      <c r="E3086" t="s">
        <v>25</v>
      </c>
      <c r="F3086" t="s">
        <v>210</v>
      </c>
      <c r="G3086" t="s">
        <v>211</v>
      </c>
      <c r="H3086" t="s">
        <v>259</v>
      </c>
      <c r="I3086">
        <v>442.17</v>
      </c>
      <c r="J3086" s="69">
        <v>414433</v>
      </c>
      <c r="K3086" s="53">
        <f t="shared" si="181"/>
        <v>1103</v>
      </c>
      <c r="L3086" s="11">
        <v>415536</v>
      </c>
      <c r="M3086" s="10">
        <f t="shared" si="182"/>
        <v>40.087941976427928</v>
      </c>
    </row>
    <row r="3087" spans="1:13" ht="15.75" hidden="1" customHeight="1" x14ac:dyDescent="0.3">
      <c r="A3087" s="9">
        <v>853</v>
      </c>
      <c r="B3087" t="s">
        <v>362</v>
      </c>
      <c r="C3087" s="25">
        <v>44599</v>
      </c>
      <c r="D3087" s="26">
        <v>0.62075231481481474</v>
      </c>
      <c r="E3087" t="s">
        <v>25</v>
      </c>
      <c r="F3087" t="s">
        <v>175</v>
      </c>
      <c r="G3087" t="s">
        <v>172</v>
      </c>
      <c r="H3087" t="s">
        <v>259</v>
      </c>
      <c r="I3087">
        <v>382.81</v>
      </c>
      <c r="J3087" s="69">
        <v>0</v>
      </c>
      <c r="K3087" s="53">
        <f t="shared" si="181"/>
        <v>972.36</v>
      </c>
      <c r="L3087" s="11">
        <v>972.36</v>
      </c>
      <c r="M3087" s="10">
        <f t="shared" si="182"/>
        <v>39.369163684232177</v>
      </c>
    </row>
    <row r="3088" spans="1:13" ht="15.75" hidden="1" customHeight="1" x14ac:dyDescent="0.3">
      <c r="A3088" s="9">
        <v>1022</v>
      </c>
      <c r="B3088" t="s">
        <v>362</v>
      </c>
      <c r="C3088" s="25">
        <v>44600</v>
      </c>
      <c r="D3088" s="26">
        <v>0.75487268518518524</v>
      </c>
      <c r="E3088" t="s">
        <v>25</v>
      </c>
      <c r="F3088" t="s">
        <v>210</v>
      </c>
      <c r="G3088" t="s">
        <v>211</v>
      </c>
      <c r="H3088" t="s">
        <v>115</v>
      </c>
      <c r="I3088">
        <v>350.41</v>
      </c>
      <c r="J3088" s="40">
        <v>0</v>
      </c>
      <c r="K3088" s="11">
        <f t="shared" si="181"/>
        <v>855.91</v>
      </c>
      <c r="L3088" s="11">
        <v>855.91</v>
      </c>
      <c r="M3088" s="10">
        <f t="shared" si="182"/>
        <v>40.940052108282416</v>
      </c>
    </row>
    <row r="3089" spans="1:13" ht="15.75" hidden="1" customHeight="1" x14ac:dyDescent="0.3">
      <c r="A3089" s="9">
        <v>1023</v>
      </c>
      <c r="B3089" t="s">
        <v>362</v>
      </c>
      <c r="C3089" s="25">
        <v>44603</v>
      </c>
      <c r="D3089" s="26">
        <v>0.20700231481481482</v>
      </c>
      <c r="E3089" t="s">
        <v>25</v>
      </c>
      <c r="F3089" t="s">
        <v>175</v>
      </c>
      <c r="G3089" t="s">
        <v>172</v>
      </c>
      <c r="H3089" t="s">
        <v>115</v>
      </c>
      <c r="I3089">
        <v>376.35</v>
      </c>
      <c r="J3089" s="40">
        <v>0</v>
      </c>
      <c r="K3089" s="11">
        <f t="shared" si="181"/>
        <v>2070</v>
      </c>
      <c r="L3089" s="30">
        <v>2070</v>
      </c>
      <c r="M3089" s="10">
        <f t="shared" si="182"/>
        <v>18.181159420289855</v>
      </c>
    </row>
    <row r="3090" spans="1:13" ht="15.75" hidden="1" customHeight="1" x14ac:dyDescent="0.3">
      <c r="A3090" s="9">
        <v>1024</v>
      </c>
      <c r="B3090" t="s">
        <v>362</v>
      </c>
      <c r="C3090" s="25">
        <v>44606</v>
      </c>
      <c r="D3090" s="26">
        <v>0.63394675925925925</v>
      </c>
      <c r="E3090" t="s">
        <v>25</v>
      </c>
      <c r="F3090" t="s">
        <v>210</v>
      </c>
      <c r="G3090" t="s">
        <v>211</v>
      </c>
      <c r="H3090" t="s">
        <v>115</v>
      </c>
      <c r="I3090">
        <v>353.11</v>
      </c>
      <c r="J3090" s="76">
        <v>0</v>
      </c>
      <c r="K3090" s="11">
        <f t="shared" si="181"/>
        <v>823.76</v>
      </c>
      <c r="L3090" s="11">
        <v>823.76</v>
      </c>
      <c r="M3090" s="10">
        <f t="shared" si="182"/>
        <v>42.865640477809073</v>
      </c>
    </row>
    <row r="3091" spans="1:13" ht="15.75" hidden="1" customHeight="1" x14ac:dyDescent="0.3">
      <c r="A3091" s="9">
        <v>1025</v>
      </c>
      <c r="B3091" t="s">
        <v>362</v>
      </c>
      <c r="C3091" s="25">
        <v>44607</v>
      </c>
      <c r="D3091" s="26">
        <v>0.59674768518518517</v>
      </c>
      <c r="E3091" t="s">
        <v>25</v>
      </c>
      <c r="F3091" t="s">
        <v>210</v>
      </c>
      <c r="G3091" t="s">
        <v>211</v>
      </c>
      <c r="H3091" t="s">
        <v>115</v>
      </c>
      <c r="I3091">
        <v>388.97</v>
      </c>
      <c r="J3091" s="34">
        <v>0</v>
      </c>
      <c r="K3091" s="11">
        <f t="shared" si="181"/>
        <v>1063.17</v>
      </c>
      <c r="L3091" s="34">
        <v>1063.17</v>
      </c>
      <c r="M3091" s="10">
        <f t="shared" si="182"/>
        <v>36.585870556919403</v>
      </c>
    </row>
    <row r="3092" spans="1:13" ht="15.75" hidden="1" customHeight="1" x14ac:dyDescent="0.3">
      <c r="A3092" s="9">
        <v>1026</v>
      </c>
      <c r="B3092" t="s">
        <v>362</v>
      </c>
      <c r="C3092" s="25">
        <v>44608</v>
      </c>
      <c r="D3092" s="26">
        <v>0.80033564814814817</v>
      </c>
      <c r="E3092" t="s">
        <v>25</v>
      </c>
      <c r="F3092" t="s">
        <v>414</v>
      </c>
      <c r="G3092" t="s">
        <v>449</v>
      </c>
      <c r="H3092" t="s">
        <v>115</v>
      </c>
      <c r="I3092">
        <v>408.83499999999998</v>
      </c>
      <c r="J3092" s="34">
        <v>0</v>
      </c>
      <c r="K3092" s="11">
        <f t="shared" si="181"/>
        <v>1113.76</v>
      </c>
      <c r="L3092" s="32">
        <v>1113.76</v>
      </c>
      <c r="M3092" s="10">
        <f t="shared" si="182"/>
        <v>36.707638988651055</v>
      </c>
    </row>
    <row r="3093" spans="1:13" ht="15.75" hidden="1" customHeight="1" x14ac:dyDescent="0.3">
      <c r="A3093" s="9">
        <v>1027</v>
      </c>
      <c r="B3093" t="s">
        <v>362</v>
      </c>
      <c r="C3093" s="25">
        <v>44609</v>
      </c>
      <c r="D3093" s="26">
        <v>0.50126157407407412</v>
      </c>
      <c r="E3093" t="s">
        <v>25</v>
      </c>
      <c r="F3093" t="s">
        <v>210</v>
      </c>
      <c r="G3093" t="s">
        <v>211</v>
      </c>
      <c r="H3093" t="s">
        <v>115</v>
      </c>
      <c r="I3093">
        <v>270.75</v>
      </c>
      <c r="J3093" s="34">
        <v>0</v>
      </c>
      <c r="K3093" s="11">
        <f t="shared" si="181"/>
        <v>623.25</v>
      </c>
      <c r="L3093" s="7">
        <v>623.25</v>
      </c>
      <c r="M3093" s="10">
        <f t="shared" si="182"/>
        <v>43.441636582430803</v>
      </c>
    </row>
    <row r="3094" spans="1:13" ht="15.75" hidden="1" customHeight="1" x14ac:dyDescent="0.3">
      <c r="A3094" s="9">
        <v>1028</v>
      </c>
      <c r="B3094" t="s">
        <v>362</v>
      </c>
      <c r="C3094" s="25">
        <v>44610</v>
      </c>
      <c r="D3094" s="26">
        <v>0.42180555555555554</v>
      </c>
      <c r="E3094" t="s">
        <v>25</v>
      </c>
      <c r="F3094" t="s">
        <v>210</v>
      </c>
      <c r="G3094" t="s">
        <v>211</v>
      </c>
      <c r="H3094" t="s">
        <v>115</v>
      </c>
      <c r="I3094">
        <v>415.02</v>
      </c>
      <c r="J3094" s="7">
        <v>0</v>
      </c>
      <c r="K3094" s="11">
        <f t="shared" si="181"/>
        <v>1062.4100000000001</v>
      </c>
      <c r="L3094" s="7">
        <v>1062.4100000000001</v>
      </c>
      <c r="M3094" s="10">
        <f t="shared" si="182"/>
        <v>39.064014834197714</v>
      </c>
    </row>
    <row r="3095" spans="1:13" ht="15.75" hidden="1" customHeight="1" x14ac:dyDescent="0.3">
      <c r="A3095" s="9">
        <v>1029</v>
      </c>
      <c r="B3095" t="s">
        <v>362</v>
      </c>
      <c r="C3095" s="25">
        <v>44611</v>
      </c>
      <c r="D3095" s="26">
        <v>0.55449074074074078</v>
      </c>
      <c r="E3095" t="s">
        <v>25</v>
      </c>
      <c r="F3095" t="s">
        <v>175</v>
      </c>
      <c r="G3095" t="s">
        <v>172</v>
      </c>
      <c r="H3095" t="s">
        <v>115</v>
      </c>
      <c r="I3095">
        <v>380.31</v>
      </c>
      <c r="J3095" s="7">
        <v>0</v>
      </c>
      <c r="K3095" s="11">
        <f t="shared" si="181"/>
        <v>1048.3900000000001</v>
      </c>
      <c r="L3095" s="7">
        <v>1048.3900000000001</v>
      </c>
      <c r="M3095" s="10">
        <f t="shared" si="182"/>
        <v>36.275622621352738</v>
      </c>
    </row>
    <row r="3096" spans="1:13" ht="15.75" hidden="1" customHeight="1" x14ac:dyDescent="0.3">
      <c r="A3096" s="9">
        <v>1030</v>
      </c>
      <c r="B3096" t="s">
        <v>362</v>
      </c>
      <c r="C3096" s="25">
        <v>44612</v>
      </c>
      <c r="D3096" s="26">
        <v>0.61869212962962961</v>
      </c>
      <c r="E3096" t="s">
        <v>25</v>
      </c>
      <c r="F3096" t="s">
        <v>210</v>
      </c>
      <c r="G3096" t="s">
        <v>211</v>
      </c>
      <c r="H3096" t="s">
        <v>115</v>
      </c>
      <c r="I3096">
        <v>345.95</v>
      </c>
      <c r="J3096" s="34">
        <v>0</v>
      </c>
      <c r="K3096" s="11">
        <f t="shared" si="181"/>
        <v>829.84</v>
      </c>
      <c r="L3096" s="7">
        <v>829.84</v>
      </c>
      <c r="M3096" s="10">
        <f t="shared" si="182"/>
        <v>41.688759278897138</v>
      </c>
    </row>
    <row r="3097" spans="1:13" ht="15.75" hidden="1" customHeight="1" x14ac:dyDescent="0.3">
      <c r="A3097" s="9">
        <v>1031</v>
      </c>
      <c r="B3097" t="s">
        <v>362</v>
      </c>
      <c r="C3097" s="25">
        <v>44613</v>
      </c>
      <c r="D3097" s="26">
        <v>0.64866898148148155</v>
      </c>
      <c r="E3097" t="s">
        <v>25</v>
      </c>
      <c r="F3097" t="s">
        <v>210</v>
      </c>
      <c r="G3097" t="s">
        <v>211</v>
      </c>
      <c r="H3097" t="s">
        <v>115</v>
      </c>
      <c r="I3097">
        <v>463.31</v>
      </c>
      <c r="J3097" s="34">
        <v>0</v>
      </c>
      <c r="K3097" s="11">
        <f t="shared" si="181"/>
        <v>1063.3900000000001</v>
      </c>
      <c r="L3097" s="7">
        <v>1063.3900000000001</v>
      </c>
      <c r="M3097" s="10">
        <f t="shared" si="182"/>
        <v>43.569151487224815</v>
      </c>
    </row>
    <row r="3098" spans="1:13" ht="15.75" hidden="1" customHeight="1" x14ac:dyDescent="0.3">
      <c r="A3098" s="9">
        <v>1032</v>
      </c>
      <c r="B3098" t="s">
        <v>362</v>
      </c>
      <c r="C3098" s="25">
        <v>44614</v>
      </c>
      <c r="D3098" s="26">
        <v>0.67701388888888892</v>
      </c>
      <c r="E3098" t="s">
        <v>25</v>
      </c>
      <c r="F3098" t="s">
        <v>175</v>
      </c>
      <c r="G3098" t="s">
        <v>172</v>
      </c>
      <c r="H3098" t="s">
        <v>115</v>
      </c>
      <c r="I3098">
        <v>367.39</v>
      </c>
      <c r="J3098" s="34">
        <v>0</v>
      </c>
      <c r="K3098" s="11">
        <f t="shared" si="181"/>
        <v>985.91</v>
      </c>
      <c r="L3098" s="32">
        <v>985.91</v>
      </c>
      <c r="M3098" s="10">
        <f t="shared" si="182"/>
        <v>37.26405047113834</v>
      </c>
    </row>
    <row r="3099" spans="1:13" ht="15.75" hidden="1" customHeight="1" x14ac:dyDescent="0.3">
      <c r="A3099" s="9">
        <v>1033</v>
      </c>
      <c r="B3099" t="s">
        <v>362</v>
      </c>
      <c r="C3099" s="25">
        <v>44615</v>
      </c>
      <c r="D3099" s="26">
        <v>0.65626157407407404</v>
      </c>
      <c r="E3099" t="s">
        <v>25</v>
      </c>
      <c r="F3099" t="s">
        <v>210</v>
      </c>
      <c r="G3099" t="s">
        <v>211</v>
      </c>
      <c r="H3099" t="s">
        <v>115</v>
      </c>
      <c r="I3099">
        <v>300.68</v>
      </c>
      <c r="J3099" s="34">
        <v>0</v>
      </c>
      <c r="K3099" s="11">
        <f t="shared" si="181"/>
        <v>817.72</v>
      </c>
      <c r="L3099" s="7">
        <v>817.72</v>
      </c>
      <c r="M3099" s="10">
        <f t="shared" si="182"/>
        <v>36.770532700679937</v>
      </c>
    </row>
    <row r="3100" spans="1:13" ht="15.75" hidden="1" customHeight="1" x14ac:dyDescent="0.3">
      <c r="A3100" s="9">
        <v>1034</v>
      </c>
      <c r="B3100" t="s">
        <v>362</v>
      </c>
      <c r="C3100" s="25">
        <v>44616</v>
      </c>
      <c r="D3100" s="26">
        <v>0.79297453703703702</v>
      </c>
      <c r="E3100" t="s">
        <v>25</v>
      </c>
      <c r="F3100" t="s">
        <v>210</v>
      </c>
      <c r="G3100" t="s">
        <v>211</v>
      </c>
      <c r="H3100" t="s">
        <v>115</v>
      </c>
      <c r="I3100">
        <v>407.35</v>
      </c>
      <c r="J3100" s="34">
        <v>0</v>
      </c>
      <c r="K3100" s="11">
        <f t="shared" si="181"/>
        <v>1061.9100000000001</v>
      </c>
      <c r="L3100" s="7">
        <v>1061.9100000000001</v>
      </c>
      <c r="M3100" s="10">
        <f t="shared" si="182"/>
        <v>38.360124680999327</v>
      </c>
    </row>
    <row r="3101" spans="1:13" ht="15.75" hidden="1" customHeight="1" x14ac:dyDescent="0.3">
      <c r="A3101" s="9">
        <v>1035</v>
      </c>
      <c r="B3101" t="s">
        <v>362</v>
      </c>
      <c r="C3101" s="25">
        <v>44618</v>
      </c>
      <c r="D3101" s="26">
        <v>0.30346064814814816</v>
      </c>
      <c r="E3101" t="s">
        <v>25</v>
      </c>
      <c r="F3101" t="s">
        <v>175</v>
      </c>
      <c r="G3101" t="s">
        <v>172</v>
      </c>
      <c r="H3101" t="s">
        <v>115</v>
      </c>
      <c r="I3101">
        <v>330.57</v>
      </c>
      <c r="J3101" s="7">
        <v>0</v>
      </c>
      <c r="K3101" s="11">
        <f t="shared" ref="K3101:K3132" si="183">+L3101-J3101</f>
        <v>942.4</v>
      </c>
      <c r="L3101" s="7">
        <v>942.4</v>
      </c>
      <c r="M3101" s="10">
        <f t="shared" ref="M3101:M3132" si="184">I3101/K3101*100</f>
        <v>35.077461799660441</v>
      </c>
    </row>
    <row r="3102" spans="1:13" ht="15.75" hidden="1" customHeight="1" x14ac:dyDescent="0.3">
      <c r="A3102" s="9">
        <v>1123</v>
      </c>
      <c r="B3102" t="s">
        <v>362</v>
      </c>
      <c r="C3102" s="25">
        <v>44593</v>
      </c>
      <c r="D3102" s="26">
        <v>0.63405092592592593</v>
      </c>
      <c r="E3102" t="s">
        <v>25</v>
      </c>
      <c r="F3102" t="s">
        <v>210</v>
      </c>
      <c r="G3102" t="s">
        <v>211</v>
      </c>
      <c r="H3102" t="s">
        <v>282</v>
      </c>
      <c r="I3102">
        <v>455.93</v>
      </c>
      <c r="J3102" s="7">
        <v>0</v>
      </c>
      <c r="K3102" s="11">
        <f t="shared" si="183"/>
        <v>1063.3499999999999</v>
      </c>
      <c r="L3102" s="7">
        <v>1063.3499999999999</v>
      </c>
      <c r="M3102" s="36">
        <f t="shared" si="184"/>
        <v>42.876757417595343</v>
      </c>
    </row>
    <row r="3103" spans="1:13" ht="15.75" hidden="1" customHeight="1" x14ac:dyDescent="0.3">
      <c r="A3103" s="9">
        <v>1124</v>
      </c>
      <c r="B3103" t="s">
        <v>362</v>
      </c>
      <c r="C3103" s="25">
        <v>44595</v>
      </c>
      <c r="D3103" s="26">
        <v>0.47575231481481484</v>
      </c>
      <c r="E3103" t="s">
        <v>25</v>
      </c>
      <c r="F3103" t="s">
        <v>175</v>
      </c>
      <c r="G3103" t="s">
        <v>172</v>
      </c>
      <c r="H3103" t="s">
        <v>282</v>
      </c>
      <c r="I3103">
        <v>416.02</v>
      </c>
      <c r="J3103" s="34">
        <v>0</v>
      </c>
      <c r="K3103" s="35">
        <f t="shared" si="183"/>
        <v>1001.32</v>
      </c>
      <c r="L3103" s="35">
        <v>1001.32</v>
      </c>
      <c r="M3103" s="10">
        <f t="shared" si="184"/>
        <v>41.547157751767664</v>
      </c>
    </row>
    <row r="3104" spans="1:13" ht="15.75" hidden="1" customHeight="1" x14ac:dyDescent="0.3">
      <c r="A3104" s="9">
        <v>1125</v>
      </c>
      <c r="B3104" t="s">
        <v>362</v>
      </c>
      <c r="C3104" s="25">
        <v>44596</v>
      </c>
      <c r="D3104" s="26">
        <v>0.44777777777777777</v>
      </c>
      <c r="E3104" t="s">
        <v>25</v>
      </c>
      <c r="F3104" t="s">
        <v>175</v>
      </c>
      <c r="G3104" t="s">
        <v>172</v>
      </c>
      <c r="H3104" t="s">
        <v>282</v>
      </c>
      <c r="I3104">
        <v>172.72</v>
      </c>
      <c r="J3104" s="34">
        <v>0</v>
      </c>
      <c r="K3104" s="34">
        <f t="shared" si="183"/>
        <v>389.68</v>
      </c>
      <c r="L3104" s="7">
        <v>389.68</v>
      </c>
      <c r="M3104" s="10">
        <f t="shared" si="184"/>
        <v>44.323547526175325</v>
      </c>
    </row>
    <row r="3105" spans="1:13" ht="15.75" hidden="1" customHeight="1" x14ac:dyDescent="0.3">
      <c r="A3105" s="9">
        <v>2196</v>
      </c>
      <c r="B3105" t="s">
        <v>362</v>
      </c>
      <c r="C3105" s="25">
        <v>44622</v>
      </c>
      <c r="D3105" s="26">
        <v>0.43936342592592598</v>
      </c>
      <c r="E3105" t="s">
        <v>26</v>
      </c>
      <c r="F3105" t="s">
        <v>210</v>
      </c>
      <c r="G3105" t="s">
        <v>211</v>
      </c>
      <c r="H3105" t="s">
        <v>115</v>
      </c>
      <c r="I3105">
        <v>364.11</v>
      </c>
      <c r="J3105" s="34">
        <v>0</v>
      </c>
      <c r="K3105" s="97">
        <f t="shared" si="183"/>
        <v>1212</v>
      </c>
      <c r="L3105" s="7">
        <v>1212</v>
      </c>
      <c r="M3105" s="10">
        <f t="shared" si="184"/>
        <v>30.042079207920793</v>
      </c>
    </row>
    <row r="3106" spans="1:13" ht="15.75" hidden="1" customHeight="1" x14ac:dyDescent="0.3">
      <c r="A3106" s="9">
        <v>2197</v>
      </c>
      <c r="B3106" t="s">
        <v>362</v>
      </c>
      <c r="C3106" s="25">
        <v>44623</v>
      </c>
      <c r="D3106" s="26">
        <v>0.98394675925925934</v>
      </c>
      <c r="E3106" t="s">
        <v>26</v>
      </c>
      <c r="F3106" t="s">
        <v>210</v>
      </c>
      <c r="G3106" t="s">
        <v>211</v>
      </c>
      <c r="H3106" t="s">
        <v>115</v>
      </c>
      <c r="I3106">
        <v>472.18</v>
      </c>
      <c r="J3106" s="34">
        <v>0</v>
      </c>
      <c r="K3106" s="97">
        <f t="shared" si="183"/>
        <v>1120.8900000000001</v>
      </c>
      <c r="L3106" s="7">
        <v>1120.8900000000001</v>
      </c>
      <c r="M3106" s="10">
        <f t="shared" si="184"/>
        <v>42.125453880398609</v>
      </c>
    </row>
    <row r="3107" spans="1:13" ht="15.75" hidden="1" customHeight="1" x14ac:dyDescent="0.3">
      <c r="A3107" s="9">
        <v>2198</v>
      </c>
      <c r="B3107" t="s">
        <v>362</v>
      </c>
      <c r="C3107" s="25">
        <v>44625</v>
      </c>
      <c r="D3107" s="26">
        <v>0.38723379629629634</v>
      </c>
      <c r="E3107" t="s">
        <v>26</v>
      </c>
      <c r="F3107" t="s">
        <v>205</v>
      </c>
      <c r="G3107" t="s">
        <v>206</v>
      </c>
      <c r="H3107" t="s">
        <v>115</v>
      </c>
      <c r="I3107">
        <v>355.96</v>
      </c>
      <c r="J3107" s="31">
        <v>0</v>
      </c>
      <c r="K3107" s="100">
        <f t="shared" si="183"/>
        <v>987.45</v>
      </c>
      <c r="L3107" s="34">
        <v>987.45</v>
      </c>
      <c r="M3107" s="10">
        <f t="shared" si="184"/>
        <v>36.048407514304522</v>
      </c>
    </row>
    <row r="3108" spans="1:13" ht="15.75" hidden="1" customHeight="1" x14ac:dyDescent="0.3">
      <c r="A3108" s="9">
        <v>2199</v>
      </c>
      <c r="B3108" t="s">
        <v>362</v>
      </c>
      <c r="C3108" s="25">
        <v>44626</v>
      </c>
      <c r="D3108" s="26">
        <v>0.63015046296296295</v>
      </c>
      <c r="E3108" t="s">
        <v>26</v>
      </c>
      <c r="F3108" t="s">
        <v>210</v>
      </c>
      <c r="G3108" t="s">
        <v>211</v>
      </c>
      <c r="H3108" t="s">
        <v>115</v>
      </c>
      <c r="I3108">
        <v>326.72000000000003</v>
      </c>
      <c r="J3108" s="31">
        <v>0</v>
      </c>
      <c r="K3108" s="99">
        <f t="shared" si="183"/>
        <v>776.69</v>
      </c>
      <c r="L3108" s="7">
        <v>776.69</v>
      </c>
      <c r="M3108" s="10">
        <f t="shared" si="184"/>
        <v>42.065689013634781</v>
      </c>
    </row>
    <row r="3109" spans="1:13" ht="15.75" hidden="1" customHeight="1" x14ac:dyDescent="0.3">
      <c r="A3109" s="9">
        <v>2200</v>
      </c>
      <c r="B3109" t="s">
        <v>362</v>
      </c>
      <c r="C3109" s="25">
        <v>44628</v>
      </c>
      <c r="D3109" s="26">
        <v>0.35881944444444441</v>
      </c>
      <c r="E3109" t="s">
        <v>26</v>
      </c>
      <c r="F3109" t="s">
        <v>210</v>
      </c>
      <c r="G3109" t="s">
        <v>211</v>
      </c>
      <c r="H3109" t="s">
        <v>115</v>
      </c>
      <c r="I3109">
        <v>475.96</v>
      </c>
      <c r="J3109" s="34">
        <v>0</v>
      </c>
      <c r="K3109" s="97">
        <f t="shared" si="183"/>
        <v>1223.1099999999999</v>
      </c>
      <c r="L3109" s="7">
        <v>1223.1099999999999</v>
      </c>
      <c r="M3109" s="10">
        <f t="shared" si="184"/>
        <v>38.9139161645314</v>
      </c>
    </row>
    <row r="3110" spans="1:13" ht="15.75" hidden="1" customHeight="1" x14ac:dyDescent="0.3">
      <c r="A3110" s="9">
        <v>2201</v>
      </c>
      <c r="B3110" t="s">
        <v>362</v>
      </c>
      <c r="C3110" s="25">
        <v>44629</v>
      </c>
      <c r="D3110" s="26">
        <v>0.57623842592592589</v>
      </c>
      <c r="E3110" t="s">
        <v>26</v>
      </c>
      <c r="F3110" t="s">
        <v>428</v>
      </c>
      <c r="G3110" t="s">
        <v>429</v>
      </c>
      <c r="H3110" t="s">
        <v>115</v>
      </c>
      <c r="I3110">
        <v>350.47</v>
      </c>
      <c r="J3110" s="34">
        <v>0</v>
      </c>
      <c r="K3110" s="97">
        <f t="shared" si="183"/>
        <v>904.49</v>
      </c>
      <c r="L3110" s="7">
        <v>904.49</v>
      </c>
      <c r="M3110" s="10">
        <f t="shared" si="184"/>
        <v>38.747802629105912</v>
      </c>
    </row>
    <row r="3111" spans="1:13" ht="15.75" hidden="1" customHeight="1" x14ac:dyDescent="0.3">
      <c r="A3111" s="9">
        <v>2202</v>
      </c>
      <c r="B3111" t="s">
        <v>362</v>
      </c>
      <c r="C3111" s="25">
        <v>44630</v>
      </c>
      <c r="D3111" s="26">
        <v>0.43765046296296295</v>
      </c>
      <c r="E3111" t="s">
        <v>26</v>
      </c>
      <c r="F3111" t="s">
        <v>210</v>
      </c>
      <c r="G3111" t="s">
        <v>211</v>
      </c>
      <c r="H3111" t="s">
        <v>115</v>
      </c>
      <c r="I3111">
        <v>329.24</v>
      </c>
      <c r="J3111" s="7">
        <v>0</v>
      </c>
      <c r="K3111" s="90">
        <f t="shared" si="183"/>
        <v>810.51</v>
      </c>
      <c r="L3111" s="7">
        <v>810.51</v>
      </c>
      <c r="M3111" s="10">
        <f t="shared" si="184"/>
        <v>40.621337182761472</v>
      </c>
    </row>
    <row r="3112" spans="1:13" ht="15.75" hidden="1" customHeight="1" x14ac:dyDescent="0.3">
      <c r="A3112" s="9">
        <v>2203</v>
      </c>
      <c r="B3112" t="s">
        <v>362</v>
      </c>
      <c r="C3112" s="25">
        <v>44631</v>
      </c>
      <c r="D3112" s="26">
        <v>0.34093749999999995</v>
      </c>
      <c r="E3112" t="s">
        <v>26</v>
      </c>
      <c r="F3112" t="s">
        <v>210</v>
      </c>
      <c r="G3112" t="s">
        <v>211</v>
      </c>
      <c r="H3112" t="s">
        <v>115</v>
      </c>
      <c r="I3112">
        <v>414.59</v>
      </c>
      <c r="J3112" s="7">
        <v>0</v>
      </c>
      <c r="K3112" s="90">
        <f t="shared" si="183"/>
        <v>1062.44</v>
      </c>
      <c r="L3112" s="7">
        <v>1062.44</v>
      </c>
      <c r="M3112" s="10">
        <f t="shared" si="184"/>
        <v>39.022438914197508</v>
      </c>
    </row>
    <row r="3113" spans="1:13" ht="15.75" hidden="1" customHeight="1" x14ac:dyDescent="0.3">
      <c r="A3113" s="9">
        <v>2204</v>
      </c>
      <c r="B3113" t="s">
        <v>362</v>
      </c>
      <c r="C3113" s="25">
        <v>44632</v>
      </c>
      <c r="D3113" s="26">
        <v>0.41862268518518514</v>
      </c>
      <c r="E3113" t="s">
        <v>26</v>
      </c>
      <c r="F3113" t="s">
        <v>391</v>
      </c>
      <c r="G3113" t="s">
        <v>392</v>
      </c>
      <c r="H3113" t="s">
        <v>115</v>
      </c>
      <c r="I3113">
        <f>195.02+185.91</f>
        <v>380.93</v>
      </c>
      <c r="J3113" s="7">
        <v>0</v>
      </c>
      <c r="K3113" s="97">
        <f t="shared" si="183"/>
        <v>1092.8900000000001</v>
      </c>
      <c r="L3113" s="34">
        <v>1092.8900000000001</v>
      </c>
      <c r="M3113" s="10">
        <f t="shared" si="184"/>
        <v>34.855291932399417</v>
      </c>
    </row>
    <row r="3114" spans="1:13" ht="15.75" hidden="1" customHeight="1" x14ac:dyDescent="0.3">
      <c r="A3114" s="9">
        <v>2205</v>
      </c>
      <c r="B3114" t="s">
        <v>362</v>
      </c>
      <c r="C3114" s="25">
        <v>44637</v>
      </c>
      <c r="D3114" s="26">
        <v>0.33766203703703707</v>
      </c>
      <c r="E3114" t="s">
        <v>26</v>
      </c>
      <c r="F3114" t="s">
        <v>197</v>
      </c>
      <c r="G3114" t="s">
        <v>44</v>
      </c>
      <c r="H3114" t="s">
        <v>115</v>
      </c>
      <c r="I3114">
        <v>200.01</v>
      </c>
      <c r="J3114" s="7">
        <v>0</v>
      </c>
      <c r="K3114" s="90">
        <f t="shared" si="183"/>
        <v>664.19</v>
      </c>
      <c r="L3114" s="7">
        <v>664.19</v>
      </c>
      <c r="M3114" s="10">
        <f t="shared" si="184"/>
        <v>30.113371173911073</v>
      </c>
    </row>
    <row r="3115" spans="1:13" ht="15.75" hidden="1" customHeight="1" x14ac:dyDescent="0.3">
      <c r="A3115" s="9">
        <v>2206</v>
      </c>
      <c r="B3115" t="s">
        <v>362</v>
      </c>
      <c r="C3115" s="25">
        <v>44637</v>
      </c>
      <c r="D3115" s="26">
        <v>0.6196180555555556</v>
      </c>
      <c r="E3115" t="s">
        <v>26</v>
      </c>
      <c r="F3115" t="s">
        <v>490</v>
      </c>
      <c r="G3115" t="s">
        <v>487</v>
      </c>
      <c r="H3115" t="s">
        <v>115</v>
      </c>
      <c r="I3115">
        <v>274.64999999999998</v>
      </c>
      <c r="J3115" s="7">
        <v>0</v>
      </c>
      <c r="K3115" s="90">
        <f t="shared" si="183"/>
        <v>497.53</v>
      </c>
      <c r="L3115" s="7">
        <v>497.53</v>
      </c>
      <c r="M3115" s="10">
        <f t="shared" si="184"/>
        <v>55.202701344642534</v>
      </c>
    </row>
    <row r="3116" spans="1:13" ht="15.75" hidden="1" customHeight="1" x14ac:dyDescent="0.3">
      <c r="A3116" s="9">
        <v>2207</v>
      </c>
      <c r="B3116" t="s">
        <v>362</v>
      </c>
      <c r="C3116" s="25">
        <v>44638</v>
      </c>
      <c r="D3116" s="26">
        <v>0.37003472222222222</v>
      </c>
      <c r="E3116" t="s">
        <v>26</v>
      </c>
      <c r="F3116" t="s">
        <v>165</v>
      </c>
      <c r="G3116" t="s">
        <v>185</v>
      </c>
      <c r="H3116" t="s">
        <v>115</v>
      </c>
      <c r="I3116">
        <v>294.39</v>
      </c>
      <c r="J3116" s="31">
        <v>0</v>
      </c>
      <c r="K3116" s="99">
        <f t="shared" si="183"/>
        <v>625.80999999999995</v>
      </c>
      <c r="L3116" s="7">
        <v>625.80999999999995</v>
      </c>
      <c r="M3116" s="10">
        <f t="shared" si="184"/>
        <v>47.041434301145721</v>
      </c>
    </row>
    <row r="3117" spans="1:13" ht="15.75" hidden="1" customHeight="1" x14ac:dyDescent="0.3">
      <c r="A3117" s="9">
        <v>2208</v>
      </c>
      <c r="B3117" t="s">
        <v>362</v>
      </c>
      <c r="C3117" s="25">
        <v>44638</v>
      </c>
      <c r="D3117" s="26">
        <v>0.90369212962962964</v>
      </c>
      <c r="E3117" t="s">
        <v>26</v>
      </c>
      <c r="F3117" t="s">
        <v>293</v>
      </c>
      <c r="G3117" t="s">
        <v>196</v>
      </c>
      <c r="H3117" t="s">
        <v>115</v>
      </c>
      <c r="I3117">
        <v>200</v>
      </c>
      <c r="J3117" s="7">
        <v>0</v>
      </c>
      <c r="K3117" s="95">
        <f t="shared" si="183"/>
        <v>970.19</v>
      </c>
      <c r="L3117" s="7">
        <v>970.19</v>
      </c>
      <c r="M3117" s="36">
        <f t="shared" si="184"/>
        <v>20.614518805594777</v>
      </c>
    </row>
    <row r="3118" spans="1:13" ht="15.75" hidden="1" customHeight="1" x14ac:dyDescent="0.3">
      <c r="A3118" s="9">
        <v>2209</v>
      </c>
      <c r="B3118" t="s">
        <v>362</v>
      </c>
      <c r="C3118" s="25">
        <v>44639</v>
      </c>
      <c r="D3118" s="26">
        <v>0.31342592592592594</v>
      </c>
      <c r="E3118" t="s">
        <v>26</v>
      </c>
      <c r="F3118" t="s">
        <v>169</v>
      </c>
      <c r="G3118" t="s">
        <v>196</v>
      </c>
      <c r="H3118" t="s">
        <v>115</v>
      </c>
      <c r="I3118">
        <v>140.02000000000001</v>
      </c>
      <c r="J3118" s="7">
        <v>0</v>
      </c>
      <c r="K3118" s="89">
        <f t="shared" si="183"/>
        <v>37.270000000000003</v>
      </c>
      <c r="L3118" s="7">
        <v>37.270000000000003</v>
      </c>
      <c r="M3118" s="10">
        <f t="shared" si="184"/>
        <v>375.69090421250337</v>
      </c>
    </row>
    <row r="3119" spans="1:13" ht="15.75" hidden="1" customHeight="1" x14ac:dyDescent="0.3">
      <c r="A3119" s="9">
        <v>2210</v>
      </c>
      <c r="B3119" t="s">
        <v>362</v>
      </c>
      <c r="C3119" s="25">
        <v>44639</v>
      </c>
      <c r="D3119" s="26">
        <v>0.5837268518518518</v>
      </c>
      <c r="E3119" t="s">
        <v>26</v>
      </c>
      <c r="F3119" t="s">
        <v>428</v>
      </c>
      <c r="G3119" t="s">
        <v>429</v>
      </c>
      <c r="H3119" t="s">
        <v>115</v>
      </c>
      <c r="I3119">
        <v>150.57</v>
      </c>
      <c r="J3119" s="7">
        <v>0</v>
      </c>
      <c r="K3119" s="89">
        <f t="shared" si="183"/>
        <v>414.1</v>
      </c>
      <c r="L3119" s="7">
        <v>414.1</v>
      </c>
      <c r="M3119" s="10">
        <f t="shared" si="184"/>
        <v>36.360782419705387</v>
      </c>
    </row>
    <row r="3120" spans="1:13" ht="15.75" hidden="1" customHeight="1" x14ac:dyDescent="0.3">
      <c r="A3120" s="9">
        <v>2211</v>
      </c>
      <c r="B3120" t="s">
        <v>362</v>
      </c>
      <c r="C3120" s="25">
        <v>44643</v>
      </c>
      <c r="D3120" s="26">
        <v>0.53209490740740739</v>
      </c>
      <c r="E3120" t="s">
        <v>26</v>
      </c>
      <c r="F3120" t="s">
        <v>166</v>
      </c>
      <c r="G3120" t="s">
        <v>161</v>
      </c>
      <c r="H3120" t="s">
        <v>115</v>
      </c>
      <c r="I3120">
        <v>402.92</v>
      </c>
      <c r="J3120" s="34">
        <v>0</v>
      </c>
      <c r="K3120" s="89">
        <f t="shared" si="183"/>
        <v>966.74</v>
      </c>
      <c r="L3120" s="7">
        <v>966.74</v>
      </c>
      <c r="M3120" s="10">
        <f t="shared" si="184"/>
        <v>41.678217514533387</v>
      </c>
    </row>
    <row r="3121" spans="1:13" ht="15.75" hidden="1" customHeight="1" x14ac:dyDescent="0.3">
      <c r="A3121" s="9">
        <v>2212</v>
      </c>
      <c r="B3121" t="s">
        <v>362</v>
      </c>
      <c r="C3121" s="25">
        <v>44644</v>
      </c>
      <c r="D3121" s="26">
        <v>0.59137731481481481</v>
      </c>
      <c r="E3121" t="s">
        <v>26</v>
      </c>
      <c r="F3121" t="s">
        <v>210</v>
      </c>
      <c r="G3121" t="s">
        <v>211</v>
      </c>
      <c r="H3121" t="s">
        <v>115</v>
      </c>
      <c r="I3121">
        <v>398.04</v>
      </c>
      <c r="J3121" s="34">
        <v>0</v>
      </c>
      <c r="K3121" s="89">
        <f t="shared" si="183"/>
        <v>961.48</v>
      </c>
      <c r="L3121" s="7">
        <v>961.48</v>
      </c>
      <c r="M3121" s="10">
        <f t="shared" si="184"/>
        <v>41.398677039564006</v>
      </c>
    </row>
    <row r="3122" spans="1:13" ht="15.75" hidden="1" customHeight="1" x14ac:dyDescent="0.3">
      <c r="A3122" s="9">
        <v>2213</v>
      </c>
      <c r="B3122" t="s">
        <v>362</v>
      </c>
      <c r="C3122" s="25">
        <v>44648</v>
      </c>
      <c r="D3122" s="26">
        <v>0.76025462962962964</v>
      </c>
      <c r="E3122" t="s">
        <v>26</v>
      </c>
      <c r="F3122" t="s">
        <v>175</v>
      </c>
      <c r="G3122" t="s">
        <v>172</v>
      </c>
      <c r="H3122" t="s">
        <v>115</v>
      </c>
      <c r="I3122">
        <v>454.07</v>
      </c>
      <c r="J3122" s="7">
        <v>0</v>
      </c>
      <c r="K3122" s="89">
        <f t="shared" si="183"/>
        <v>1113.48</v>
      </c>
      <c r="L3122" s="38">
        <v>1113.48</v>
      </c>
      <c r="M3122" s="10">
        <f t="shared" si="184"/>
        <v>40.779358407874412</v>
      </c>
    </row>
    <row r="3123" spans="1:13" ht="15.75" hidden="1" customHeight="1" x14ac:dyDescent="0.3">
      <c r="A3123" s="9">
        <v>2214</v>
      </c>
      <c r="B3123" t="s">
        <v>362</v>
      </c>
      <c r="C3123" s="25">
        <v>44649</v>
      </c>
      <c r="D3123" s="26">
        <v>0.52930555555555558</v>
      </c>
      <c r="E3123" t="s">
        <v>26</v>
      </c>
      <c r="F3123" t="s">
        <v>166</v>
      </c>
      <c r="G3123" t="s">
        <v>161</v>
      </c>
      <c r="H3123" t="s">
        <v>115</v>
      </c>
      <c r="I3123">
        <v>280.06</v>
      </c>
      <c r="J3123" s="7">
        <v>0</v>
      </c>
      <c r="K3123" s="89">
        <f t="shared" si="183"/>
        <v>614.71</v>
      </c>
      <c r="L3123" s="32">
        <v>614.71</v>
      </c>
      <c r="M3123" s="10">
        <f t="shared" si="184"/>
        <v>45.559694815441425</v>
      </c>
    </row>
    <row r="3124" spans="1:13" ht="15.75" hidden="1" customHeight="1" x14ac:dyDescent="0.3">
      <c r="A3124" s="9">
        <v>2215</v>
      </c>
      <c r="B3124" t="s">
        <v>362</v>
      </c>
      <c r="C3124" s="25">
        <v>44650</v>
      </c>
      <c r="D3124" s="26">
        <v>0.84188657407407408</v>
      </c>
      <c r="E3124" t="s">
        <v>26</v>
      </c>
      <c r="F3124" t="s">
        <v>165</v>
      </c>
      <c r="G3124" t="s">
        <v>185</v>
      </c>
      <c r="H3124" t="s">
        <v>115</v>
      </c>
      <c r="I3124">
        <v>355.33</v>
      </c>
      <c r="J3124" s="7">
        <v>0</v>
      </c>
      <c r="K3124" s="89">
        <f t="shared" si="183"/>
        <v>936.36</v>
      </c>
      <c r="L3124" s="32">
        <v>936.36</v>
      </c>
      <c r="M3124" s="10">
        <f t="shared" si="184"/>
        <v>37.948011448588147</v>
      </c>
    </row>
    <row r="3125" spans="1:13" ht="15.75" hidden="1" customHeight="1" x14ac:dyDescent="0.3">
      <c r="A3125" s="9">
        <v>2216</v>
      </c>
      <c r="B3125" t="s">
        <v>362</v>
      </c>
      <c r="C3125" s="25">
        <v>44651</v>
      </c>
      <c r="D3125" s="26">
        <v>0.48326388888888888</v>
      </c>
      <c r="E3125" t="s">
        <v>26</v>
      </c>
      <c r="F3125" t="s">
        <v>210</v>
      </c>
      <c r="G3125" t="s">
        <v>211</v>
      </c>
      <c r="H3125" t="s">
        <v>115</v>
      </c>
      <c r="I3125">
        <v>149.12</v>
      </c>
      <c r="J3125" s="31">
        <v>0</v>
      </c>
      <c r="K3125" s="89">
        <f t="shared" si="183"/>
        <v>201.99</v>
      </c>
      <c r="L3125" s="32">
        <v>201.99</v>
      </c>
      <c r="M3125" s="10">
        <f t="shared" si="184"/>
        <v>73.825436902816961</v>
      </c>
    </row>
    <row r="3126" spans="1:13" ht="15.75" hidden="1" customHeight="1" x14ac:dyDescent="0.3">
      <c r="A3126" s="9">
        <v>3462</v>
      </c>
      <c r="B3126" t="s">
        <v>362</v>
      </c>
      <c r="C3126" s="25">
        <v>44652</v>
      </c>
      <c r="D3126" s="26">
        <v>0.52615740740740746</v>
      </c>
      <c r="E3126" t="s">
        <v>27</v>
      </c>
      <c r="F3126" t="s">
        <v>171</v>
      </c>
      <c r="G3126" t="s">
        <v>172</v>
      </c>
      <c r="H3126" t="s">
        <v>115</v>
      </c>
      <c r="I3126" s="4">
        <v>336.56</v>
      </c>
      <c r="J3126" s="7">
        <v>0</v>
      </c>
      <c r="K3126" s="89">
        <f t="shared" si="183"/>
        <v>942.96</v>
      </c>
      <c r="L3126" s="37">
        <v>942.96</v>
      </c>
      <c r="M3126" s="10">
        <f t="shared" si="184"/>
        <v>35.691863917875629</v>
      </c>
    </row>
    <row r="3127" spans="1:13" ht="15.75" hidden="1" customHeight="1" x14ac:dyDescent="0.3">
      <c r="A3127" s="9">
        <v>3463</v>
      </c>
      <c r="B3127" t="s">
        <v>362</v>
      </c>
      <c r="C3127" s="25">
        <v>44653</v>
      </c>
      <c r="D3127" s="26">
        <v>0.67454861111111108</v>
      </c>
      <c r="E3127" t="s">
        <v>27</v>
      </c>
      <c r="F3127" t="s">
        <v>530</v>
      </c>
      <c r="G3127" t="s">
        <v>489</v>
      </c>
      <c r="H3127" t="s">
        <v>115</v>
      </c>
      <c r="I3127" s="4">
        <v>382.75</v>
      </c>
      <c r="J3127" s="7">
        <v>0</v>
      </c>
      <c r="K3127" s="89">
        <f t="shared" si="183"/>
        <v>1006.33</v>
      </c>
      <c r="L3127" s="32">
        <v>1006.33</v>
      </c>
      <c r="M3127" s="10">
        <f t="shared" si="184"/>
        <v>38.034243240288966</v>
      </c>
    </row>
    <row r="3128" spans="1:13" ht="15.75" hidden="1" customHeight="1" x14ac:dyDescent="0.3">
      <c r="A3128" s="9">
        <v>3464</v>
      </c>
      <c r="B3128" t="s">
        <v>362</v>
      </c>
      <c r="C3128" s="25">
        <v>44653</v>
      </c>
      <c r="D3128" s="26">
        <v>0.80877314814814805</v>
      </c>
      <c r="E3128" t="s">
        <v>27</v>
      </c>
      <c r="F3128" t="s">
        <v>210</v>
      </c>
      <c r="G3128" t="s">
        <v>211</v>
      </c>
      <c r="H3128" t="s">
        <v>115</v>
      </c>
      <c r="I3128" s="4">
        <v>104.61</v>
      </c>
      <c r="J3128" s="7">
        <v>0</v>
      </c>
      <c r="K3128" s="89">
        <f t="shared" si="183"/>
        <v>1278</v>
      </c>
      <c r="L3128" s="32">
        <v>1278</v>
      </c>
      <c r="M3128" s="10">
        <f t="shared" si="184"/>
        <v>8.1854460093896719</v>
      </c>
    </row>
    <row r="3129" spans="1:13" ht="15.75" hidden="1" customHeight="1" x14ac:dyDescent="0.3">
      <c r="A3129" s="9">
        <v>3465</v>
      </c>
      <c r="B3129" t="s">
        <v>362</v>
      </c>
      <c r="C3129" s="25">
        <v>44655</v>
      </c>
      <c r="D3129" s="26" t="s">
        <v>345</v>
      </c>
      <c r="E3129" t="s">
        <v>27</v>
      </c>
      <c r="F3129" t="s">
        <v>210</v>
      </c>
      <c r="G3129" t="s">
        <v>211</v>
      </c>
      <c r="H3129" t="s">
        <v>115</v>
      </c>
      <c r="I3129" s="4">
        <v>441.35</v>
      </c>
      <c r="J3129" s="7">
        <v>0</v>
      </c>
      <c r="K3129" s="89">
        <f t="shared" si="183"/>
        <v>1063.76</v>
      </c>
      <c r="L3129" s="32">
        <v>1063.76</v>
      </c>
      <c r="M3129" s="10">
        <f t="shared" si="184"/>
        <v>41.489621719184782</v>
      </c>
    </row>
    <row r="3130" spans="1:13" ht="15.75" hidden="1" customHeight="1" x14ac:dyDescent="0.3">
      <c r="A3130" s="9">
        <v>3466</v>
      </c>
      <c r="B3130" t="s">
        <v>362</v>
      </c>
      <c r="C3130" s="25">
        <v>44656</v>
      </c>
      <c r="D3130" s="26">
        <v>0.41473379629629631</v>
      </c>
      <c r="E3130" t="s">
        <v>27</v>
      </c>
      <c r="F3130" t="s">
        <v>534</v>
      </c>
      <c r="G3130" t="s">
        <v>535</v>
      </c>
      <c r="H3130" t="s">
        <v>115</v>
      </c>
      <c r="I3130" s="4">
        <v>322.08</v>
      </c>
      <c r="J3130" s="7">
        <v>0</v>
      </c>
      <c r="K3130" s="89">
        <f t="shared" si="183"/>
        <v>909.39</v>
      </c>
      <c r="L3130" s="32">
        <v>909.39</v>
      </c>
      <c r="M3130" s="10">
        <f t="shared" si="184"/>
        <v>35.417147758387493</v>
      </c>
    </row>
    <row r="3131" spans="1:13" ht="15.75" hidden="1" customHeight="1" x14ac:dyDescent="0.3">
      <c r="A3131" s="9">
        <v>3467</v>
      </c>
      <c r="B3131" t="s">
        <v>362</v>
      </c>
      <c r="C3131" s="25">
        <v>44657</v>
      </c>
      <c r="D3131" s="26">
        <v>0.61547453703703703</v>
      </c>
      <c r="E3131" t="s">
        <v>27</v>
      </c>
      <c r="F3131" t="s">
        <v>210</v>
      </c>
      <c r="G3131" t="s">
        <v>211</v>
      </c>
      <c r="H3131" t="s">
        <v>115</v>
      </c>
      <c r="I3131" s="4">
        <v>357.5</v>
      </c>
      <c r="J3131" s="7">
        <v>0</v>
      </c>
      <c r="K3131" s="89">
        <f t="shared" si="183"/>
        <v>884.55</v>
      </c>
      <c r="L3131" s="32">
        <v>884.55</v>
      </c>
      <c r="M3131" s="10">
        <f t="shared" si="184"/>
        <v>40.416030750098926</v>
      </c>
    </row>
    <row r="3132" spans="1:13" ht="15.75" hidden="1" customHeight="1" x14ac:dyDescent="0.3">
      <c r="A3132" s="9">
        <v>3468</v>
      </c>
      <c r="B3132" t="s">
        <v>362</v>
      </c>
      <c r="C3132" s="25">
        <v>44658</v>
      </c>
      <c r="D3132" s="26">
        <v>0.68111111111111111</v>
      </c>
      <c r="E3132" t="s">
        <v>27</v>
      </c>
      <c r="F3132" t="s">
        <v>210</v>
      </c>
      <c r="G3132" t="s">
        <v>211</v>
      </c>
      <c r="H3132" t="s">
        <v>115</v>
      </c>
      <c r="I3132" s="4">
        <v>387.34</v>
      </c>
      <c r="J3132" s="7">
        <v>0</v>
      </c>
      <c r="K3132" s="89">
        <f t="shared" si="183"/>
        <v>1063.47</v>
      </c>
      <c r="L3132" s="32">
        <v>1063.47</v>
      </c>
      <c r="M3132" s="10">
        <f t="shared" si="184"/>
        <v>36.422278014424478</v>
      </c>
    </row>
    <row r="3133" spans="1:13" ht="15.75" hidden="1" customHeight="1" x14ac:dyDescent="0.3">
      <c r="A3133" s="9">
        <v>3469</v>
      </c>
      <c r="B3133" t="s">
        <v>362</v>
      </c>
      <c r="C3133" s="25">
        <v>44659</v>
      </c>
      <c r="D3133" s="26">
        <v>0.68687500000000001</v>
      </c>
      <c r="E3133" t="s">
        <v>27</v>
      </c>
      <c r="F3133" t="s">
        <v>171</v>
      </c>
      <c r="G3133" t="s">
        <v>172</v>
      </c>
      <c r="H3133" t="s">
        <v>115</v>
      </c>
      <c r="I3133" s="4">
        <v>334.61</v>
      </c>
      <c r="J3133" s="7">
        <v>0</v>
      </c>
      <c r="K3133" s="89">
        <f t="shared" ref="K3133:K3147" si="185">+L3133-J3133</f>
        <v>952.39</v>
      </c>
      <c r="L3133" s="37">
        <v>952.39</v>
      </c>
      <c r="M3133" s="10">
        <f t="shared" ref="M3133:M3164" si="186">I3133/K3133*100</f>
        <v>35.133716229695821</v>
      </c>
    </row>
    <row r="3134" spans="1:13" ht="15.75" hidden="1" customHeight="1" x14ac:dyDescent="0.3">
      <c r="A3134" s="9">
        <v>3470</v>
      </c>
      <c r="B3134" t="s">
        <v>362</v>
      </c>
      <c r="C3134" s="25">
        <v>44664</v>
      </c>
      <c r="D3134" s="26">
        <v>0.61597222222222225</v>
      </c>
      <c r="E3134" t="s">
        <v>27</v>
      </c>
      <c r="F3134" t="s">
        <v>210</v>
      </c>
      <c r="G3134" t="s">
        <v>211</v>
      </c>
      <c r="H3134" t="s">
        <v>115</v>
      </c>
      <c r="I3134" s="4">
        <v>372.76</v>
      </c>
      <c r="J3134" s="7">
        <v>0</v>
      </c>
      <c r="K3134" s="89">
        <f t="shared" si="185"/>
        <v>843</v>
      </c>
      <c r="L3134" s="32">
        <v>843</v>
      </c>
      <c r="M3134" s="10">
        <f t="shared" si="186"/>
        <v>44.218268090154211</v>
      </c>
    </row>
    <row r="3135" spans="1:13" ht="15.75" hidden="1" customHeight="1" x14ac:dyDescent="0.3">
      <c r="A3135" s="9">
        <v>3471</v>
      </c>
      <c r="B3135" t="s">
        <v>362</v>
      </c>
      <c r="C3135" s="25">
        <v>44666</v>
      </c>
      <c r="D3135" s="26">
        <v>0.20736111111111111</v>
      </c>
      <c r="E3135" t="s">
        <v>27</v>
      </c>
      <c r="F3135" t="s">
        <v>210</v>
      </c>
      <c r="G3135" t="s">
        <v>211</v>
      </c>
      <c r="H3135" t="s">
        <v>115</v>
      </c>
      <c r="I3135" s="4">
        <v>477.14</v>
      </c>
      <c r="J3135" s="7">
        <v>0</v>
      </c>
      <c r="K3135" s="90">
        <f t="shared" si="185"/>
        <v>1120.56</v>
      </c>
      <c r="L3135" s="32">
        <v>1120.56</v>
      </c>
      <c r="M3135" s="10">
        <f t="shared" si="186"/>
        <v>42.580495466552435</v>
      </c>
    </row>
    <row r="3136" spans="1:13" ht="15.75" hidden="1" customHeight="1" x14ac:dyDescent="0.3">
      <c r="A3136" s="9">
        <v>3472</v>
      </c>
      <c r="B3136" t="s">
        <v>362</v>
      </c>
      <c r="C3136" s="25">
        <v>44667</v>
      </c>
      <c r="D3136" s="26">
        <v>0.50399305555555551</v>
      </c>
      <c r="E3136" t="s">
        <v>27</v>
      </c>
      <c r="F3136" t="s">
        <v>391</v>
      </c>
      <c r="G3136" t="s">
        <v>392</v>
      </c>
      <c r="H3136" t="s">
        <v>115</v>
      </c>
      <c r="I3136" s="4">
        <v>340.75</v>
      </c>
      <c r="J3136" s="7">
        <v>0</v>
      </c>
      <c r="K3136" s="90">
        <f t="shared" si="185"/>
        <v>917.56</v>
      </c>
      <c r="L3136" s="32">
        <v>917.56</v>
      </c>
      <c r="M3136" s="10">
        <f t="shared" si="186"/>
        <v>37.136536030341347</v>
      </c>
    </row>
    <row r="3137" spans="1:13" ht="15.75" hidden="1" customHeight="1" x14ac:dyDescent="0.3">
      <c r="A3137" s="9">
        <v>3473</v>
      </c>
      <c r="B3137" t="s">
        <v>362</v>
      </c>
      <c r="C3137" s="25">
        <v>44671</v>
      </c>
      <c r="D3137" s="26">
        <v>0.47862268518518519</v>
      </c>
      <c r="E3137" t="s">
        <v>27</v>
      </c>
      <c r="F3137" t="s">
        <v>210</v>
      </c>
      <c r="G3137" t="s">
        <v>211</v>
      </c>
      <c r="H3137" t="s">
        <v>115</v>
      </c>
      <c r="I3137" s="4">
        <v>352.48</v>
      </c>
      <c r="J3137" s="7">
        <v>0</v>
      </c>
      <c r="K3137" s="90">
        <f t="shared" si="185"/>
        <v>845.85</v>
      </c>
      <c r="L3137" s="32">
        <v>845.85</v>
      </c>
      <c r="M3137" s="10">
        <f t="shared" si="186"/>
        <v>41.671691198202993</v>
      </c>
    </row>
    <row r="3138" spans="1:13" ht="15.75" hidden="1" customHeight="1" x14ac:dyDescent="0.3">
      <c r="A3138" s="9">
        <v>3474</v>
      </c>
      <c r="B3138" t="s">
        <v>362</v>
      </c>
      <c r="C3138" s="25">
        <v>44671</v>
      </c>
      <c r="D3138" s="26">
        <v>0.88410879629629635</v>
      </c>
      <c r="E3138" t="s">
        <v>27</v>
      </c>
      <c r="F3138" t="s">
        <v>165</v>
      </c>
      <c r="G3138" t="s">
        <v>185</v>
      </c>
      <c r="H3138" t="s">
        <v>115</v>
      </c>
      <c r="I3138" s="4">
        <v>268</v>
      </c>
      <c r="J3138" s="7">
        <v>0</v>
      </c>
      <c r="K3138" s="90">
        <f t="shared" si="185"/>
        <v>1394</v>
      </c>
      <c r="L3138" s="32">
        <v>1394</v>
      </c>
      <c r="M3138" s="10">
        <f t="shared" si="186"/>
        <v>19.225251076040173</v>
      </c>
    </row>
    <row r="3139" spans="1:13" ht="15.75" hidden="1" customHeight="1" x14ac:dyDescent="0.3">
      <c r="A3139" s="9">
        <v>3475</v>
      </c>
      <c r="B3139" t="s">
        <v>362</v>
      </c>
      <c r="C3139" s="25">
        <v>44672</v>
      </c>
      <c r="D3139" s="26">
        <v>0.51754629629629634</v>
      </c>
      <c r="E3139" t="s">
        <v>27</v>
      </c>
      <c r="F3139" t="s">
        <v>210</v>
      </c>
      <c r="G3139" t="s">
        <v>211</v>
      </c>
      <c r="H3139" t="s">
        <v>115</v>
      </c>
      <c r="I3139" s="4">
        <v>151.66999999999999</v>
      </c>
      <c r="J3139" s="7">
        <v>0</v>
      </c>
      <c r="K3139" s="90">
        <f t="shared" si="185"/>
        <v>515</v>
      </c>
      <c r="L3139" s="53">
        <v>515</v>
      </c>
      <c r="M3139" s="10">
        <f t="shared" si="186"/>
        <v>29.450485436893203</v>
      </c>
    </row>
    <row r="3140" spans="1:13" ht="15.75" hidden="1" customHeight="1" x14ac:dyDescent="0.3">
      <c r="A3140" s="9">
        <v>3476</v>
      </c>
      <c r="B3140" t="s">
        <v>362</v>
      </c>
      <c r="C3140" s="25">
        <v>44673</v>
      </c>
      <c r="D3140" s="26">
        <v>0.66181712962962969</v>
      </c>
      <c r="E3140" t="s">
        <v>27</v>
      </c>
      <c r="F3140" t="s">
        <v>428</v>
      </c>
      <c r="G3140" t="s">
        <v>429</v>
      </c>
      <c r="H3140" t="s">
        <v>115</v>
      </c>
      <c r="I3140" s="4">
        <v>200.11</v>
      </c>
      <c r="J3140" s="7">
        <v>0</v>
      </c>
      <c r="K3140" s="90">
        <f t="shared" si="185"/>
        <v>907</v>
      </c>
      <c r="L3140" s="53">
        <v>907</v>
      </c>
      <c r="M3140" s="10">
        <f t="shared" si="186"/>
        <v>22.062844542447632</v>
      </c>
    </row>
    <row r="3141" spans="1:13" ht="15.75" hidden="1" customHeight="1" x14ac:dyDescent="0.3">
      <c r="A3141" s="9">
        <v>3477</v>
      </c>
      <c r="B3141" t="s">
        <v>362</v>
      </c>
      <c r="C3141" s="25">
        <v>44675</v>
      </c>
      <c r="D3141" s="26">
        <v>0.62670138888888893</v>
      </c>
      <c r="E3141" t="s">
        <v>27</v>
      </c>
      <c r="F3141" t="s">
        <v>530</v>
      </c>
      <c r="G3141" t="s">
        <v>489</v>
      </c>
      <c r="H3141" t="s">
        <v>115</v>
      </c>
      <c r="I3141" s="4">
        <v>422.14</v>
      </c>
      <c r="J3141" s="7">
        <v>0</v>
      </c>
      <c r="K3141" s="90">
        <f t="shared" si="185"/>
        <v>724.35</v>
      </c>
      <c r="L3141" s="53">
        <v>724.35</v>
      </c>
      <c r="M3141" s="10">
        <f t="shared" si="186"/>
        <v>58.278456547249256</v>
      </c>
    </row>
    <row r="3142" spans="1:13" ht="15.75" hidden="1" customHeight="1" x14ac:dyDescent="0.3">
      <c r="A3142" s="9">
        <v>3478</v>
      </c>
      <c r="B3142" t="s">
        <v>362</v>
      </c>
      <c r="C3142" s="25">
        <v>44675</v>
      </c>
      <c r="D3142" s="26">
        <v>0.77104166666666663</v>
      </c>
      <c r="E3142" t="s">
        <v>27</v>
      </c>
      <c r="F3142" t="s">
        <v>210</v>
      </c>
      <c r="G3142" t="s">
        <v>211</v>
      </c>
      <c r="H3142" t="s">
        <v>115</v>
      </c>
      <c r="I3142" s="4">
        <v>100.13</v>
      </c>
      <c r="J3142" s="7">
        <v>0</v>
      </c>
      <c r="K3142" s="90">
        <f t="shared" si="185"/>
        <v>245.51</v>
      </c>
      <c r="L3142" s="53">
        <v>245.51</v>
      </c>
      <c r="M3142" s="10">
        <f t="shared" si="186"/>
        <v>40.784489430165777</v>
      </c>
    </row>
    <row r="3143" spans="1:13" ht="15.75" hidden="1" customHeight="1" x14ac:dyDescent="0.3">
      <c r="A3143" s="9">
        <v>3479</v>
      </c>
      <c r="B3143" t="s">
        <v>362</v>
      </c>
      <c r="C3143" s="25">
        <v>44676</v>
      </c>
      <c r="D3143" s="26">
        <v>0.80239583333333331</v>
      </c>
      <c r="E3143" t="s">
        <v>27</v>
      </c>
      <c r="F3143" t="s">
        <v>210</v>
      </c>
      <c r="G3143" t="s">
        <v>211</v>
      </c>
      <c r="H3143" t="s">
        <v>115</v>
      </c>
      <c r="I3143">
        <v>399.09</v>
      </c>
      <c r="J3143" s="7">
        <v>0</v>
      </c>
      <c r="K3143" s="90">
        <f t="shared" si="185"/>
        <v>1062.8699999999999</v>
      </c>
      <c r="L3143" s="51">
        <v>1062.8699999999999</v>
      </c>
      <c r="M3143" s="10">
        <f t="shared" si="186"/>
        <v>37.548336108837397</v>
      </c>
    </row>
    <row r="3144" spans="1:13" ht="15.75" hidden="1" customHeight="1" x14ac:dyDescent="0.3">
      <c r="A3144" s="9">
        <v>3480</v>
      </c>
      <c r="B3144" t="s">
        <v>362</v>
      </c>
      <c r="C3144" s="25">
        <v>44678</v>
      </c>
      <c r="D3144" s="26">
        <v>0.35906250000000001</v>
      </c>
      <c r="E3144" t="s">
        <v>27</v>
      </c>
      <c r="F3144" t="s">
        <v>534</v>
      </c>
      <c r="G3144" t="s">
        <v>535</v>
      </c>
      <c r="H3144" t="s">
        <v>115</v>
      </c>
      <c r="I3144">
        <v>354.63</v>
      </c>
      <c r="J3144" s="7">
        <v>0</v>
      </c>
      <c r="K3144" s="90">
        <f t="shared" si="185"/>
        <v>908.7</v>
      </c>
      <c r="L3144" s="51">
        <v>908.7</v>
      </c>
      <c r="M3144" s="10">
        <f t="shared" si="186"/>
        <v>39.026081214922414</v>
      </c>
    </row>
    <row r="3145" spans="1:13" ht="15.75" hidden="1" customHeight="1" x14ac:dyDescent="0.3">
      <c r="A3145" s="9">
        <v>3784</v>
      </c>
      <c r="B3145" t="s">
        <v>362</v>
      </c>
      <c r="C3145" s="25">
        <v>44684</v>
      </c>
      <c r="D3145" s="26">
        <v>0.54585648148148147</v>
      </c>
      <c r="E3145" t="s">
        <v>28</v>
      </c>
      <c r="F3145" t="s">
        <v>210</v>
      </c>
      <c r="G3145" t="s">
        <v>211</v>
      </c>
      <c r="H3145" t="s">
        <v>115</v>
      </c>
      <c r="I3145">
        <v>388.49</v>
      </c>
      <c r="J3145" s="7">
        <v>0</v>
      </c>
      <c r="K3145" s="90">
        <f t="shared" si="185"/>
        <v>823.72</v>
      </c>
      <c r="L3145" s="52">
        <v>823.72</v>
      </c>
      <c r="M3145" s="10">
        <f t="shared" si="186"/>
        <v>47.162870878453845</v>
      </c>
    </row>
    <row r="3146" spans="1:13" ht="15.75" hidden="1" customHeight="1" x14ac:dyDescent="0.3">
      <c r="A3146" s="9">
        <v>3848</v>
      </c>
      <c r="B3146" t="s">
        <v>362</v>
      </c>
      <c r="C3146" s="25">
        <v>44685</v>
      </c>
      <c r="D3146" s="26">
        <v>0.32722222222222225</v>
      </c>
      <c r="E3146" t="s">
        <v>28</v>
      </c>
      <c r="F3146" t="s">
        <v>165</v>
      </c>
      <c r="G3146" t="s">
        <v>185</v>
      </c>
      <c r="H3146" t="s">
        <v>115</v>
      </c>
      <c r="I3146">
        <v>243.47</v>
      </c>
      <c r="J3146" s="7">
        <v>0</v>
      </c>
      <c r="K3146" s="90">
        <f t="shared" si="185"/>
        <v>548.66999999999996</v>
      </c>
      <c r="L3146" s="53">
        <v>548.66999999999996</v>
      </c>
      <c r="M3146" s="10">
        <f t="shared" si="186"/>
        <v>44.374578526254396</v>
      </c>
    </row>
    <row r="3147" spans="1:13" ht="15.75" hidden="1" customHeight="1" x14ac:dyDescent="0.3">
      <c r="A3147" s="9">
        <v>3901</v>
      </c>
      <c r="B3147" t="s">
        <v>362</v>
      </c>
      <c r="C3147" s="25">
        <v>44686</v>
      </c>
      <c r="D3147" s="26">
        <v>0.78608796296296291</v>
      </c>
      <c r="E3147" t="s">
        <v>28</v>
      </c>
      <c r="F3147" t="s">
        <v>165</v>
      </c>
      <c r="G3147" t="s">
        <v>185</v>
      </c>
      <c r="H3147" t="s">
        <v>115</v>
      </c>
      <c r="I3147">
        <v>375.41</v>
      </c>
      <c r="J3147" s="7">
        <v>0</v>
      </c>
      <c r="K3147" s="90">
        <f t="shared" si="185"/>
        <v>879</v>
      </c>
      <c r="L3147" s="53">
        <v>879</v>
      </c>
      <c r="M3147" s="10">
        <f t="shared" si="186"/>
        <v>42.708759954493743</v>
      </c>
    </row>
    <row r="3148" spans="1:13" ht="15.75" hidden="1" customHeight="1" x14ac:dyDescent="0.3">
      <c r="A3148" s="9">
        <v>4005</v>
      </c>
      <c r="B3148" t="s">
        <v>362</v>
      </c>
      <c r="C3148" s="25">
        <v>44688</v>
      </c>
      <c r="D3148" s="26">
        <v>0.69686342592592598</v>
      </c>
      <c r="E3148" t="s">
        <v>28</v>
      </c>
      <c r="F3148" t="s">
        <v>165</v>
      </c>
      <c r="G3148" t="s">
        <v>185</v>
      </c>
      <c r="H3148" t="s">
        <v>115</v>
      </c>
      <c r="I3148">
        <v>365.15</v>
      </c>
      <c r="J3148" s="7">
        <v>0</v>
      </c>
      <c r="K3148" s="90">
        <f>+L3148-J3278</f>
        <v>880</v>
      </c>
      <c r="L3148" s="55">
        <v>880</v>
      </c>
      <c r="M3148" s="10">
        <f t="shared" si="186"/>
        <v>41.49431818181818</v>
      </c>
    </row>
    <row r="3149" spans="1:13" ht="15.75" hidden="1" customHeight="1" x14ac:dyDescent="0.3">
      <c r="A3149" s="9">
        <v>4051</v>
      </c>
      <c r="B3149" t="s">
        <v>362</v>
      </c>
      <c r="C3149" s="25">
        <v>44689</v>
      </c>
      <c r="D3149" s="26">
        <v>0.59956018518518517</v>
      </c>
      <c r="E3149" t="s">
        <v>28</v>
      </c>
      <c r="F3149" t="s">
        <v>335</v>
      </c>
      <c r="G3149" t="s">
        <v>336</v>
      </c>
      <c r="H3149" t="s">
        <v>115</v>
      </c>
      <c r="I3149">
        <v>170.25</v>
      </c>
      <c r="J3149" s="39">
        <v>0</v>
      </c>
      <c r="K3149" s="90">
        <f>+L3149-J3279</f>
        <v>586</v>
      </c>
      <c r="L3149" s="53">
        <v>586</v>
      </c>
      <c r="M3149" s="10">
        <f t="shared" si="186"/>
        <v>29.052901023890787</v>
      </c>
    </row>
    <row r="3150" spans="1:13" ht="15.75" hidden="1" customHeight="1" x14ac:dyDescent="0.3">
      <c r="A3150" s="9">
        <v>4094</v>
      </c>
      <c r="B3150" t="s">
        <v>362</v>
      </c>
      <c r="C3150" s="25">
        <v>44690</v>
      </c>
      <c r="D3150" s="26">
        <v>0.47607638888888887</v>
      </c>
      <c r="E3150" t="s">
        <v>28</v>
      </c>
      <c r="F3150" t="s">
        <v>335</v>
      </c>
      <c r="G3150" t="s">
        <v>336</v>
      </c>
      <c r="H3150" t="s">
        <v>115</v>
      </c>
      <c r="I3150">
        <v>152.02000000000001</v>
      </c>
      <c r="J3150" s="7">
        <v>0</v>
      </c>
      <c r="K3150" s="90">
        <f>+L3150-J3280</f>
        <v>421</v>
      </c>
      <c r="L3150" s="53">
        <v>421</v>
      </c>
      <c r="M3150" s="10">
        <f t="shared" si="186"/>
        <v>36.10926365795725</v>
      </c>
    </row>
    <row r="3151" spans="1:13" ht="15.75" hidden="1" customHeight="1" x14ac:dyDescent="0.3">
      <c r="A3151" s="9">
        <v>4095</v>
      </c>
      <c r="B3151" t="s">
        <v>362</v>
      </c>
      <c r="C3151" s="25">
        <v>44690</v>
      </c>
      <c r="D3151" s="26">
        <v>0.96894675925925933</v>
      </c>
      <c r="E3151" t="s">
        <v>28</v>
      </c>
      <c r="F3151" t="s">
        <v>165</v>
      </c>
      <c r="G3151" t="s">
        <v>185</v>
      </c>
      <c r="H3151" t="s">
        <v>115</v>
      </c>
      <c r="I3151">
        <v>254.16</v>
      </c>
      <c r="J3151" s="7">
        <v>0</v>
      </c>
      <c r="K3151" s="90">
        <f>+L3151-J3281</f>
        <v>619</v>
      </c>
      <c r="L3151" s="68">
        <v>619</v>
      </c>
      <c r="M3151" s="10">
        <f t="shared" si="186"/>
        <v>41.059773828756057</v>
      </c>
    </row>
    <row r="3152" spans="1:13" ht="15.75" hidden="1" customHeight="1" x14ac:dyDescent="0.3">
      <c r="A3152" s="9">
        <v>4185</v>
      </c>
      <c r="B3152" t="s">
        <v>362</v>
      </c>
      <c r="C3152" s="25">
        <v>44692</v>
      </c>
      <c r="D3152" s="26">
        <v>0.45516203703703706</v>
      </c>
      <c r="E3152" t="s">
        <v>28</v>
      </c>
      <c r="F3152" t="s">
        <v>210</v>
      </c>
      <c r="G3152" t="s">
        <v>211</v>
      </c>
      <c r="H3152" t="s">
        <v>115</v>
      </c>
      <c r="I3152">
        <v>229.19</v>
      </c>
      <c r="J3152" s="7">
        <v>0</v>
      </c>
      <c r="K3152" s="90">
        <f>+L3152-J3285</f>
        <v>573</v>
      </c>
      <c r="L3152" s="32">
        <v>573</v>
      </c>
      <c r="M3152" s="10">
        <f t="shared" si="186"/>
        <v>39.998254799301918</v>
      </c>
    </row>
    <row r="3153" spans="1:13" ht="15.75" hidden="1" customHeight="1" x14ac:dyDescent="0.3">
      <c r="A3153" s="9">
        <v>4232</v>
      </c>
      <c r="B3153" t="s">
        <v>362</v>
      </c>
      <c r="C3153" s="25">
        <v>44693</v>
      </c>
      <c r="D3153" s="26">
        <v>0.58453703703703697</v>
      </c>
      <c r="E3153" t="s">
        <v>28</v>
      </c>
      <c r="F3153" t="s">
        <v>536</v>
      </c>
      <c r="G3153" t="s">
        <v>415</v>
      </c>
      <c r="H3153" t="s">
        <v>115</v>
      </c>
      <c r="I3153">
        <f>200.09+157.6</f>
        <v>357.69</v>
      </c>
      <c r="J3153" s="34">
        <v>0</v>
      </c>
      <c r="K3153" s="97">
        <f>+L3153-J3286</f>
        <v>938</v>
      </c>
      <c r="L3153" s="37">
        <v>938</v>
      </c>
      <c r="M3153" s="10">
        <f t="shared" si="186"/>
        <v>38.133262260127928</v>
      </c>
    </row>
    <row r="3154" spans="1:13" ht="15.75" hidden="1" customHeight="1" x14ac:dyDescent="0.3">
      <c r="A3154" s="9">
        <v>4523</v>
      </c>
      <c r="B3154" t="s">
        <v>362</v>
      </c>
      <c r="C3154" s="25">
        <v>44698</v>
      </c>
      <c r="D3154" s="26">
        <v>0.84201388888888884</v>
      </c>
      <c r="E3154" t="s">
        <v>28</v>
      </c>
      <c r="F3154" t="s">
        <v>210</v>
      </c>
      <c r="G3154" t="s">
        <v>211</v>
      </c>
      <c r="H3154" t="s">
        <v>115</v>
      </c>
      <c r="I3154">
        <v>447.14</v>
      </c>
      <c r="J3154" s="34">
        <v>0</v>
      </c>
      <c r="K3154" s="97">
        <f t="shared" ref="K3154:K3165" si="187">+L3154-J3425</f>
        <v>960</v>
      </c>
      <c r="L3154" s="32">
        <v>960</v>
      </c>
      <c r="M3154" s="10">
        <f t="shared" si="186"/>
        <v>46.577083333333327</v>
      </c>
    </row>
    <row r="3155" spans="1:13" ht="15.75" hidden="1" customHeight="1" x14ac:dyDescent="0.3">
      <c r="A3155" s="9">
        <v>4581</v>
      </c>
      <c r="B3155" t="s">
        <v>362</v>
      </c>
      <c r="C3155" s="25">
        <v>44699</v>
      </c>
      <c r="D3155" s="26">
        <v>0.49133101851851851</v>
      </c>
      <c r="E3155" t="s">
        <v>28</v>
      </c>
      <c r="F3155" t="s">
        <v>396</v>
      </c>
      <c r="G3155" t="s">
        <v>397</v>
      </c>
      <c r="H3155" t="s">
        <v>115</v>
      </c>
      <c r="I3155">
        <v>171.07</v>
      </c>
      <c r="J3155" s="34">
        <v>0</v>
      </c>
      <c r="K3155" s="97">
        <f t="shared" si="187"/>
        <v>325</v>
      </c>
      <c r="L3155" s="32">
        <v>325</v>
      </c>
      <c r="M3155" s="10">
        <f t="shared" si="186"/>
        <v>52.636923076923068</v>
      </c>
    </row>
    <row r="3156" spans="1:13" ht="15.75" hidden="1" customHeight="1" x14ac:dyDescent="0.3">
      <c r="A3156" s="9">
        <v>4633</v>
      </c>
      <c r="B3156" t="s">
        <v>362</v>
      </c>
      <c r="C3156" s="25">
        <v>44700</v>
      </c>
      <c r="D3156" s="26">
        <v>0.38442129629629629</v>
      </c>
      <c r="E3156" t="s">
        <v>28</v>
      </c>
      <c r="F3156" t="s">
        <v>210</v>
      </c>
      <c r="G3156" t="s">
        <v>211</v>
      </c>
      <c r="H3156" t="s">
        <v>115</v>
      </c>
      <c r="I3156">
        <v>260.45999999999998</v>
      </c>
      <c r="J3156" s="34">
        <v>0</v>
      </c>
      <c r="K3156" s="97">
        <f t="shared" si="187"/>
        <v>734</v>
      </c>
      <c r="L3156" s="32">
        <v>734</v>
      </c>
      <c r="M3156" s="10">
        <f t="shared" si="186"/>
        <v>35.485013623978205</v>
      </c>
    </row>
    <row r="3157" spans="1:13" ht="15.75" hidden="1" customHeight="1" x14ac:dyDescent="0.3">
      <c r="A3157" s="9">
        <v>4685</v>
      </c>
      <c r="B3157" t="s">
        <v>362</v>
      </c>
      <c r="C3157" s="25">
        <v>44701</v>
      </c>
      <c r="D3157" s="26">
        <v>0.44855324074074071</v>
      </c>
      <c r="E3157" t="s">
        <v>28</v>
      </c>
      <c r="F3157" t="s">
        <v>534</v>
      </c>
      <c r="G3157" t="s">
        <v>535</v>
      </c>
      <c r="H3157" t="s">
        <v>115</v>
      </c>
      <c r="I3157">
        <v>340.02</v>
      </c>
      <c r="J3157" s="34">
        <v>0</v>
      </c>
      <c r="K3157" s="97">
        <f t="shared" si="187"/>
        <v>893</v>
      </c>
      <c r="L3157" s="32">
        <v>893</v>
      </c>
      <c r="M3157" s="10">
        <f t="shared" si="186"/>
        <v>38.076147816349383</v>
      </c>
    </row>
    <row r="3158" spans="1:13" ht="15.75" hidden="1" customHeight="1" x14ac:dyDescent="0.3">
      <c r="A3158" s="9">
        <v>4745</v>
      </c>
      <c r="B3158" t="s">
        <v>362</v>
      </c>
      <c r="C3158" s="25">
        <v>44702</v>
      </c>
      <c r="D3158" s="26">
        <v>0.62436342592592597</v>
      </c>
      <c r="E3158" t="s">
        <v>28</v>
      </c>
      <c r="F3158" t="s">
        <v>210</v>
      </c>
      <c r="G3158" t="s">
        <v>211</v>
      </c>
      <c r="H3158" t="s">
        <v>115</v>
      </c>
      <c r="I3158">
        <v>371.5</v>
      </c>
      <c r="J3158" s="50">
        <v>0</v>
      </c>
      <c r="K3158" s="101">
        <f t="shared" si="187"/>
        <v>864</v>
      </c>
      <c r="L3158" s="37">
        <v>864</v>
      </c>
      <c r="M3158" s="10">
        <f t="shared" si="186"/>
        <v>42.997685185185183</v>
      </c>
    </row>
    <row r="3159" spans="1:13" ht="15.75" hidden="1" customHeight="1" x14ac:dyDescent="0.3">
      <c r="A3159" s="9">
        <v>4796</v>
      </c>
      <c r="B3159" t="s">
        <v>362</v>
      </c>
      <c r="C3159" s="25">
        <v>44703</v>
      </c>
      <c r="D3159" s="26">
        <v>0.54798611111111117</v>
      </c>
      <c r="E3159" t="s">
        <v>28</v>
      </c>
      <c r="F3159" t="s">
        <v>210</v>
      </c>
      <c r="G3159" t="s">
        <v>211</v>
      </c>
      <c r="H3159" t="s">
        <v>115</v>
      </c>
      <c r="I3159">
        <v>408.94</v>
      </c>
      <c r="J3159" s="7">
        <v>0</v>
      </c>
      <c r="K3159" s="97">
        <f t="shared" si="187"/>
        <v>1058</v>
      </c>
      <c r="L3159" s="37">
        <v>1058</v>
      </c>
      <c r="M3159" s="10">
        <f t="shared" si="186"/>
        <v>38.652173913043484</v>
      </c>
    </row>
    <row r="3160" spans="1:13" ht="15.75" hidden="1" customHeight="1" x14ac:dyDescent="0.3">
      <c r="A3160" s="9">
        <v>4797</v>
      </c>
      <c r="B3160" t="s">
        <v>362</v>
      </c>
      <c r="C3160" s="25">
        <v>44703</v>
      </c>
      <c r="D3160" s="26">
        <v>0.8025000000000001</v>
      </c>
      <c r="E3160" t="s">
        <v>28</v>
      </c>
      <c r="F3160" t="s">
        <v>169</v>
      </c>
      <c r="G3160" t="s">
        <v>196</v>
      </c>
      <c r="H3160" t="s">
        <v>115</v>
      </c>
      <c r="I3160">
        <v>152.96</v>
      </c>
      <c r="J3160" s="7">
        <v>0</v>
      </c>
      <c r="K3160" s="90">
        <f t="shared" si="187"/>
        <v>467</v>
      </c>
      <c r="L3160" s="32">
        <v>467</v>
      </c>
      <c r="M3160" s="10">
        <f t="shared" si="186"/>
        <v>32.75374732334047</v>
      </c>
    </row>
    <row r="3161" spans="1:13" ht="15.75" hidden="1" customHeight="1" x14ac:dyDescent="0.3">
      <c r="A3161" s="9">
        <v>4843</v>
      </c>
      <c r="B3161" t="s">
        <v>362</v>
      </c>
      <c r="C3161" s="25">
        <v>44704</v>
      </c>
      <c r="D3161" s="26">
        <v>0.49091435185185189</v>
      </c>
      <c r="E3161" t="s">
        <v>28</v>
      </c>
      <c r="F3161" t="s">
        <v>331</v>
      </c>
      <c r="G3161" t="s">
        <v>277</v>
      </c>
      <c r="H3161" t="s">
        <v>115</v>
      </c>
      <c r="I3161">
        <v>143.41</v>
      </c>
      <c r="J3161" s="7">
        <v>0</v>
      </c>
      <c r="K3161" s="90">
        <f t="shared" si="187"/>
        <v>338</v>
      </c>
      <c r="L3161" s="32">
        <v>338</v>
      </c>
      <c r="M3161" s="10">
        <f t="shared" si="186"/>
        <v>42.428994082840241</v>
      </c>
    </row>
    <row r="3162" spans="1:13" ht="15.75" hidden="1" customHeight="1" x14ac:dyDescent="0.3">
      <c r="A3162" s="9">
        <v>4909</v>
      </c>
      <c r="B3162" t="s">
        <v>362</v>
      </c>
      <c r="C3162" s="25">
        <v>44705</v>
      </c>
      <c r="D3162" s="26">
        <v>0.59</v>
      </c>
      <c r="E3162" t="s">
        <v>28</v>
      </c>
      <c r="F3162" t="s">
        <v>210</v>
      </c>
      <c r="G3162" t="s">
        <v>211</v>
      </c>
      <c r="H3162" t="s">
        <v>115</v>
      </c>
      <c r="I3162">
        <v>375.85</v>
      </c>
      <c r="J3162" s="7">
        <v>0</v>
      </c>
      <c r="K3162" s="90">
        <f t="shared" si="187"/>
        <v>918</v>
      </c>
      <c r="L3162" s="32">
        <v>918</v>
      </c>
      <c r="M3162" s="10">
        <f t="shared" si="186"/>
        <v>40.942265795206971</v>
      </c>
    </row>
    <row r="3163" spans="1:13" ht="15.75" hidden="1" customHeight="1" x14ac:dyDescent="0.3">
      <c r="A3163" s="9">
        <v>4964</v>
      </c>
      <c r="B3163" t="s">
        <v>362</v>
      </c>
      <c r="C3163" s="25">
        <v>44706</v>
      </c>
      <c r="D3163" s="26">
        <v>0.50851851851851848</v>
      </c>
      <c r="E3163" t="s">
        <v>28</v>
      </c>
      <c r="F3163" t="s">
        <v>210</v>
      </c>
      <c r="G3163" t="s">
        <v>211</v>
      </c>
      <c r="H3163" t="s">
        <v>115</v>
      </c>
      <c r="I3163">
        <v>410.33</v>
      </c>
      <c r="J3163" s="7">
        <v>0</v>
      </c>
      <c r="K3163" s="90">
        <f t="shared" si="187"/>
        <v>1061</v>
      </c>
      <c r="L3163" s="32">
        <v>1061</v>
      </c>
      <c r="M3163" s="10">
        <f t="shared" si="186"/>
        <v>38.673892554194154</v>
      </c>
    </row>
    <row r="3164" spans="1:13" ht="15.75" hidden="1" customHeight="1" x14ac:dyDescent="0.3">
      <c r="A3164" s="9">
        <v>4965</v>
      </c>
      <c r="B3164" t="s">
        <v>362</v>
      </c>
      <c r="C3164" s="25">
        <v>44706</v>
      </c>
      <c r="D3164" s="26">
        <v>0.75387731481481479</v>
      </c>
      <c r="E3164" t="s">
        <v>28</v>
      </c>
      <c r="F3164" t="s">
        <v>169</v>
      </c>
      <c r="G3164" t="s">
        <v>196</v>
      </c>
      <c r="H3164" t="s">
        <v>115</v>
      </c>
      <c r="I3164">
        <v>165.03</v>
      </c>
      <c r="J3164" s="7">
        <v>0</v>
      </c>
      <c r="K3164" s="90">
        <f t="shared" si="187"/>
        <v>466</v>
      </c>
      <c r="L3164" s="38">
        <v>466</v>
      </c>
      <c r="M3164" s="10">
        <f t="shared" si="186"/>
        <v>35.414163090128753</v>
      </c>
    </row>
    <row r="3165" spans="1:13" ht="15.75" hidden="1" customHeight="1" x14ac:dyDescent="0.3">
      <c r="A3165" s="9">
        <v>5004</v>
      </c>
      <c r="B3165" t="s">
        <v>362</v>
      </c>
      <c r="C3165" s="25">
        <v>44707</v>
      </c>
      <c r="D3165" s="26">
        <v>0.57822916666666668</v>
      </c>
      <c r="E3165" t="s">
        <v>28</v>
      </c>
      <c r="F3165" t="s">
        <v>650</v>
      </c>
      <c r="G3165" t="s">
        <v>613</v>
      </c>
      <c r="H3165" t="s">
        <v>115</v>
      </c>
      <c r="I3165">
        <v>172.4</v>
      </c>
      <c r="J3165" s="7">
        <v>0</v>
      </c>
      <c r="K3165" s="89">
        <f t="shared" si="187"/>
        <v>374</v>
      </c>
      <c r="L3165" s="7">
        <v>374</v>
      </c>
      <c r="M3165" s="10">
        <f t="shared" ref="M3165:M3181" si="188">I3165/K3165*100</f>
        <v>46.096256684491983</v>
      </c>
    </row>
    <row r="3166" spans="1:13" ht="15.75" hidden="1" customHeight="1" x14ac:dyDescent="0.3">
      <c r="A3166" s="9">
        <v>5256</v>
      </c>
      <c r="B3166" t="s">
        <v>362</v>
      </c>
      <c r="C3166" s="25">
        <v>44712</v>
      </c>
      <c r="D3166" s="26">
        <v>0.41019675925925925</v>
      </c>
      <c r="E3166" t="s">
        <v>28</v>
      </c>
      <c r="F3166" t="s">
        <v>651</v>
      </c>
      <c r="G3166" t="s">
        <v>172</v>
      </c>
      <c r="H3166" t="s">
        <v>115</v>
      </c>
      <c r="I3166">
        <v>219.27</v>
      </c>
      <c r="J3166" s="7">
        <v>0</v>
      </c>
      <c r="K3166" s="89">
        <f>+L3166-J3386</f>
        <v>519</v>
      </c>
      <c r="L3166" s="7">
        <v>519</v>
      </c>
      <c r="M3166" s="10">
        <f t="shared" si="188"/>
        <v>42.248554913294797</v>
      </c>
    </row>
    <row r="3167" spans="1:13" ht="15.75" hidden="1" customHeight="1" x14ac:dyDescent="0.3">
      <c r="A3167" s="9">
        <v>5308</v>
      </c>
      <c r="B3167" t="s">
        <v>362</v>
      </c>
      <c r="C3167" s="25">
        <v>44713</v>
      </c>
      <c r="D3167" s="26">
        <v>0.34783564814814816</v>
      </c>
      <c r="E3167" t="s">
        <v>29</v>
      </c>
      <c r="F3167" t="s">
        <v>632</v>
      </c>
      <c r="G3167" t="s">
        <v>161</v>
      </c>
      <c r="H3167" t="s">
        <v>115</v>
      </c>
      <c r="I3167">
        <v>326.04000000000002</v>
      </c>
      <c r="J3167" s="32">
        <v>0</v>
      </c>
      <c r="K3167" s="89">
        <f>+L3167-J3387</f>
        <v>747</v>
      </c>
      <c r="L3167" s="35">
        <v>747</v>
      </c>
      <c r="M3167" s="10">
        <f t="shared" si="188"/>
        <v>43.646586345381529</v>
      </c>
    </row>
    <row r="3168" spans="1:13" ht="15.75" hidden="1" customHeight="1" x14ac:dyDescent="0.3">
      <c r="A3168" s="9">
        <v>5374</v>
      </c>
      <c r="B3168" t="s">
        <v>362</v>
      </c>
      <c r="C3168" s="25">
        <v>44714</v>
      </c>
      <c r="D3168" s="26">
        <v>0.84545138888888882</v>
      </c>
      <c r="E3168" t="s">
        <v>29</v>
      </c>
      <c r="F3168" t="s">
        <v>640</v>
      </c>
      <c r="G3168" t="s">
        <v>185</v>
      </c>
      <c r="H3168" t="s">
        <v>115</v>
      </c>
      <c r="I3168">
        <v>470.47</v>
      </c>
      <c r="J3168" s="33">
        <v>0</v>
      </c>
      <c r="K3168" s="89">
        <f>+L3168-J3388</f>
        <v>1067</v>
      </c>
      <c r="L3168" s="31">
        <v>1067</v>
      </c>
      <c r="M3168" s="10">
        <f t="shared" si="188"/>
        <v>44.092783505154642</v>
      </c>
    </row>
    <row r="3169" spans="1:13" ht="15.75" hidden="1" customHeight="1" x14ac:dyDescent="0.3">
      <c r="A3169" s="9">
        <v>5484</v>
      </c>
      <c r="B3169" t="s">
        <v>362</v>
      </c>
      <c r="C3169" s="25">
        <v>44716</v>
      </c>
      <c r="D3169" s="26">
        <v>0.6856944444444445</v>
      </c>
      <c r="E3169" t="s">
        <v>29</v>
      </c>
      <c r="F3169" t="s">
        <v>635</v>
      </c>
      <c r="G3169" t="s">
        <v>185</v>
      </c>
      <c r="H3169" t="s">
        <v>115</v>
      </c>
      <c r="I3169">
        <v>377.67</v>
      </c>
      <c r="J3169" s="33">
        <v>0</v>
      </c>
      <c r="K3169" s="89">
        <f>+L3169-J3382</f>
        <v>806</v>
      </c>
      <c r="L3169" s="7">
        <v>806</v>
      </c>
      <c r="M3169" s="10">
        <f t="shared" si="188"/>
        <v>46.857320099255581</v>
      </c>
    </row>
    <row r="3170" spans="1:13" ht="15.75" hidden="1" customHeight="1" x14ac:dyDescent="0.3">
      <c r="A3170" s="9">
        <v>5530</v>
      </c>
      <c r="B3170" t="s">
        <v>362</v>
      </c>
      <c r="C3170" s="25">
        <v>44717</v>
      </c>
      <c r="D3170" s="26">
        <v>0.51768518518518525</v>
      </c>
      <c r="E3170" t="s">
        <v>29</v>
      </c>
      <c r="F3170" t="s">
        <v>634</v>
      </c>
      <c r="G3170" t="s">
        <v>211</v>
      </c>
      <c r="H3170" t="s">
        <v>115</v>
      </c>
      <c r="I3170">
        <v>155.38999999999999</v>
      </c>
      <c r="J3170" s="32">
        <v>0</v>
      </c>
      <c r="K3170" s="89">
        <f>+L3170-J3383</f>
        <v>514</v>
      </c>
      <c r="L3170" s="7">
        <v>514</v>
      </c>
      <c r="M3170" s="10">
        <f t="shared" si="188"/>
        <v>30.231517509727624</v>
      </c>
    </row>
    <row r="3171" spans="1:13" ht="15.75" hidden="1" customHeight="1" x14ac:dyDescent="0.3">
      <c r="A3171" s="9">
        <v>5531</v>
      </c>
      <c r="B3171" t="s">
        <v>362</v>
      </c>
      <c r="C3171" s="25">
        <v>44717</v>
      </c>
      <c r="D3171" s="26">
        <v>0.75187500000000007</v>
      </c>
      <c r="E3171" t="s">
        <v>29</v>
      </c>
      <c r="F3171" t="s">
        <v>637</v>
      </c>
      <c r="G3171" t="s">
        <v>196</v>
      </c>
      <c r="H3171" t="s">
        <v>115</v>
      </c>
      <c r="I3171">
        <v>145.47</v>
      </c>
      <c r="J3171" s="32">
        <v>0</v>
      </c>
      <c r="K3171" s="89">
        <f>+L3171-J3384</f>
        <v>921</v>
      </c>
      <c r="L3171" s="7">
        <v>921</v>
      </c>
      <c r="M3171" s="10">
        <f t="shared" si="188"/>
        <v>15.794788273615634</v>
      </c>
    </row>
    <row r="3172" spans="1:13" ht="15.75" hidden="1" customHeight="1" x14ac:dyDescent="0.3">
      <c r="A3172" s="9">
        <v>6072</v>
      </c>
      <c r="B3172" t="s">
        <v>362</v>
      </c>
      <c r="C3172" s="25">
        <v>44727</v>
      </c>
      <c r="D3172" s="26">
        <v>0.9275000000000001</v>
      </c>
      <c r="E3172" t="s">
        <v>29</v>
      </c>
      <c r="F3172" t="s">
        <v>673</v>
      </c>
      <c r="G3172" t="s">
        <v>172</v>
      </c>
      <c r="H3172" t="s">
        <v>115</v>
      </c>
      <c r="I3172" s="148">
        <v>150</v>
      </c>
      <c r="J3172" s="32">
        <v>0</v>
      </c>
      <c r="K3172" s="89">
        <v>1049</v>
      </c>
      <c r="L3172" s="7">
        <v>1049</v>
      </c>
      <c r="M3172" s="10">
        <f t="shared" si="188"/>
        <v>14.299332697807435</v>
      </c>
    </row>
    <row r="3173" spans="1:13" ht="15.75" hidden="1" customHeight="1" x14ac:dyDescent="0.3">
      <c r="A3173" s="9">
        <v>6121</v>
      </c>
      <c r="B3173" t="s">
        <v>362</v>
      </c>
      <c r="C3173" s="25">
        <v>44728</v>
      </c>
      <c r="D3173" s="26">
        <v>0.3116666666666667</v>
      </c>
      <c r="E3173" t="s">
        <v>29</v>
      </c>
      <c r="F3173" t="s">
        <v>662</v>
      </c>
      <c r="G3173" t="s">
        <v>542</v>
      </c>
      <c r="H3173" t="s">
        <v>115</v>
      </c>
      <c r="I3173" s="148">
        <v>200</v>
      </c>
      <c r="J3173" s="55">
        <v>0</v>
      </c>
      <c r="K3173" s="89">
        <v>153</v>
      </c>
      <c r="L3173" s="7">
        <v>153</v>
      </c>
      <c r="M3173" s="10">
        <f t="shared" si="188"/>
        <v>130.718954248366</v>
      </c>
    </row>
    <row r="3174" spans="1:13" ht="15.75" hidden="1" customHeight="1" x14ac:dyDescent="0.3">
      <c r="A3174" s="9">
        <v>6122</v>
      </c>
      <c r="B3174" t="s">
        <v>362</v>
      </c>
      <c r="C3174" s="25">
        <v>44728</v>
      </c>
      <c r="D3174" s="26">
        <v>0.64004629629629628</v>
      </c>
      <c r="E3174" t="s">
        <v>29</v>
      </c>
      <c r="F3174" t="s">
        <v>634</v>
      </c>
      <c r="G3174" t="s">
        <v>211</v>
      </c>
      <c r="H3174" t="s">
        <v>115</v>
      </c>
      <c r="I3174" s="148">
        <v>384.76</v>
      </c>
      <c r="J3174" s="55">
        <v>0</v>
      </c>
      <c r="K3174" s="89">
        <v>523</v>
      </c>
      <c r="L3174" s="7">
        <v>523</v>
      </c>
      <c r="M3174" s="10">
        <f t="shared" si="188"/>
        <v>73.567877629063091</v>
      </c>
    </row>
    <row r="3175" spans="1:13" ht="15.75" hidden="1" customHeight="1" x14ac:dyDescent="0.3">
      <c r="A3175" s="9">
        <v>6273</v>
      </c>
      <c r="B3175" t="s">
        <v>362</v>
      </c>
      <c r="C3175" s="25">
        <v>44732</v>
      </c>
      <c r="D3175" s="26">
        <v>0.42737268518518517</v>
      </c>
      <c r="E3175" t="s">
        <v>29</v>
      </c>
      <c r="F3175" t="s">
        <v>634</v>
      </c>
      <c r="G3175" t="s">
        <v>211</v>
      </c>
      <c r="H3175" t="s">
        <v>115</v>
      </c>
      <c r="I3175" s="148">
        <v>461.86</v>
      </c>
      <c r="J3175" s="55">
        <v>0</v>
      </c>
      <c r="K3175" s="89">
        <v>1069</v>
      </c>
      <c r="L3175" s="7">
        <v>1069</v>
      </c>
      <c r="M3175" s="10">
        <f t="shared" si="188"/>
        <v>43.20486435921422</v>
      </c>
    </row>
    <row r="3176" spans="1:13" ht="15.75" hidden="1" customHeight="1" x14ac:dyDescent="0.3">
      <c r="A3176" s="9">
        <v>6274</v>
      </c>
      <c r="B3176" t="s">
        <v>362</v>
      </c>
      <c r="C3176" s="25">
        <v>44732</v>
      </c>
      <c r="D3176" s="26">
        <v>0.65172453703703703</v>
      </c>
      <c r="E3176" t="s">
        <v>29</v>
      </c>
      <c r="F3176" t="s">
        <v>713</v>
      </c>
      <c r="G3176" t="s">
        <v>196</v>
      </c>
      <c r="H3176" t="s">
        <v>115</v>
      </c>
      <c r="I3176" s="148">
        <v>153.88</v>
      </c>
      <c r="J3176" s="55">
        <v>0</v>
      </c>
      <c r="K3176" s="89">
        <v>451</v>
      </c>
      <c r="L3176" s="31">
        <v>451</v>
      </c>
      <c r="M3176" s="10">
        <f t="shared" si="188"/>
        <v>34.119733924611971</v>
      </c>
    </row>
    <row r="3177" spans="1:13" ht="15.75" hidden="1" customHeight="1" x14ac:dyDescent="0.3">
      <c r="A3177" s="9">
        <v>6459</v>
      </c>
      <c r="B3177" t="s">
        <v>362</v>
      </c>
      <c r="C3177" s="25">
        <v>44736</v>
      </c>
      <c r="D3177" s="26">
        <v>0.63803240740740741</v>
      </c>
      <c r="E3177" t="s">
        <v>29</v>
      </c>
      <c r="F3177" t="s">
        <v>634</v>
      </c>
      <c r="G3177" t="s">
        <v>211</v>
      </c>
      <c r="H3177" t="s">
        <v>115</v>
      </c>
      <c r="I3177" s="148">
        <v>388.24</v>
      </c>
      <c r="J3177" s="32">
        <v>0</v>
      </c>
      <c r="K3177" s="89">
        <v>838</v>
      </c>
      <c r="L3177" s="7">
        <v>838</v>
      </c>
      <c r="M3177" s="10">
        <f t="shared" si="188"/>
        <v>46.329355608591889</v>
      </c>
    </row>
    <row r="3178" spans="1:13" ht="15.75" hidden="1" customHeight="1" x14ac:dyDescent="0.3">
      <c r="A3178" s="9">
        <v>6513</v>
      </c>
      <c r="B3178" t="s">
        <v>362</v>
      </c>
      <c r="C3178" s="25">
        <v>44737</v>
      </c>
      <c r="D3178" s="26">
        <v>0.80252314814814818</v>
      </c>
      <c r="E3178" t="s">
        <v>29</v>
      </c>
      <c r="F3178" t="s">
        <v>634</v>
      </c>
      <c r="G3178" t="s">
        <v>211</v>
      </c>
      <c r="H3178" t="s">
        <v>115</v>
      </c>
      <c r="I3178" s="148">
        <v>446.5</v>
      </c>
      <c r="J3178" s="33">
        <v>0</v>
      </c>
      <c r="K3178" s="89">
        <v>1061</v>
      </c>
      <c r="L3178" s="34">
        <v>1061</v>
      </c>
      <c r="M3178" s="10">
        <f t="shared" si="188"/>
        <v>42.082940622054664</v>
      </c>
    </row>
    <row r="3179" spans="1:13" ht="15.75" hidden="1" customHeight="1" x14ac:dyDescent="0.3">
      <c r="A3179" s="9">
        <v>6565</v>
      </c>
      <c r="B3179" t="s">
        <v>362</v>
      </c>
      <c r="C3179" s="25">
        <v>44738</v>
      </c>
      <c r="D3179" s="26">
        <v>0.60181712962962963</v>
      </c>
      <c r="E3179" t="s">
        <v>29</v>
      </c>
      <c r="F3179" t="s">
        <v>637</v>
      </c>
      <c r="G3179" t="s">
        <v>196</v>
      </c>
      <c r="H3179" t="s">
        <v>115</v>
      </c>
      <c r="I3179" s="148">
        <v>179.57</v>
      </c>
      <c r="J3179" s="55">
        <v>0</v>
      </c>
      <c r="K3179" s="89">
        <v>470</v>
      </c>
      <c r="L3179" s="7">
        <v>470</v>
      </c>
      <c r="M3179" s="10">
        <f t="shared" si="188"/>
        <v>38.206382978723404</v>
      </c>
    </row>
    <row r="3180" spans="1:13" ht="15.75" hidden="1" customHeight="1" x14ac:dyDescent="0.3">
      <c r="A3180" s="9">
        <v>6619</v>
      </c>
      <c r="B3180" t="s">
        <v>362</v>
      </c>
      <c r="C3180" s="25">
        <v>44739</v>
      </c>
      <c r="D3180" s="26">
        <v>0.62408564814814815</v>
      </c>
      <c r="E3180" t="s">
        <v>29</v>
      </c>
      <c r="F3180" t="s">
        <v>652</v>
      </c>
      <c r="G3180" t="s">
        <v>535</v>
      </c>
      <c r="H3180" t="s">
        <v>115</v>
      </c>
      <c r="I3180" s="148">
        <v>198.06</v>
      </c>
      <c r="J3180" s="55">
        <v>0</v>
      </c>
      <c r="K3180" s="89">
        <v>442</v>
      </c>
      <c r="L3180" s="7">
        <v>442</v>
      </c>
      <c r="M3180" s="10">
        <f t="shared" si="188"/>
        <v>44.809954751131222</v>
      </c>
    </row>
    <row r="3181" spans="1:13" ht="15.75" hidden="1" customHeight="1" x14ac:dyDescent="0.3">
      <c r="A3181" s="9">
        <v>6683</v>
      </c>
      <c r="B3181" t="s">
        <v>362</v>
      </c>
      <c r="C3181" s="25">
        <v>44740</v>
      </c>
      <c r="D3181" s="26">
        <v>0.81884259259259251</v>
      </c>
      <c r="E3181" t="s">
        <v>29</v>
      </c>
      <c r="F3181" t="s">
        <v>634</v>
      </c>
      <c r="G3181" t="s">
        <v>211</v>
      </c>
      <c r="H3181" t="s">
        <v>115</v>
      </c>
      <c r="I3181" s="148">
        <v>648</v>
      </c>
      <c r="J3181" s="32">
        <v>0</v>
      </c>
      <c r="K3181" s="89">
        <v>877</v>
      </c>
      <c r="L3181" s="7">
        <v>877</v>
      </c>
      <c r="M3181" s="10">
        <f t="shared" si="188"/>
        <v>73.888255416191555</v>
      </c>
    </row>
    <row r="3182" spans="1:13" ht="15.75" hidden="1" customHeight="1" x14ac:dyDescent="0.3">
      <c r="A3182" s="9">
        <v>6751</v>
      </c>
      <c r="B3182" t="s">
        <v>362</v>
      </c>
      <c r="C3182" s="25">
        <v>44742</v>
      </c>
      <c r="D3182" s="26">
        <v>0.25498842592592591</v>
      </c>
      <c r="E3182" t="s">
        <v>29</v>
      </c>
      <c r="F3182" t="s">
        <v>210</v>
      </c>
      <c r="G3182" t="s">
        <v>211</v>
      </c>
      <c r="H3182" t="s">
        <v>115</v>
      </c>
      <c r="I3182" s="148">
        <v>504.35</v>
      </c>
      <c r="J3182" s="8"/>
      <c r="K3182" s="82">
        <v>8784</v>
      </c>
      <c r="L3182" s="44">
        <f>+K3182-J3182</f>
        <v>8784</v>
      </c>
      <c r="M3182" s="10">
        <f>I3182/L3182*100</f>
        <v>5.7416894353369763</v>
      </c>
    </row>
    <row r="3183" spans="1:13" ht="15.75" hidden="1" customHeight="1" x14ac:dyDescent="0.3">
      <c r="B3183" t="s">
        <v>183</v>
      </c>
      <c r="C3183" s="25">
        <v>44769</v>
      </c>
      <c r="D3183" s="26">
        <v>0.73135416666666664</v>
      </c>
      <c r="E3183" t="s">
        <v>30</v>
      </c>
      <c r="F3183" t="s">
        <v>169</v>
      </c>
      <c r="G3183" t="s">
        <v>196</v>
      </c>
      <c r="H3183" t="s">
        <v>184</v>
      </c>
      <c r="I3183" s="159">
        <v>206.85</v>
      </c>
      <c r="J3183" s="8"/>
      <c r="K3183" s="82"/>
      <c r="L3183" s="8"/>
      <c r="M3183" s="302"/>
    </row>
    <row r="3184" spans="1:13" ht="15.75" hidden="1" customHeight="1" x14ac:dyDescent="0.3">
      <c r="B3184" t="s">
        <v>183</v>
      </c>
      <c r="C3184" s="25">
        <v>44770</v>
      </c>
      <c r="D3184" s="26">
        <v>0.38651620370370371</v>
      </c>
      <c r="E3184" t="s">
        <v>30</v>
      </c>
      <c r="F3184" t="s">
        <v>428</v>
      </c>
      <c r="G3184" t="s">
        <v>429</v>
      </c>
      <c r="H3184" t="s">
        <v>184</v>
      </c>
      <c r="I3184" s="159">
        <v>100.03</v>
      </c>
      <c r="J3184" s="8"/>
      <c r="K3184" s="82"/>
      <c r="L3184" s="78"/>
      <c r="M3184" s="254"/>
    </row>
    <row r="3185" spans="1:13" ht="15.75" hidden="1" customHeight="1" x14ac:dyDescent="0.3">
      <c r="B3185" t="s">
        <v>183</v>
      </c>
      <c r="C3185" s="25">
        <v>44770</v>
      </c>
      <c r="D3185" s="26">
        <v>0.38851851851851849</v>
      </c>
      <c r="E3185" t="s">
        <v>30</v>
      </c>
      <c r="F3185" t="s">
        <v>428</v>
      </c>
      <c r="G3185" t="s">
        <v>429</v>
      </c>
      <c r="H3185" t="s">
        <v>184</v>
      </c>
      <c r="I3185" s="159">
        <v>30.53</v>
      </c>
      <c r="J3185" s="8"/>
      <c r="K3185" s="8"/>
      <c r="L3185" s="8"/>
      <c r="M3185" s="273"/>
    </row>
    <row r="3186" spans="1:13" ht="15.75" hidden="1" customHeight="1" x14ac:dyDescent="0.3">
      <c r="B3186" t="s">
        <v>183</v>
      </c>
      <c r="C3186" s="25">
        <v>44771</v>
      </c>
      <c r="D3186" s="26">
        <v>0.41640046296296296</v>
      </c>
      <c r="E3186" t="s">
        <v>30</v>
      </c>
      <c r="F3186" t="s">
        <v>197</v>
      </c>
      <c r="G3186" t="s">
        <v>44</v>
      </c>
      <c r="H3186" t="s">
        <v>184</v>
      </c>
      <c r="I3186" s="159">
        <v>183.94</v>
      </c>
      <c r="J3186" s="54"/>
      <c r="K3186" s="54"/>
      <c r="L3186" s="78"/>
      <c r="M3186" s="254"/>
    </row>
    <row r="3187" spans="1:13" ht="15.75" hidden="1" customHeight="1" x14ac:dyDescent="0.3">
      <c r="B3187" t="s">
        <v>183</v>
      </c>
      <c r="C3187" s="25">
        <v>44771</v>
      </c>
      <c r="D3187" s="26">
        <v>0.80065972222222215</v>
      </c>
      <c r="E3187" t="s">
        <v>30</v>
      </c>
      <c r="F3187" t="s">
        <v>210</v>
      </c>
      <c r="G3187" t="s">
        <v>211</v>
      </c>
      <c r="H3187" t="s">
        <v>184</v>
      </c>
      <c r="I3187" s="159">
        <v>261.81</v>
      </c>
      <c r="J3187" s="160">
        <f>262+184+30+100+207</f>
        <v>783</v>
      </c>
      <c r="K3187" s="160">
        <v>782465</v>
      </c>
      <c r="L3187" s="160">
        <v>1894</v>
      </c>
      <c r="M3187" s="267">
        <f>+J3187/L3187*100</f>
        <v>41.341077085533264</v>
      </c>
    </row>
    <row r="3188" spans="1:13" ht="15.75" hidden="1" customHeight="1" x14ac:dyDescent="0.3">
      <c r="A3188" s="9">
        <v>5069</v>
      </c>
      <c r="B3188" t="s">
        <v>681</v>
      </c>
      <c r="C3188" s="25">
        <v>44708</v>
      </c>
      <c r="D3188" s="26">
        <v>0.46666666666666662</v>
      </c>
      <c r="E3188" t="s">
        <v>28</v>
      </c>
      <c r="F3188" t="s">
        <v>675</v>
      </c>
      <c r="G3188" t="s">
        <v>227</v>
      </c>
      <c r="H3188" t="s">
        <v>682</v>
      </c>
      <c r="I3188">
        <v>43.82</v>
      </c>
      <c r="J3188" s="38">
        <v>0</v>
      </c>
      <c r="K3188" s="92"/>
      <c r="L3188" s="34"/>
      <c r="M3188" s="118" t="e">
        <f t="shared" ref="M3188:M3194" si="189">I3188/K3188*100</f>
        <v>#DIV/0!</v>
      </c>
    </row>
    <row r="3189" spans="1:13" ht="15.75" hidden="1" customHeight="1" x14ac:dyDescent="0.3">
      <c r="A3189" s="9">
        <v>5438</v>
      </c>
      <c r="B3189" t="s">
        <v>681</v>
      </c>
      <c r="C3189" s="25">
        <v>44715</v>
      </c>
      <c r="D3189" s="26">
        <v>0.57035879629629627</v>
      </c>
      <c r="E3189" t="s">
        <v>29</v>
      </c>
      <c r="F3189" t="s">
        <v>664</v>
      </c>
      <c r="G3189" t="s">
        <v>388</v>
      </c>
      <c r="H3189" t="s">
        <v>682</v>
      </c>
      <c r="I3189">
        <v>43</v>
      </c>
      <c r="J3189" s="66"/>
      <c r="K3189" s="89"/>
      <c r="L3189" s="23"/>
      <c r="M3189" s="36" t="e">
        <f t="shared" si="189"/>
        <v>#DIV/0!</v>
      </c>
    </row>
    <row r="3190" spans="1:13" ht="15.75" hidden="1" customHeight="1" x14ac:dyDescent="0.3">
      <c r="A3190" s="9">
        <v>5637</v>
      </c>
      <c r="B3190" t="s">
        <v>681</v>
      </c>
      <c r="C3190" s="25">
        <v>44719</v>
      </c>
      <c r="D3190" s="26">
        <v>0.85662037037037031</v>
      </c>
      <c r="E3190" t="s">
        <v>29</v>
      </c>
      <c r="F3190" t="s">
        <v>675</v>
      </c>
      <c r="G3190" t="s">
        <v>227</v>
      </c>
      <c r="H3190" t="s">
        <v>682</v>
      </c>
      <c r="I3190">
        <v>47.57</v>
      </c>
      <c r="J3190" s="33">
        <v>0</v>
      </c>
      <c r="K3190" s="89">
        <f>+L3190-J2750</f>
        <v>0</v>
      </c>
      <c r="L3190" s="7"/>
      <c r="M3190" s="36" t="e">
        <f t="shared" si="189"/>
        <v>#DIV/0!</v>
      </c>
    </row>
    <row r="3191" spans="1:13" ht="15.75" hidden="1" customHeight="1" x14ac:dyDescent="0.3">
      <c r="A3191" s="9">
        <v>5855</v>
      </c>
      <c r="B3191" t="s">
        <v>681</v>
      </c>
      <c r="C3191" s="25">
        <v>44723</v>
      </c>
      <c r="D3191" s="26">
        <v>0.40460648148148143</v>
      </c>
      <c r="E3191" t="s">
        <v>29</v>
      </c>
      <c r="F3191" t="s">
        <v>675</v>
      </c>
      <c r="G3191" t="s">
        <v>227</v>
      </c>
      <c r="H3191" t="s">
        <v>682</v>
      </c>
      <c r="I3191">
        <v>47.13</v>
      </c>
      <c r="J3191" s="23"/>
      <c r="K3191" s="89"/>
      <c r="L3191" s="23"/>
      <c r="M3191" s="36" t="e">
        <f t="shared" si="189"/>
        <v>#DIV/0!</v>
      </c>
    </row>
    <row r="3192" spans="1:13" ht="15.75" hidden="1" customHeight="1" x14ac:dyDescent="0.3">
      <c r="A3192" s="9">
        <v>6053</v>
      </c>
      <c r="B3192" t="s">
        <v>681</v>
      </c>
      <c r="C3192" s="25">
        <v>44727</v>
      </c>
      <c r="D3192" s="26">
        <v>0.86033564814814811</v>
      </c>
      <c r="E3192" t="s">
        <v>29</v>
      </c>
      <c r="F3192" t="s">
        <v>749</v>
      </c>
      <c r="G3192" t="s">
        <v>388</v>
      </c>
      <c r="H3192" t="s">
        <v>750</v>
      </c>
      <c r="I3192">
        <v>54.16</v>
      </c>
      <c r="J3192" s="32">
        <v>0</v>
      </c>
      <c r="K3192" s="89"/>
      <c r="L3192" s="23"/>
      <c r="M3192" s="36" t="e">
        <f t="shared" si="189"/>
        <v>#DIV/0!</v>
      </c>
    </row>
    <row r="3193" spans="1:13" ht="15.75" hidden="1" customHeight="1" x14ac:dyDescent="0.3">
      <c r="A3193" s="9">
        <v>6107</v>
      </c>
      <c r="B3193" t="s">
        <v>681</v>
      </c>
      <c r="C3193" s="25">
        <v>44728</v>
      </c>
      <c r="D3193" s="26">
        <v>0.42130787037037037</v>
      </c>
      <c r="E3193" t="s">
        <v>29</v>
      </c>
      <c r="F3193" t="s">
        <v>686</v>
      </c>
      <c r="G3193" t="s">
        <v>388</v>
      </c>
      <c r="H3193" t="s">
        <v>750</v>
      </c>
      <c r="I3193">
        <v>11.41</v>
      </c>
      <c r="J3193" s="32">
        <v>0</v>
      </c>
      <c r="K3193" s="89"/>
      <c r="L3193" s="23"/>
      <c r="M3193" s="36" t="e">
        <f t="shared" si="189"/>
        <v>#DIV/0!</v>
      </c>
    </row>
    <row r="3194" spans="1:13" ht="15.75" hidden="1" customHeight="1" x14ac:dyDescent="0.3">
      <c r="A3194" s="9">
        <v>6600</v>
      </c>
      <c r="B3194" t="s">
        <v>681</v>
      </c>
      <c r="C3194" s="25">
        <v>44739</v>
      </c>
      <c r="D3194" s="26">
        <v>0.47479166666666667</v>
      </c>
      <c r="E3194" t="s">
        <v>29</v>
      </c>
      <c r="F3194" t="s">
        <v>675</v>
      </c>
      <c r="G3194" t="s">
        <v>227</v>
      </c>
      <c r="H3194" t="s">
        <v>750</v>
      </c>
      <c r="I3194">
        <v>42.86</v>
      </c>
      <c r="J3194" s="33">
        <v>0</v>
      </c>
      <c r="K3194" s="96"/>
      <c r="L3194" s="66"/>
      <c r="M3194" s="121" t="e">
        <f t="shared" si="189"/>
        <v>#DIV/0!</v>
      </c>
    </row>
    <row r="3195" spans="1:13" ht="15.75" hidden="1" customHeight="1" x14ac:dyDescent="0.3">
      <c r="B3195" t="s">
        <v>183</v>
      </c>
      <c r="C3195" s="25">
        <v>44772</v>
      </c>
      <c r="D3195" s="26">
        <v>0.67712962962962964</v>
      </c>
      <c r="E3195" t="s">
        <v>30</v>
      </c>
      <c r="F3195" t="s">
        <v>165</v>
      </c>
      <c r="G3195" t="s">
        <v>185</v>
      </c>
      <c r="H3195" t="s">
        <v>184</v>
      </c>
      <c r="I3195" s="236">
        <v>277.47000000000003</v>
      </c>
      <c r="J3195" s="8"/>
      <c r="K3195" s="8"/>
      <c r="L3195" s="8"/>
      <c r="M3195" s="254"/>
    </row>
    <row r="3196" spans="1:13" ht="15.75" hidden="1" customHeight="1" x14ac:dyDescent="0.3">
      <c r="B3196" t="s">
        <v>323</v>
      </c>
      <c r="C3196" s="25">
        <v>44744</v>
      </c>
      <c r="D3196" s="26">
        <v>0.55651620370370369</v>
      </c>
      <c r="E3196" t="s">
        <v>30</v>
      </c>
      <c r="F3196" t="s">
        <v>165</v>
      </c>
      <c r="G3196" t="s">
        <v>185</v>
      </c>
      <c r="H3196" t="s">
        <v>187</v>
      </c>
      <c r="I3196" s="173">
        <v>190.76</v>
      </c>
      <c r="J3196" s="8"/>
      <c r="K3196" s="8"/>
      <c r="L3196" s="8"/>
      <c r="M3196" s="254"/>
    </row>
    <row r="3197" spans="1:13" ht="15.75" hidden="1" customHeight="1" x14ac:dyDescent="0.3">
      <c r="B3197" t="s">
        <v>323</v>
      </c>
      <c r="C3197" s="25">
        <v>44746</v>
      </c>
      <c r="D3197" s="26">
        <v>0.41710648148148149</v>
      </c>
      <c r="E3197" t="s">
        <v>30</v>
      </c>
      <c r="F3197" t="s">
        <v>340</v>
      </c>
      <c r="G3197" t="s">
        <v>337</v>
      </c>
      <c r="H3197" t="s">
        <v>187</v>
      </c>
      <c r="I3197" s="173">
        <v>267.95999999999998</v>
      </c>
      <c r="J3197" s="8"/>
      <c r="K3197" s="8"/>
      <c r="L3197" s="8"/>
      <c r="M3197" s="254"/>
    </row>
    <row r="3198" spans="1:13" ht="15.75" hidden="1" customHeight="1" x14ac:dyDescent="0.3">
      <c r="B3198" t="s">
        <v>323</v>
      </c>
      <c r="C3198" s="25">
        <v>44747</v>
      </c>
      <c r="D3198" s="26">
        <v>0.53758101851851847</v>
      </c>
      <c r="E3198" t="s">
        <v>30</v>
      </c>
      <c r="F3198" t="s">
        <v>165</v>
      </c>
      <c r="G3198" t="s">
        <v>185</v>
      </c>
      <c r="H3198" t="s">
        <v>187</v>
      </c>
      <c r="I3198" s="173">
        <v>307.97000000000003</v>
      </c>
      <c r="J3198" s="8"/>
      <c r="K3198" s="8"/>
      <c r="L3198" s="8"/>
      <c r="M3198" s="254"/>
    </row>
    <row r="3199" spans="1:13" ht="15.75" hidden="1" customHeight="1" x14ac:dyDescent="0.3">
      <c r="A3199" s="9">
        <v>624</v>
      </c>
      <c r="B3199" t="s">
        <v>423</v>
      </c>
      <c r="C3199" s="25">
        <v>44597</v>
      </c>
      <c r="D3199" s="26">
        <v>0.54719907407407409</v>
      </c>
      <c r="E3199" t="s">
        <v>25</v>
      </c>
      <c r="F3199" t="s">
        <v>175</v>
      </c>
      <c r="G3199" t="s">
        <v>172</v>
      </c>
      <c r="H3199" t="s">
        <v>424</v>
      </c>
      <c r="I3199">
        <v>162.36000000000001</v>
      </c>
      <c r="J3199" s="201">
        <v>0</v>
      </c>
      <c r="K3199" s="48">
        <f t="shared" ref="K3199:K3230" si="190">+L3199-J3199</f>
        <v>0</v>
      </c>
      <c r="L3199" s="212"/>
      <c r="M3199" s="61" t="e">
        <f t="shared" ref="M3199:M3230" si="191">I3199/K3199*100</f>
        <v>#DIV/0!</v>
      </c>
    </row>
    <row r="3200" spans="1:13" ht="15.75" hidden="1" customHeight="1" x14ac:dyDescent="0.3">
      <c r="A3200" s="9">
        <v>625</v>
      </c>
      <c r="B3200" t="s">
        <v>423</v>
      </c>
      <c r="C3200" s="25">
        <v>44598</v>
      </c>
      <c r="D3200" s="26">
        <v>0.35920138888888892</v>
      </c>
      <c r="E3200" t="s">
        <v>25</v>
      </c>
      <c r="F3200" t="s">
        <v>210</v>
      </c>
      <c r="G3200" t="s">
        <v>211</v>
      </c>
      <c r="H3200" t="s">
        <v>424</v>
      </c>
      <c r="I3200">
        <v>288.10000000000002</v>
      </c>
      <c r="J3200" s="190">
        <v>0</v>
      </c>
      <c r="K3200" s="19">
        <f t="shared" si="190"/>
        <v>0</v>
      </c>
      <c r="L3200" s="212"/>
      <c r="M3200" s="10" t="e">
        <f t="shared" si="191"/>
        <v>#DIV/0!</v>
      </c>
    </row>
    <row r="3201" spans="1:13" ht="15.75" hidden="1" customHeight="1" x14ac:dyDescent="0.3">
      <c r="A3201" s="9">
        <v>626</v>
      </c>
      <c r="B3201" t="s">
        <v>423</v>
      </c>
      <c r="C3201" s="25">
        <v>44600</v>
      </c>
      <c r="D3201" s="26">
        <v>0.32255787037037037</v>
      </c>
      <c r="E3201" t="s">
        <v>25</v>
      </c>
      <c r="F3201" t="s">
        <v>210</v>
      </c>
      <c r="G3201" t="s">
        <v>211</v>
      </c>
      <c r="H3201" t="s">
        <v>424</v>
      </c>
      <c r="I3201">
        <f>291.49+143.86</f>
        <v>435.35</v>
      </c>
      <c r="J3201" s="199">
        <v>0</v>
      </c>
      <c r="K3201" s="19">
        <f t="shared" si="190"/>
        <v>0</v>
      </c>
      <c r="L3201" s="103"/>
      <c r="M3201" s="10" t="e">
        <f t="shared" si="191"/>
        <v>#DIV/0!</v>
      </c>
    </row>
    <row r="3202" spans="1:13" ht="15.75" hidden="1" customHeight="1" x14ac:dyDescent="0.3">
      <c r="A3202" s="9">
        <v>627</v>
      </c>
      <c r="B3202" t="s">
        <v>423</v>
      </c>
      <c r="C3202" s="25">
        <v>44604</v>
      </c>
      <c r="D3202" s="26">
        <v>0.54258101851851859</v>
      </c>
      <c r="E3202" t="s">
        <v>25</v>
      </c>
      <c r="F3202" t="s">
        <v>175</v>
      </c>
      <c r="G3202" t="s">
        <v>172</v>
      </c>
      <c r="H3202" t="s">
        <v>424</v>
      </c>
      <c r="I3202">
        <v>362.09</v>
      </c>
      <c r="J3202" s="19">
        <v>0</v>
      </c>
      <c r="K3202" s="47">
        <f t="shared" si="190"/>
        <v>0</v>
      </c>
      <c r="L3202" s="47"/>
      <c r="M3202" s="10" t="e">
        <f t="shared" si="191"/>
        <v>#DIV/0!</v>
      </c>
    </row>
    <row r="3203" spans="1:13" ht="15.75" hidden="1" customHeight="1" x14ac:dyDescent="0.3">
      <c r="A3203" s="9">
        <v>628</v>
      </c>
      <c r="B3203" t="s">
        <v>423</v>
      </c>
      <c r="C3203" s="25">
        <v>44605</v>
      </c>
      <c r="D3203" s="26">
        <v>0.42190972222222217</v>
      </c>
      <c r="E3203" t="s">
        <v>25</v>
      </c>
      <c r="F3203" t="s">
        <v>210</v>
      </c>
      <c r="G3203" t="s">
        <v>211</v>
      </c>
      <c r="H3203" t="s">
        <v>424</v>
      </c>
      <c r="I3203">
        <v>280.76</v>
      </c>
      <c r="J3203" s="46">
        <v>0</v>
      </c>
      <c r="K3203" s="46">
        <f t="shared" si="190"/>
        <v>0</v>
      </c>
      <c r="L3203" s="19"/>
      <c r="M3203" s="10" t="e">
        <f t="shared" si="191"/>
        <v>#DIV/0!</v>
      </c>
    </row>
    <row r="3204" spans="1:13" ht="15.75" hidden="1" customHeight="1" x14ac:dyDescent="0.3">
      <c r="A3204" s="9">
        <v>629</v>
      </c>
      <c r="B3204" t="s">
        <v>423</v>
      </c>
      <c r="C3204" s="25">
        <v>44606</v>
      </c>
      <c r="D3204" s="26">
        <v>0.93197916666666669</v>
      </c>
      <c r="E3204" t="s">
        <v>25</v>
      </c>
      <c r="F3204" t="s">
        <v>210</v>
      </c>
      <c r="G3204" t="s">
        <v>211</v>
      </c>
      <c r="H3204" t="s">
        <v>424</v>
      </c>
      <c r="I3204">
        <v>433.62</v>
      </c>
      <c r="J3204" s="23">
        <v>0</v>
      </c>
      <c r="K3204" s="49">
        <f t="shared" si="190"/>
        <v>1108.25</v>
      </c>
      <c r="L3204" s="48">
        <v>1108.25</v>
      </c>
      <c r="M3204" s="10">
        <f t="shared" si="191"/>
        <v>39.126550868486355</v>
      </c>
    </row>
    <row r="3205" spans="1:13" ht="15.75" hidden="1" customHeight="1" x14ac:dyDescent="0.3">
      <c r="A3205" s="9">
        <v>630</v>
      </c>
      <c r="B3205" t="s">
        <v>423</v>
      </c>
      <c r="C3205" s="25">
        <v>44610</v>
      </c>
      <c r="D3205" s="26">
        <v>0.3338888888888889</v>
      </c>
      <c r="E3205" t="s">
        <v>25</v>
      </c>
      <c r="F3205" t="s">
        <v>175</v>
      </c>
      <c r="G3205" t="s">
        <v>172</v>
      </c>
      <c r="H3205" t="s">
        <v>424</v>
      </c>
      <c r="I3205">
        <v>345.54</v>
      </c>
      <c r="J3205" s="23">
        <v>0</v>
      </c>
      <c r="K3205" s="23">
        <f t="shared" si="190"/>
        <v>0</v>
      </c>
      <c r="L3205" s="8"/>
      <c r="M3205" s="10" t="e">
        <f t="shared" si="191"/>
        <v>#DIV/0!</v>
      </c>
    </row>
    <row r="3206" spans="1:13" ht="15.75" hidden="1" customHeight="1" x14ac:dyDescent="0.3">
      <c r="A3206" s="9">
        <v>631</v>
      </c>
      <c r="B3206" t="s">
        <v>423</v>
      </c>
      <c r="C3206" s="25">
        <v>44610</v>
      </c>
      <c r="D3206" s="26">
        <v>0.7755439814814814</v>
      </c>
      <c r="E3206" t="s">
        <v>25</v>
      </c>
      <c r="F3206" t="s">
        <v>210</v>
      </c>
      <c r="G3206" t="s">
        <v>211</v>
      </c>
      <c r="H3206" t="s">
        <v>424</v>
      </c>
      <c r="I3206">
        <v>238.69</v>
      </c>
      <c r="J3206" s="23">
        <v>0</v>
      </c>
      <c r="K3206" s="23">
        <f t="shared" si="190"/>
        <v>0</v>
      </c>
      <c r="L3206" s="8"/>
      <c r="M3206" s="10" t="e">
        <f t="shared" si="191"/>
        <v>#DIV/0!</v>
      </c>
    </row>
    <row r="3207" spans="1:13" ht="15.75" hidden="1" customHeight="1" x14ac:dyDescent="0.3">
      <c r="A3207" s="9">
        <v>632</v>
      </c>
      <c r="B3207" t="s">
        <v>423</v>
      </c>
      <c r="C3207" s="25">
        <v>44612</v>
      </c>
      <c r="D3207" s="26">
        <v>0.68895833333333334</v>
      </c>
      <c r="E3207" t="s">
        <v>25</v>
      </c>
      <c r="F3207" t="s">
        <v>210</v>
      </c>
      <c r="G3207" t="s">
        <v>211</v>
      </c>
      <c r="H3207" t="s">
        <v>424</v>
      </c>
      <c r="I3207">
        <v>364.01</v>
      </c>
      <c r="J3207" s="8"/>
      <c r="K3207" s="44">
        <f t="shared" si="190"/>
        <v>242439</v>
      </c>
      <c r="L3207" s="44">
        <v>242439</v>
      </c>
      <c r="M3207" s="10">
        <f t="shared" si="191"/>
        <v>0.15014498492404274</v>
      </c>
    </row>
    <row r="3208" spans="1:13" ht="15.75" hidden="1" customHeight="1" x14ac:dyDescent="0.3">
      <c r="A3208" s="9">
        <v>633</v>
      </c>
      <c r="B3208" t="s">
        <v>423</v>
      </c>
      <c r="C3208" s="25">
        <v>44613</v>
      </c>
      <c r="D3208" s="26">
        <v>0.72061342592592592</v>
      </c>
      <c r="E3208" t="s">
        <v>25</v>
      </c>
      <c r="F3208" t="s">
        <v>171</v>
      </c>
      <c r="G3208" t="s">
        <v>172</v>
      </c>
      <c r="H3208" t="s">
        <v>424</v>
      </c>
      <c r="I3208">
        <v>306.23</v>
      </c>
      <c r="J3208" s="8"/>
      <c r="K3208" s="8">
        <f t="shared" si="190"/>
        <v>100000</v>
      </c>
      <c r="L3208" s="8">
        <v>100000</v>
      </c>
      <c r="M3208" s="10">
        <f t="shared" si="191"/>
        <v>0.30623</v>
      </c>
    </row>
    <row r="3209" spans="1:13" ht="15.75" hidden="1" customHeight="1" x14ac:dyDescent="0.3">
      <c r="A3209" s="9">
        <v>634</v>
      </c>
      <c r="B3209" t="s">
        <v>423</v>
      </c>
      <c r="C3209" s="25">
        <v>44615</v>
      </c>
      <c r="D3209" s="26">
        <v>0.6310648148148148</v>
      </c>
      <c r="E3209" t="s">
        <v>25</v>
      </c>
      <c r="F3209" t="s">
        <v>210</v>
      </c>
      <c r="G3209" t="s">
        <v>211</v>
      </c>
      <c r="H3209" t="s">
        <v>424</v>
      </c>
      <c r="I3209">
        <v>273.57</v>
      </c>
      <c r="J3209" s="8"/>
      <c r="K3209" s="8">
        <f t="shared" si="190"/>
        <v>5199</v>
      </c>
      <c r="L3209" s="82">
        <v>5199</v>
      </c>
      <c r="M3209" s="10">
        <f t="shared" si="191"/>
        <v>5.2619734564339291</v>
      </c>
    </row>
    <row r="3210" spans="1:13" ht="15.75" hidden="1" customHeight="1" x14ac:dyDescent="0.3">
      <c r="A3210" s="9">
        <v>635</v>
      </c>
      <c r="B3210" t="s">
        <v>423</v>
      </c>
      <c r="C3210" s="25">
        <v>44618</v>
      </c>
      <c r="D3210" s="26">
        <v>0.93407407407407417</v>
      </c>
      <c r="E3210" t="s">
        <v>25</v>
      </c>
      <c r="F3210" t="s">
        <v>210</v>
      </c>
      <c r="G3210" t="s">
        <v>211</v>
      </c>
      <c r="H3210" t="s">
        <v>424</v>
      </c>
      <c r="I3210">
        <v>451.49</v>
      </c>
      <c r="J3210" s="8"/>
      <c r="K3210" s="8">
        <f t="shared" si="190"/>
        <v>245240</v>
      </c>
      <c r="L3210" s="82">
        <v>245240</v>
      </c>
      <c r="M3210" s="10">
        <f t="shared" si="191"/>
        <v>0.1841012885336813</v>
      </c>
    </row>
    <row r="3211" spans="1:13" ht="15.75" hidden="1" customHeight="1" x14ac:dyDescent="0.3">
      <c r="A3211" s="9">
        <v>636</v>
      </c>
      <c r="B3211" t="s">
        <v>423</v>
      </c>
      <c r="C3211" s="25">
        <v>44620</v>
      </c>
      <c r="D3211" s="26">
        <v>0.48995370370370367</v>
      </c>
      <c r="E3211" t="s">
        <v>25</v>
      </c>
      <c r="F3211" t="s">
        <v>175</v>
      </c>
      <c r="G3211" t="s">
        <v>172</v>
      </c>
      <c r="H3211" t="s">
        <v>424</v>
      </c>
      <c r="I3211">
        <v>171.96</v>
      </c>
      <c r="J3211" s="8">
        <v>245240</v>
      </c>
      <c r="K3211" s="8">
        <f t="shared" si="190"/>
        <v>715</v>
      </c>
      <c r="L3211">
        <v>245955</v>
      </c>
      <c r="M3211" s="10">
        <f t="shared" si="191"/>
        <v>24.050349650349652</v>
      </c>
    </row>
    <row r="3212" spans="1:13" ht="15.75" hidden="1" customHeight="1" x14ac:dyDescent="0.3">
      <c r="A3212" s="9">
        <v>1690</v>
      </c>
      <c r="B3212" t="s">
        <v>423</v>
      </c>
      <c r="C3212" s="25">
        <v>44621</v>
      </c>
      <c r="D3212" s="26">
        <v>0.94504629629629633</v>
      </c>
      <c r="E3212" t="s">
        <v>26</v>
      </c>
      <c r="F3212" t="s">
        <v>210</v>
      </c>
      <c r="G3212" t="s">
        <v>211</v>
      </c>
      <c r="H3212" t="s">
        <v>424</v>
      </c>
      <c r="I3212">
        <v>366.8</v>
      </c>
      <c r="J3212" s="8"/>
      <c r="K3212" s="90">
        <f t="shared" si="190"/>
        <v>246826</v>
      </c>
      <c r="L3212">
        <v>246826</v>
      </c>
      <c r="M3212" s="10">
        <f t="shared" si="191"/>
        <v>0.14860671080032087</v>
      </c>
    </row>
    <row r="3213" spans="1:13" ht="15.75" hidden="1" customHeight="1" x14ac:dyDescent="0.3">
      <c r="A3213" s="9">
        <v>1691</v>
      </c>
      <c r="B3213" t="s">
        <v>423</v>
      </c>
      <c r="C3213" s="25">
        <v>44622</v>
      </c>
      <c r="D3213" s="26">
        <v>0.99145833333333344</v>
      </c>
      <c r="E3213" t="s">
        <v>26</v>
      </c>
      <c r="F3213" t="s">
        <v>210</v>
      </c>
      <c r="G3213" t="s">
        <v>211</v>
      </c>
      <c r="H3213" t="s">
        <v>424</v>
      </c>
      <c r="I3213">
        <v>409.94</v>
      </c>
      <c r="J3213" s="8"/>
      <c r="K3213" s="90">
        <f t="shared" si="190"/>
        <v>247943</v>
      </c>
      <c r="L3213">
        <v>247943</v>
      </c>
      <c r="M3213" s="10">
        <f t="shared" si="191"/>
        <v>0.1653363877988086</v>
      </c>
    </row>
    <row r="3214" spans="1:13" ht="15.75" hidden="1" customHeight="1" x14ac:dyDescent="0.3">
      <c r="A3214" s="9">
        <v>1692</v>
      </c>
      <c r="B3214" t="s">
        <v>423</v>
      </c>
      <c r="C3214" s="25">
        <v>44631</v>
      </c>
      <c r="D3214" s="26">
        <v>0.45165509259259262</v>
      </c>
      <c r="E3214" t="s">
        <v>26</v>
      </c>
      <c r="F3214" t="s">
        <v>175</v>
      </c>
      <c r="G3214" t="s">
        <v>172</v>
      </c>
      <c r="H3214" t="s">
        <v>424</v>
      </c>
      <c r="I3214">
        <v>340.43</v>
      </c>
      <c r="J3214" s="23"/>
      <c r="K3214" s="90">
        <f t="shared" si="190"/>
        <v>0</v>
      </c>
      <c r="L3214">
        <v>0</v>
      </c>
      <c r="M3214" s="10" t="e">
        <f t="shared" si="191"/>
        <v>#DIV/0!</v>
      </c>
    </row>
    <row r="3215" spans="1:13" ht="15.75" hidden="1" customHeight="1" x14ac:dyDescent="0.3">
      <c r="A3215" s="9">
        <v>1693</v>
      </c>
      <c r="B3215" t="s">
        <v>423</v>
      </c>
      <c r="C3215" s="25">
        <v>44632</v>
      </c>
      <c r="D3215" s="26">
        <v>0.58762731481481478</v>
      </c>
      <c r="E3215" t="s">
        <v>26</v>
      </c>
      <c r="F3215" t="s">
        <v>210</v>
      </c>
      <c r="G3215" t="s">
        <v>211</v>
      </c>
      <c r="H3215" t="s">
        <v>424</v>
      </c>
      <c r="I3215">
        <v>327.95</v>
      </c>
      <c r="J3215" s="7">
        <v>0</v>
      </c>
      <c r="K3215" s="90">
        <f t="shared" si="190"/>
        <v>871.44</v>
      </c>
      <c r="L3215" s="214">
        <v>871.44</v>
      </c>
      <c r="M3215" s="10">
        <f t="shared" si="191"/>
        <v>37.633113008353988</v>
      </c>
    </row>
    <row r="3216" spans="1:13" ht="15.75" hidden="1" customHeight="1" x14ac:dyDescent="0.3">
      <c r="A3216" s="9">
        <v>1694</v>
      </c>
      <c r="B3216" t="s">
        <v>423</v>
      </c>
      <c r="C3216" s="25">
        <v>44633</v>
      </c>
      <c r="D3216" s="26">
        <v>0.68734953703703694</v>
      </c>
      <c r="E3216" t="s">
        <v>26</v>
      </c>
      <c r="F3216" t="s">
        <v>210</v>
      </c>
      <c r="G3216" t="s">
        <v>211</v>
      </c>
      <c r="H3216" t="s">
        <v>424</v>
      </c>
      <c r="I3216">
        <v>299.58999999999997</v>
      </c>
      <c r="J3216" s="7">
        <v>0</v>
      </c>
      <c r="K3216" s="90">
        <f t="shared" si="190"/>
        <v>886.58</v>
      </c>
      <c r="L3216" s="32">
        <v>886.58</v>
      </c>
      <c r="M3216" s="10">
        <f t="shared" si="191"/>
        <v>33.791648807778202</v>
      </c>
    </row>
    <row r="3217" spans="1:13" ht="15.75" hidden="1" customHeight="1" x14ac:dyDescent="0.3">
      <c r="A3217" s="9">
        <v>1695</v>
      </c>
      <c r="B3217" t="s">
        <v>423</v>
      </c>
      <c r="C3217" s="25">
        <v>44636</v>
      </c>
      <c r="D3217" s="26">
        <v>0.52259259259259261</v>
      </c>
      <c r="E3217" t="s">
        <v>26</v>
      </c>
      <c r="F3217" t="s">
        <v>197</v>
      </c>
      <c r="G3217" t="s">
        <v>44</v>
      </c>
      <c r="H3217" t="s">
        <v>424</v>
      </c>
      <c r="I3217">
        <v>300</v>
      </c>
      <c r="J3217" s="34">
        <v>0</v>
      </c>
      <c r="K3217" s="97">
        <f t="shared" si="190"/>
        <v>1339.35</v>
      </c>
      <c r="L3217" s="32">
        <v>1339.35</v>
      </c>
      <c r="M3217" s="10">
        <f t="shared" si="191"/>
        <v>22.398924851607124</v>
      </c>
    </row>
    <row r="3218" spans="1:13" ht="15.75" hidden="1" customHeight="1" x14ac:dyDescent="0.3">
      <c r="A3218" s="9">
        <v>1696</v>
      </c>
      <c r="B3218" t="s">
        <v>423</v>
      </c>
      <c r="C3218" s="25">
        <v>44636</v>
      </c>
      <c r="D3218" s="26">
        <v>0.93144675925925924</v>
      </c>
      <c r="E3218" t="s">
        <v>26</v>
      </c>
      <c r="F3218" t="s">
        <v>210</v>
      </c>
      <c r="G3218" t="s">
        <v>211</v>
      </c>
      <c r="H3218" t="s">
        <v>424</v>
      </c>
      <c r="I3218">
        <v>386.67</v>
      </c>
      <c r="J3218" s="7">
        <v>0</v>
      </c>
      <c r="K3218" s="90">
        <f t="shared" si="190"/>
        <v>587.23</v>
      </c>
      <c r="L3218" s="32">
        <v>587.23</v>
      </c>
      <c r="M3218" s="10">
        <f t="shared" si="191"/>
        <v>65.846431551521562</v>
      </c>
    </row>
    <row r="3219" spans="1:13" ht="15.75" hidden="1" customHeight="1" x14ac:dyDescent="0.3">
      <c r="A3219" s="9">
        <v>1697</v>
      </c>
      <c r="B3219" t="s">
        <v>423</v>
      </c>
      <c r="C3219" s="25">
        <v>44638</v>
      </c>
      <c r="D3219" s="26">
        <v>3.8819444444444441E-2</v>
      </c>
      <c r="E3219" t="s">
        <v>26</v>
      </c>
      <c r="F3219" t="s">
        <v>210</v>
      </c>
      <c r="G3219" t="s">
        <v>211</v>
      </c>
      <c r="H3219" t="s">
        <v>424</v>
      </c>
      <c r="I3219">
        <v>364.25</v>
      </c>
      <c r="J3219" s="31">
        <v>0</v>
      </c>
      <c r="K3219" s="99">
        <f t="shared" si="190"/>
        <v>1062.3399999999999</v>
      </c>
      <c r="L3219" s="32">
        <v>1062.3399999999999</v>
      </c>
      <c r="M3219" s="10">
        <f t="shared" si="191"/>
        <v>34.287516237739332</v>
      </c>
    </row>
    <row r="3220" spans="1:13" ht="15.75" hidden="1" customHeight="1" x14ac:dyDescent="0.3">
      <c r="A3220" s="9">
        <v>1698</v>
      </c>
      <c r="B3220" t="s">
        <v>423</v>
      </c>
      <c r="C3220" s="25">
        <v>44638</v>
      </c>
      <c r="D3220" s="26">
        <v>0.86510416666666667</v>
      </c>
      <c r="E3220" t="s">
        <v>26</v>
      </c>
      <c r="F3220" t="s">
        <v>175</v>
      </c>
      <c r="G3220" t="s">
        <v>172</v>
      </c>
      <c r="H3220" t="s">
        <v>424</v>
      </c>
      <c r="I3220">
        <v>319.75</v>
      </c>
      <c r="J3220" s="34">
        <v>0</v>
      </c>
      <c r="K3220" s="100">
        <f t="shared" si="190"/>
        <v>1075.43</v>
      </c>
      <c r="L3220" s="38">
        <v>1075.43</v>
      </c>
      <c r="M3220" s="10">
        <f t="shared" si="191"/>
        <v>29.732293129259922</v>
      </c>
    </row>
    <row r="3221" spans="1:13" ht="15.75" hidden="1" customHeight="1" x14ac:dyDescent="0.3">
      <c r="A3221" s="9">
        <v>1699</v>
      </c>
      <c r="B3221" t="s">
        <v>423</v>
      </c>
      <c r="C3221" s="25">
        <v>44642</v>
      </c>
      <c r="D3221" s="26">
        <v>0.63517361111111115</v>
      </c>
      <c r="E3221" t="s">
        <v>26</v>
      </c>
      <c r="F3221" t="s">
        <v>210</v>
      </c>
      <c r="G3221" t="s">
        <v>211</v>
      </c>
      <c r="H3221" t="s">
        <v>424</v>
      </c>
      <c r="I3221">
        <v>337.56</v>
      </c>
      <c r="J3221" s="7">
        <v>0</v>
      </c>
      <c r="K3221" s="90">
        <f t="shared" si="190"/>
        <v>872.4</v>
      </c>
      <c r="L3221" s="32">
        <v>872.4</v>
      </c>
      <c r="M3221" s="10">
        <f t="shared" si="191"/>
        <v>38.693259972489685</v>
      </c>
    </row>
    <row r="3222" spans="1:13" ht="15.75" hidden="1" customHeight="1" x14ac:dyDescent="0.3">
      <c r="A3222" s="9">
        <v>1700</v>
      </c>
      <c r="B3222" t="s">
        <v>423</v>
      </c>
      <c r="C3222" s="25">
        <v>44643</v>
      </c>
      <c r="D3222" s="26">
        <v>0.40680555555555559</v>
      </c>
      <c r="E3222" t="s">
        <v>26</v>
      </c>
      <c r="F3222" t="s">
        <v>210</v>
      </c>
      <c r="G3222" t="s">
        <v>211</v>
      </c>
      <c r="H3222" t="s">
        <v>424</v>
      </c>
      <c r="I3222">
        <v>348.97</v>
      </c>
      <c r="J3222" s="34">
        <v>0</v>
      </c>
      <c r="K3222" s="97">
        <f t="shared" si="190"/>
        <v>1061.97</v>
      </c>
      <c r="L3222" s="32">
        <v>1061.97</v>
      </c>
      <c r="M3222" s="10">
        <f t="shared" si="191"/>
        <v>32.86062694803055</v>
      </c>
    </row>
    <row r="3223" spans="1:13" ht="15.75" hidden="1" customHeight="1" x14ac:dyDescent="0.3">
      <c r="A3223" s="9">
        <v>1701</v>
      </c>
      <c r="B3223" t="s">
        <v>423</v>
      </c>
      <c r="C3223" s="25">
        <v>44644</v>
      </c>
      <c r="D3223" s="26">
        <v>0.50967592592592592</v>
      </c>
      <c r="E3223" t="s">
        <v>26</v>
      </c>
      <c r="F3223" t="s">
        <v>175</v>
      </c>
      <c r="G3223" t="s">
        <v>172</v>
      </c>
      <c r="H3223" t="s">
        <v>424</v>
      </c>
      <c r="I3223">
        <v>244.64</v>
      </c>
      <c r="J3223" s="7">
        <v>0</v>
      </c>
      <c r="K3223" s="97">
        <f t="shared" si="190"/>
        <v>934.27</v>
      </c>
      <c r="L3223" s="37">
        <v>934.27</v>
      </c>
      <c r="M3223" s="10">
        <f t="shared" si="191"/>
        <v>26.185149903132928</v>
      </c>
    </row>
    <row r="3224" spans="1:13" ht="15.75" hidden="1" customHeight="1" x14ac:dyDescent="0.3">
      <c r="A3224" s="9">
        <v>1702</v>
      </c>
      <c r="B3224" t="s">
        <v>423</v>
      </c>
      <c r="C3224" s="25">
        <v>44645</v>
      </c>
      <c r="D3224" s="26">
        <v>0.55780092592592589</v>
      </c>
      <c r="E3224" t="s">
        <v>26</v>
      </c>
      <c r="F3224" t="s">
        <v>210</v>
      </c>
      <c r="G3224" t="s">
        <v>211</v>
      </c>
      <c r="H3224" t="s">
        <v>424</v>
      </c>
      <c r="I3224">
        <v>442.92</v>
      </c>
      <c r="J3224" s="7">
        <v>0</v>
      </c>
      <c r="K3224" s="90">
        <f t="shared" si="190"/>
        <v>874.53</v>
      </c>
      <c r="L3224" s="32">
        <v>874.53</v>
      </c>
      <c r="M3224" s="10">
        <f t="shared" si="191"/>
        <v>50.646633048608969</v>
      </c>
    </row>
    <row r="3225" spans="1:13" ht="15.75" hidden="1" customHeight="1" x14ac:dyDescent="0.3">
      <c r="A3225" s="9">
        <v>1703</v>
      </c>
      <c r="B3225" t="s">
        <v>423</v>
      </c>
      <c r="C3225" s="25">
        <v>44646</v>
      </c>
      <c r="D3225" s="26">
        <v>0.27690972222222221</v>
      </c>
      <c r="E3225" t="s">
        <v>26</v>
      </c>
      <c r="F3225" t="s">
        <v>210</v>
      </c>
      <c r="G3225" t="s">
        <v>211</v>
      </c>
      <c r="H3225" t="s">
        <v>424</v>
      </c>
      <c r="I3225">
        <v>351.54</v>
      </c>
      <c r="J3225" s="7">
        <v>0</v>
      </c>
      <c r="K3225" s="90">
        <f t="shared" si="190"/>
        <v>1062.4000000000001</v>
      </c>
      <c r="L3225" s="32">
        <v>1062.4000000000001</v>
      </c>
      <c r="M3225" s="10">
        <f t="shared" si="191"/>
        <v>33.089231927710841</v>
      </c>
    </row>
    <row r="3226" spans="1:13" ht="15.75" hidden="1" customHeight="1" x14ac:dyDescent="0.3">
      <c r="A3226" s="9">
        <v>1704</v>
      </c>
      <c r="B3226" t="s">
        <v>423</v>
      </c>
      <c r="C3226" s="25">
        <v>44647</v>
      </c>
      <c r="D3226" s="26">
        <v>0.78093749999999995</v>
      </c>
      <c r="E3226" t="s">
        <v>26</v>
      </c>
      <c r="F3226" t="s">
        <v>428</v>
      </c>
      <c r="G3226" t="s">
        <v>429</v>
      </c>
      <c r="H3226" t="s">
        <v>424</v>
      </c>
      <c r="I3226">
        <v>150.11000000000001</v>
      </c>
      <c r="J3226" s="31">
        <v>0</v>
      </c>
      <c r="K3226" s="100">
        <f t="shared" si="190"/>
        <v>903.34</v>
      </c>
      <c r="L3226" s="37">
        <v>903.34</v>
      </c>
      <c r="M3226" s="10">
        <f t="shared" si="191"/>
        <v>16.617220537117809</v>
      </c>
    </row>
    <row r="3227" spans="1:13" ht="15.75" hidden="1" customHeight="1" x14ac:dyDescent="0.3">
      <c r="A3227" s="9">
        <v>1705</v>
      </c>
      <c r="B3227" t="s">
        <v>423</v>
      </c>
      <c r="C3227" s="25">
        <v>44648</v>
      </c>
      <c r="D3227" s="26">
        <v>0.6104398148148148</v>
      </c>
      <c r="E3227" t="s">
        <v>26</v>
      </c>
      <c r="F3227" t="s">
        <v>197</v>
      </c>
      <c r="G3227" t="s">
        <v>44</v>
      </c>
      <c r="H3227" t="s">
        <v>424</v>
      </c>
      <c r="I3227">
        <v>244.76</v>
      </c>
      <c r="J3227" s="7">
        <v>0</v>
      </c>
      <c r="K3227" s="89">
        <f t="shared" si="190"/>
        <v>411.92</v>
      </c>
      <c r="L3227" s="32">
        <v>411.92</v>
      </c>
      <c r="M3227" s="10">
        <f t="shared" si="191"/>
        <v>59.419304719362977</v>
      </c>
    </row>
    <row r="3228" spans="1:13" ht="15.75" hidden="1" customHeight="1" x14ac:dyDescent="0.3">
      <c r="A3228" s="9">
        <v>1706</v>
      </c>
      <c r="B3228" t="s">
        <v>423</v>
      </c>
      <c r="C3228" s="25">
        <v>44649</v>
      </c>
      <c r="D3228" s="26">
        <v>0.40173611111111113</v>
      </c>
      <c r="E3228" t="s">
        <v>26</v>
      </c>
      <c r="F3228" t="s">
        <v>210</v>
      </c>
      <c r="G3228" t="s">
        <v>211</v>
      </c>
      <c r="H3228" t="s">
        <v>424</v>
      </c>
      <c r="I3228">
        <v>233.78</v>
      </c>
      <c r="J3228" s="31">
        <v>0</v>
      </c>
      <c r="K3228" s="89">
        <f t="shared" si="190"/>
        <v>587.37</v>
      </c>
      <c r="L3228" s="32">
        <v>587.37</v>
      </c>
      <c r="M3228" s="10">
        <f t="shared" si="191"/>
        <v>39.801147487954779</v>
      </c>
    </row>
    <row r="3229" spans="1:13" ht="15.75" hidden="1" customHeight="1" x14ac:dyDescent="0.3">
      <c r="A3229" s="9">
        <v>1707</v>
      </c>
      <c r="B3229" t="s">
        <v>423</v>
      </c>
      <c r="C3229" s="25">
        <v>44649</v>
      </c>
      <c r="D3229" s="26">
        <v>0.94623842592592589</v>
      </c>
      <c r="E3229" t="s">
        <v>26</v>
      </c>
      <c r="F3229" t="s">
        <v>165</v>
      </c>
      <c r="G3229" t="s">
        <v>185</v>
      </c>
      <c r="H3229" t="s">
        <v>424</v>
      </c>
      <c r="I3229">
        <v>295.61</v>
      </c>
      <c r="J3229" s="28">
        <v>0</v>
      </c>
      <c r="K3229" s="89">
        <f t="shared" si="190"/>
        <v>547.9</v>
      </c>
      <c r="L3229" s="32">
        <v>547.9</v>
      </c>
      <c r="M3229" s="10">
        <f t="shared" si="191"/>
        <v>53.95327614528199</v>
      </c>
    </row>
    <row r="3230" spans="1:13" ht="15.75" hidden="1" customHeight="1" x14ac:dyDescent="0.3">
      <c r="A3230" s="9">
        <v>2881</v>
      </c>
      <c r="B3230" t="s">
        <v>423</v>
      </c>
      <c r="C3230" s="25">
        <v>44652</v>
      </c>
      <c r="D3230" s="26">
        <v>0.53468749999999998</v>
      </c>
      <c r="E3230" t="s">
        <v>27</v>
      </c>
      <c r="F3230" t="s">
        <v>171</v>
      </c>
      <c r="G3230" t="s">
        <v>172</v>
      </c>
      <c r="H3230" t="s">
        <v>424</v>
      </c>
      <c r="I3230" s="4">
        <v>415.07</v>
      </c>
      <c r="J3230" s="7">
        <v>0</v>
      </c>
      <c r="K3230" s="89">
        <f t="shared" si="190"/>
        <v>1471.48</v>
      </c>
      <c r="L3230" s="38">
        <v>1471.48</v>
      </c>
      <c r="M3230" s="10">
        <f t="shared" si="191"/>
        <v>28.207654878081929</v>
      </c>
    </row>
    <row r="3231" spans="1:13" ht="15.75" hidden="1" customHeight="1" x14ac:dyDescent="0.3">
      <c r="A3231" s="9">
        <v>2882</v>
      </c>
      <c r="B3231" t="s">
        <v>423</v>
      </c>
      <c r="C3231" s="25">
        <v>44660</v>
      </c>
      <c r="D3231" s="26">
        <v>0.85758101851851853</v>
      </c>
      <c r="E3231" t="s">
        <v>27</v>
      </c>
      <c r="F3231" t="s">
        <v>210</v>
      </c>
      <c r="G3231" t="s">
        <v>211</v>
      </c>
      <c r="H3231" t="s">
        <v>424</v>
      </c>
      <c r="I3231" s="4">
        <v>312.86</v>
      </c>
      <c r="J3231" s="28">
        <v>0</v>
      </c>
      <c r="K3231" s="89">
        <f t="shared" ref="K3231:K3250" si="192">+L3231-J3231</f>
        <v>868.21</v>
      </c>
      <c r="L3231" s="32">
        <v>868.21</v>
      </c>
      <c r="M3231" s="10">
        <f t="shared" ref="M3231:M3262" si="193">I3231/K3231*100</f>
        <v>36.035060642010578</v>
      </c>
    </row>
    <row r="3232" spans="1:13" ht="15.75" hidden="1" customHeight="1" x14ac:dyDescent="0.3">
      <c r="A3232" s="9">
        <v>2883</v>
      </c>
      <c r="B3232" t="s">
        <v>423</v>
      </c>
      <c r="C3232" s="25">
        <v>44662</v>
      </c>
      <c r="D3232" s="26">
        <v>0.96353009259259259</v>
      </c>
      <c r="E3232" t="s">
        <v>27</v>
      </c>
      <c r="F3232" t="s">
        <v>210</v>
      </c>
      <c r="G3232" t="s">
        <v>211</v>
      </c>
      <c r="H3232" t="s">
        <v>424</v>
      </c>
      <c r="I3232" s="4">
        <v>451.47</v>
      </c>
      <c r="J3232" s="31">
        <v>0</v>
      </c>
      <c r="K3232" s="89">
        <f t="shared" si="192"/>
        <v>1120.74</v>
      </c>
      <c r="L3232" s="37">
        <v>1120.74</v>
      </c>
      <c r="M3232" s="10">
        <f t="shared" si="193"/>
        <v>40.283205739065266</v>
      </c>
    </row>
    <row r="3233" spans="1:13" ht="15.75" hidden="1" customHeight="1" x14ac:dyDescent="0.3">
      <c r="A3233" s="9">
        <v>2884</v>
      </c>
      <c r="B3233" t="s">
        <v>423</v>
      </c>
      <c r="C3233" s="25">
        <v>44663</v>
      </c>
      <c r="D3233" s="26">
        <v>0.83230324074074069</v>
      </c>
      <c r="E3233" t="s">
        <v>27</v>
      </c>
      <c r="F3233" t="s">
        <v>401</v>
      </c>
      <c r="G3233" t="s">
        <v>402</v>
      </c>
      <c r="H3233" t="s">
        <v>424</v>
      </c>
      <c r="I3233" s="4">
        <v>50</v>
      </c>
      <c r="J3233" s="7">
        <v>0</v>
      </c>
      <c r="K3233" s="89">
        <f t="shared" si="192"/>
        <v>655.5</v>
      </c>
      <c r="L3233" s="32">
        <v>655.5</v>
      </c>
      <c r="M3233" s="10">
        <f t="shared" si="193"/>
        <v>7.6277650648360034</v>
      </c>
    </row>
    <row r="3234" spans="1:13" ht="15.75" hidden="1" customHeight="1" x14ac:dyDescent="0.3">
      <c r="A3234" s="9">
        <v>2885</v>
      </c>
      <c r="B3234" t="s">
        <v>423</v>
      </c>
      <c r="C3234" s="25">
        <v>44663</v>
      </c>
      <c r="D3234" s="26">
        <v>0.92505787037037035</v>
      </c>
      <c r="E3234" t="s">
        <v>27</v>
      </c>
      <c r="F3234" t="s">
        <v>477</v>
      </c>
      <c r="G3234" t="s">
        <v>277</v>
      </c>
      <c r="H3234" t="s">
        <v>424</v>
      </c>
      <c r="I3234" s="4">
        <v>184.92</v>
      </c>
      <c r="J3234" s="34">
        <v>0</v>
      </c>
      <c r="K3234" s="89">
        <f t="shared" si="192"/>
        <v>784.35</v>
      </c>
      <c r="L3234" s="32">
        <v>784.35</v>
      </c>
      <c r="M3234" s="10">
        <f t="shared" si="193"/>
        <v>23.576209600305983</v>
      </c>
    </row>
    <row r="3235" spans="1:13" ht="15.75" hidden="1" customHeight="1" x14ac:dyDescent="0.3">
      <c r="A3235" s="9">
        <v>2886</v>
      </c>
      <c r="B3235" t="s">
        <v>423</v>
      </c>
      <c r="C3235" s="25">
        <v>44665</v>
      </c>
      <c r="D3235" s="26">
        <v>0.80869212962962955</v>
      </c>
      <c r="E3235" t="s">
        <v>27</v>
      </c>
      <c r="F3235" t="s">
        <v>210</v>
      </c>
      <c r="G3235" t="s">
        <v>211</v>
      </c>
      <c r="H3235" t="s">
        <v>424</v>
      </c>
      <c r="I3235" s="4">
        <v>354.22</v>
      </c>
      <c r="J3235" s="34">
        <v>0</v>
      </c>
      <c r="K3235" s="89">
        <f t="shared" si="192"/>
        <v>1003.68</v>
      </c>
      <c r="L3235" s="53">
        <v>1003.68</v>
      </c>
      <c r="M3235" s="10">
        <f t="shared" si="193"/>
        <v>35.292124980073339</v>
      </c>
    </row>
    <row r="3236" spans="1:13" ht="15.75" hidden="1" customHeight="1" x14ac:dyDescent="0.3">
      <c r="A3236" s="9">
        <v>2887</v>
      </c>
      <c r="B3236" t="s">
        <v>423</v>
      </c>
      <c r="C3236" s="25">
        <v>44666</v>
      </c>
      <c r="D3236" s="26">
        <v>0.69152777777777785</v>
      </c>
      <c r="E3236" t="s">
        <v>27</v>
      </c>
      <c r="F3236" t="s">
        <v>165</v>
      </c>
      <c r="G3236" t="s">
        <v>185</v>
      </c>
      <c r="H3236" t="s">
        <v>424</v>
      </c>
      <c r="I3236" s="4">
        <v>217.01</v>
      </c>
      <c r="J3236" s="7">
        <v>0</v>
      </c>
      <c r="K3236" s="89">
        <f t="shared" si="192"/>
        <v>548.59</v>
      </c>
      <c r="L3236" s="53">
        <v>548.59</v>
      </c>
      <c r="M3236" s="10">
        <f t="shared" si="193"/>
        <v>39.557775387812391</v>
      </c>
    </row>
    <row r="3237" spans="1:13" ht="15.75" hidden="1" customHeight="1" x14ac:dyDescent="0.3">
      <c r="A3237" s="9">
        <v>2888</v>
      </c>
      <c r="B3237" t="s">
        <v>423</v>
      </c>
      <c r="C3237" s="25">
        <v>44667</v>
      </c>
      <c r="D3237" s="26">
        <v>0.77216435185185184</v>
      </c>
      <c r="E3237" t="s">
        <v>27</v>
      </c>
      <c r="F3237" t="s">
        <v>169</v>
      </c>
      <c r="G3237" t="s">
        <v>170</v>
      </c>
      <c r="H3237" t="s">
        <v>424</v>
      </c>
      <c r="I3237" s="4">
        <v>150</v>
      </c>
      <c r="J3237" s="34">
        <v>0</v>
      </c>
      <c r="K3237" s="89">
        <f t="shared" si="192"/>
        <v>1015.36</v>
      </c>
      <c r="L3237" s="67">
        <v>1015.36</v>
      </c>
      <c r="M3237" s="10">
        <f t="shared" si="193"/>
        <v>14.773085408131106</v>
      </c>
    </row>
    <row r="3238" spans="1:13" ht="15.75" hidden="1" customHeight="1" x14ac:dyDescent="0.3">
      <c r="A3238" s="9">
        <v>2889</v>
      </c>
      <c r="B3238" t="s">
        <v>423</v>
      </c>
      <c r="C3238" s="25">
        <v>44668</v>
      </c>
      <c r="D3238" s="26">
        <v>0.44954861111111111</v>
      </c>
      <c r="E3238" t="s">
        <v>27</v>
      </c>
      <c r="F3238" t="s">
        <v>428</v>
      </c>
      <c r="G3238" t="s">
        <v>429</v>
      </c>
      <c r="H3238" t="s">
        <v>424</v>
      </c>
      <c r="I3238" s="4">
        <v>100.23</v>
      </c>
      <c r="J3238" s="7">
        <v>0</v>
      </c>
      <c r="K3238" s="89">
        <f t="shared" si="192"/>
        <v>410.38</v>
      </c>
      <c r="L3238" s="53">
        <v>410.38</v>
      </c>
      <c r="M3238" s="10">
        <f t="shared" si="193"/>
        <v>24.423704858911254</v>
      </c>
    </row>
    <row r="3239" spans="1:13" ht="15.75" hidden="1" customHeight="1" x14ac:dyDescent="0.3">
      <c r="A3239" s="9">
        <v>2890</v>
      </c>
      <c r="B3239" t="s">
        <v>423</v>
      </c>
      <c r="C3239" s="25">
        <v>44669</v>
      </c>
      <c r="D3239" s="26">
        <v>0.53640046296296295</v>
      </c>
      <c r="E3239" t="s">
        <v>27</v>
      </c>
      <c r="F3239" t="s">
        <v>175</v>
      </c>
      <c r="G3239" t="s">
        <v>172</v>
      </c>
      <c r="H3239" t="s">
        <v>424</v>
      </c>
      <c r="I3239" s="4">
        <v>223.19</v>
      </c>
      <c r="J3239" s="31">
        <v>0</v>
      </c>
      <c r="K3239" s="89">
        <f t="shared" si="192"/>
        <v>322.92</v>
      </c>
      <c r="L3239" s="32">
        <v>322.92</v>
      </c>
      <c r="M3239" s="10">
        <f t="shared" si="193"/>
        <v>69.116189768363682</v>
      </c>
    </row>
    <row r="3240" spans="1:13" ht="15.75" hidden="1" customHeight="1" x14ac:dyDescent="0.3">
      <c r="A3240" s="9">
        <v>2891</v>
      </c>
      <c r="B3240" t="s">
        <v>423</v>
      </c>
      <c r="C3240" s="25">
        <v>44669</v>
      </c>
      <c r="D3240" s="26">
        <v>0.93121527777777768</v>
      </c>
      <c r="E3240" t="s">
        <v>27</v>
      </c>
      <c r="F3240" t="s">
        <v>166</v>
      </c>
      <c r="G3240" t="s">
        <v>161</v>
      </c>
      <c r="H3240" t="s">
        <v>424</v>
      </c>
      <c r="I3240" s="4">
        <v>283.02999999999997</v>
      </c>
      <c r="J3240" s="31">
        <v>0</v>
      </c>
      <c r="K3240" s="89">
        <f t="shared" si="192"/>
        <v>619.85</v>
      </c>
      <c r="L3240" s="32">
        <v>619.85</v>
      </c>
      <c r="M3240" s="10">
        <f t="shared" si="193"/>
        <v>45.661047027506648</v>
      </c>
    </row>
    <row r="3241" spans="1:13" ht="15.75" hidden="1" customHeight="1" x14ac:dyDescent="0.3">
      <c r="A3241" s="9">
        <v>2892</v>
      </c>
      <c r="B3241" t="s">
        <v>423</v>
      </c>
      <c r="C3241" s="25">
        <v>44671</v>
      </c>
      <c r="D3241" s="26">
        <v>0.39903935185185185</v>
      </c>
      <c r="E3241" t="s">
        <v>27</v>
      </c>
      <c r="F3241" t="s">
        <v>346</v>
      </c>
      <c r="G3241" t="s">
        <v>203</v>
      </c>
      <c r="H3241" t="s">
        <v>424</v>
      </c>
      <c r="I3241" s="4">
        <v>352.43</v>
      </c>
      <c r="J3241" s="7">
        <v>0</v>
      </c>
      <c r="K3241" s="89">
        <f t="shared" si="192"/>
        <v>1059.74</v>
      </c>
      <c r="L3241" s="32">
        <v>1059.74</v>
      </c>
      <c r="M3241" s="10">
        <f t="shared" si="193"/>
        <v>33.256270405948626</v>
      </c>
    </row>
    <row r="3242" spans="1:13" ht="15.75" hidden="1" customHeight="1" x14ac:dyDescent="0.3">
      <c r="A3242" s="9">
        <v>2893</v>
      </c>
      <c r="B3242" t="s">
        <v>423</v>
      </c>
      <c r="C3242" s="25">
        <v>44672</v>
      </c>
      <c r="D3242" s="26">
        <v>0.56440972222222219</v>
      </c>
      <c r="E3242" t="s">
        <v>27</v>
      </c>
      <c r="F3242" t="s">
        <v>165</v>
      </c>
      <c r="G3242" t="s">
        <v>185</v>
      </c>
      <c r="H3242" t="s">
        <v>424</v>
      </c>
      <c r="I3242" s="4">
        <v>361.1</v>
      </c>
      <c r="J3242" s="7">
        <v>0</v>
      </c>
      <c r="K3242" s="89">
        <f t="shared" si="192"/>
        <v>1055.3399999999999</v>
      </c>
      <c r="L3242" s="37">
        <v>1055.3399999999999</v>
      </c>
      <c r="M3242" s="10">
        <f t="shared" si="193"/>
        <v>34.216461045729339</v>
      </c>
    </row>
    <row r="3243" spans="1:13" ht="15.75" hidden="1" customHeight="1" x14ac:dyDescent="0.3">
      <c r="A3243" s="9">
        <v>2894</v>
      </c>
      <c r="B3243" t="s">
        <v>423</v>
      </c>
      <c r="C3243" s="25">
        <v>44673</v>
      </c>
      <c r="D3243" s="26">
        <v>0.41309027777777779</v>
      </c>
      <c r="E3243" t="s">
        <v>27</v>
      </c>
      <c r="F3243" t="s">
        <v>210</v>
      </c>
      <c r="G3243" t="s">
        <v>211</v>
      </c>
      <c r="H3243" t="s">
        <v>424</v>
      </c>
      <c r="I3243" s="4">
        <v>151.82</v>
      </c>
      <c r="J3243" s="7">
        <v>0</v>
      </c>
      <c r="K3243" s="90">
        <f t="shared" si="192"/>
        <v>550.72</v>
      </c>
      <c r="L3243" s="32">
        <v>550.72</v>
      </c>
      <c r="M3243" s="36">
        <f t="shared" si="193"/>
        <v>27.567547937245784</v>
      </c>
    </row>
    <row r="3244" spans="1:13" ht="15.75" hidden="1" customHeight="1" x14ac:dyDescent="0.3">
      <c r="A3244" s="9">
        <v>2895</v>
      </c>
      <c r="B3244" t="s">
        <v>423</v>
      </c>
      <c r="C3244" s="25">
        <v>44674</v>
      </c>
      <c r="D3244" s="26">
        <v>0.35582175925925924</v>
      </c>
      <c r="E3244" t="s">
        <v>27</v>
      </c>
      <c r="F3244" t="s">
        <v>477</v>
      </c>
      <c r="G3244" t="s">
        <v>277</v>
      </c>
      <c r="H3244" t="s">
        <v>424</v>
      </c>
      <c r="I3244" s="4">
        <v>221.67</v>
      </c>
      <c r="J3244" s="7">
        <v>0</v>
      </c>
      <c r="K3244" s="89">
        <f t="shared" si="192"/>
        <v>786.92</v>
      </c>
      <c r="L3244" s="32">
        <v>786.92</v>
      </c>
      <c r="M3244" s="36">
        <f t="shared" si="193"/>
        <v>28.169318355105982</v>
      </c>
    </row>
    <row r="3245" spans="1:13" ht="15.75" hidden="1" customHeight="1" x14ac:dyDescent="0.3">
      <c r="A3245" s="9">
        <v>2896</v>
      </c>
      <c r="B3245" t="s">
        <v>423</v>
      </c>
      <c r="C3245" s="25">
        <v>44675</v>
      </c>
      <c r="D3245" s="26">
        <v>0.63252314814814814</v>
      </c>
      <c r="E3245" t="s">
        <v>27</v>
      </c>
      <c r="F3245" t="s">
        <v>210</v>
      </c>
      <c r="G3245" t="s">
        <v>211</v>
      </c>
      <c r="H3245" t="s">
        <v>424</v>
      </c>
      <c r="I3245" s="4">
        <v>396.16</v>
      </c>
      <c r="J3245" s="34">
        <v>0</v>
      </c>
      <c r="K3245" s="89">
        <f t="shared" si="192"/>
        <v>999.51</v>
      </c>
      <c r="L3245" s="32">
        <v>999.51</v>
      </c>
      <c r="M3245" s="36">
        <f t="shared" si="193"/>
        <v>39.635421356464676</v>
      </c>
    </row>
    <row r="3246" spans="1:13" ht="15.75" hidden="1" customHeight="1" x14ac:dyDescent="0.3">
      <c r="A3246" s="9">
        <v>2897</v>
      </c>
      <c r="B3246" t="s">
        <v>423</v>
      </c>
      <c r="C3246" s="25">
        <v>44676</v>
      </c>
      <c r="D3246" s="26">
        <v>0.45281250000000001</v>
      </c>
      <c r="E3246" t="s">
        <v>27</v>
      </c>
      <c r="F3246" t="s">
        <v>165</v>
      </c>
      <c r="G3246" t="s">
        <v>185</v>
      </c>
      <c r="H3246" t="s">
        <v>424</v>
      </c>
      <c r="I3246">
        <v>255.03</v>
      </c>
      <c r="J3246" s="7">
        <v>0</v>
      </c>
      <c r="K3246" s="89">
        <f t="shared" si="192"/>
        <v>548.97</v>
      </c>
      <c r="L3246" s="7">
        <v>548.97</v>
      </c>
      <c r="M3246" s="36">
        <f t="shared" si="193"/>
        <v>46.456090496748452</v>
      </c>
    </row>
    <row r="3247" spans="1:13" ht="15.75" hidden="1" customHeight="1" x14ac:dyDescent="0.3">
      <c r="A3247" s="9">
        <v>2898</v>
      </c>
      <c r="B3247" t="s">
        <v>423</v>
      </c>
      <c r="C3247" s="25">
        <v>44677</v>
      </c>
      <c r="D3247" s="26">
        <v>0.5630208333333333</v>
      </c>
      <c r="E3247" t="s">
        <v>27</v>
      </c>
      <c r="F3247" t="s">
        <v>340</v>
      </c>
      <c r="G3247" t="s">
        <v>337</v>
      </c>
      <c r="H3247" t="s">
        <v>424</v>
      </c>
      <c r="I3247">
        <v>222.26</v>
      </c>
      <c r="J3247" s="31">
        <v>0</v>
      </c>
      <c r="K3247" s="89">
        <f t="shared" si="192"/>
        <v>826.39</v>
      </c>
      <c r="L3247" s="7">
        <v>826.39</v>
      </c>
      <c r="M3247" s="36">
        <f t="shared" si="193"/>
        <v>26.895291569355873</v>
      </c>
    </row>
    <row r="3248" spans="1:13" ht="15.75" hidden="1" customHeight="1" x14ac:dyDescent="0.3">
      <c r="A3248" s="9">
        <v>2899</v>
      </c>
      <c r="B3248" t="s">
        <v>423</v>
      </c>
      <c r="C3248" s="25">
        <v>44678</v>
      </c>
      <c r="D3248" s="26">
        <v>0.3835069444444445</v>
      </c>
      <c r="E3248" t="s">
        <v>27</v>
      </c>
      <c r="F3248" t="s">
        <v>165</v>
      </c>
      <c r="G3248" t="s">
        <v>185</v>
      </c>
      <c r="H3248" t="s">
        <v>424</v>
      </c>
      <c r="I3248">
        <v>306.77</v>
      </c>
      <c r="J3248" s="7">
        <v>0</v>
      </c>
      <c r="K3248" s="89">
        <f t="shared" si="192"/>
        <v>771.69</v>
      </c>
      <c r="L3248" s="7">
        <v>771.69</v>
      </c>
      <c r="M3248" s="36">
        <f t="shared" si="193"/>
        <v>39.753009628218578</v>
      </c>
    </row>
    <row r="3249" spans="1:13" ht="15.75" hidden="1" customHeight="1" x14ac:dyDescent="0.3">
      <c r="A3249" s="9">
        <v>2900</v>
      </c>
      <c r="B3249" t="s">
        <v>423</v>
      </c>
      <c r="C3249" s="25">
        <v>44678</v>
      </c>
      <c r="D3249" s="26">
        <v>0.83340277777777771</v>
      </c>
      <c r="E3249" t="s">
        <v>27</v>
      </c>
      <c r="F3249" t="s">
        <v>210</v>
      </c>
      <c r="G3249" t="s">
        <v>211</v>
      </c>
      <c r="H3249" t="s">
        <v>424</v>
      </c>
      <c r="I3249">
        <v>157.16999999999999</v>
      </c>
      <c r="J3249" s="7">
        <v>0</v>
      </c>
      <c r="K3249" s="89">
        <f t="shared" si="192"/>
        <v>549.16999999999996</v>
      </c>
      <c r="L3249" s="34">
        <v>549.16999999999996</v>
      </c>
      <c r="M3249" s="10">
        <f t="shared" si="193"/>
        <v>28.61955314383524</v>
      </c>
    </row>
    <row r="3250" spans="1:13" ht="15.75" hidden="1" customHeight="1" x14ac:dyDescent="0.3">
      <c r="A3250" s="9">
        <v>2901</v>
      </c>
      <c r="B3250" t="s">
        <v>423</v>
      </c>
      <c r="C3250" s="25">
        <v>44679</v>
      </c>
      <c r="D3250" s="26">
        <v>0.92864583333333339</v>
      </c>
      <c r="E3250" t="s">
        <v>27</v>
      </c>
      <c r="F3250" t="s">
        <v>401</v>
      </c>
      <c r="G3250" t="s">
        <v>402</v>
      </c>
      <c r="H3250" t="s">
        <v>424</v>
      </c>
      <c r="I3250">
        <v>30</v>
      </c>
      <c r="J3250" s="7">
        <v>0</v>
      </c>
      <c r="K3250" s="89">
        <f t="shared" si="192"/>
        <v>659.6</v>
      </c>
      <c r="L3250" s="7">
        <v>659.6</v>
      </c>
      <c r="M3250" s="10">
        <f t="shared" si="193"/>
        <v>4.5482110369921163</v>
      </c>
    </row>
    <row r="3251" spans="1:13" ht="15.75" hidden="1" customHeight="1" x14ac:dyDescent="0.3">
      <c r="A3251" s="9">
        <v>3726</v>
      </c>
      <c r="B3251" t="s">
        <v>423</v>
      </c>
      <c r="C3251" s="25">
        <v>44683</v>
      </c>
      <c r="D3251" s="26">
        <v>0.62572916666666667</v>
      </c>
      <c r="E3251" t="s">
        <v>28</v>
      </c>
      <c r="F3251" t="s">
        <v>428</v>
      </c>
      <c r="G3251" t="s">
        <v>429</v>
      </c>
      <c r="H3251" t="s">
        <v>424</v>
      </c>
      <c r="I3251">
        <v>151.96</v>
      </c>
      <c r="J3251" s="7">
        <v>0</v>
      </c>
      <c r="K3251" s="89">
        <f>+L3251-J3384</f>
        <v>942</v>
      </c>
      <c r="L3251" s="32">
        <v>942</v>
      </c>
      <c r="M3251" s="10">
        <f t="shared" si="193"/>
        <v>16.131634819532909</v>
      </c>
    </row>
    <row r="3252" spans="1:13" ht="15.75" hidden="1" customHeight="1" x14ac:dyDescent="0.3">
      <c r="A3252" s="9">
        <v>3765</v>
      </c>
      <c r="B3252" t="s">
        <v>423</v>
      </c>
      <c r="C3252" s="25">
        <v>44684</v>
      </c>
      <c r="D3252" s="26">
        <v>0.5932291666666667</v>
      </c>
      <c r="E3252" t="s">
        <v>28</v>
      </c>
      <c r="F3252" t="s">
        <v>311</v>
      </c>
      <c r="G3252" t="s">
        <v>303</v>
      </c>
      <c r="H3252" t="s">
        <v>424</v>
      </c>
      <c r="I3252">
        <v>366.08</v>
      </c>
      <c r="J3252" s="40">
        <v>0</v>
      </c>
      <c r="K3252" s="89">
        <f>+L3252-J3386</f>
        <v>568.99</v>
      </c>
      <c r="L3252" s="67">
        <v>568.99</v>
      </c>
      <c r="M3252" s="10">
        <f t="shared" si="193"/>
        <v>64.338564825392353</v>
      </c>
    </row>
    <row r="3253" spans="1:13" ht="15.75" hidden="1" customHeight="1" x14ac:dyDescent="0.3">
      <c r="A3253" s="9">
        <v>3809</v>
      </c>
      <c r="B3253" t="s">
        <v>423</v>
      </c>
      <c r="C3253" s="25">
        <v>44685</v>
      </c>
      <c r="D3253" s="26">
        <v>0.71688657407407408</v>
      </c>
      <c r="E3253" t="s">
        <v>28</v>
      </c>
      <c r="F3253" t="s">
        <v>166</v>
      </c>
      <c r="G3253" t="s">
        <v>161</v>
      </c>
      <c r="H3253" t="s">
        <v>424</v>
      </c>
      <c r="I3253">
        <v>165.43</v>
      </c>
      <c r="J3253" s="7">
        <v>0</v>
      </c>
      <c r="K3253" s="89">
        <f>+L3253-J3385</f>
        <v>590</v>
      </c>
      <c r="L3253" s="30">
        <v>590</v>
      </c>
      <c r="M3253" s="10">
        <f t="shared" si="193"/>
        <v>28.03898305084746</v>
      </c>
    </row>
    <row r="3254" spans="1:13" ht="15.75" hidden="1" customHeight="1" x14ac:dyDescent="0.3">
      <c r="A3254" s="9">
        <v>3819</v>
      </c>
      <c r="B3254" t="s">
        <v>423</v>
      </c>
      <c r="C3254" s="25">
        <v>44685</v>
      </c>
      <c r="D3254" s="26">
        <v>0.31570601851851854</v>
      </c>
      <c r="E3254" t="s">
        <v>28</v>
      </c>
      <c r="F3254" t="s">
        <v>165</v>
      </c>
      <c r="G3254" t="s">
        <v>185</v>
      </c>
      <c r="H3254" t="s">
        <v>424</v>
      </c>
      <c r="I3254">
        <v>368.18</v>
      </c>
      <c r="J3254" s="7">
        <v>0</v>
      </c>
      <c r="K3254" s="89">
        <f>+L3254-J3386</f>
        <v>978.64</v>
      </c>
      <c r="L3254" s="51">
        <v>978.64</v>
      </c>
      <c r="M3254" s="10">
        <f t="shared" si="193"/>
        <v>37.621597318728035</v>
      </c>
    </row>
    <row r="3255" spans="1:13" ht="15.75" hidden="1" customHeight="1" x14ac:dyDescent="0.3">
      <c r="A3255" s="9">
        <v>3874</v>
      </c>
      <c r="B3255" t="s">
        <v>423</v>
      </c>
      <c r="C3255" s="25">
        <v>44686</v>
      </c>
      <c r="D3255" s="26">
        <v>0.86726851851851849</v>
      </c>
      <c r="E3255" t="s">
        <v>28</v>
      </c>
      <c r="F3255" t="s">
        <v>262</v>
      </c>
      <c r="G3255" t="s">
        <v>263</v>
      </c>
      <c r="H3255" t="s">
        <v>424</v>
      </c>
      <c r="I3255">
        <v>263</v>
      </c>
      <c r="J3255" s="7">
        <v>0</v>
      </c>
      <c r="K3255" s="89">
        <f>+L3255-J3387</f>
        <v>814.63</v>
      </c>
      <c r="L3255" s="51">
        <v>814.63</v>
      </c>
      <c r="M3255" s="10">
        <f t="shared" si="193"/>
        <v>32.284595460515817</v>
      </c>
    </row>
    <row r="3256" spans="1:13" ht="15.75" hidden="1" customHeight="1" x14ac:dyDescent="0.3">
      <c r="A3256" s="9">
        <v>4317</v>
      </c>
      <c r="B3256" t="s">
        <v>423</v>
      </c>
      <c r="C3256" s="25">
        <v>44695</v>
      </c>
      <c r="D3256" s="26">
        <v>0.90190972222222221</v>
      </c>
      <c r="E3256" t="s">
        <v>28</v>
      </c>
      <c r="F3256" t="s">
        <v>197</v>
      </c>
      <c r="G3256" t="s">
        <v>44</v>
      </c>
      <c r="H3256" t="s">
        <v>424</v>
      </c>
      <c r="I3256">
        <v>88.92</v>
      </c>
      <c r="J3256" s="39">
        <v>0</v>
      </c>
      <c r="K3256" s="89">
        <f>+L3256-J3529</f>
        <v>585</v>
      </c>
      <c r="L3256" s="53">
        <v>585</v>
      </c>
      <c r="M3256" s="10">
        <f t="shared" si="193"/>
        <v>15.2</v>
      </c>
    </row>
    <row r="3257" spans="1:13" ht="15.75" hidden="1" customHeight="1" x14ac:dyDescent="0.3">
      <c r="A3257" s="9">
        <v>4384</v>
      </c>
      <c r="B3257" t="s">
        <v>423</v>
      </c>
      <c r="C3257" s="25">
        <v>44696</v>
      </c>
      <c r="D3257" s="26">
        <v>0.27621527777777777</v>
      </c>
      <c r="E3257" t="s">
        <v>28</v>
      </c>
      <c r="F3257" t="s">
        <v>210</v>
      </c>
      <c r="G3257" t="s">
        <v>211</v>
      </c>
      <c r="H3257" t="s">
        <v>424</v>
      </c>
      <c r="I3257">
        <v>364.55</v>
      </c>
      <c r="J3257" s="40">
        <v>0</v>
      </c>
      <c r="K3257" s="89">
        <f>+L3257-J3530</f>
        <v>587</v>
      </c>
      <c r="L3257" s="53">
        <v>587</v>
      </c>
      <c r="M3257" s="10">
        <f t="shared" si="193"/>
        <v>62.103918228279383</v>
      </c>
    </row>
    <row r="3258" spans="1:13" ht="15.75" hidden="1" customHeight="1" x14ac:dyDescent="0.3">
      <c r="A3258" s="9">
        <v>4450</v>
      </c>
      <c r="B3258" t="s">
        <v>423</v>
      </c>
      <c r="C3258" s="25">
        <v>44697</v>
      </c>
      <c r="D3258" s="26">
        <v>4.9664351851851855E-2</v>
      </c>
      <c r="E3258" t="s">
        <v>28</v>
      </c>
      <c r="F3258" t="s">
        <v>210</v>
      </c>
      <c r="G3258" t="s">
        <v>211</v>
      </c>
      <c r="H3258" t="s">
        <v>424</v>
      </c>
      <c r="I3258">
        <v>373.26</v>
      </c>
      <c r="J3258" s="76">
        <v>0</v>
      </c>
      <c r="K3258" s="89">
        <f>+L3258-J3531</f>
        <v>1063</v>
      </c>
      <c r="L3258" s="53">
        <v>1063</v>
      </c>
      <c r="M3258" s="10">
        <f t="shared" si="193"/>
        <v>35.113828786453432</v>
      </c>
    </row>
    <row r="3259" spans="1:13" ht="15.75" hidden="1" customHeight="1" x14ac:dyDescent="0.3">
      <c r="A3259" s="9">
        <v>4451</v>
      </c>
      <c r="B3259" t="s">
        <v>423</v>
      </c>
      <c r="C3259" s="25">
        <v>44697</v>
      </c>
      <c r="D3259" s="26">
        <v>0.90604166666666675</v>
      </c>
      <c r="E3259" t="s">
        <v>28</v>
      </c>
      <c r="F3259" t="s">
        <v>274</v>
      </c>
      <c r="G3259" t="s">
        <v>495</v>
      </c>
      <c r="H3259" t="s">
        <v>424</v>
      </c>
      <c r="I3259">
        <v>51.83</v>
      </c>
      <c r="J3259" s="73">
        <v>0</v>
      </c>
      <c r="K3259" s="89">
        <f>+L3259-J3532</f>
        <v>577</v>
      </c>
      <c r="L3259" s="67">
        <v>577</v>
      </c>
      <c r="M3259" s="10">
        <f t="shared" si="193"/>
        <v>8.9826689774696717</v>
      </c>
    </row>
    <row r="3260" spans="1:13" ht="15.75" hidden="1" customHeight="1" x14ac:dyDescent="0.3">
      <c r="A3260" s="9">
        <v>4452</v>
      </c>
      <c r="B3260" t="s">
        <v>423</v>
      </c>
      <c r="C3260" s="25">
        <v>44697</v>
      </c>
      <c r="D3260" s="26">
        <v>0.96915509259259258</v>
      </c>
      <c r="E3260" t="s">
        <v>28</v>
      </c>
      <c r="F3260" t="s">
        <v>401</v>
      </c>
      <c r="G3260" t="s">
        <v>402</v>
      </c>
      <c r="H3260" t="s">
        <v>424</v>
      </c>
      <c r="I3260">
        <v>50</v>
      </c>
      <c r="J3260" s="34">
        <v>0</v>
      </c>
      <c r="K3260" s="89">
        <f>+L3260-J3533</f>
        <v>77</v>
      </c>
      <c r="L3260" s="67">
        <v>77</v>
      </c>
      <c r="M3260" s="10">
        <f t="shared" si="193"/>
        <v>64.935064935064929</v>
      </c>
    </row>
    <row r="3261" spans="1:13" ht="15.75" hidden="1" customHeight="1" x14ac:dyDescent="0.3">
      <c r="A3261" s="9">
        <v>4550</v>
      </c>
      <c r="B3261" t="s">
        <v>423</v>
      </c>
      <c r="C3261" s="25">
        <v>44699</v>
      </c>
      <c r="D3261" s="26">
        <v>0.56379629629629624</v>
      </c>
      <c r="E3261" t="s">
        <v>28</v>
      </c>
      <c r="F3261" t="s">
        <v>490</v>
      </c>
      <c r="G3261" t="s">
        <v>487</v>
      </c>
      <c r="H3261" t="s">
        <v>424</v>
      </c>
      <c r="I3261">
        <v>550.71</v>
      </c>
      <c r="J3261" s="34">
        <v>0</v>
      </c>
      <c r="K3261" s="89">
        <f>+L3261-J3531</f>
        <v>1041</v>
      </c>
      <c r="L3261" s="53">
        <v>1041</v>
      </c>
      <c r="M3261" s="10">
        <f t="shared" si="193"/>
        <v>52.902017291066286</v>
      </c>
    </row>
    <row r="3262" spans="1:13" ht="15.75" hidden="1" customHeight="1" x14ac:dyDescent="0.3">
      <c r="A3262" s="9">
        <v>4613</v>
      </c>
      <c r="B3262" t="s">
        <v>423</v>
      </c>
      <c r="C3262" s="25">
        <v>44700</v>
      </c>
      <c r="D3262" s="26">
        <v>0.960474537037037</v>
      </c>
      <c r="E3262" t="s">
        <v>28</v>
      </c>
      <c r="F3262" t="s">
        <v>165</v>
      </c>
      <c r="G3262" t="s">
        <v>185</v>
      </c>
      <c r="H3262" t="s">
        <v>424</v>
      </c>
      <c r="I3262">
        <v>408.12</v>
      </c>
      <c r="J3262" s="34">
        <v>0</v>
      </c>
      <c r="K3262" s="89">
        <f>+L3262-J3532</f>
        <v>1062</v>
      </c>
      <c r="L3262" s="32">
        <v>1062</v>
      </c>
      <c r="M3262" s="10">
        <f t="shared" si="193"/>
        <v>38.429378531073446</v>
      </c>
    </row>
    <row r="3263" spans="1:13" ht="15.75" hidden="1" customHeight="1" x14ac:dyDescent="0.3">
      <c r="A3263" s="9">
        <v>4723</v>
      </c>
      <c r="B3263" t="s">
        <v>423</v>
      </c>
      <c r="C3263" s="25">
        <v>44702</v>
      </c>
      <c r="D3263" s="26">
        <v>0.76392361111111118</v>
      </c>
      <c r="E3263" t="s">
        <v>28</v>
      </c>
      <c r="F3263" t="s">
        <v>165</v>
      </c>
      <c r="G3263" t="s">
        <v>185</v>
      </c>
      <c r="H3263" t="s">
        <v>424</v>
      </c>
      <c r="I3263">
        <v>369.01</v>
      </c>
      <c r="J3263" s="7">
        <v>0</v>
      </c>
      <c r="K3263" s="89">
        <f>+L3263-J3533</f>
        <v>886</v>
      </c>
      <c r="L3263" s="37">
        <v>886</v>
      </c>
      <c r="M3263" s="10">
        <f t="shared" ref="M3263:M3293" si="194">I3263/K3263*100</f>
        <v>41.648984198645593</v>
      </c>
    </row>
    <row r="3264" spans="1:13" ht="15.75" hidden="1" customHeight="1" x14ac:dyDescent="0.3">
      <c r="A3264" s="9">
        <v>4868</v>
      </c>
      <c r="B3264" t="s">
        <v>423</v>
      </c>
      <c r="C3264" s="25">
        <v>44705</v>
      </c>
      <c r="D3264" s="26">
        <v>0.99706018518518524</v>
      </c>
      <c r="E3264" t="s">
        <v>28</v>
      </c>
      <c r="F3264" t="s">
        <v>166</v>
      </c>
      <c r="G3264" t="s">
        <v>161</v>
      </c>
      <c r="H3264" t="s">
        <v>424</v>
      </c>
      <c r="I3264">
        <v>163.89</v>
      </c>
      <c r="J3264" s="7">
        <v>0</v>
      </c>
      <c r="K3264" s="89" t="e">
        <f>+L3264-#REF!</f>
        <v>#REF!</v>
      </c>
      <c r="L3264" s="32">
        <v>624</v>
      </c>
      <c r="M3264" s="10" t="e">
        <f t="shared" si="194"/>
        <v>#REF!</v>
      </c>
    </row>
    <row r="3265" spans="1:19" ht="15.75" hidden="1" customHeight="1" x14ac:dyDescent="0.3">
      <c r="A3265" s="9">
        <v>4885</v>
      </c>
      <c r="B3265" t="s">
        <v>423</v>
      </c>
      <c r="C3265" s="25">
        <v>44705</v>
      </c>
      <c r="D3265" s="26">
        <v>0.36152777777777773</v>
      </c>
      <c r="E3265" t="s">
        <v>28</v>
      </c>
      <c r="F3265" t="s">
        <v>165</v>
      </c>
      <c r="G3265" t="s">
        <v>185</v>
      </c>
      <c r="H3265" t="s">
        <v>424</v>
      </c>
      <c r="I3265">
        <v>554.52</v>
      </c>
      <c r="J3265" s="28">
        <v>0</v>
      </c>
      <c r="K3265" s="89" t="e">
        <f>+L3265-#REF!</f>
        <v>#REF!</v>
      </c>
      <c r="L3265" s="32">
        <v>1621</v>
      </c>
      <c r="M3265" s="10" t="e">
        <f t="shared" si="194"/>
        <v>#REF!</v>
      </c>
    </row>
    <row r="3266" spans="1:19" ht="15.75" hidden="1" customHeight="1" x14ac:dyDescent="0.3">
      <c r="A3266" s="9">
        <v>4940</v>
      </c>
      <c r="B3266" t="s">
        <v>423</v>
      </c>
      <c r="C3266" s="25">
        <v>44706</v>
      </c>
      <c r="D3266" s="26">
        <v>0.70571759259259259</v>
      </c>
      <c r="E3266" t="s">
        <v>28</v>
      </c>
      <c r="F3266" t="s">
        <v>169</v>
      </c>
      <c r="G3266" t="s">
        <v>196</v>
      </c>
      <c r="H3266" t="s">
        <v>424</v>
      </c>
      <c r="I3266">
        <v>129.43</v>
      </c>
      <c r="J3266" s="28">
        <v>0</v>
      </c>
      <c r="K3266" s="89" t="e">
        <f>+L3266-#REF!</f>
        <v>#REF!</v>
      </c>
      <c r="L3266" s="32">
        <v>406</v>
      </c>
      <c r="M3266" s="36" t="e">
        <f t="shared" si="194"/>
        <v>#REF!</v>
      </c>
    </row>
    <row r="3267" spans="1:19" ht="15.75" hidden="1" customHeight="1" x14ac:dyDescent="0.3">
      <c r="A3267" s="9">
        <v>5036</v>
      </c>
      <c r="B3267" t="s">
        <v>423</v>
      </c>
      <c r="C3267" s="25">
        <v>44708</v>
      </c>
      <c r="D3267" s="26">
        <v>0.39222222222222225</v>
      </c>
      <c r="E3267" t="s">
        <v>28</v>
      </c>
      <c r="F3267" t="s">
        <v>654</v>
      </c>
      <c r="G3267" t="s">
        <v>303</v>
      </c>
      <c r="H3267" t="s">
        <v>424</v>
      </c>
      <c r="I3267">
        <v>332</v>
      </c>
      <c r="J3267" s="7">
        <v>0</v>
      </c>
      <c r="K3267" s="89">
        <f>+L3267-J3501</f>
        <v>834</v>
      </c>
      <c r="L3267" s="7">
        <v>834</v>
      </c>
      <c r="M3267" s="36">
        <f t="shared" si="194"/>
        <v>39.808153477218227</v>
      </c>
    </row>
    <row r="3268" spans="1:19" ht="15.75" hidden="1" customHeight="1" x14ac:dyDescent="0.3">
      <c r="A3268" s="9">
        <v>5092</v>
      </c>
      <c r="B3268" t="s">
        <v>423</v>
      </c>
      <c r="C3268" s="25">
        <v>44709</v>
      </c>
      <c r="D3268" s="26">
        <v>8.3541666666666667E-2</v>
      </c>
      <c r="E3268" t="s">
        <v>28</v>
      </c>
      <c r="F3268" t="s">
        <v>635</v>
      </c>
      <c r="G3268" t="s">
        <v>185</v>
      </c>
      <c r="H3268" t="s">
        <v>424</v>
      </c>
      <c r="I3268">
        <v>406.49</v>
      </c>
      <c r="J3268" s="31">
        <v>0</v>
      </c>
      <c r="K3268" s="99">
        <f>+L3268-J3502</f>
        <v>978</v>
      </c>
      <c r="L3268" s="34">
        <v>978</v>
      </c>
      <c r="M3268" s="10">
        <f t="shared" si="194"/>
        <v>41.56339468302658</v>
      </c>
    </row>
    <row r="3269" spans="1:19" ht="15.75" hidden="1" customHeight="1" x14ac:dyDescent="0.3">
      <c r="A3269" s="9">
        <v>5093</v>
      </c>
      <c r="B3269" t="s">
        <v>423</v>
      </c>
      <c r="C3269" s="25">
        <v>44709</v>
      </c>
      <c r="D3269" s="26">
        <v>0.96791666666666665</v>
      </c>
      <c r="E3269" t="s">
        <v>28</v>
      </c>
      <c r="F3269" t="s">
        <v>632</v>
      </c>
      <c r="G3269" t="s">
        <v>161</v>
      </c>
      <c r="H3269" t="s">
        <v>424</v>
      </c>
      <c r="I3269">
        <v>242.6</v>
      </c>
      <c r="J3269" s="31">
        <v>0</v>
      </c>
      <c r="K3269" s="99">
        <f>+L3269-J3503</f>
        <v>650</v>
      </c>
      <c r="L3269" s="7">
        <v>650</v>
      </c>
      <c r="M3269" s="10">
        <f t="shared" si="194"/>
        <v>37.323076923076918</v>
      </c>
    </row>
    <row r="3270" spans="1:19" ht="15.75" hidden="1" customHeight="1" x14ac:dyDescent="0.3">
      <c r="A3270" s="9">
        <v>5201</v>
      </c>
      <c r="B3270" t="s">
        <v>423</v>
      </c>
      <c r="C3270" s="25">
        <v>44711</v>
      </c>
      <c r="D3270" s="26">
        <v>0.31636574074074075</v>
      </c>
      <c r="E3270" t="s">
        <v>28</v>
      </c>
      <c r="F3270" t="s">
        <v>653</v>
      </c>
      <c r="G3270" t="s">
        <v>402</v>
      </c>
      <c r="H3270" t="s">
        <v>424</v>
      </c>
      <c r="I3270">
        <v>50</v>
      </c>
      <c r="J3270" s="32">
        <v>0</v>
      </c>
      <c r="K3270" s="97">
        <f>+L3270-J3491</f>
        <v>571</v>
      </c>
      <c r="L3270" s="34">
        <v>571</v>
      </c>
      <c r="M3270" s="10">
        <f t="shared" si="194"/>
        <v>8.7565674255691768</v>
      </c>
    </row>
    <row r="3271" spans="1:19" ht="15.75" hidden="1" customHeight="1" x14ac:dyDescent="0.3">
      <c r="A3271" s="9">
        <v>5202</v>
      </c>
      <c r="B3271" t="s">
        <v>423</v>
      </c>
      <c r="C3271" s="25">
        <v>44711</v>
      </c>
      <c r="D3271" s="26">
        <v>0.96164351851851848</v>
      </c>
      <c r="E3271" t="s">
        <v>28</v>
      </c>
      <c r="F3271" t="s">
        <v>638</v>
      </c>
      <c r="G3271" t="s">
        <v>263</v>
      </c>
      <c r="H3271" t="s">
        <v>424</v>
      </c>
      <c r="I3271">
        <v>315</v>
      </c>
      <c r="J3271" s="32">
        <v>0</v>
      </c>
      <c r="K3271" s="100">
        <f>+L3271-J3492</f>
        <v>533</v>
      </c>
      <c r="L3271" s="35">
        <v>533</v>
      </c>
      <c r="M3271" s="10">
        <f t="shared" si="194"/>
        <v>59.099437148217639</v>
      </c>
    </row>
    <row r="3272" spans="1:19" ht="15.75" hidden="1" customHeight="1" x14ac:dyDescent="0.3">
      <c r="A3272" s="9">
        <v>5281</v>
      </c>
      <c r="B3272" t="s">
        <v>423</v>
      </c>
      <c r="C3272" s="25">
        <v>44713</v>
      </c>
      <c r="D3272" s="26">
        <v>0.38039351851851855</v>
      </c>
      <c r="E3272" t="s">
        <v>29</v>
      </c>
      <c r="F3272" t="s">
        <v>635</v>
      </c>
      <c r="G3272" t="s">
        <v>185</v>
      </c>
      <c r="H3272" t="s">
        <v>424</v>
      </c>
      <c r="I3272">
        <v>504.35</v>
      </c>
      <c r="J3272" s="55">
        <v>0</v>
      </c>
      <c r="K3272" s="96">
        <f>+L3272-J3492</f>
        <v>1183</v>
      </c>
      <c r="L3272" s="7">
        <v>1183</v>
      </c>
      <c r="M3272" s="10">
        <f t="shared" si="194"/>
        <v>42.633136094674555</v>
      </c>
    </row>
    <row r="3273" spans="1:19" ht="15.75" hidden="1" customHeight="1" x14ac:dyDescent="0.3">
      <c r="A3273" s="9">
        <v>5282</v>
      </c>
      <c r="B3273" t="s">
        <v>423</v>
      </c>
      <c r="C3273" s="25">
        <v>44713</v>
      </c>
      <c r="D3273" s="26">
        <v>0.71275462962962965</v>
      </c>
      <c r="E3273" t="s">
        <v>29</v>
      </c>
      <c r="F3273" t="s">
        <v>634</v>
      </c>
      <c r="G3273" t="s">
        <v>211</v>
      </c>
      <c r="H3273" t="s">
        <v>424</v>
      </c>
      <c r="I3273">
        <v>134.55000000000001</v>
      </c>
      <c r="J3273" s="55">
        <v>0</v>
      </c>
      <c r="K3273" s="96">
        <f>+L3273-J3493</f>
        <v>514</v>
      </c>
      <c r="L3273" s="7">
        <v>514</v>
      </c>
      <c r="M3273" s="10">
        <f t="shared" si="194"/>
        <v>26.177042801556421</v>
      </c>
    </row>
    <row r="3274" spans="1:19" ht="15.75" hidden="1" customHeight="1" x14ac:dyDescent="0.3">
      <c r="A3274" s="9">
        <v>5347</v>
      </c>
      <c r="B3274" t="s">
        <v>423</v>
      </c>
      <c r="C3274" s="25">
        <v>44714</v>
      </c>
      <c r="D3274" s="26">
        <v>0.28184027777777776</v>
      </c>
      <c r="E3274" t="s">
        <v>29</v>
      </c>
      <c r="F3274" t="s">
        <v>656</v>
      </c>
      <c r="G3274" t="s">
        <v>495</v>
      </c>
      <c r="H3274" t="s">
        <v>424</v>
      </c>
      <c r="I3274">
        <v>100</v>
      </c>
      <c r="J3274" s="32">
        <v>0</v>
      </c>
      <c r="K3274" s="90">
        <f>+L3274-J3493</f>
        <v>548</v>
      </c>
      <c r="L3274" s="7">
        <v>548</v>
      </c>
      <c r="M3274" s="10">
        <f t="shared" si="194"/>
        <v>18.248175182481752</v>
      </c>
    </row>
    <row r="3275" spans="1:19" ht="15.75" hidden="1" customHeight="1" x14ac:dyDescent="0.3">
      <c r="A3275" s="9">
        <v>5348</v>
      </c>
      <c r="B3275" t="s">
        <v>423</v>
      </c>
      <c r="C3275" s="25">
        <v>44714</v>
      </c>
      <c r="D3275" s="26">
        <v>0.35283564814814811</v>
      </c>
      <c r="E3275" t="s">
        <v>29</v>
      </c>
      <c r="F3275" t="s">
        <v>680</v>
      </c>
      <c r="G3275" t="s">
        <v>402</v>
      </c>
      <c r="H3275" t="s">
        <v>424</v>
      </c>
      <c r="I3275">
        <v>102.11</v>
      </c>
      <c r="J3275" s="33">
        <v>0</v>
      </c>
      <c r="K3275" s="99">
        <f>+L3275-J3494</f>
        <v>90</v>
      </c>
      <c r="L3275" s="7">
        <v>90</v>
      </c>
      <c r="M3275" s="10">
        <f t="shared" si="194"/>
        <v>113.45555555555555</v>
      </c>
    </row>
    <row r="3276" spans="1:19" ht="15.75" hidden="1" customHeight="1" x14ac:dyDescent="0.3">
      <c r="A3276" s="9">
        <v>5815</v>
      </c>
      <c r="B3276" t="s">
        <v>423</v>
      </c>
      <c r="C3276" s="25">
        <v>44723</v>
      </c>
      <c r="D3276" s="26">
        <v>0.64701388888888889</v>
      </c>
      <c r="E3276" t="s">
        <v>29</v>
      </c>
      <c r="F3276" t="s">
        <v>639</v>
      </c>
      <c r="G3276" t="s">
        <v>44</v>
      </c>
      <c r="H3276" t="s">
        <v>424</v>
      </c>
      <c r="I3276">
        <v>196</v>
      </c>
      <c r="J3276" s="32">
        <v>0</v>
      </c>
      <c r="K3276" s="89">
        <f>+L3276-J2868</f>
        <v>497</v>
      </c>
      <c r="L3276" s="7">
        <v>497</v>
      </c>
      <c r="M3276" s="10">
        <f t="shared" si="194"/>
        <v>39.436619718309856</v>
      </c>
    </row>
    <row r="3277" spans="1:19" ht="15.75" hidden="1" customHeight="1" x14ac:dyDescent="0.3">
      <c r="A3277" s="9">
        <v>5879</v>
      </c>
      <c r="B3277" t="s">
        <v>423</v>
      </c>
      <c r="C3277" s="25">
        <v>44724</v>
      </c>
      <c r="D3277" s="26">
        <v>0.55562500000000004</v>
      </c>
      <c r="E3277" t="s">
        <v>29</v>
      </c>
      <c r="F3277" t="s">
        <v>632</v>
      </c>
      <c r="G3277" t="s">
        <v>161</v>
      </c>
      <c r="H3277" t="s">
        <v>424</v>
      </c>
      <c r="I3277">
        <v>197.27500000000001</v>
      </c>
      <c r="J3277" s="32">
        <v>0</v>
      </c>
      <c r="K3277" s="89">
        <f>+L3277-J2869</f>
        <v>511</v>
      </c>
      <c r="L3277" s="7">
        <v>511</v>
      </c>
      <c r="M3277" s="10">
        <f t="shared" si="194"/>
        <v>38.605675146771041</v>
      </c>
    </row>
    <row r="3278" spans="1:19" ht="15.75" hidden="1" customHeight="1" x14ac:dyDescent="0.3">
      <c r="A3278" s="9">
        <v>5935</v>
      </c>
      <c r="B3278" t="s">
        <v>423</v>
      </c>
      <c r="C3278" s="25">
        <v>44725</v>
      </c>
      <c r="D3278" s="26">
        <v>0.33065972222222223</v>
      </c>
      <c r="E3278" t="s">
        <v>29</v>
      </c>
      <c r="F3278" t="s">
        <v>643</v>
      </c>
      <c r="G3278" t="s">
        <v>203</v>
      </c>
      <c r="H3278" t="s">
        <v>424</v>
      </c>
      <c r="I3278" s="126">
        <v>357.46</v>
      </c>
      <c r="J3278" s="38">
        <v>0</v>
      </c>
      <c r="K3278" s="89">
        <f>+L3278-J2874</f>
        <v>1011</v>
      </c>
      <c r="L3278" s="51">
        <v>1011</v>
      </c>
      <c r="M3278" s="10">
        <f t="shared" si="194"/>
        <v>35.357072205736898</v>
      </c>
      <c r="N3278" s="2"/>
      <c r="O3278" s="2"/>
      <c r="P3278" s="2"/>
      <c r="Q3278" s="2"/>
      <c r="R3278" s="2"/>
      <c r="S3278" s="2"/>
    </row>
    <row r="3279" spans="1:19" ht="15.75" hidden="1" customHeight="1" x14ac:dyDescent="0.3">
      <c r="A3279" s="9">
        <v>5936</v>
      </c>
      <c r="B3279" t="s">
        <v>423</v>
      </c>
      <c r="C3279" s="25">
        <v>44725</v>
      </c>
      <c r="D3279" s="26">
        <v>0.72313657407407417</v>
      </c>
      <c r="E3279" t="s">
        <v>29</v>
      </c>
      <c r="F3279" t="s">
        <v>642</v>
      </c>
      <c r="G3279" t="s">
        <v>203</v>
      </c>
      <c r="H3279" t="s">
        <v>424</v>
      </c>
      <c r="I3279" s="126">
        <v>156.44999999999999</v>
      </c>
      <c r="J3279" s="32">
        <v>0</v>
      </c>
      <c r="K3279" s="89">
        <f>+L3279-J2875</f>
        <v>514</v>
      </c>
      <c r="L3279" s="7">
        <v>514</v>
      </c>
      <c r="M3279" s="10">
        <f t="shared" si="194"/>
        <v>30.437743190661475</v>
      </c>
      <c r="N3279" s="2"/>
      <c r="O3279" s="2"/>
      <c r="P3279" s="2"/>
      <c r="Q3279" s="2"/>
      <c r="R3279" s="2"/>
      <c r="S3279" s="2"/>
    </row>
    <row r="3280" spans="1:19" ht="15.75" hidden="1" customHeight="1" x14ac:dyDescent="0.3">
      <c r="A3280" s="9">
        <v>5980</v>
      </c>
      <c r="B3280" t="s">
        <v>423</v>
      </c>
      <c r="C3280" s="25">
        <v>44726</v>
      </c>
      <c r="D3280" s="26">
        <v>0.19359953703703703</v>
      </c>
      <c r="E3280" t="s">
        <v>29</v>
      </c>
      <c r="F3280" t="s">
        <v>635</v>
      </c>
      <c r="G3280" t="s">
        <v>185</v>
      </c>
      <c r="H3280" t="s">
        <v>424</v>
      </c>
      <c r="I3280" s="126">
        <v>226.01</v>
      </c>
      <c r="J3280" s="37">
        <v>0</v>
      </c>
      <c r="K3280" s="89">
        <v>574</v>
      </c>
      <c r="L3280" s="7">
        <v>574</v>
      </c>
      <c r="M3280" s="10">
        <f t="shared" si="194"/>
        <v>39.374564459930312</v>
      </c>
    </row>
    <row r="3281" spans="1:13" ht="15.75" hidden="1" customHeight="1" x14ac:dyDescent="0.3">
      <c r="A3281" s="9">
        <v>5981</v>
      </c>
      <c r="B3281" t="s">
        <v>423</v>
      </c>
      <c r="C3281" s="25">
        <v>44726</v>
      </c>
      <c r="D3281" s="26">
        <v>0.49630787037037033</v>
      </c>
      <c r="E3281" t="s">
        <v>29</v>
      </c>
      <c r="F3281" t="s">
        <v>634</v>
      </c>
      <c r="G3281" t="s">
        <v>211</v>
      </c>
      <c r="H3281" t="s">
        <v>424</v>
      </c>
      <c r="I3281" s="126">
        <v>137.94</v>
      </c>
      <c r="J3281" s="37">
        <v>0</v>
      </c>
      <c r="K3281" s="89">
        <v>514</v>
      </c>
      <c r="L3281" s="7">
        <v>514</v>
      </c>
      <c r="M3281" s="10">
        <f t="shared" si="194"/>
        <v>26.836575875486378</v>
      </c>
    </row>
    <row r="3282" spans="1:13" ht="15.75" hidden="1" customHeight="1" x14ac:dyDescent="0.3">
      <c r="A3282" s="9">
        <v>6046</v>
      </c>
      <c r="B3282" t="s">
        <v>423</v>
      </c>
      <c r="C3282" s="25">
        <v>44727</v>
      </c>
      <c r="D3282" s="26">
        <v>0.70675925925925931</v>
      </c>
      <c r="E3282" t="s">
        <v>29</v>
      </c>
      <c r="F3282" t="s">
        <v>693</v>
      </c>
      <c r="G3282" t="s">
        <v>277</v>
      </c>
      <c r="H3282" t="s">
        <v>424</v>
      </c>
      <c r="I3282" s="126">
        <v>240.91</v>
      </c>
      <c r="J3282" s="32">
        <v>0</v>
      </c>
      <c r="K3282" s="89">
        <v>794</v>
      </c>
      <c r="L3282" s="35">
        <v>794</v>
      </c>
      <c r="M3282" s="10">
        <f t="shared" si="194"/>
        <v>30.34130982367758</v>
      </c>
    </row>
    <row r="3283" spans="1:13" ht="15.75" hidden="1" customHeight="1" x14ac:dyDescent="0.3">
      <c r="A3283" s="9">
        <v>6157</v>
      </c>
      <c r="B3283" t="s">
        <v>423</v>
      </c>
      <c r="C3283" s="25">
        <v>44729</v>
      </c>
      <c r="D3283" s="26">
        <v>0.14498842592592592</v>
      </c>
      <c r="E3283" t="s">
        <v>29</v>
      </c>
      <c r="F3283" t="s">
        <v>634</v>
      </c>
      <c r="G3283" t="s">
        <v>211</v>
      </c>
      <c r="H3283" t="s">
        <v>424</v>
      </c>
      <c r="I3283">
        <v>405.89</v>
      </c>
      <c r="J3283" s="37">
        <v>0</v>
      </c>
      <c r="K3283" s="89">
        <v>1088</v>
      </c>
      <c r="L3283" s="7">
        <v>1088</v>
      </c>
      <c r="M3283" s="10">
        <f t="shared" si="194"/>
        <v>37.306066176470587</v>
      </c>
    </row>
    <row r="3284" spans="1:13" ht="15.75" hidden="1" customHeight="1" x14ac:dyDescent="0.3">
      <c r="A3284" s="9">
        <v>6158</v>
      </c>
      <c r="B3284" t="s">
        <v>423</v>
      </c>
      <c r="C3284" s="25">
        <v>44729</v>
      </c>
      <c r="D3284" s="26">
        <v>0.88045138888888885</v>
      </c>
      <c r="E3284" t="s">
        <v>29</v>
      </c>
      <c r="F3284" t="s">
        <v>634</v>
      </c>
      <c r="G3284" t="s">
        <v>211</v>
      </c>
      <c r="H3284" t="s">
        <v>424</v>
      </c>
      <c r="I3284">
        <v>396.71</v>
      </c>
      <c r="J3284" s="32">
        <v>0</v>
      </c>
      <c r="K3284" s="89">
        <v>968</v>
      </c>
      <c r="L3284" s="34">
        <v>968</v>
      </c>
      <c r="M3284" s="10">
        <f t="shared" si="194"/>
        <v>40.982438016528924</v>
      </c>
    </row>
    <row r="3285" spans="1:13" ht="15.75" hidden="1" customHeight="1" x14ac:dyDescent="0.3">
      <c r="A3285" s="9">
        <v>6210</v>
      </c>
      <c r="B3285" t="s">
        <v>423</v>
      </c>
      <c r="C3285" s="25">
        <v>44730</v>
      </c>
      <c r="D3285" s="26">
        <v>0.86665509259259255</v>
      </c>
      <c r="E3285" t="s">
        <v>29</v>
      </c>
      <c r="F3285" t="s">
        <v>637</v>
      </c>
      <c r="G3285" t="s">
        <v>196</v>
      </c>
      <c r="H3285" t="s">
        <v>424</v>
      </c>
      <c r="I3285">
        <v>121.83</v>
      </c>
      <c r="J3285" s="32">
        <v>0</v>
      </c>
      <c r="K3285" s="89">
        <v>395</v>
      </c>
      <c r="L3285" s="7">
        <v>395</v>
      </c>
      <c r="M3285" s="10">
        <f t="shared" si="194"/>
        <v>30.843037974683547</v>
      </c>
    </row>
    <row r="3286" spans="1:13" ht="15.75" hidden="1" customHeight="1" x14ac:dyDescent="0.3">
      <c r="A3286" s="9">
        <v>6336</v>
      </c>
      <c r="B3286" t="s">
        <v>423</v>
      </c>
      <c r="C3286" s="25">
        <v>44734</v>
      </c>
      <c r="D3286" s="26">
        <v>0.7680324074074073</v>
      </c>
      <c r="E3286" t="s">
        <v>29</v>
      </c>
      <c r="F3286" t="s">
        <v>639</v>
      </c>
      <c r="G3286" t="s">
        <v>44</v>
      </c>
      <c r="H3286" t="s">
        <v>424</v>
      </c>
      <c r="I3286">
        <v>299.88</v>
      </c>
      <c r="J3286" s="32">
        <v>0</v>
      </c>
      <c r="K3286" s="89">
        <v>698</v>
      </c>
      <c r="L3286" s="7">
        <v>698</v>
      </c>
      <c r="M3286" s="10">
        <f t="shared" si="194"/>
        <v>42.96275071633238</v>
      </c>
    </row>
    <row r="3287" spans="1:13" ht="15.75" hidden="1" customHeight="1" x14ac:dyDescent="0.3">
      <c r="A3287" s="9">
        <v>6386</v>
      </c>
      <c r="B3287" t="s">
        <v>423</v>
      </c>
      <c r="C3287" s="25">
        <v>44735</v>
      </c>
      <c r="D3287" s="26">
        <v>0.15211805555555555</v>
      </c>
      <c r="E3287" t="s">
        <v>29</v>
      </c>
      <c r="F3287" t="s">
        <v>634</v>
      </c>
      <c r="G3287" t="s">
        <v>211</v>
      </c>
      <c r="H3287" t="s">
        <v>424</v>
      </c>
      <c r="I3287" s="125">
        <v>238.2</v>
      </c>
      <c r="J3287" s="32">
        <v>0</v>
      </c>
      <c r="K3287" s="89">
        <v>587</v>
      </c>
      <c r="L3287" s="34">
        <v>587</v>
      </c>
      <c r="M3287" s="10">
        <f t="shared" si="194"/>
        <v>40.579216354344119</v>
      </c>
    </row>
    <row r="3288" spans="1:13" ht="15.75" hidden="1" customHeight="1" x14ac:dyDescent="0.3">
      <c r="A3288" s="9">
        <v>6432</v>
      </c>
      <c r="B3288" t="s">
        <v>423</v>
      </c>
      <c r="C3288" s="25">
        <v>44736</v>
      </c>
      <c r="D3288" s="26">
        <v>2.6736111111111113E-2</v>
      </c>
      <c r="E3288" t="s">
        <v>29</v>
      </c>
      <c r="F3288" t="s">
        <v>634</v>
      </c>
      <c r="G3288" t="s">
        <v>211</v>
      </c>
      <c r="H3288" t="s">
        <v>424</v>
      </c>
      <c r="I3288" s="148">
        <v>363.48</v>
      </c>
      <c r="J3288" s="37">
        <v>0</v>
      </c>
      <c r="K3288" s="89">
        <v>1054</v>
      </c>
      <c r="L3288" s="7">
        <v>1054</v>
      </c>
      <c r="M3288" s="10">
        <f t="shared" si="194"/>
        <v>34.485768500948765</v>
      </c>
    </row>
    <row r="3289" spans="1:13" ht="15.75" hidden="1" customHeight="1" x14ac:dyDescent="0.3">
      <c r="A3289" s="9">
        <v>6495</v>
      </c>
      <c r="B3289" t="s">
        <v>423</v>
      </c>
      <c r="C3289" s="25">
        <v>44737</v>
      </c>
      <c r="D3289" s="26">
        <v>0.39394675925925932</v>
      </c>
      <c r="E3289" t="s">
        <v>29</v>
      </c>
      <c r="F3289" t="s">
        <v>734</v>
      </c>
      <c r="G3289" t="s">
        <v>277</v>
      </c>
      <c r="H3289" t="s">
        <v>424</v>
      </c>
      <c r="I3289" s="148">
        <v>238.75</v>
      </c>
      <c r="J3289" s="37">
        <v>0</v>
      </c>
      <c r="K3289" s="89">
        <v>775</v>
      </c>
      <c r="L3289" s="7">
        <v>775</v>
      </c>
      <c r="M3289" s="10">
        <f t="shared" si="194"/>
        <v>30.806451612903224</v>
      </c>
    </row>
    <row r="3290" spans="1:13" ht="15.75" hidden="1" customHeight="1" x14ac:dyDescent="0.3">
      <c r="A3290" s="9">
        <v>6545</v>
      </c>
      <c r="B3290" t="s">
        <v>423</v>
      </c>
      <c r="C3290" s="25">
        <v>44738</v>
      </c>
      <c r="D3290" s="26">
        <v>0.61952546296296296</v>
      </c>
      <c r="E3290" t="s">
        <v>29</v>
      </c>
      <c r="F3290" t="s">
        <v>634</v>
      </c>
      <c r="G3290" t="s">
        <v>211</v>
      </c>
      <c r="H3290" t="s">
        <v>424</v>
      </c>
      <c r="I3290" s="148">
        <v>357.96</v>
      </c>
      <c r="J3290" s="32">
        <v>0</v>
      </c>
      <c r="K3290" s="89">
        <v>937</v>
      </c>
      <c r="L3290" s="34">
        <v>937</v>
      </c>
      <c r="M3290" s="10">
        <f t="shared" si="194"/>
        <v>38.202774813233717</v>
      </c>
    </row>
    <row r="3291" spans="1:13" ht="15.75" hidden="1" customHeight="1" x14ac:dyDescent="0.3">
      <c r="A3291" s="9">
        <v>6597</v>
      </c>
      <c r="B3291" t="s">
        <v>423</v>
      </c>
      <c r="C3291" s="25">
        <v>44739</v>
      </c>
      <c r="D3291" s="26">
        <v>0.92899305555555556</v>
      </c>
      <c r="E3291" t="s">
        <v>29</v>
      </c>
      <c r="F3291" t="s">
        <v>643</v>
      </c>
      <c r="G3291" t="s">
        <v>203</v>
      </c>
      <c r="H3291" t="s">
        <v>424</v>
      </c>
      <c r="I3291" s="148">
        <v>353.56</v>
      </c>
      <c r="J3291" s="32">
        <v>0</v>
      </c>
      <c r="K3291" s="89">
        <v>1066</v>
      </c>
      <c r="L3291" s="7">
        <v>1066</v>
      </c>
      <c r="M3291" s="10">
        <f t="shared" si="194"/>
        <v>33.166979362101316</v>
      </c>
    </row>
    <row r="3292" spans="1:13" ht="15.75" hidden="1" customHeight="1" x14ac:dyDescent="0.3">
      <c r="A3292" s="9">
        <v>6657</v>
      </c>
      <c r="B3292" t="s">
        <v>423</v>
      </c>
      <c r="C3292" s="25">
        <v>44740</v>
      </c>
      <c r="D3292" s="26">
        <v>0.72453703703703709</v>
      </c>
      <c r="E3292" t="s">
        <v>29</v>
      </c>
      <c r="F3292" t="s">
        <v>642</v>
      </c>
      <c r="G3292" t="s">
        <v>203</v>
      </c>
      <c r="H3292" t="s">
        <v>424</v>
      </c>
      <c r="I3292" s="148">
        <v>153.09</v>
      </c>
      <c r="J3292" s="32">
        <v>0</v>
      </c>
      <c r="K3292" s="89">
        <v>515</v>
      </c>
      <c r="L3292" s="7">
        <v>515</v>
      </c>
      <c r="M3292" s="10">
        <f t="shared" si="194"/>
        <v>29.726213592233009</v>
      </c>
    </row>
    <row r="3293" spans="1:13" ht="15.75" hidden="1" customHeight="1" x14ac:dyDescent="0.3">
      <c r="A3293" s="9">
        <v>6716</v>
      </c>
      <c r="B3293" t="s">
        <v>423</v>
      </c>
      <c r="C3293" s="25">
        <v>44741</v>
      </c>
      <c r="D3293" s="26">
        <v>0.99216435185185192</v>
      </c>
      <c r="E3293" t="s">
        <v>29</v>
      </c>
      <c r="F3293" t="s">
        <v>635</v>
      </c>
      <c r="G3293" t="s">
        <v>185</v>
      </c>
      <c r="H3293" t="s">
        <v>424</v>
      </c>
      <c r="I3293" s="148">
        <v>264.83999999999997</v>
      </c>
      <c r="J3293" s="33">
        <v>0</v>
      </c>
      <c r="K3293" s="96">
        <v>1015</v>
      </c>
      <c r="L3293" s="31">
        <v>1015</v>
      </c>
      <c r="M3293" s="131">
        <f t="shared" si="194"/>
        <v>26.092610837438425</v>
      </c>
    </row>
    <row r="3294" spans="1:13" ht="15.75" hidden="1" customHeight="1" x14ac:dyDescent="0.3">
      <c r="B3294" t="s">
        <v>323</v>
      </c>
      <c r="C3294" s="25">
        <v>44747</v>
      </c>
      <c r="D3294" s="26">
        <v>0.87697916666666664</v>
      </c>
      <c r="E3294" t="s">
        <v>30</v>
      </c>
      <c r="F3294" t="s">
        <v>210</v>
      </c>
      <c r="G3294" t="s">
        <v>211</v>
      </c>
      <c r="H3294" t="s">
        <v>187</v>
      </c>
      <c r="I3294" s="173">
        <v>135.69</v>
      </c>
      <c r="J3294" s="160">
        <f>176+191+268+308+136</f>
        <v>1079</v>
      </c>
      <c r="K3294" s="160">
        <v>761960</v>
      </c>
      <c r="L3294" s="160">
        <v>3024</v>
      </c>
      <c r="M3294" s="254">
        <f>+J3294/L3294*100</f>
        <v>35.68121693121693</v>
      </c>
    </row>
    <row r="3295" spans="1:13" ht="15.75" hidden="1" customHeight="1" x14ac:dyDescent="0.3">
      <c r="B3295" t="s">
        <v>323</v>
      </c>
      <c r="C3295" s="25">
        <v>44748</v>
      </c>
      <c r="D3295" s="26">
        <v>0.92252314814814806</v>
      </c>
      <c r="E3295" t="s">
        <v>30</v>
      </c>
      <c r="F3295" t="s">
        <v>446</v>
      </c>
      <c r="G3295" t="s">
        <v>402</v>
      </c>
      <c r="H3295" t="s">
        <v>187</v>
      </c>
      <c r="I3295" s="173">
        <v>222.74</v>
      </c>
      <c r="J3295" s="8"/>
      <c r="K3295" s="8"/>
      <c r="L3295" s="8"/>
      <c r="M3295" s="254"/>
    </row>
    <row r="3296" spans="1:13" ht="15.75" hidden="1" customHeight="1" x14ac:dyDescent="0.3">
      <c r="B3296" t="s">
        <v>323</v>
      </c>
      <c r="C3296" s="25">
        <v>44750</v>
      </c>
      <c r="D3296" s="26">
        <v>0.42253472222222221</v>
      </c>
      <c r="E3296" t="s">
        <v>30</v>
      </c>
      <c r="F3296" t="s">
        <v>311</v>
      </c>
      <c r="G3296" t="s">
        <v>303</v>
      </c>
      <c r="H3296" t="s">
        <v>187</v>
      </c>
      <c r="I3296" s="173">
        <v>262.04000000000002</v>
      </c>
      <c r="J3296" s="8"/>
      <c r="K3296" s="8"/>
      <c r="L3296" s="8"/>
      <c r="M3296" s="254"/>
    </row>
    <row r="3297" spans="1:13" ht="15.75" hidden="1" customHeight="1" x14ac:dyDescent="0.3">
      <c r="B3297" t="s">
        <v>323</v>
      </c>
      <c r="C3297" s="25">
        <v>44750</v>
      </c>
      <c r="D3297" s="26">
        <v>0.96609953703703699</v>
      </c>
      <c r="E3297" t="s">
        <v>30</v>
      </c>
      <c r="F3297" t="s">
        <v>210</v>
      </c>
      <c r="G3297" t="s">
        <v>211</v>
      </c>
      <c r="H3297" t="s">
        <v>187</v>
      </c>
      <c r="I3297" s="244">
        <v>178.17</v>
      </c>
      <c r="J3297" s="44"/>
      <c r="K3297" s="44"/>
      <c r="L3297" s="44"/>
      <c r="M3297" s="267"/>
    </row>
    <row r="3298" spans="1:13" ht="15.75" hidden="1" customHeight="1" x14ac:dyDescent="0.3">
      <c r="B3298" t="s">
        <v>314</v>
      </c>
      <c r="C3298" s="25">
        <v>44564</v>
      </c>
      <c r="D3298" s="26">
        <v>0.57128472222222226</v>
      </c>
      <c r="E3298" t="s">
        <v>24</v>
      </c>
      <c r="F3298" t="s">
        <v>166</v>
      </c>
      <c r="G3298" t="s">
        <v>161</v>
      </c>
      <c r="H3298" t="s">
        <v>212</v>
      </c>
      <c r="I3298">
        <v>100</v>
      </c>
      <c r="J3298" s="34">
        <v>458514</v>
      </c>
      <c r="K3298" s="30">
        <f t="shared" ref="K3298:K3333" si="195">+L3298-J3298</f>
        <v>1670</v>
      </c>
      <c r="L3298" s="35">
        <v>460184</v>
      </c>
      <c r="M3298" s="118">
        <f t="shared" ref="M3298:M3333" si="196">I3298/K3298*100</f>
        <v>5.9880239520958085</v>
      </c>
    </row>
    <row r="3299" spans="1:13" ht="15.75" hidden="1" customHeight="1" x14ac:dyDescent="0.3">
      <c r="B3299" t="s">
        <v>314</v>
      </c>
      <c r="C3299" s="25">
        <v>44564</v>
      </c>
      <c r="D3299" s="26">
        <v>0.8013541666666667</v>
      </c>
      <c r="E3299" t="s">
        <v>24</v>
      </c>
      <c r="F3299" t="s">
        <v>210</v>
      </c>
      <c r="G3299" t="s">
        <v>211</v>
      </c>
      <c r="H3299" t="s">
        <v>212</v>
      </c>
      <c r="I3299">
        <v>609.57000000000005</v>
      </c>
      <c r="J3299" s="7">
        <v>460184</v>
      </c>
      <c r="K3299" s="11">
        <f t="shared" si="195"/>
        <v>105</v>
      </c>
      <c r="L3299" s="7">
        <v>460289</v>
      </c>
      <c r="M3299" s="36">
        <f t="shared" si="196"/>
        <v>580.5428571428572</v>
      </c>
    </row>
    <row r="3300" spans="1:13" ht="15.75" hidden="1" customHeight="1" x14ac:dyDescent="0.3">
      <c r="B3300" t="s">
        <v>314</v>
      </c>
      <c r="C3300" s="25">
        <v>44566</v>
      </c>
      <c r="D3300" s="26">
        <v>0.60509259259259263</v>
      </c>
      <c r="E3300" t="s">
        <v>24</v>
      </c>
      <c r="F3300" t="s">
        <v>376</v>
      </c>
      <c r="G3300" t="s">
        <v>377</v>
      </c>
      <c r="H3300" t="s">
        <v>212</v>
      </c>
      <c r="I3300">
        <f>332.42+150.7</f>
        <v>483.12</v>
      </c>
      <c r="J3300" s="7">
        <v>460289</v>
      </c>
      <c r="K3300" s="11">
        <f t="shared" si="195"/>
        <v>1371</v>
      </c>
      <c r="L3300" s="7">
        <v>461660</v>
      </c>
      <c r="M3300" s="36">
        <f t="shared" si="196"/>
        <v>35.238512035010942</v>
      </c>
    </row>
    <row r="3301" spans="1:13" ht="15.75" hidden="1" customHeight="1" x14ac:dyDescent="0.3">
      <c r="B3301" t="s">
        <v>314</v>
      </c>
      <c r="C3301" s="25">
        <v>44568</v>
      </c>
      <c r="D3301" s="26">
        <v>0.36320601851851847</v>
      </c>
      <c r="E3301" t="s">
        <v>24</v>
      </c>
      <c r="F3301" t="s">
        <v>210</v>
      </c>
      <c r="G3301" t="s">
        <v>211</v>
      </c>
      <c r="H3301" t="s">
        <v>212</v>
      </c>
      <c r="I3301">
        <v>455.42</v>
      </c>
      <c r="J3301" s="7">
        <v>461660</v>
      </c>
      <c r="K3301" s="11">
        <f t="shared" si="195"/>
        <v>1360</v>
      </c>
      <c r="L3301" s="7">
        <v>463020</v>
      </c>
      <c r="M3301" s="36">
        <f t="shared" si="196"/>
        <v>33.486764705882358</v>
      </c>
    </row>
    <row r="3302" spans="1:13" ht="15.75" hidden="1" customHeight="1" x14ac:dyDescent="0.3">
      <c r="B3302" t="s">
        <v>314</v>
      </c>
      <c r="C3302" s="25">
        <v>44572</v>
      </c>
      <c r="D3302" s="26">
        <v>0.86861111111111111</v>
      </c>
      <c r="E3302" t="s">
        <v>24</v>
      </c>
      <c r="F3302" t="s">
        <v>175</v>
      </c>
      <c r="G3302" t="s">
        <v>172</v>
      </c>
      <c r="H3302" t="s">
        <v>212</v>
      </c>
      <c r="I3302">
        <v>330.11</v>
      </c>
      <c r="J3302" s="7">
        <v>463020</v>
      </c>
      <c r="K3302" s="11">
        <f t="shared" si="195"/>
        <v>934</v>
      </c>
      <c r="L3302" s="7">
        <v>463954</v>
      </c>
      <c r="M3302" s="36">
        <f t="shared" si="196"/>
        <v>35.343683083511777</v>
      </c>
    </row>
    <row r="3303" spans="1:13" ht="15.75" hidden="1" customHeight="1" x14ac:dyDescent="0.3">
      <c r="B3303" t="s">
        <v>314</v>
      </c>
      <c r="C3303" s="25">
        <v>44574</v>
      </c>
      <c r="D3303" s="26">
        <v>0.70464120370370376</v>
      </c>
      <c r="E3303" t="s">
        <v>24</v>
      </c>
      <c r="F3303" t="s">
        <v>165</v>
      </c>
      <c r="G3303" t="s">
        <v>185</v>
      </c>
      <c r="H3303" t="s">
        <v>212</v>
      </c>
      <c r="I3303">
        <v>200</v>
      </c>
      <c r="J3303" s="51">
        <v>463954</v>
      </c>
      <c r="K3303" s="51">
        <f t="shared" si="195"/>
        <v>1388</v>
      </c>
      <c r="L3303" s="51">
        <v>465342</v>
      </c>
      <c r="M3303" s="10">
        <f t="shared" si="196"/>
        <v>14.409221902017292</v>
      </c>
    </row>
    <row r="3304" spans="1:13" ht="15.75" hidden="1" customHeight="1" x14ac:dyDescent="0.3">
      <c r="B3304" t="s">
        <v>314</v>
      </c>
      <c r="C3304" s="25">
        <v>44575</v>
      </c>
      <c r="D3304" s="26">
        <v>0.58604166666666668</v>
      </c>
      <c r="E3304" t="s">
        <v>24</v>
      </c>
      <c r="F3304" t="s">
        <v>210</v>
      </c>
      <c r="G3304" t="s">
        <v>211</v>
      </c>
      <c r="H3304" t="s">
        <v>212</v>
      </c>
      <c r="I3304">
        <v>548.32000000000005</v>
      </c>
      <c r="J3304" s="11">
        <v>465342</v>
      </c>
      <c r="K3304" s="11">
        <f t="shared" si="195"/>
        <v>522</v>
      </c>
      <c r="L3304" s="7">
        <v>465864</v>
      </c>
      <c r="M3304" s="10">
        <f t="shared" si="196"/>
        <v>105.04214559386975</v>
      </c>
    </row>
    <row r="3305" spans="1:13" ht="15.75" hidden="1" customHeight="1" x14ac:dyDescent="0.3">
      <c r="B3305" t="s">
        <v>314</v>
      </c>
      <c r="C3305" s="25">
        <v>44579</v>
      </c>
      <c r="D3305" s="26">
        <v>0.50950231481481478</v>
      </c>
      <c r="E3305" t="s">
        <v>24</v>
      </c>
      <c r="F3305" t="s">
        <v>175</v>
      </c>
      <c r="G3305" t="s">
        <v>172</v>
      </c>
      <c r="H3305" t="s">
        <v>212</v>
      </c>
      <c r="I3305">
        <v>398.86</v>
      </c>
      <c r="J3305" s="34">
        <v>465864</v>
      </c>
      <c r="K3305" s="34">
        <f t="shared" si="195"/>
        <v>1086</v>
      </c>
      <c r="L3305" s="34">
        <v>466950</v>
      </c>
      <c r="M3305" s="10">
        <f t="shared" si="196"/>
        <v>36.727440147329652</v>
      </c>
    </row>
    <row r="3306" spans="1:13" ht="15.75" hidden="1" customHeight="1" x14ac:dyDescent="0.3">
      <c r="B3306" t="s">
        <v>314</v>
      </c>
      <c r="C3306" s="25">
        <v>44580</v>
      </c>
      <c r="D3306" s="26">
        <v>0.46100694444444446</v>
      </c>
      <c r="E3306" t="s">
        <v>24</v>
      </c>
      <c r="F3306" t="s">
        <v>210</v>
      </c>
      <c r="G3306" t="s">
        <v>211</v>
      </c>
      <c r="H3306" t="s">
        <v>212</v>
      </c>
      <c r="I3306">
        <v>271.17</v>
      </c>
      <c r="J3306" s="34">
        <v>466950</v>
      </c>
      <c r="K3306" s="35">
        <f t="shared" si="195"/>
        <v>721</v>
      </c>
      <c r="L3306" s="31">
        <v>467671</v>
      </c>
      <c r="M3306" s="10">
        <f t="shared" si="196"/>
        <v>37.610263522884885</v>
      </c>
    </row>
    <row r="3307" spans="1:13" ht="15.75" hidden="1" customHeight="1" x14ac:dyDescent="0.3">
      <c r="B3307" t="s">
        <v>314</v>
      </c>
      <c r="C3307" s="25">
        <v>44582</v>
      </c>
      <c r="D3307" s="26">
        <v>0.94351851851851853</v>
      </c>
      <c r="E3307" t="s">
        <v>24</v>
      </c>
      <c r="F3307" t="s">
        <v>210</v>
      </c>
      <c r="G3307" t="s">
        <v>211</v>
      </c>
      <c r="H3307" t="s">
        <v>212</v>
      </c>
      <c r="I3307">
        <v>459.69</v>
      </c>
      <c r="J3307" s="7">
        <v>467671</v>
      </c>
      <c r="K3307" s="7">
        <f t="shared" si="195"/>
        <v>1130</v>
      </c>
      <c r="L3307" s="7">
        <v>468801</v>
      </c>
      <c r="M3307" s="10">
        <f t="shared" si="196"/>
        <v>40.680530973451326</v>
      </c>
    </row>
    <row r="3308" spans="1:13" ht="15.75" hidden="1" customHeight="1" x14ac:dyDescent="0.3">
      <c r="B3308" t="s">
        <v>314</v>
      </c>
      <c r="C3308" s="25">
        <v>44589</v>
      </c>
      <c r="D3308" s="26">
        <v>0.68031249999999999</v>
      </c>
      <c r="E3308" t="s">
        <v>24</v>
      </c>
      <c r="F3308" t="s">
        <v>197</v>
      </c>
      <c r="G3308" t="s">
        <v>44</v>
      </c>
      <c r="H3308" t="s">
        <v>212</v>
      </c>
      <c r="I3308">
        <v>100.01</v>
      </c>
      <c r="J3308" s="7">
        <v>0</v>
      </c>
      <c r="K3308" s="7">
        <f t="shared" si="195"/>
        <v>1230.5999999999999</v>
      </c>
      <c r="L3308" s="7">
        <v>1230.5999999999999</v>
      </c>
      <c r="M3308" s="10">
        <f t="shared" si="196"/>
        <v>8.1269299528685206</v>
      </c>
    </row>
    <row r="3309" spans="1:13" ht="15.75" hidden="1" customHeight="1" x14ac:dyDescent="0.3">
      <c r="B3309" t="s">
        <v>314</v>
      </c>
      <c r="C3309" s="25">
        <v>44590</v>
      </c>
      <c r="D3309" s="26">
        <v>0.47957175925925927</v>
      </c>
      <c r="E3309" t="s">
        <v>24</v>
      </c>
      <c r="F3309" t="s">
        <v>210</v>
      </c>
      <c r="G3309" t="s">
        <v>211</v>
      </c>
      <c r="H3309" t="s">
        <v>212</v>
      </c>
      <c r="I3309">
        <v>580.16</v>
      </c>
      <c r="J3309" s="7">
        <v>0</v>
      </c>
      <c r="K3309" s="35">
        <f t="shared" si="195"/>
        <v>587.22</v>
      </c>
      <c r="L3309" s="35">
        <v>587.22</v>
      </c>
      <c r="M3309" s="10">
        <f t="shared" si="196"/>
        <v>98.797724873131017</v>
      </c>
    </row>
    <row r="3310" spans="1:13" ht="15.75" hidden="1" customHeight="1" x14ac:dyDescent="0.3">
      <c r="B3310" t="s">
        <v>314</v>
      </c>
      <c r="C3310" s="25">
        <v>44591</v>
      </c>
      <c r="D3310" s="26">
        <v>0.73789351851851848</v>
      </c>
      <c r="E3310" t="s">
        <v>24</v>
      </c>
      <c r="F3310" t="s">
        <v>210</v>
      </c>
      <c r="G3310" t="s">
        <v>211</v>
      </c>
      <c r="H3310" t="s">
        <v>212</v>
      </c>
      <c r="I3310">
        <v>377.56</v>
      </c>
      <c r="J3310" s="7">
        <v>0</v>
      </c>
      <c r="K3310" s="7">
        <f t="shared" si="195"/>
        <v>1064.93</v>
      </c>
      <c r="L3310" s="7">
        <v>1064.93</v>
      </c>
      <c r="M3310" s="10">
        <f t="shared" si="196"/>
        <v>35.45397350060567</v>
      </c>
    </row>
    <row r="3311" spans="1:13" ht="15.75" hidden="1" customHeight="1" x14ac:dyDescent="0.3">
      <c r="A3311" s="9">
        <v>500</v>
      </c>
      <c r="B3311" t="s">
        <v>314</v>
      </c>
      <c r="C3311" s="25">
        <v>44593</v>
      </c>
      <c r="D3311" s="26">
        <v>0.53564814814814821</v>
      </c>
      <c r="E3311" t="s">
        <v>25</v>
      </c>
      <c r="F3311" t="s">
        <v>175</v>
      </c>
      <c r="G3311" t="s">
        <v>172</v>
      </c>
      <c r="H3311" t="s">
        <v>212</v>
      </c>
      <c r="I3311">
        <v>100</v>
      </c>
      <c r="J3311" s="31">
        <v>0</v>
      </c>
      <c r="K3311" s="35">
        <f t="shared" si="195"/>
        <v>995.91</v>
      </c>
      <c r="L3311" s="34">
        <v>995.91</v>
      </c>
      <c r="M3311" s="10">
        <f t="shared" si="196"/>
        <v>10.041067967989076</v>
      </c>
    </row>
    <row r="3312" spans="1:13" ht="15.75" hidden="1" customHeight="1" x14ac:dyDescent="0.3">
      <c r="A3312" s="9">
        <v>501</v>
      </c>
      <c r="B3312" t="s">
        <v>314</v>
      </c>
      <c r="C3312" s="25">
        <v>44594</v>
      </c>
      <c r="D3312" s="26">
        <v>0.80826388888888889</v>
      </c>
      <c r="E3312" t="s">
        <v>25</v>
      </c>
      <c r="F3312" t="s">
        <v>210</v>
      </c>
      <c r="G3312" t="s">
        <v>211</v>
      </c>
      <c r="H3312" t="s">
        <v>212</v>
      </c>
      <c r="I3312">
        <v>600.07000000000005</v>
      </c>
      <c r="J3312" s="31">
        <v>0</v>
      </c>
      <c r="K3312" s="7">
        <f t="shared" si="195"/>
        <v>837.96</v>
      </c>
      <c r="L3312" s="11">
        <v>837.96</v>
      </c>
      <c r="M3312" s="10">
        <f t="shared" si="196"/>
        <v>71.610816745429389</v>
      </c>
    </row>
    <row r="3313" spans="1:13" ht="15.75" hidden="1" customHeight="1" x14ac:dyDescent="0.3">
      <c r="A3313" s="9">
        <v>502</v>
      </c>
      <c r="B3313" t="s">
        <v>314</v>
      </c>
      <c r="C3313" s="25">
        <v>44596</v>
      </c>
      <c r="D3313" s="26">
        <v>0.11634259259259259</v>
      </c>
      <c r="E3313" t="s">
        <v>25</v>
      </c>
      <c r="F3313" t="s">
        <v>210</v>
      </c>
      <c r="G3313" t="s">
        <v>211</v>
      </c>
      <c r="H3313" t="s">
        <v>212</v>
      </c>
      <c r="I3313">
        <v>417</v>
      </c>
      <c r="J3313" s="7">
        <v>0</v>
      </c>
      <c r="K3313" s="7">
        <f t="shared" si="195"/>
        <v>1062.5999999999999</v>
      </c>
      <c r="L3313" s="11">
        <v>1062.5999999999999</v>
      </c>
      <c r="M3313" s="10">
        <f t="shared" si="196"/>
        <v>39.243365330321858</v>
      </c>
    </row>
    <row r="3314" spans="1:13" ht="15.75" hidden="1" customHeight="1" x14ac:dyDescent="0.3">
      <c r="A3314" s="9">
        <v>503</v>
      </c>
      <c r="B3314" t="s">
        <v>314</v>
      </c>
      <c r="C3314" s="25">
        <v>44597</v>
      </c>
      <c r="D3314" s="26">
        <v>0.81211805555555561</v>
      </c>
      <c r="E3314" t="s">
        <v>25</v>
      </c>
      <c r="F3314" t="s">
        <v>175</v>
      </c>
      <c r="G3314" t="s">
        <v>172</v>
      </c>
      <c r="H3314" t="s">
        <v>212</v>
      </c>
      <c r="I3314">
        <v>100</v>
      </c>
      <c r="J3314" s="7">
        <v>0</v>
      </c>
      <c r="K3314" s="7">
        <f t="shared" si="195"/>
        <v>1190.3399999999999</v>
      </c>
      <c r="L3314" s="11">
        <v>1190.3399999999999</v>
      </c>
      <c r="M3314" s="10">
        <f t="shared" si="196"/>
        <v>8.400961069946403</v>
      </c>
    </row>
    <row r="3315" spans="1:13" ht="15.75" hidden="1" customHeight="1" x14ac:dyDescent="0.3">
      <c r="A3315" s="9">
        <v>504</v>
      </c>
      <c r="B3315" t="s">
        <v>314</v>
      </c>
      <c r="C3315" s="25">
        <v>44598</v>
      </c>
      <c r="D3315" s="26">
        <v>0.43171296296296297</v>
      </c>
      <c r="E3315" t="s">
        <v>25</v>
      </c>
      <c r="F3315" t="s">
        <v>210</v>
      </c>
      <c r="G3315" t="s">
        <v>211</v>
      </c>
      <c r="H3315" t="s">
        <v>212</v>
      </c>
      <c r="I3315">
        <v>546</v>
      </c>
      <c r="J3315" s="34">
        <v>0</v>
      </c>
      <c r="K3315" s="7">
        <f t="shared" si="195"/>
        <v>696.35</v>
      </c>
      <c r="L3315" s="11">
        <v>696.35</v>
      </c>
      <c r="M3315" s="10">
        <f t="shared" si="196"/>
        <v>78.408846126229619</v>
      </c>
    </row>
    <row r="3316" spans="1:13" ht="15.75" hidden="1" customHeight="1" x14ac:dyDescent="0.3">
      <c r="A3316" s="9">
        <v>505</v>
      </c>
      <c r="B3316" t="s">
        <v>314</v>
      </c>
      <c r="C3316" s="25">
        <v>44599</v>
      </c>
      <c r="D3316" s="26">
        <v>0.70778935185185177</v>
      </c>
      <c r="E3316" t="s">
        <v>25</v>
      </c>
      <c r="F3316" t="s">
        <v>210</v>
      </c>
      <c r="G3316" t="s">
        <v>211</v>
      </c>
      <c r="H3316" t="s">
        <v>212</v>
      </c>
      <c r="I3316">
        <v>446.02</v>
      </c>
      <c r="J3316" s="31">
        <v>0</v>
      </c>
      <c r="K3316" s="35">
        <f t="shared" si="195"/>
        <v>1063.18</v>
      </c>
      <c r="L3316" s="7">
        <v>1063.18</v>
      </c>
      <c r="M3316" s="10">
        <f t="shared" si="196"/>
        <v>41.951503978630143</v>
      </c>
    </row>
    <row r="3317" spans="1:13" ht="15.75" hidden="1" customHeight="1" x14ac:dyDescent="0.3">
      <c r="A3317" s="9">
        <v>506</v>
      </c>
      <c r="B3317" t="s">
        <v>314</v>
      </c>
      <c r="C3317" s="25">
        <v>44602</v>
      </c>
      <c r="D3317" s="26">
        <v>0.48967592592592596</v>
      </c>
      <c r="E3317" t="s">
        <v>25</v>
      </c>
      <c r="F3317" t="s">
        <v>210</v>
      </c>
      <c r="G3317" t="s">
        <v>211</v>
      </c>
      <c r="H3317" t="s">
        <v>212</v>
      </c>
      <c r="I3317">
        <v>565.02</v>
      </c>
      <c r="J3317" s="28">
        <v>0</v>
      </c>
      <c r="K3317" s="28">
        <f t="shared" si="195"/>
        <v>1801.3</v>
      </c>
      <c r="L3317" s="32">
        <v>1801.3</v>
      </c>
      <c r="M3317" s="10">
        <f t="shared" si="196"/>
        <v>31.367345805806917</v>
      </c>
    </row>
    <row r="3318" spans="1:13" ht="15.75" hidden="1" customHeight="1" x14ac:dyDescent="0.3">
      <c r="A3318" s="9">
        <v>507</v>
      </c>
      <c r="B3318" t="s">
        <v>314</v>
      </c>
      <c r="C3318" s="25">
        <v>44603</v>
      </c>
      <c r="D3318" s="26">
        <v>0.72032407407407406</v>
      </c>
      <c r="E3318" t="s">
        <v>25</v>
      </c>
      <c r="F3318" t="s">
        <v>210</v>
      </c>
      <c r="G3318" t="s">
        <v>211</v>
      </c>
      <c r="H3318" t="s">
        <v>212</v>
      </c>
      <c r="I3318">
        <v>400.18</v>
      </c>
      <c r="J3318" s="31">
        <v>0</v>
      </c>
      <c r="K3318" s="31">
        <f t="shared" si="195"/>
        <v>1062.5899999999999</v>
      </c>
      <c r="L3318" s="32">
        <v>1062.5899999999999</v>
      </c>
      <c r="M3318" s="10">
        <f t="shared" si="196"/>
        <v>37.660809907866636</v>
      </c>
    </row>
    <row r="3319" spans="1:13" ht="15.75" hidden="1" customHeight="1" x14ac:dyDescent="0.3">
      <c r="A3319" s="9">
        <v>508</v>
      </c>
      <c r="B3319" t="s">
        <v>314</v>
      </c>
      <c r="C3319" s="25">
        <v>44611</v>
      </c>
      <c r="D3319" s="26">
        <v>0.3982175925925926</v>
      </c>
      <c r="E3319" t="s">
        <v>25</v>
      </c>
      <c r="F3319" t="s">
        <v>197</v>
      </c>
      <c r="G3319" t="s">
        <v>44</v>
      </c>
      <c r="H3319" t="s">
        <v>212</v>
      </c>
      <c r="I3319">
        <v>150.01</v>
      </c>
      <c r="J3319" s="7">
        <v>0</v>
      </c>
      <c r="K3319" s="34">
        <f t="shared" si="195"/>
        <v>1305.9100000000001</v>
      </c>
      <c r="L3319" s="34">
        <v>1305.9100000000001</v>
      </c>
      <c r="M3319" s="10">
        <f t="shared" si="196"/>
        <v>11.487009058817222</v>
      </c>
    </row>
    <row r="3320" spans="1:13" ht="15.75" hidden="1" customHeight="1" x14ac:dyDescent="0.3">
      <c r="A3320" s="9">
        <v>509</v>
      </c>
      <c r="B3320" t="s">
        <v>314</v>
      </c>
      <c r="C3320" s="25">
        <v>44611</v>
      </c>
      <c r="D3320" s="26">
        <v>0.79201388888888891</v>
      </c>
      <c r="E3320" t="s">
        <v>25</v>
      </c>
      <c r="F3320" t="s">
        <v>210</v>
      </c>
      <c r="G3320" t="s">
        <v>211</v>
      </c>
      <c r="H3320" t="s">
        <v>212</v>
      </c>
      <c r="I3320">
        <v>422.87</v>
      </c>
      <c r="J3320" s="34">
        <v>0</v>
      </c>
      <c r="K3320" s="35">
        <f t="shared" si="195"/>
        <v>575.49</v>
      </c>
      <c r="L3320" s="31">
        <v>575.49</v>
      </c>
      <c r="M3320" s="10">
        <f t="shared" si="196"/>
        <v>73.479990964221798</v>
      </c>
    </row>
    <row r="3321" spans="1:13" ht="15.75" hidden="1" customHeight="1" x14ac:dyDescent="0.3">
      <c r="A3321" s="9">
        <v>510</v>
      </c>
      <c r="B3321" t="s">
        <v>314</v>
      </c>
      <c r="C3321" s="25">
        <v>44613</v>
      </c>
      <c r="D3321" s="26">
        <v>0.62282407407407414</v>
      </c>
      <c r="E3321" t="s">
        <v>25</v>
      </c>
      <c r="F3321" t="s">
        <v>210</v>
      </c>
      <c r="G3321" t="s">
        <v>211</v>
      </c>
      <c r="H3321" t="s">
        <v>212</v>
      </c>
      <c r="I3321">
        <v>596.29999999999995</v>
      </c>
      <c r="J3321" s="34">
        <v>0</v>
      </c>
      <c r="K3321" s="34">
        <f t="shared" si="195"/>
        <v>1084.83</v>
      </c>
      <c r="L3321" s="7">
        <v>1084.83</v>
      </c>
      <c r="M3321" s="10">
        <f t="shared" si="196"/>
        <v>54.967137708212341</v>
      </c>
    </row>
    <row r="3322" spans="1:13" ht="15.75" hidden="1" customHeight="1" x14ac:dyDescent="0.3">
      <c r="A3322" s="9">
        <v>511</v>
      </c>
      <c r="B3322" t="s">
        <v>314</v>
      </c>
      <c r="C3322" s="25">
        <v>44614</v>
      </c>
      <c r="D3322" s="26">
        <v>0.66805555555555562</v>
      </c>
      <c r="E3322" t="s">
        <v>25</v>
      </c>
      <c r="F3322" t="s">
        <v>175</v>
      </c>
      <c r="G3322" t="s">
        <v>172</v>
      </c>
      <c r="H3322" t="s">
        <v>212</v>
      </c>
      <c r="I3322">
        <v>351.36</v>
      </c>
      <c r="J3322" s="34">
        <v>0</v>
      </c>
      <c r="K3322" s="34">
        <f t="shared" si="195"/>
        <v>925.72</v>
      </c>
      <c r="L3322" s="34">
        <v>925.72</v>
      </c>
      <c r="M3322" s="10">
        <f t="shared" si="196"/>
        <v>37.955321263448994</v>
      </c>
    </row>
    <row r="3323" spans="1:13" ht="15.75" hidden="1" customHeight="1" x14ac:dyDescent="0.3">
      <c r="A3323" s="9">
        <v>512</v>
      </c>
      <c r="B3323" t="s">
        <v>314</v>
      </c>
      <c r="C3323" s="25">
        <v>44615</v>
      </c>
      <c r="D3323" s="26">
        <v>0.65395833333333331</v>
      </c>
      <c r="E3323" t="s">
        <v>25</v>
      </c>
      <c r="F3323" t="s">
        <v>210</v>
      </c>
      <c r="G3323" t="s">
        <v>211</v>
      </c>
      <c r="H3323" t="s">
        <v>212</v>
      </c>
      <c r="I3323">
        <v>303.86</v>
      </c>
      <c r="J3323" s="34">
        <v>0</v>
      </c>
      <c r="K3323" s="34">
        <f t="shared" si="195"/>
        <v>827.58</v>
      </c>
      <c r="L3323" s="7">
        <v>827.58</v>
      </c>
      <c r="M3323" s="10">
        <f t="shared" si="196"/>
        <v>36.71669204185698</v>
      </c>
    </row>
    <row r="3324" spans="1:13" ht="15.75" hidden="1" customHeight="1" x14ac:dyDescent="0.3">
      <c r="A3324" s="9">
        <v>513</v>
      </c>
      <c r="B3324" t="s">
        <v>314</v>
      </c>
      <c r="C3324" s="25">
        <v>44616</v>
      </c>
      <c r="D3324" s="26">
        <v>0.79027777777777775</v>
      </c>
      <c r="E3324" t="s">
        <v>25</v>
      </c>
      <c r="F3324" t="s">
        <v>210</v>
      </c>
      <c r="G3324" t="s">
        <v>211</v>
      </c>
      <c r="H3324" t="s">
        <v>212</v>
      </c>
      <c r="I3324">
        <v>405.87</v>
      </c>
      <c r="J3324" s="7">
        <v>0</v>
      </c>
      <c r="K3324" s="34">
        <f t="shared" si="195"/>
        <v>1062.1400000000001</v>
      </c>
      <c r="L3324" s="34">
        <v>1062.1400000000001</v>
      </c>
      <c r="M3324" s="10">
        <f t="shared" si="196"/>
        <v>38.212476697987078</v>
      </c>
    </row>
    <row r="3325" spans="1:13" ht="15.75" hidden="1" customHeight="1" x14ac:dyDescent="0.3">
      <c r="A3325" s="9">
        <v>514</v>
      </c>
      <c r="B3325" t="s">
        <v>314</v>
      </c>
      <c r="C3325" s="25">
        <v>44617</v>
      </c>
      <c r="D3325" s="26">
        <v>0.85194444444444439</v>
      </c>
      <c r="E3325" t="s">
        <v>25</v>
      </c>
      <c r="F3325" t="s">
        <v>419</v>
      </c>
      <c r="G3325" t="s">
        <v>238</v>
      </c>
      <c r="H3325" t="s">
        <v>212</v>
      </c>
      <c r="I3325">
        <v>376.54</v>
      </c>
      <c r="J3325" s="7">
        <v>0</v>
      </c>
      <c r="K3325" s="7">
        <f t="shared" si="195"/>
        <v>1059.9000000000001</v>
      </c>
      <c r="L3325" s="7">
        <v>1059.9000000000001</v>
      </c>
      <c r="M3325" s="10">
        <f t="shared" si="196"/>
        <v>35.525993018209263</v>
      </c>
    </row>
    <row r="3326" spans="1:13" ht="15.75" hidden="1" customHeight="1" x14ac:dyDescent="0.3">
      <c r="A3326" s="9">
        <v>515</v>
      </c>
      <c r="B3326" t="s">
        <v>314</v>
      </c>
      <c r="C3326" s="25">
        <v>44618</v>
      </c>
      <c r="D3326" s="26">
        <v>0.89687499999999998</v>
      </c>
      <c r="E3326" t="s">
        <v>25</v>
      </c>
      <c r="F3326" t="s">
        <v>210</v>
      </c>
      <c r="G3326" t="s">
        <v>211</v>
      </c>
      <c r="H3326" t="s">
        <v>212</v>
      </c>
      <c r="I3326">
        <v>302.61</v>
      </c>
      <c r="J3326" s="34">
        <v>0</v>
      </c>
      <c r="K3326" s="34">
        <f t="shared" si="195"/>
        <v>723.34</v>
      </c>
      <c r="L3326" s="34">
        <v>723.34</v>
      </c>
      <c r="M3326" s="10">
        <f t="shared" si="196"/>
        <v>41.835098294024945</v>
      </c>
    </row>
    <row r="3327" spans="1:13" ht="15.75" hidden="1" customHeight="1" x14ac:dyDescent="0.3">
      <c r="A3327" s="9">
        <v>516</v>
      </c>
      <c r="B3327" t="s">
        <v>314</v>
      </c>
      <c r="C3327" s="25">
        <v>44620</v>
      </c>
      <c r="D3327" s="26">
        <v>0.57799768518518524</v>
      </c>
      <c r="E3327" t="s">
        <v>25</v>
      </c>
      <c r="F3327" t="s">
        <v>376</v>
      </c>
      <c r="G3327" t="s">
        <v>377</v>
      </c>
      <c r="H3327" t="s">
        <v>212</v>
      </c>
      <c r="I3327">
        <v>506</v>
      </c>
      <c r="J3327" s="7">
        <v>0</v>
      </c>
      <c r="K3327" s="7">
        <f t="shared" si="195"/>
        <v>1349.43</v>
      </c>
      <c r="L3327" s="7">
        <v>1349.43</v>
      </c>
      <c r="M3327" s="10">
        <f t="shared" si="196"/>
        <v>37.497313680591063</v>
      </c>
    </row>
    <row r="3328" spans="1:13" ht="15.75" hidden="1" customHeight="1" x14ac:dyDescent="0.3">
      <c r="A3328" s="9">
        <v>1225</v>
      </c>
      <c r="B3328" t="s">
        <v>314</v>
      </c>
      <c r="C3328" s="25">
        <v>44601</v>
      </c>
      <c r="D3328" s="26">
        <v>0.55618055555555557</v>
      </c>
      <c r="E3328" t="s">
        <v>25</v>
      </c>
      <c r="F3328" t="s">
        <v>175</v>
      </c>
      <c r="G3328" t="s">
        <v>172</v>
      </c>
      <c r="H3328"/>
      <c r="I3328">
        <v>100</v>
      </c>
      <c r="J3328" s="7">
        <v>0</v>
      </c>
      <c r="K3328" s="35">
        <f t="shared" si="195"/>
        <v>1158.8</v>
      </c>
      <c r="L3328" s="34">
        <v>1158.8</v>
      </c>
      <c r="M3328" s="10">
        <f t="shared" si="196"/>
        <v>8.629616845012082</v>
      </c>
    </row>
    <row r="3329" spans="1:13" ht="15.75" hidden="1" customHeight="1" x14ac:dyDescent="0.3">
      <c r="A3329" s="9">
        <v>1545</v>
      </c>
      <c r="B3329" t="s">
        <v>314</v>
      </c>
      <c r="C3329" s="25">
        <v>44621</v>
      </c>
      <c r="D3329" s="26">
        <v>0.72553240740740732</v>
      </c>
      <c r="E3329" t="s">
        <v>26</v>
      </c>
      <c r="F3329" t="s">
        <v>210</v>
      </c>
      <c r="G3329" t="s">
        <v>211</v>
      </c>
      <c r="H3329" t="s">
        <v>212</v>
      </c>
      <c r="I3329">
        <v>487.87</v>
      </c>
      <c r="J3329" s="40">
        <v>0</v>
      </c>
      <c r="K3329" s="90">
        <f t="shared" si="195"/>
        <v>1342.91</v>
      </c>
      <c r="L3329" s="11">
        <v>1342.91</v>
      </c>
      <c r="M3329" s="10">
        <f t="shared" si="196"/>
        <v>36.329314697187449</v>
      </c>
    </row>
    <row r="3330" spans="1:13" ht="15.75" hidden="1" customHeight="1" x14ac:dyDescent="0.3">
      <c r="A3330" s="9">
        <v>1546</v>
      </c>
      <c r="B3330" t="s">
        <v>314</v>
      </c>
      <c r="C3330" s="25">
        <v>44627</v>
      </c>
      <c r="D3330" s="26">
        <v>0.79931712962962964</v>
      </c>
      <c r="E3330" t="s">
        <v>26</v>
      </c>
      <c r="F3330" t="s">
        <v>166</v>
      </c>
      <c r="G3330" t="s">
        <v>161</v>
      </c>
      <c r="H3330" t="s">
        <v>212</v>
      </c>
      <c r="I3330">
        <v>60</v>
      </c>
      <c r="J3330" s="39">
        <v>0</v>
      </c>
      <c r="K3330" s="90">
        <f t="shared" si="195"/>
        <v>1744.78</v>
      </c>
      <c r="L3330" s="30">
        <v>1744.78</v>
      </c>
      <c r="M3330" s="10">
        <f t="shared" si="196"/>
        <v>3.4388289641100882</v>
      </c>
    </row>
    <row r="3331" spans="1:13" ht="15.75" hidden="1" customHeight="1" x14ac:dyDescent="0.3">
      <c r="A3331" s="9">
        <v>1547</v>
      </c>
      <c r="B3331" t="s">
        <v>314</v>
      </c>
      <c r="C3331" s="25">
        <v>44627</v>
      </c>
      <c r="D3331" s="26">
        <v>0.84559027777777773</v>
      </c>
      <c r="E3331" t="s">
        <v>26</v>
      </c>
      <c r="F3331" t="s">
        <v>210</v>
      </c>
      <c r="G3331" t="s">
        <v>211</v>
      </c>
      <c r="H3331" t="s">
        <v>212</v>
      </c>
      <c r="I3331">
        <v>635.47</v>
      </c>
      <c r="J3331" s="39">
        <v>0</v>
      </c>
      <c r="K3331" s="90">
        <f t="shared" si="195"/>
        <v>75.989999999999995</v>
      </c>
      <c r="L3331" s="30">
        <v>75.989999999999995</v>
      </c>
      <c r="M3331" s="10">
        <f t="shared" si="196"/>
        <v>836.25477036452173</v>
      </c>
    </row>
    <row r="3332" spans="1:13" ht="15.75" hidden="1" customHeight="1" x14ac:dyDescent="0.3">
      <c r="A3332" s="9">
        <v>1548</v>
      </c>
      <c r="B3332" t="s">
        <v>314</v>
      </c>
      <c r="C3332" s="25">
        <v>44628</v>
      </c>
      <c r="D3332" s="26">
        <v>0.94646990740740744</v>
      </c>
      <c r="E3332" t="s">
        <v>26</v>
      </c>
      <c r="F3332" t="s">
        <v>210</v>
      </c>
      <c r="G3332" t="s">
        <v>211</v>
      </c>
      <c r="H3332" t="s">
        <v>212</v>
      </c>
      <c r="I3332">
        <v>410.9</v>
      </c>
      <c r="J3332" s="7">
        <v>0</v>
      </c>
      <c r="K3332" s="90">
        <f t="shared" si="195"/>
        <v>1065.94</v>
      </c>
      <c r="L3332" s="7">
        <v>1065.94</v>
      </c>
      <c r="M3332" s="10">
        <f t="shared" si="196"/>
        <v>38.548135917593854</v>
      </c>
    </row>
    <row r="3333" spans="1:13" ht="15.75" hidden="1" customHeight="1" x14ac:dyDescent="0.3">
      <c r="A3333" s="9">
        <v>1549</v>
      </c>
      <c r="B3333" t="s">
        <v>314</v>
      </c>
      <c r="C3333" s="25">
        <v>44631</v>
      </c>
      <c r="D3333" s="26">
        <v>0.87850694444444455</v>
      </c>
      <c r="E3333" t="s">
        <v>26</v>
      </c>
      <c r="F3333" t="s">
        <v>477</v>
      </c>
      <c r="G3333" t="s">
        <v>277</v>
      </c>
      <c r="H3333" t="s">
        <v>212</v>
      </c>
      <c r="I3333">
        <v>100.04</v>
      </c>
      <c r="J3333" s="31">
        <v>0</v>
      </c>
      <c r="K3333" s="99">
        <f t="shared" si="195"/>
        <v>1692.33</v>
      </c>
      <c r="L3333" s="31">
        <v>1692.33</v>
      </c>
      <c r="M3333" s="131">
        <f t="shared" si="196"/>
        <v>5.9113766227627007</v>
      </c>
    </row>
    <row r="3334" spans="1:13" ht="15.75" hidden="1" customHeight="1" x14ac:dyDescent="0.3">
      <c r="B3334" t="s">
        <v>323</v>
      </c>
      <c r="C3334" s="25">
        <v>44752</v>
      </c>
      <c r="D3334" s="26">
        <v>5.0578703703703709E-2</v>
      </c>
      <c r="E3334" t="s">
        <v>30</v>
      </c>
      <c r="F3334" t="s">
        <v>210</v>
      </c>
      <c r="G3334" t="s">
        <v>211</v>
      </c>
      <c r="H3334" t="s">
        <v>187</v>
      </c>
      <c r="I3334" s="173">
        <v>380.91</v>
      </c>
      <c r="J3334" s="160">
        <f>223+179+262+381</f>
        <v>1045</v>
      </c>
      <c r="K3334" s="160"/>
      <c r="L3334" s="160">
        <v>2816</v>
      </c>
      <c r="M3334" s="254">
        <f>+J3334/L3334*100</f>
        <v>37.109375</v>
      </c>
    </row>
    <row r="3335" spans="1:13" ht="15.75" hidden="1" customHeight="1" x14ac:dyDescent="0.3">
      <c r="B3335" t="s">
        <v>323</v>
      </c>
      <c r="C3335" s="25">
        <v>44753</v>
      </c>
      <c r="D3335" s="26">
        <v>0.42170138888888892</v>
      </c>
      <c r="E3335" t="s">
        <v>30</v>
      </c>
      <c r="F3335" t="s">
        <v>169</v>
      </c>
      <c r="G3335" t="s">
        <v>196</v>
      </c>
      <c r="H3335" t="s">
        <v>187</v>
      </c>
      <c r="I3335" s="173">
        <v>100.02</v>
      </c>
      <c r="J3335" s="23"/>
      <c r="K3335" s="90"/>
      <c r="L3335" s="23"/>
      <c r="M3335" s="254" t="e">
        <f t="shared" ref="M3335:M3366" si="197">I3335/K3335*100</f>
        <v>#DIV/0!</v>
      </c>
    </row>
    <row r="3336" spans="1:13" ht="15.75" hidden="1" customHeight="1" x14ac:dyDescent="0.3">
      <c r="B3336" t="s">
        <v>348</v>
      </c>
      <c r="C3336" s="25">
        <v>44564</v>
      </c>
      <c r="D3336" s="26">
        <v>0.80013888888888884</v>
      </c>
      <c r="E3336" t="s">
        <v>24</v>
      </c>
      <c r="F3336" t="s">
        <v>210</v>
      </c>
      <c r="G3336" t="s">
        <v>211</v>
      </c>
      <c r="H3336" t="s">
        <v>204</v>
      </c>
      <c r="I3336">
        <v>360.39</v>
      </c>
      <c r="J3336" s="34">
        <v>0</v>
      </c>
      <c r="K3336" s="30">
        <f t="shared" ref="K3336:K3367" si="198">+L3336-J3336</f>
        <v>837.94</v>
      </c>
      <c r="L3336" s="30">
        <v>837.94</v>
      </c>
      <c r="M3336" s="61">
        <f t="shared" si="197"/>
        <v>43.009045993746561</v>
      </c>
    </row>
    <row r="3337" spans="1:13" ht="15.75" hidden="1" customHeight="1" x14ac:dyDescent="0.3">
      <c r="B3337" t="s">
        <v>348</v>
      </c>
      <c r="C3337" s="25">
        <v>44565</v>
      </c>
      <c r="D3337" s="26">
        <v>0.70616898148148144</v>
      </c>
      <c r="E3337" t="s">
        <v>24</v>
      </c>
      <c r="F3337" t="s">
        <v>165</v>
      </c>
      <c r="G3337" t="s">
        <v>185</v>
      </c>
      <c r="H3337" t="s">
        <v>204</v>
      </c>
      <c r="I3337">
        <v>276.49</v>
      </c>
      <c r="J3337" s="7">
        <v>0</v>
      </c>
      <c r="K3337" s="11">
        <f t="shared" si="198"/>
        <v>549.66999999999996</v>
      </c>
      <c r="L3337" s="51">
        <v>549.66999999999996</v>
      </c>
      <c r="M3337" s="10">
        <f t="shared" si="197"/>
        <v>50.301089744755942</v>
      </c>
    </row>
    <row r="3338" spans="1:13" ht="15.75" hidden="1" customHeight="1" x14ac:dyDescent="0.3">
      <c r="B3338" t="s">
        <v>348</v>
      </c>
      <c r="C3338" s="25">
        <v>44566</v>
      </c>
      <c r="D3338" s="26">
        <v>0.61177083333333326</v>
      </c>
      <c r="E3338" t="s">
        <v>24</v>
      </c>
      <c r="F3338" t="s">
        <v>202</v>
      </c>
      <c r="G3338" t="s">
        <v>203</v>
      </c>
      <c r="H3338" t="s">
        <v>204</v>
      </c>
      <c r="I3338">
        <v>187.98</v>
      </c>
      <c r="J3338" s="7">
        <v>0</v>
      </c>
      <c r="K3338" s="11">
        <f t="shared" si="198"/>
        <v>536.33000000000004</v>
      </c>
      <c r="L3338" s="11">
        <v>536.33000000000004</v>
      </c>
      <c r="M3338" s="10">
        <f t="shared" si="197"/>
        <v>35.049316652061222</v>
      </c>
    </row>
    <row r="3339" spans="1:13" ht="15.75" hidden="1" customHeight="1" x14ac:dyDescent="0.3">
      <c r="B3339" t="s">
        <v>348</v>
      </c>
      <c r="C3339" s="25">
        <v>44567</v>
      </c>
      <c r="D3339" s="26">
        <v>0.54532407407407402</v>
      </c>
      <c r="E3339" t="s">
        <v>24</v>
      </c>
      <c r="F3339" t="s">
        <v>202</v>
      </c>
      <c r="G3339" t="s">
        <v>203</v>
      </c>
      <c r="H3339" t="s">
        <v>204</v>
      </c>
      <c r="I3339">
        <v>193.72</v>
      </c>
      <c r="J3339" s="7">
        <v>0</v>
      </c>
      <c r="K3339" s="11">
        <f t="shared" si="198"/>
        <v>500.27</v>
      </c>
      <c r="L3339" s="51">
        <v>500.27</v>
      </c>
      <c r="M3339" s="10">
        <f t="shared" si="197"/>
        <v>38.72308953165291</v>
      </c>
    </row>
    <row r="3340" spans="1:13" ht="15.75" hidden="1" customHeight="1" x14ac:dyDescent="0.3">
      <c r="B3340" t="s">
        <v>348</v>
      </c>
      <c r="C3340" s="25">
        <v>44568</v>
      </c>
      <c r="D3340" s="26">
        <v>0.73697916666666663</v>
      </c>
      <c r="E3340" t="s">
        <v>24</v>
      </c>
      <c r="F3340" t="s">
        <v>210</v>
      </c>
      <c r="G3340" t="s">
        <v>211</v>
      </c>
      <c r="H3340" t="s">
        <v>204</v>
      </c>
      <c r="I3340">
        <v>410.36</v>
      </c>
      <c r="J3340" s="7">
        <v>0</v>
      </c>
      <c r="K3340" s="11">
        <f t="shared" si="198"/>
        <v>1082.6099999999999</v>
      </c>
      <c r="L3340" s="11">
        <v>1082.6099999999999</v>
      </c>
      <c r="M3340" s="10">
        <f t="shared" si="197"/>
        <v>37.904693287518128</v>
      </c>
    </row>
    <row r="3341" spans="1:13" ht="15.75" hidden="1" customHeight="1" x14ac:dyDescent="0.3">
      <c r="B3341" t="s">
        <v>348</v>
      </c>
      <c r="C3341" s="25">
        <v>44569</v>
      </c>
      <c r="D3341" s="26">
        <v>0.70945601851851858</v>
      </c>
      <c r="E3341" t="s">
        <v>24</v>
      </c>
      <c r="F3341" t="s">
        <v>175</v>
      </c>
      <c r="G3341" t="s">
        <v>172</v>
      </c>
      <c r="H3341" t="s">
        <v>204</v>
      </c>
      <c r="I3341">
        <v>383.69</v>
      </c>
      <c r="J3341" s="51">
        <v>0</v>
      </c>
      <c r="K3341" s="11">
        <f t="shared" si="198"/>
        <v>917.78</v>
      </c>
      <c r="L3341" s="51">
        <v>917.78</v>
      </c>
      <c r="M3341" s="10">
        <f t="shared" si="197"/>
        <v>41.806315238946148</v>
      </c>
    </row>
    <row r="3342" spans="1:13" ht="15.75" hidden="1" customHeight="1" x14ac:dyDescent="0.3">
      <c r="B3342" t="s">
        <v>348</v>
      </c>
      <c r="C3342" s="25">
        <v>44572</v>
      </c>
      <c r="D3342" s="26">
        <v>0.93942129629629623</v>
      </c>
      <c r="E3342" t="s">
        <v>24</v>
      </c>
      <c r="F3342" t="s">
        <v>210</v>
      </c>
      <c r="G3342" t="s">
        <v>211</v>
      </c>
      <c r="H3342" t="s">
        <v>204</v>
      </c>
      <c r="I3342">
        <v>516.42999999999995</v>
      </c>
      <c r="J3342" s="51">
        <v>0</v>
      </c>
      <c r="K3342" s="11">
        <f t="shared" si="198"/>
        <v>1206.83</v>
      </c>
      <c r="L3342" s="51">
        <v>1206.83</v>
      </c>
      <c r="M3342" s="10">
        <f t="shared" si="197"/>
        <v>42.792273973964853</v>
      </c>
    </row>
    <row r="3343" spans="1:13" ht="15.75" hidden="1" customHeight="1" x14ac:dyDescent="0.3">
      <c r="B3343" t="s">
        <v>348</v>
      </c>
      <c r="C3343" s="25">
        <v>44575</v>
      </c>
      <c r="D3343" s="26">
        <v>0.47903935185185187</v>
      </c>
      <c r="E3343" t="s">
        <v>24</v>
      </c>
      <c r="F3343" t="s">
        <v>210</v>
      </c>
      <c r="G3343" t="s">
        <v>211</v>
      </c>
      <c r="H3343" t="s">
        <v>204</v>
      </c>
      <c r="I3343">
        <v>427.23</v>
      </c>
      <c r="J3343" s="51">
        <v>0</v>
      </c>
      <c r="K3343" s="11">
        <f t="shared" si="198"/>
        <v>1093.77</v>
      </c>
      <c r="L3343" s="51">
        <v>1093.77</v>
      </c>
      <c r="M3343" s="10">
        <f t="shared" si="197"/>
        <v>39.060314325680906</v>
      </c>
    </row>
    <row r="3344" spans="1:13" ht="15.75" hidden="1" customHeight="1" x14ac:dyDescent="0.3">
      <c r="B3344" t="s">
        <v>348</v>
      </c>
      <c r="C3344" s="25">
        <v>44576</v>
      </c>
      <c r="D3344" s="26">
        <v>0.5975462962962963</v>
      </c>
      <c r="E3344" t="s">
        <v>24</v>
      </c>
      <c r="F3344" t="s">
        <v>175</v>
      </c>
      <c r="G3344" t="s">
        <v>172</v>
      </c>
      <c r="H3344" t="s">
        <v>204</v>
      </c>
      <c r="I3344">
        <v>366.27</v>
      </c>
      <c r="J3344" s="39">
        <v>0</v>
      </c>
      <c r="K3344" s="11">
        <f t="shared" si="198"/>
        <v>896.6</v>
      </c>
      <c r="L3344" s="11">
        <v>896.6</v>
      </c>
      <c r="M3344" s="10">
        <f t="shared" si="197"/>
        <v>40.850992638857903</v>
      </c>
    </row>
    <row r="3345" spans="1:13" ht="15.75" hidden="1" customHeight="1" x14ac:dyDescent="0.3">
      <c r="B3345" t="s">
        <v>348</v>
      </c>
      <c r="C3345" s="25">
        <v>44581</v>
      </c>
      <c r="D3345" s="26">
        <v>0.82078703703703704</v>
      </c>
      <c r="E3345" t="s">
        <v>24</v>
      </c>
      <c r="F3345" t="s">
        <v>210</v>
      </c>
      <c r="G3345" t="s">
        <v>211</v>
      </c>
      <c r="H3345" t="s">
        <v>204</v>
      </c>
      <c r="I3345">
        <v>363.2</v>
      </c>
      <c r="J3345" s="76">
        <v>0</v>
      </c>
      <c r="K3345" s="11">
        <f t="shared" si="198"/>
        <v>831.31</v>
      </c>
      <c r="L3345" s="11">
        <v>831.31</v>
      </c>
      <c r="M3345" s="10">
        <f t="shared" si="197"/>
        <v>43.690079513057704</v>
      </c>
    </row>
    <row r="3346" spans="1:13" ht="15.75" hidden="1" customHeight="1" x14ac:dyDescent="0.3">
      <c r="B3346" t="s">
        <v>348</v>
      </c>
      <c r="C3346" s="25">
        <v>44583</v>
      </c>
      <c r="D3346" s="26">
        <v>0.35322916666666665</v>
      </c>
      <c r="E3346" t="s">
        <v>24</v>
      </c>
      <c r="F3346" t="s">
        <v>210</v>
      </c>
      <c r="G3346" t="s">
        <v>211</v>
      </c>
      <c r="H3346" t="s">
        <v>204</v>
      </c>
      <c r="I3346">
        <v>441.57</v>
      </c>
      <c r="J3346" s="39">
        <v>0</v>
      </c>
      <c r="K3346" s="11">
        <f t="shared" si="198"/>
        <v>1054.69</v>
      </c>
      <c r="L3346" s="29">
        <v>1054.69</v>
      </c>
      <c r="M3346" s="10">
        <f t="shared" si="197"/>
        <v>41.867278536821246</v>
      </c>
    </row>
    <row r="3347" spans="1:13" ht="15.75" hidden="1" customHeight="1" x14ac:dyDescent="0.3">
      <c r="B3347" t="s">
        <v>348</v>
      </c>
      <c r="C3347" s="25">
        <v>44585</v>
      </c>
      <c r="D3347" s="26">
        <v>0.32120370370370371</v>
      </c>
      <c r="E3347" t="s">
        <v>24</v>
      </c>
      <c r="F3347" t="s">
        <v>175</v>
      </c>
      <c r="G3347" t="s">
        <v>172</v>
      </c>
      <c r="H3347" t="s">
        <v>204</v>
      </c>
      <c r="I3347">
        <v>364.69</v>
      </c>
      <c r="J3347" s="39">
        <v>0</v>
      </c>
      <c r="K3347" s="11">
        <f t="shared" si="198"/>
        <v>906.62</v>
      </c>
      <c r="L3347" s="11">
        <v>906.62</v>
      </c>
      <c r="M3347" s="10">
        <f t="shared" si="197"/>
        <v>40.225232181068144</v>
      </c>
    </row>
    <row r="3348" spans="1:13" ht="15.75" hidden="1" customHeight="1" x14ac:dyDescent="0.3">
      <c r="B3348" t="s">
        <v>348</v>
      </c>
      <c r="C3348" s="25">
        <v>44586</v>
      </c>
      <c r="D3348" s="26">
        <v>0.66288194444444437</v>
      </c>
      <c r="E3348" t="s">
        <v>24</v>
      </c>
      <c r="F3348" t="s">
        <v>175</v>
      </c>
      <c r="G3348" t="s">
        <v>172</v>
      </c>
      <c r="H3348" t="s">
        <v>204</v>
      </c>
      <c r="I3348">
        <v>208.78</v>
      </c>
      <c r="J3348" s="73">
        <v>0</v>
      </c>
      <c r="K3348" s="11">
        <f t="shared" si="198"/>
        <v>579.88</v>
      </c>
      <c r="L3348" s="11">
        <v>579.88</v>
      </c>
      <c r="M3348" s="10">
        <f t="shared" si="197"/>
        <v>36.004000827757466</v>
      </c>
    </row>
    <row r="3349" spans="1:13" ht="15.75" hidden="1" customHeight="1" x14ac:dyDescent="0.3">
      <c r="B3349" t="s">
        <v>348</v>
      </c>
      <c r="C3349" s="25">
        <v>44587</v>
      </c>
      <c r="D3349" s="26">
        <v>0.73472222222222217</v>
      </c>
      <c r="E3349" t="s">
        <v>24</v>
      </c>
      <c r="F3349" t="s">
        <v>210</v>
      </c>
      <c r="G3349" t="s">
        <v>211</v>
      </c>
      <c r="H3349" t="s">
        <v>204</v>
      </c>
      <c r="I3349">
        <v>368.95</v>
      </c>
      <c r="J3349" s="40">
        <v>0</v>
      </c>
      <c r="K3349" s="11">
        <f t="shared" si="198"/>
        <v>773.76</v>
      </c>
      <c r="L3349" s="55">
        <v>773.76</v>
      </c>
      <c r="M3349" s="10">
        <f t="shared" si="197"/>
        <v>47.682744003308521</v>
      </c>
    </row>
    <row r="3350" spans="1:13" ht="15.75" hidden="1" customHeight="1" x14ac:dyDescent="0.3">
      <c r="B3350" t="s">
        <v>348</v>
      </c>
      <c r="C3350" s="25">
        <v>44589</v>
      </c>
      <c r="D3350" s="26">
        <v>0.36709490740740741</v>
      </c>
      <c r="E3350" t="s">
        <v>24</v>
      </c>
      <c r="F3350" t="s">
        <v>210</v>
      </c>
      <c r="G3350" t="s">
        <v>211</v>
      </c>
      <c r="H3350" t="s">
        <v>204</v>
      </c>
      <c r="I3350">
        <v>421.31</v>
      </c>
      <c r="J3350" s="7">
        <v>0</v>
      </c>
      <c r="K3350" s="11">
        <f t="shared" si="198"/>
        <v>1055.5999999999999</v>
      </c>
      <c r="L3350" s="11">
        <v>1055.5999999999999</v>
      </c>
      <c r="M3350" s="10">
        <f t="shared" si="197"/>
        <v>39.911898446381208</v>
      </c>
    </row>
    <row r="3351" spans="1:13" ht="15.75" hidden="1" customHeight="1" x14ac:dyDescent="0.3">
      <c r="B3351" t="s">
        <v>348</v>
      </c>
      <c r="C3351" s="25">
        <v>44590</v>
      </c>
      <c r="D3351" s="26">
        <v>0.52541666666666664</v>
      </c>
      <c r="E3351" t="s">
        <v>24</v>
      </c>
      <c r="F3351" t="s">
        <v>175</v>
      </c>
      <c r="G3351" t="s">
        <v>172</v>
      </c>
      <c r="H3351" t="s">
        <v>204</v>
      </c>
      <c r="I3351">
        <v>362.62</v>
      </c>
      <c r="J3351" s="7">
        <v>0</v>
      </c>
      <c r="K3351" s="11">
        <f t="shared" si="198"/>
        <v>935.28</v>
      </c>
      <c r="L3351" s="34">
        <v>935.28</v>
      </c>
      <c r="M3351" s="10">
        <f t="shared" si="197"/>
        <v>38.77127705072278</v>
      </c>
    </row>
    <row r="3352" spans="1:13" ht="15.75" hidden="1" customHeight="1" x14ac:dyDescent="0.3">
      <c r="A3352" s="9">
        <v>436</v>
      </c>
      <c r="B3352" t="s">
        <v>348</v>
      </c>
      <c r="C3352" s="25">
        <v>44594</v>
      </c>
      <c r="D3352" s="26">
        <v>0.80685185185185182</v>
      </c>
      <c r="E3352" t="s">
        <v>25</v>
      </c>
      <c r="F3352" t="s">
        <v>175</v>
      </c>
      <c r="G3352" t="s">
        <v>172</v>
      </c>
      <c r="H3352" t="s">
        <v>204</v>
      </c>
      <c r="I3352">
        <v>166.79</v>
      </c>
      <c r="J3352" s="7">
        <v>0</v>
      </c>
      <c r="K3352" s="11">
        <f t="shared" si="198"/>
        <v>389.29</v>
      </c>
      <c r="L3352" s="7">
        <v>389.29</v>
      </c>
      <c r="M3352" s="10">
        <f t="shared" si="197"/>
        <v>42.844665930283334</v>
      </c>
    </row>
    <row r="3353" spans="1:13" ht="15.75" hidden="1" customHeight="1" x14ac:dyDescent="0.3">
      <c r="A3353" s="9">
        <v>437</v>
      </c>
      <c r="B3353" t="s">
        <v>348</v>
      </c>
      <c r="C3353" s="25">
        <v>44596</v>
      </c>
      <c r="D3353" s="26">
        <v>0.83356481481481481</v>
      </c>
      <c r="E3353" t="s">
        <v>25</v>
      </c>
      <c r="F3353" t="s">
        <v>210</v>
      </c>
      <c r="G3353" t="s">
        <v>211</v>
      </c>
      <c r="H3353" t="s">
        <v>204</v>
      </c>
      <c r="I3353">
        <v>372.5</v>
      </c>
      <c r="J3353" s="7">
        <v>0</v>
      </c>
      <c r="K3353" s="11">
        <f t="shared" si="198"/>
        <v>811.54</v>
      </c>
      <c r="L3353" s="34">
        <v>811.54</v>
      </c>
      <c r="M3353" s="10">
        <f t="shared" si="197"/>
        <v>45.900386918697791</v>
      </c>
    </row>
    <row r="3354" spans="1:13" ht="15.75" hidden="1" customHeight="1" x14ac:dyDescent="0.3">
      <c r="A3354" s="9">
        <v>438</v>
      </c>
      <c r="B3354" t="s">
        <v>348</v>
      </c>
      <c r="C3354" s="25">
        <v>44598</v>
      </c>
      <c r="D3354" s="26">
        <v>0.4541782407407407</v>
      </c>
      <c r="E3354" t="s">
        <v>25</v>
      </c>
      <c r="F3354" t="s">
        <v>210</v>
      </c>
      <c r="G3354" t="s">
        <v>211</v>
      </c>
      <c r="H3354" t="s">
        <v>204</v>
      </c>
      <c r="I3354">
        <v>449.39</v>
      </c>
      <c r="J3354" s="7">
        <v>0</v>
      </c>
      <c r="K3354" s="11">
        <f t="shared" si="198"/>
        <v>1056.67</v>
      </c>
      <c r="L3354" s="31">
        <v>1056.67</v>
      </c>
      <c r="M3354" s="10">
        <f t="shared" si="197"/>
        <v>42.528887921489201</v>
      </c>
    </row>
    <row r="3355" spans="1:13" ht="15.75" hidden="1" customHeight="1" x14ac:dyDescent="0.3">
      <c r="A3355" s="9">
        <v>439</v>
      </c>
      <c r="B3355" t="s">
        <v>348</v>
      </c>
      <c r="C3355" s="25">
        <v>44599</v>
      </c>
      <c r="D3355" s="26">
        <v>0.88693287037037039</v>
      </c>
      <c r="E3355" t="s">
        <v>25</v>
      </c>
      <c r="F3355" t="s">
        <v>175</v>
      </c>
      <c r="G3355" t="s">
        <v>172</v>
      </c>
      <c r="H3355" t="s">
        <v>204</v>
      </c>
      <c r="I3355">
        <v>405.8</v>
      </c>
      <c r="J3355" s="50">
        <v>0</v>
      </c>
      <c r="K3355" s="11">
        <f t="shared" si="198"/>
        <v>988.87</v>
      </c>
      <c r="L3355" s="7">
        <v>988.87</v>
      </c>
      <c r="M3355" s="10">
        <f t="shared" si="197"/>
        <v>41.036738904001538</v>
      </c>
    </row>
    <row r="3356" spans="1:13" ht="15.75" hidden="1" customHeight="1" x14ac:dyDescent="0.3">
      <c r="A3356" s="9">
        <v>440</v>
      </c>
      <c r="B3356" t="s">
        <v>348</v>
      </c>
      <c r="C3356" s="25">
        <v>44600</v>
      </c>
      <c r="D3356" s="26">
        <v>0.84476851851851853</v>
      </c>
      <c r="E3356" t="s">
        <v>25</v>
      </c>
      <c r="F3356" t="s">
        <v>210</v>
      </c>
      <c r="G3356" t="s">
        <v>211</v>
      </c>
      <c r="H3356" t="s">
        <v>204</v>
      </c>
      <c r="I3356">
        <v>356.78</v>
      </c>
      <c r="J3356" s="7">
        <v>0</v>
      </c>
      <c r="K3356" s="73">
        <f t="shared" si="198"/>
        <v>810.82</v>
      </c>
      <c r="L3356" s="7">
        <v>810.82</v>
      </c>
      <c r="M3356" s="36">
        <f t="shared" si="197"/>
        <v>44.002367973162961</v>
      </c>
    </row>
    <row r="3357" spans="1:13" ht="15.75" hidden="1" customHeight="1" x14ac:dyDescent="0.3">
      <c r="A3357" s="9">
        <v>441</v>
      </c>
      <c r="B3357" t="s">
        <v>348</v>
      </c>
      <c r="C3357" s="25">
        <v>44602</v>
      </c>
      <c r="D3357" s="26">
        <v>0.89982638888888899</v>
      </c>
      <c r="E3357" t="s">
        <v>25</v>
      </c>
      <c r="F3357" t="s">
        <v>210</v>
      </c>
      <c r="G3357" t="s">
        <v>211</v>
      </c>
      <c r="H3357" t="s">
        <v>204</v>
      </c>
      <c r="I3357">
        <v>463.4</v>
      </c>
      <c r="J3357" s="7">
        <v>0</v>
      </c>
      <c r="K3357" s="73">
        <f t="shared" si="198"/>
        <v>1107.3599999999999</v>
      </c>
      <c r="L3357" s="32">
        <v>1107.3599999999999</v>
      </c>
      <c r="M3357" s="36">
        <f t="shared" si="197"/>
        <v>41.847276405143766</v>
      </c>
    </row>
    <row r="3358" spans="1:13" ht="15.75" hidden="1" customHeight="1" x14ac:dyDescent="0.3">
      <c r="A3358" s="9">
        <v>442</v>
      </c>
      <c r="B3358" t="s">
        <v>348</v>
      </c>
      <c r="C3358" s="25">
        <v>44604</v>
      </c>
      <c r="D3358" s="26">
        <v>0.49668981481481483</v>
      </c>
      <c r="E3358" t="s">
        <v>25</v>
      </c>
      <c r="F3358" t="s">
        <v>175</v>
      </c>
      <c r="G3358" t="s">
        <v>172</v>
      </c>
      <c r="H3358" t="s">
        <v>204</v>
      </c>
      <c r="I3358">
        <v>407.04</v>
      </c>
      <c r="J3358" s="7">
        <v>0</v>
      </c>
      <c r="K3358" s="73">
        <f t="shared" si="198"/>
        <v>937.91</v>
      </c>
      <c r="L3358" s="7">
        <v>937.91</v>
      </c>
      <c r="M3358" s="36">
        <f t="shared" si="197"/>
        <v>43.398620336706081</v>
      </c>
    </row>
    <row r="3359" spans="1:13" ht="15.75" hidden="1" customHeight="1" x14ac:dyDescent="0.3">
      <c r="A3359" s="9">
        <v>443</v>
      </c>
      <c r="B3359" t="s">
        <v>348</v>
      </c>
      <c r="C3359" s="25">
        <v>44605</v>
      </c>
      <c r="D3359" s="26">
        <v>0.7550810185185185</v>
      </c>
      <c r="E3359" t="s">
        <v>25</v>
      </c>
      <c r="F3359" t="s">
        <v>210</v>
      </c>
      <c r="G3359" t="s">
        <v>211</v>
      </c>
      <c r="H3359" t="s">
        <v>204</v>
      </c>
      <c r="I3359">
        <v>375.71</v>
      </c>
      <c r="J3359" s="7">
        <v>0</v>
      </c>
      <c r="K3359" s="73">
        <f t="shared" si="198"/>
        <v>813.68</v>
      </c>
      <c r="L3359" s="7">
        <v>813.68</v>
      </c>
      <c r="M3359" s="36">
        <f t="shared" si="197"/>
        <v>46.174171664536431</v>
      </c>
    </row>
    <row r="3360" spans="1:13" ht="15.75" hidden="1" customHeight="1" x14ac:dyDescent="0.3">
      <c r="A3360" s="9">
        <v>444</v>
      </c>
      <c r="B3360" t="s">
        <v>348</v>
      </c>
      <c r="C3360" s="25">
        <v>44606</v>
      </c>
      <c r="D3360" s="26">
        <v>0.88377314814814811</v>
      </c>
      <c r="E3360" t="s">
        <v>25</v>
      </c>
      <c r="F3360" t="s">
        <v>210</v>
      </c>
      <c r="G3360" t="s">
        <v>211</v>
      </c>
      <c r="H3360" t="s">
        <v>204</v>
      </c>
      <c r="I3360">
        <v>414.56</v>
      </c>
      <c r="J3360" s="31">
        <v>0</v>
      </c>
      <c r="K3360" s="73">
        <f t="shared" si="198"/>
        <v>1054.95</v>
      </c>
      <c r="L3360" s="32">
        <v>1054.95</v>
      </c>
      <c r="M3360" s="36">
        <f t="shared" si="197"/>
        <v>39.296649130290533</v>
      </c>
    </row>
    <row r="3361" spans="1:13" ht="15.75" hidden="1" customHeight="1" x14ac:dyDescent="0.3">
      <c r="A3361" s="9">
        <v>445</v>
      </c>
      <c r="B3361" t="s">
        <v>348</v>
      </c>
      <c r="C3361" s="25">
        <v>44607</v>
      </c>
      <c r="D3361" s="26">
        <v>0.97973379629629631</v>
      </c>
      <c r="E3361" t="s">
        <v>25</v>
      </c>
      <c r="F3361" t="s">
        <v>175</v>
      </c>
      <c r="G3361" t="s">
        <v>172</v>
      </c>
      <c r="H3361" t="s">
        <v>204</v>
      </c>
      <c r="I3361">
        <v>375.18</v>
      </c>
      <c r="J3361" s="28">
        <v>0</v>
      </c>
      <c r="K3361" s="73">
        <f t="shared" si="198"/>
        <v>897.81</v>
      </c>
      <c r="L3361" s="32">
        <v>897.81</v>
      </c>
      <c r="M3361" s="36">
        <f t="shared" si="197"/>
        <v>41.788351655695529</v>
      </c>
    </row>
    <row r="3362" spans="1:13" ht="15.75" hidden="1" customHeight="1" x14ac:dyDescent="0.3">
      <c r="A3362" s="9">
        <v>446</v>
      </c>
      <c r="B3362" t="s">
        <v>348</v>
      </c>
      <c r="C3362" s="25">
        <v>44612</v>
      </c>
      <c r="D3362" s="26">
        <v>0.53905092592592596</v>
      </c>
      <c r="E3362" t="s">
        <v>25</v>
      </c>
      <c r="F3362" t="s">
        <v>210</v>
      </c>
      <c r="G3362" t="s">
        <v>211</v>
      </c>
      <c r="H3362" t="s">
        <v>204</v>
      </c>
      <c r="I3362">
        <v>383.9</v>
      </c>
      <c r="J3362" s="28">
        <v>0</v>
      </c>
      <c r="K3362" s="73">
        <f t="shared" si="198"/>
        <v>838.74</v>
      </c>
      <c r="L3362" s="32">
        <v>838.74</v>
      </c>
      <c r="M3362" s="36">
        <f t="shared" si="197"/>
        <v>45.771037508643914</v>
      </c>
    </row>
    <row r="3363" spans="1:13" ht="15.75" hidden="1" customHeight="1" x14ac:dyDescent="0.3">
      <c r="A3363" s="9">
        <v>447</v>
      </c>
      <c r="B3363" t="s">
        <v>348</v>
      </c>
      <c r="C3363" s="25">
        <v>44613</v>
      </c>
      <c r="D3363" s="26">
        <v>0.79686342592592585</v>
      </c>
      <c r="E3363" t="s">
        <v>25</v>
      </c>
      <c r="F3363" t="s">
        <v>210</v>
      </c>
      <c r="G3363" t="s">
        <v>211</v>
      </c>
      <c r="H3363" t="s">
        <v>204</v>
      </c>
      <c r="I3363">
        <v>463.57</v>
      </c>
      <c r="J3363" s="7">
        <v>0</v>
      </c>
      <c r="K3363" s="73">
        <f t="shared" si="198"/>
        <v>1054.83</v>
      </c>
      <c r="L3363" s="32">
        <v>1054.83</v>
      </c>
      <c r="M3363" s="36">
        <f t="shared" si="197"/>
        <v>43.947365926263004</v>
      </c>
    </row>
    <row r="3364" spans="1:13" ht="15.75" hidden="1" customHeight="1" x14ac:dyDescent="0.3">
      <c r="A3364" s="9">
        <v>448</v>
      </c>
      <c r="B3364" t="s">
        <v>348</v>
      </c>
      <c r="C3364" s="25">
        <v>44615</v>
      </c>
      <c r="D3364" s="26">
        <v>0.76407407407407402</v>
      </c>
      <c r="E3364" t="s">
        <v>25</v>
      </c>
      <c r="F3364" t="s">
        <v>175</v>
      </c>
      <c r="G3364" t="s">
        <v>172</v>
      </c>
      <c r="H3364" t="s">
        <v>204</v>
      </c>
      <c r="I3364">
        <v>419.49</v>
      </c>
      <c r="J3364" s="31">
        <v>0</v>
      </c>
      <c r="K3364" s="73">
        <f t="shared" si="198"/>
        <v>961.72</v>
      </c>
      <c r="L3364" s="32">
        <v>961.72</v>
      </c>
      <c r="M3364" s="36">
        <f t="shared" si="197"/>
        <v>43.618724784760637</v>
      </c>
    </row>
    <row r="3365" spans="1:13" ht="15.75" hidden="1" customHeight="1" x14ac:dyDescent="0.3">
      <c r="A3365" s="9">
        <v>449</v>
      </c>
      <c r="B3365" t="s">
        <v>348</v>
      </c>
      <c r="C3365" s="25">
        <v>44616</v>
      </c>
      <c r="D3365" s="26">
        <v>0.87296296296296294</v>
      </c>
      <c r="E3365" t="s">
        <v>25</v>
      </c>
      <c r="F3365" t="s">
        <v>210</v>
      </c>
      <c r="G3365" t="s">
        <v>211</v>
      </c>
      <c r="H3365" t="s">
        <v>204</v>
      </c>
      <c r="I3365">
        <v>399.04</v>
      </c>
      <c r="J3365" s="31">
        <v>0</v>
      </c>
      <c r="K3365" s="73">
        <f t="shared" si="198"/>
        <v>812.88</v>
      </c>
      <c r="L3365" s="32">
        <v>812.88</v>
      </c>
      <c r="M3365" s="36">
        <f t="shared" si="197"/>
        <v>49.08965652986911</v>
      </c>
    </row>
    <row r="3366" spans="1:13" ht="15.75" hidden="1" customHeight="1" x14ac:dyDescent="0.3">
      <c r="A3366" s="9">
        <v>450</v>
      </c>
      <c r="B3366" t="s">
        <v>348</v>
      </c>
      <c r="C3366" s="25">
        <v>44617</v>
      </c>
      <c r="D3366" s="26">
        <v>0.98149305555555555</v>
      </c>
      <c r="E3366" t="s">
        <v>25</v>
      </c>
      <c r="F3366" t="s">
        <v>210</v>
      </c>
      <c r="G3366" t="s">
        <v>211</v>
      </c>
      <c r="H3366" t="s">
        <v>204</v>
      </c>
      <c r="I3366">
        <v>460.96</v>
      </c>
      <c r="J3366" s="7">
        <v>0</v>
      </c>
      <c r="K3366" s="7">
        <f t="shared" si="198"/>
        <v>1053.8</v>
      </c>
      <c r="L3366" s="37">
        <v>1053.8</v>
      </c>
      <c r="M3366" s="10">
        <f t="shared" si="197"/>
        <v>43.742645663313724</v>
      </c>
    </row>
    <row r="3367" spans="1:13" ht="15.75" hidden="1" customHeight="1" x14ac:dyDescent="0.3">
      <c r="A3367" s="9">
        <v>451</v>
      </c>
      <c r="B3367" t="s">
        <v>348</v>
      </c>
      <c r="C3367" s="25">
        <v>44620</v>
      </c>
      <c r="D3367" s="26">
        <v>0.28652777777777777</v>
      </c>
      <c r="E3367" t="s">
        <v>25</v>
      </c>
      <c r="F3367" t="s">
        <v>175</v>
      </c>
      <c r="G3367" t="s">
        <v>172</v>
      </c>
      <c r="H3367" t="s">
        <v>204</v>
      </c>
      <c r="I3367">
        <v>433.55</v>
      </c>
      <c r="J3367" s="7">
        <v>0</v>
      </c>
      <c r="K3367" s="35">
        <f t="shared" si="198"/>
        <v>1040.5999999999999</v>
      </c>
      <c r="L3367" s="38">
        <v>1040.5999999999999</v>
      </c>
      <c r="M3367" s="10">
        <f t="shared" ref="M3367:M3398" si="199">I3367/K3367*100</f>
        <v>41.663463386507786</v>
      </c>
    </row>
    <row r="3368" spans="1:13" ht="15.75" hidden="1" customHeight="1" x14ac:dyDescent="0.3">
      <c r="A3368" s="9">
        <v>1475</v>
      </c>
      <c r="B3368" t="s">
        <v>348</v>
      </c>
      <c r="C3368" s="25">
        <v>44621</v>
      </c>
      <c r="D3368" s="26">
        <v>0.58721064814814816</v>
      </c>
      <c r="E3368" t="s">
        <v>26</v>
      </c>
      <c r="F3368" t="s">
        <v>210</v>
      </c>
      <c r="G3368" t="s">
        <v>211</v>
      </c>
      <c r="H3368" t="s">
        <v>204</v>
      </c>
      <c r="I3368">
        <v>380.01</v>
      </c>
      <c r="J3368" s="31">
        <v>0</v>
      </c>
      <c r="K3368" s="99">
        <f t="shared" ref="K3368:K3399" si="200">+L3368-J3368</f>
        <v>798.16</v>
      </c>
      <c r="L3368" s="32">
        <v>798.16</v>
      </c>
      <c r="M3368" s="10">
        <f t="shared" si="199"/>
        <v>47.610754735892549</v>
      </c>
    </row>
    <row r="3369" spans="1:13" ht="15.75" hidden="1" customHeight="1" x14ac:dyDescent="0.3">
      <c r="A3369" s="9">
        <v>1476</v>
      </c>
      <c r="B3369" t="s">
        <v>348</v>
      </c>
      <c r="C3369" s="25">
        <v>44623</v>
      </c>
      <c r="D3369" s="26">
        <v>0.49513888888888885</v>
      </c>
      <c r="E3369" t="s">
        <v>26</v>
      </c>
      <c r="F3369" t="s">
        <v>210</v>
      </c>
      <c r="G3369" t="s">
        <v>211</v>
      </c>
      <c r="H3369" t="s">
        <v>204</v>
      </c>
      <c r="I3369">
        <v>473.4</v>
      </c>
      <c r="J3369" s="7">
        <v>0</v>
      </c>
      <c r="K3369" s="95">
        <f t="shared" si="200"/>
        <v>1074.76</v>
      </c>
      <c r="L3369" s="211">
        <v>1074.76</v>
      </c>
      <c r="M3369" s="10">
        <f t="shared" si="199"/>
        <v>44.04704306077636</v>
      </c>
    </row>
    <row r="3370" spans="1:13" ht="15.75" hidden="1" customHeight="1" x14ac:dyDescent="0.3">
      <c r="A3370" s="9">
        <v>1477</v>
      </c>
      <c r="B3370" t="s">
        <v>348</v>
      </c>
      <c r="C3370" s="25">
        <v>44624</v>
      </c>
      <c r="D3370" s="26">
        <v>0.58456018518518515</v>
      </c>
      <c r="E3370" t="s">
        <v>26</v>
      </c>
      <c r="F3370" t="s">
        <v>175</v>
      </c>
      <c r="G3370" t="s">
        <v>172</v>
      </c>
      <c r="H3370" t="s">
        <v>204</v>
      </c>
      <c r="I3370">
        <v>383.98</v>
      </c>
      <c r="J3370" s="34">
        <v>0</v>
      </c>
      <c r="K3370" s="100">
        <f t="shared" si="200"/>
        <v>916.7</v>
      </c>
      <c r="L3370" s="33">
        <v>916.7</v>
      </c>
      <c r="M3370" s="10">
        <f t="shared" si="199"/>
        <v>41.887204101669028</v>
      </c>
    </row>
    <row r="3371" spans="1:13" ht="15.75" hidden="1" customHeight="1" x14ac:dyDescent="0.3">
      <c r="A3371" s="9">
        <v>1478</v>
      </c>
      <c r="B3371" t="s">
        <v>348</v>
      </c>
      <c r="C3371" s="25">
        <v>44631</v>
      </c>
      <c r="D3371" s="26">
        <v>0.42725694444444445</v>
      </c>
      <c r="E3371" t="s">
        <v>26</v>
      </c>
      <c r="F3371" t="s">
        <v>175</v>
      </c>
      <c r="G3371" t="s">
        <v>172</v>
      </c>
      <c r="H3371" t="s">
        <v>204</v>
      </c>
      <c r="I3371">
        <v>365.23</v>
      </c>
      <c r="J3371" s="34">
        <v>0</v>
      </c>
      <c r="K3371" s="97">
        <f t="shared" si="200"/>
        <v>861.65</v>
      </c>
      <c r="L3371" s="32">
        <v>861.65</v>
      </c>
      <c r="M3371" s="10">
        <f t="shared" si="199"/>
        <v>42.387280218186042</v>
      </c>
    </row>
    <row r="3372" spans="1:13" ht="15.75" hidden="1" customHeight="1" x14ac:dyDescent="0.3">
      <c r="A3372" s="9">
        <v>1479</v>
      </c>
      <c r="B3372" t="s">
        <v>348</v>
      </c>
      <c r="C3372" s="25">
        <v>44632</v>
      </c>
      <c r="D3372" s="26">
        <v>0.54362268518518519</v>
      </c>
      <c r="E3372" t="s">
        <v>26</v>
      </c>
      <c r="F3372" t="s">
        <v>210</v>
      </c>
      <c r="G3372" t="s">
        <v>211</v>
      </c>
      <c r="H3372" t="s">
        <v>204</v>
      </c>
      <c r="I3372">
        <v>390.01</v>
      </c>
      <c r="J3372" s="34">
        <v>0</v>
      </c>
      <c r="K3372" s="97">
        <f t="shared" si="200"/>
        <v>845.25</v>
      </c>
      <c r="L3372" s="32">
        <v>845.25</v>
      </c>
      <c r="M3372" s="10">
        <f t="shared" si="199"/>
        <v>46.14137829044661</v>
      </c>
    </row>
    <row r="3373" spans="1:13" ht="15.75" hidden="1" customHeight="1" x14ac:dyDescent="0.3">
      <c r="A3373" s="9">
        <v>1480</v>
      </c>
      <c r="B3373" t="s">
        <v>348</v>
      </c>
      <c r="C3373" s="25">
        <v>44633</v>
      </c>
      <c r="D3373" s="26">
        <v>0.60305555555555557</v>
      </c>
      <c r="E3373" t="s">
        <v>26</v>
      </c>
      <c r="F3373" t="s">
        <v>210</v>
      </c>
      <c r="G3373" t="s">
        <v>211</v>
      </c>
      <c r="H3373" t="s">
        <v>204</v>
      </c>
      <c r="I3373">
        <v>342.01</v>
      </c>
      <c r="J3373" s="34">
        <v>0</v>
      </c>
      <c r="K3373" s="97">
        <f t="shared" si="200"/>
        <v>874.62</v>
      </c>
      <c r="L3373" s="32">
        <v>874.62</v>
      </c>
      <c r="M3373" s="10">
        <f t="shared" si="199"/>
        <v>39.103839381674327</v>
      </c>
    </row>
    <row r="3374" spans="1:13" ht="15.75" hidden="1" customHeight="1" x14ac:dyDescent="0.3">
      <c r="A3374" s="9">
        <v>1481</v>
      </c>
      <c r="B3374" t="s">
        <v>348</v>
      </c>
      <c r="C3374" s="25">
        <v>44634</v>
      </c>
      <c r="D3374" s="26">
        <v>0.79678240740740736</v>
      </c>
      <c r="E3374" t="s">
        <v>26</v>
      </c>
      <c r="F3374" t="s">
        <v>309</v>
      </c>
      <c r="G3374" t="s">
        <v>310</v>
      </c>
      <c r="H3374" t="s">
        <v>204</v>
      </c>
      <c r="I3374">
        <v>361.19</v>
      </c>
      <c r="J3374" s="31">
        <v>0</v>
      </c>
      <c r="K3374" s="100">
        <f t="shared" si="200"/>
        <v>995.36</v>
      </c>
      <c r="L3374" s="37">
        <v>995.36</v>
      </c>
      <c r="M3374" s="10">
        <f t="shared" si="199"/>
        <v>36.287373412634622</v>
      </c>
    </row>
    <row r="3375" spans="1:13" ht="15.75" hidden="1" customHeight="1" x14ac:dyDescent="0.3">
      <c r="A3375" s="9">
        <v>1482</v>
      </c>
      <c r="B3375" t="s">
        <v>348</v>
      </c>
      <c r="C3375" s="25">
        <v>44635</v>
      </c>
      <c r="D3375" s="26">
        <v>0.7745023148148148</v>
      </c>
      <c r="E3375" t="s">
        <v>26</v>
      </c>
      <c r="F3375" t="s">
        <v>210</v>
      </c>
      <c r="G3375" t="s">
        <v>211</v>
      </c>
      <c r="H3375" t="s">
        <v>204</v>
      </c>
      <c r="I3375">
        <v>321.95999999999998</v>
      </c>
      <c r="J3375" s="7">
        <v>0</v>
      </c>
      <c r="K3375" s="89">
        <f t="shared" si="200"/>
        <v>725.57</v>
      </c>
      <c r="L3375" s="53">
        <v>725.57</v>
      </c>
      <c r="M3375" s="10">
        <f t="shared" si="199"/>
        <v>44.373389197458543</v>
      </c>
    </row>
    <row r="3376" spans="1:13" ht="15.75" hidden="1" customHeight="1" x14ac:dyDescent="0.3">
      <c r="A3376" s="9">
        <v>1483</v>
      </c>
      <c r="B3376" t="s">
        <v>348</v>
      </c>
      <c r="C3376" s="25">
        <v>44637</v>
      </c>
      <c r="D3376" s="26">
        <v>0.26091435185185186</v>
      </c>
      <c r="E3376" t="s">
        <v>26</v>
      </c>
      <c r="F3376" t="s">
        <v>210</v>
      </c>
      <c r="G3376" t="s">
        <v>211</v>
      </c>
      <c r="H3376" t="s">
        <v>204</v>
      </c>
      <c r="I3376">
        <v>417.92</v>
      </c>
      <c r="J3376" s="7">
        <v>0</v>
      </c>
      <c r="K3376" s="89">
        <f t="shared" si="200"/>
        <v>1095.21</v>
      </c>
      <c r="L3376" s="53">
        <v>1095.21</v>
      </c>
      <c r="M3376" s="10">
        <f t="shared" si="199"/>
        <v>38.158891902009664</v>
      </c>
    </row>
    <row r="3377" spans="1:13" ht="15.75" hidden="1" customHeight="1" x14ac:dyDescent="0.3">
      <c r="A3377" s="9">
        <v>1484</v>
      </c>
      <c r="B3377" t="s">
        <v>348</v>
      </c>
      <c r="C3377" s="25">
        <v>44638</v>
      </c>
      <c r="D3377" s="26">
        <v>0.42994212962962958</v>
      </c>
      <c r="E3377" t="s">
        <v>26</v>
      </c>
      <c r="F3377" t="s">
        <v>171</v>
      </c>
      <c r="G3377" t="s">
        <v>172</v>
      </c>
      <c r="H3377" t="s">
        <v>204</v>
      </c>
      <c r="I3377">
        <v>333.18</v>
      </c>
      <c r="J3377" s="7">
        <v>0</v>
      </c>
      <c r="K3377" s="96">
        <f t="shared" si="200"/>
        <v>934.4</v>
      </c>
      <c r="L3377" s="55">
        <v>934.4</v>
      </c>
      <c r="M3377" s="10">
        <f t="shared" si="199"/>
        <v>35.657106164383563</v>
      </c>
    </row>
    <row r="3378" spans="1:13" ht="15.75" hidden="1" customHeight="1" x14ac:dyDescent="0.3">
      <c r="A3378" s="9">
        <v>1485</v>
      </c>
      <c r="B3378" t="s">
        <v>348</v>
      </c>
      <c r="C3378" s="25">
        <v>44644</v>
      </c>
      <c r="D3378" s="26">
        <v>0.5927662037037037</v>
      </c>
      <c r="E3378" t="s">
        <v>26</v>
      </c>
      <c r="F3378" t="s">
        <v>210</v>
      </c>
      <c r="G3378" t="s">
        <v>211</v>
      </c>
      <c r="H3378" t="s">
        <v>204</v>
      </c>
      <c r="I3378">
        <v>506.47</v>
      </c>
      <c r="J3378" s="7">
        <v>0</v>
      </c>
      <c r="K3378" s="90">
        <f t="shared" si="200"/>
        <v>879.88</v>
      </c>
      <c r="L3378" s="32">
        <v>879.88</v>
      </c>
      <c r="M3378" s="36">
        <f t="shared" si="199"/>
        <v>57.561258353411837</v>
      </c>
    </row>
    <row r="3379" spans="1:13" ht="15.75" hidden="1" customHeight="1" x14ac:dyDescent="0.3">
      <c r="A3379" s="9">
        <v>1486</v>
      </c>
      <c r="B3379" t="s">
        <v>348</v>
      </c>
      <c r="C3379" s="25">
        <v>44645</v>
      </c>
      <c r="D3379" s="26">
        <v>0.63050925925925927</v>
      </c>
      <c r="E3379" t="s">
        <v>26</v>
      </c>
      <c r="F3379" t="s">
        <v>210</v>
      </c>
      <c r="G3379" t="s">
        <v>211</v>
      </c>
      <c r="H3379" t="s">
        <v>204</v>
      </c>
      <c r="I3379">
        <v>390.09</v>
      </c>
      <c r="J3379" s="7">
        <v>0</v>
      </c>
      <c r="K3379" s="90">
        <f t="shared" si="200"/>
        <v>871.22</v>
      </c>
      <c r="L3379" s="32">
        <v>871.22</v>
      </c>
      <c r="M3379" s="36">
        <f t="shared" si="199"/>
        <v>44.775142903055482</v>
      </c>
    </row>
    <row r="3380" spans="1:13" ht="15.75" hidden="1" customHeight="1" x14ac:dyDescent="0.3">
      <c r="A3380" s="9">
        <v>1487</v>
      </c>
      <c r="B3380" t="s">
        <v>348</v>
      </c>
      <c r="C3380" s="25">
        <v>44646</v>
      </c>
      <c r="D3380" s="26">
        <v>0.81090277777777775</v>
      </c>
      <c r="E3380" t="s">
        <v>26</v>
      </c>
      <c r="F3380" t="s">
        <v>391</v>
      </c>
      <c r="G3380" t="s">
        <v>392</v>
      </c>
      <c r="H3380" t="s">
        <v>204</v>
      </c>
      <c r="I3380">
        <v>402.74</v>
      </c>
      <c r="J3380" s="7">
        <v>0</v>
      </c>
      <c r="K3380" s="90">
        <f t="shared" si="200"/>
        <v>1071.33</v>
      </c>
      <c r="L3380" s="32">
        <v>1071.33</v>
      </c>
      <c r="M3380" s="36">
        <f t="shared" si="199"/>
        <v>37.592525178983138</v>
      </c>
    </row>
    <row r="3381" spans="1:13" ht="15.75" hidden="1" customHeight="1" x14ac:dyDescent="0.3">
      <c r="A3381" s="9">
        <v>1488</v>
      </c>
      <c r="B3381" t="s">
        <v>348</v>
      </c>
      <c r="C3381" s="25">
        <v>44649</v>
      </c>
      <c r="D3381" s="26">
        <v>0.48909722222222224</v>
      </c>
      <c r="E3381" t="s">
        <v>26</v>
      </c>
      <c r="F3381" t="s">
        <v>391</v>
      </c>
      <c r="G3381" t="s">
        <v>392</v>
      </c>
      <c r="H3381" t="s">
        <v>204</v>
      </c>
      <c r="I3381">
        <v>253.1</v>
      </c>
      <c r="J3381" s="34">
        <v>0</v>
      </c>
      <c r="K3381" s="97">
        <f t="shared" si="200"/>
        <v>567.1</v>
      </c>
      <c r="L3381" s="53">
        <v>567.1</v>
      </c>
      <c r="M3381" s="10">
        <f t="shared" si="199"/>
        <v>44.630576617880443</v>
      </c>
    </row>
    <row r="3382" spans="1:13" ht="15.75" hidden="1" customHeight="1" x14ac:dyDescent="0.3">
      <c r="A3382" s="9">
        <v>2663</v>
      </c>
      <c r="B3382" t="s">
        <v>348</v>
      </c>
      <c r="C3382" s="25">
        <v>44656</v>
      </c>
      <c r="D3382" s="26">
        <v>0.5353472222222222</v>
      </c>
      <c r="E3382" t="s">
        <v>27</v>
      </c>
      <c r="F3382" t="s">
        <v>391</v>
      </c>
      <c r="G3382" t="s">
        <v>392</v>
      </c>
      <c r="H3382" t="s">
        <v>306</v>
      </c>
      <c r="I3382" s="4">
        <v>334.83</v>
      </c>
      <c r="J3382" s="32">
        <v>0</v>
      </c>
      <c r="K3382" s="90">
        <f t="shared" si="200"/>
        <v>49.34</v>
      </c>
      <c r="L3382" s="32">
        <v>49.34</v>
      </c>
      <c r="M3382" s="10">
        <f t="shared" si="199"/>
        <v>678.61775435751917</v>
      </c>
    </row>
    <row r="3383" spans="1:13" ht="15.75" hidden="1" customHeight="1" x14ac:dyDescent="0.3">
      <c r="A3383" s="9">
        <v>2664</v>
      </c>
      <c r="B3383" t="s">
        <v>348</v>
      </c>
      <c r="C3383" s="25">
        <v>44657</v>
      </c>
      <c r="D3383" s="26">
        <v>0.86603009259259256</v>
      </c>
      <c r="E3383" t="s">
        <v>27</v>
      </c>
      <c r="F3383" t="s">
        <v>210</v>
      </c>
      <c r="G3383" t="s">
        <v>211</v>
      </c>
      <c r="H3383" t="s">
        <v>306</v>
      </c>
      <c r="I3383" s="4">
        <v>366.43</v>
      </c>
      <c r="J3383" s="37">
        <v>0</v>
      </c>
      <c r="K3383" s="97">
        <f t="shared" si="200"/>
        <v>610</v>
      </c>
      <c r="L3383" s="32">
        <v>610</v>
      </c>
      <c r="M3383" s="10">
        <f t="shared" si="199"/>
        <v>60.070491803278692</v>
      </c>
    </row>
    <row r="3384" spans="1:13" ht="15.75" hidden="1" customHeight="1" x14ac:dyDescent="0.3">
      <c r="A3384" s="9">
        <v>2665</v>
      </c>
      <c r="B3384" t="s">
        <v>348</v>
      </c>
      <c r="C3384" s="25">
        <v>44659</v>
      </c>
      <c r="D3384" s="26">
        <v>0.52439814814814811</v>
      </c>
      <c r="E3384" t="s">
        <v>27</v>
      </c>
      <c r="F3384" t="s">
        <v>210</v>
      </c>
      <c r="G3384" t="s">
        <v>211</v>
      </c>
      <c r="H3384" t="s">
        <v>306</v>
      </c>
      <c r="I3384" s="4">
        <v>415.08</v>
      </c>
      <c r="J3384" s="32">
        <v>0</v>
      </c>
      <c r="K3384" s="90">
        <f t="shared" si="200"/>
        <v>1053</v>
      </c>
      <c r="L3384" s="32">
        <v>1053</v>
      </c>
      <c r="M3384" s="10">
        <f t="shared" si="199"/>
        <v>39.418803418803414</v>
      </c>
    </row>
    <row r="3385" spans="1:13" ht="15.75" hidden="1" customHeight="1" x14ac:dyDescent="0.3">
      <c r="A3385" s="9">
        <v>2666</v>
      </c>
      <c r="B3385" t="s">
        <v>348</v>
      </c>
      <c r="C3385" s="25">
        <v>44660</v>
      </c>
      <c r="D3385" s="26">
        <v>0.68167824074074079</v>
      </c>
      <c r="E3385" t="s">
        <v>27</v>
      </c>
      <c r="F3385" t="s">
        <v>428</v>
      </c>
      <c r="G3385" t="s">
        <v>429</v>
      </c>
      <c r="H3385" t="s">
        <v>306</v>
      </c>
      <c r="I3385" s="4">
        <v>100.02</v>
      </c>
      <c r="J3385" s="32">
        <v>0</v>
      </c>
      <c r="K3385" s="97">
        <f t="shared" si="200"/>
        <v>925</v>
      </c>
      <c r="L3385" s="37">
        <v>925</v>
      </c>
      <c r="M3385" s="10">
        <f t="shared" si="199"/>
        <v>10.812972972972974</v>
      </c>
    </row>
    <row r="3386" spans="1:13" ht="15.75" hidden="1" customHeight="1" x14ac:dyDescent="0.3">
      <c r="A3386" s="9">
        <v>2667</v>
      </c>
      <c r="B3386" t="s">
        <v>348</v>
      </c>
      <c r="C3386" s="25">
        <v>44660</v>
      </c>
      <c r="D3386" s="26">
        <v>0.95787037037037026</v>
      </c>
      <c r="E3386" t="s">
        <v>27</v>
      </c>
      <c r="F3386" t="s">
        <v>175</v>
      </c>
      <c r="G3386" t="s">
        <v>172</v>
      </c>
      <c r="H3386" t="s">
        <v>306</v>
      </c>
      <c r="I3386" s="4">
        <v>346.92</v>
      </c>
      <c r="J3386" s="32">
        <v>0</v>
      </c>
      <c r="K3386" s="90">
        <f t="shared" si="200"/>
        <v>647</v>
      </c>
      <c r="L3386" s="53">
        <v>647</v>
      </c>
      <c r="M3386" s="10">
        <f t="shared" si="199"/>
        <v>53.61978361669243</v>
      </c>
    </row>
    <row r="3387" spans="1:13" ht="15.75" hidden="1" customHeight="1" x14ac:dyDescent="0.3">
      <c r="A3387" s="9">
        <v>2668</v>
      </c>
      <c r="B3387" t="s">
        <v>348</v>
      </c>
      <c r="C3387" s="25">
        <v>44661</v>
      </c>
      <c r="D3387" s="26">
        <v>0.84605324074074073</v>
      </c>
      <c r="E3387" t="s">
        <v>27</v>
      </c>
      <c r="F3387" t="s">
        <v>210</v>
      </c>
      <c r="G3387" t="s">
        <v>211</v>
      </c>
      <c r="H3387" t="s">
        <v>306</v>
      </c>
      <c r="I3387" s="4">
        <v>277.11</v>
      </c>
      <c r="J3387" s="32">
        <v>0</v>
      </c>
      <c r="K3387" s="90">
        <f t="shared" si="200"/>
        <v>850</v>
      </c>
      <c r="L3387" s="53">
        <v>850</v>
      </c>
      <c r="M3387" s="10">
        <f t="shared" si="199"/>
        <v>32.601176470588236</v>
      </c>
    </row>
    <row r="3388" spans="1:13" ht="15.75" hidden="1" customHeight="1" x14ac:dyDescent="0.3">
      <c r="A3388" s="9">
        <v>2669</v>
      </c>
      <c r="B3388" t="s">
        <v>348</v>
      </c>
      <c r="C3388" s="25">
        <v>44663</v>
      </c>
      <c r="D3388" s="26">
        <v>0.39729166666666665</v>
      </c>
      <c r="E3388" t="s">
        <v>27</v>
      </c>
      <c r="F3388" t="s">
        <v>210</v>
      </c>
      <c r="G3388" t="s">
        <v>211</v>
      </c>
      <c r="H3388" t="s">
        <v>306</v>
      </c>
      <c r="I3388" s="4">
        <v>413.52</v>
      </c>
      <c r="J3388" s="32">
        <v>0</v>
      </c>
      <c r="K3388" s="90">
        <f t="shared" si="200"/>
        <v>1055</v>
      </c>
      <c r="L3388" s="53">
        <v>1055</v>
      </c>
      <c r="M3388" s="10">
        <f t="shared" si="199"/>
        <v>39.196208530805684</v>
      </c>
    </row>
    <row r="3389" spans="1:13" ht="15.75" hidden="1" customHeight="1" x14ac:dyDescent="0.3">
      <c r="A3389" s="9">
        <v>2670</v>
      </c>
      <c r="B3389" t="s">
        <v>348</v>
      </c>
      <c r="C3389" s="25">
        <v>44664</v>
      </c>
      <c r="D3389" s="26">
        <v>0.6026273148148148</v>
      </c>
      <c r="E3389" t="s">
        <v>27</v>
      </c>
      <c r="F3389" t="s">
        <v>391</v>
      </c>
      <c r="G3389" t="s">
        <v>392</v>
      </c>
      <c r="H3389" t="s">
        <v>306</v>
      </c>
      <c r="I3389" s="4">
        <v>297.18</v>
      </c>
      <c r="J3389" s="32">
        <v>0</v>
      </c>
      <c r="K3389" s="90">
        <f t="shared" si="200"/>
        <v>890</v>
      </c>
      <c r="L3389" s="53">
        <v>890</v>
      </c>
      <c r="M3389" s="10">
        <f t="shared" si="199"/>
        <v>33.391011235955062</v>
      </c>
    </row>
    <row r="3390" spans="1:13" ht="15.75" hidden="1" customHeight="1" x14ac:dyDescent="0.3">
      <c r="A3390" s="9">
        <v>2687</v>
      </c>
      <c r="B3390" t="s">
        <v>348</v>
      </c>
      <c r="C3390" s="25">
        <v>44670</v>
      </c>
      <c r="D3390" s="26">
        <v>0.50465277777777773</v>
      </c>
      <c r="E3390" t="s">
        <v>27</v>
      </c>
      <c r="F3390" t="s">
        <v>210</v>
      </c>
      <c r="G3390" t="s">
        <v>211</v>
      </c>
      <c r="H3390" t="s">
        <v>204</v>
      </c>
      <c r="I3390" s="4">
        <v>459.36</v>
      </c>
      <c r="J3390" s="34">
        <v>0</v>
      </c>
      <c r="K3390" s="90">
        <f t="shared" si="200"/>
        <v>1039</v>
      </c>
      <c r="L3390" s="53">
        <v>1039</v>
      </c>
      <c r="M3390" s="36">
        <f t="shared" si="199"/>
        <v>44.211742059672765</v>
      </c>
    </row>
    <row r="3391" spans="1:13" ht="15.75" hidden="1" customHeight="1" x14ac:dyDescent="0.3">
      <c r="A3391" s="9">
        <v>2688</v>
      </c>
      <c r="B3391" t="s">
        <v>348</v>
      </c>
      <c r="C3391" s="25">
        <v>44672</v>
      </c>
      <c r="D3391" s="26">
        <v>3.0624999999999999E-2</v>
      </c>
      <c r="E3391" t="s">
        <v>27</v>
      </c>
      <c r="F3391" t="s">
        <v>210</v>
      </c>
      <c r="G3391" t="s">
        <v>211</v>
      </c>
      <c r="H3391" t="s">
        <v>204</v>
      </c>
      <c r="I3391" s="4">
        <v>419.92</v>
      </c>
      <c r="J3391" s="7">
        <v>0</v>
      </c>
      <c r="K3391" s="90">
        <f t="shared" si="200"/>
        <v>944</v>
      </c>
      <c r="L3391" s="53">
        <v>944</v>
      </c>
      <c r="M3391" s="36">
        <f t="shared" si="199"/>
        <v>44.483050847457626</v>
      </c>
    </row>
    <row r="3392" spans="1:13" ht="15.75" hidden="1" customHeight="1" x14ac:dyDescent="0.3">
      <c r="A3392" s="9">
        <v>2689</v>
      </c>
      <c r="B3392" t="s">
        <v>348</v>
      </c>
      <c r="C3392" s="25">
        <v>44673</v>
      </c>
      <c r="D3392" s="26">
        <v>0.76518518518518519</v>
      </c>
      <c r="E3392" t="s">
        <v>27</v>
      </c>
      <c r="F3392" t="s">
        <v>391</v>
      </c>
      <c r="G3392" t="s">
        <v>392</v>
      </c>
      <c r="H3392" t="s">
        <v>204</v>
      </c>
      <c r="I3392" s="4">
        <v>400.18</v>
      </c>
      <c r="J3392" s="7">
        <v>0</v>
      </c>
      <c r="K3392" s="90">
        <f t="shared" si="200"/>
        <v>1068.44</v>
      </c>
      <c r="L3392" s="53">
        <v>1068.44</v>
      </c>
      <c r="M3392" s="36">
        <f t="shared" si="199"/>
        <v>37.454606716334091</v>
      </c>
    </row>
    <row r="3393" spans="1:13" ht="15.75" hidden="1" customHeight="1" x14ac:dyDescent="0.3">
      <c r="A3393" s="9">
        <v>2690</v>
      </c>
      <c r="B3393" t="s">
        <v>348</v>
      </c>
      <c r="C3393" s="25">
        <v>44676</v>
      </c>
      <c r="D3393" s="26">
        <v>0.59464120370370377</v>
      </c>
      <c r="E3393" t="s">
        <v>27</v>
      </c>
      <c r="F3393" t="s">
        <v>210</v>
      </c>
      <c r="G3393" t="s">
        <v>211</v>
      </c>
      <c r="H3393" t="s">
        <v>204</v>
      </c>
      <c r="I3393">
        <v>436.02</v>
      </c>
      <c r="J3393" s="7">
        <v>0</v>
      </c>
      <c r="K3393" s="97">
        <f t="shared" si="200"/>
        <v>2003</v>
      </c>
      <c r="L3393" s="34">
        <v>2003</v>
      </c>
      <c r="M3393" s="10">
        <f t="shared" si="199"/>
        <v>21.768347478781827</v>
      </c>
    </row>
    <row r="3394" spans="1:13" ht="15.75" hidden="1" customHeight="1" x14ac:dyDescent="0.3">
      <c r="A3394" s="9">
        <v>3720</v>
      </c>
      <c r="B3394" t="s">
        <v>348</v>
      </c>
      <c r="C3394" s="25">
        <v>44683</v>
      </c>
      <c r="D3394" s="26">
        <v>0.27975694444444443</v>
      </c>
      <c r="E3394" t="s">
        <v>28</v>
      </c>
      <c r="F3394" t="s">
        <v>175</v>
      </c>
      <c r="G3394" t="s">
        <v>172</v>
      </c>
      <c r="H3394" t="s">
        <v>204</v>
      </c>
      <c r="I3394">
        <v>374.23</v>
      </c>
      <c r="J3394" s="7">
        <v>0</v>
      </c>
      <c r="K3394" s="90">
        <f t="shared" si="200"/>
        <v>917</v>
      </c>
      <c r="L3394" s="32">
        <v>917</v>
      </c>
      <c r="M3394" s="10">
        <f t="shared" si="199"/>
        <v>40.810250817884409</v>
      </c>
    </row>
    <row r="3395" spans="1:13" ht="15.75" hidden="1" customHeight="1" x14ac:dyDescent="0.3">
      <c r="A3395" s="9">
        <v>3758</v>
      </c>
      <c r="B3395" t="s">
        <v>348</v>
      </c>
      <c r="C3395" s="25">
        <v>44684</v>
      </c>
      <c r="D3395" s="26">
        <v>0.31739583333333332</v>
      </c>
      <c r="E3395" t="s">
        <v>28</v>
      </c>
      <c r="F3395" t="s">
        <v>210</v>
      </c>
      <c r="G3395" t="s">
        <v>211</v>
      </c>
      <c r="H3395" t="s">
        <v>204</v>
      </c>
      <c r="I3395">
        <v>360.15</v>
      </c>
      <c r="J3395" s="34">
        <v>0</v>
      </c>
      <c r="K3395" s="97">
        <f t="shared" si="200"/>
        <v>815</v>
      </c>
      <c r="L3395" s="32">
        <v>815</v>
      </c>
      <c r="M3395" s="10">
        <f t="shared" si="199"/>
        <v>44.190184049079747</v>
      </c>
    </row>
    <row r="3396" spans="1:13" ht="15.75" hidden="1" customHeight="1" x14ac:dyDescent="0.3">
      <c r="A3396" s="9">
        <v>3801</v>
      </c>
      <c r="B3396" t="s">
        <v>348</v>
      </c>
      <c r="C3396" s="25">
        <v>44685</v>
      </c>
      <c r="D3396" s="26">
        <v>0.83868055555555554</v>
      </c>
      <c r="E3396" t="s">
        <v>28</v>
      </c>
      <c r="F3396" t="s">
        <v>210</v>
      </c>
      <c r="G3396" t="s">
        <v>211</v>
      </c>
      <c r="H3396" t="s">
        <v>204</v>
      </c>
      <c r="I3396">
        <v>461.27</v>
      </c>
      <c r="J3396" s="34">
        <v>0</v>
      </c>
      <c r="K3396" s="97">
        <f t="shared" si="200"/>
        <v>1124</v>
      </c>
      <c r="L3396" s="32">
        <v>1124</v>
      </c>
      <c r="M3396" s="10">
        <f t="shared" si="199"/>
        <v>41.038256227758005</v>
      </c>
    </row>
    <row r="3397" spans="1:13" ht="15.75" hidden="1" customHeight="1" x14ac:dyDescent="0.3">
      <c r="A3397" s="9">
        <v>3970</v>
      </c>
      <c r="B3397" t="s">
        <v>348</v>
      </c>
      <c r="C3397" s="25">
        <v>44688</v>
      </c>
      <c r="D3397" s="26">
        <v>0.10002314814814815</v>
      </c>
      <c r="E3397" t="s">
        <v>28</v>
      </c>
      <c r="F3397" t="s">
        <v>339</v>
      </c>
      <c r="G3397" t="s">
        <v>392</v>
      </c>
      <c r="H3397" t="s">
        <v>204</v>
      </c>
      <c r="I3397">
        <v>438.99</v>
      </c>
      <c r="J3397" s="7">
        <v>0</v>
      </c>
      <c r="K3397" s="97">
        <f t="shared" si="200"/>
        <v>1058</v>
      </c>
      <c r="L3397" s="37">
        <v>1058</v>
      </c>
      <c r="M3397" s="10">
        <f t="shared" si="199"/>
        <v>41.492438563327035</v>
      </c>
    </row>
    <row r="3398" spans="1:13" ht="15.75" hidden="1" customHeight="1" x14ac:dyDescent="0.3">
      <c r="A3398" s="9">
        <v>3971</v>
      </c>
      <c r="B3398" t="s">
        <v>348</v>
      </c>
      <c r="C3398" s="25">
        <v>44688</v>
      </c>
      <c r="D3398" s="26">
        <v>0.79245370370370372</v>
      </c>
      <c r="E3398" t="s">
        <v>28</v>
      </c>
      <c r="F3398" t="s">
        <v>210</v>
      </c>
      <c r="G3398" t="s">
        <v>211</v>
      </c>
      <c r="H3398" t="s">
        <v>204</v>
      </c>
      <c r="I3398">
        <v>337.82</v>
      </c>
      <c r="J3398" s="7">
        <v>0</v>
      </c>
      <c r="K3398" s="90">
        <f t="shared" si="200"/>
        <v>681</v>
      </c>
      <c r="L3398" s="32">
        <v>681</v>
      </c>
      <c r="M3398" s="10">
        <f t="shared" si="199"/>
        <v>49.606461086637296</v>
      </c>
    </row>
    <row r="3399" spans="1:13" ht="15.75" hidden="1" customHeight="1" x14ac:dyDescent="0.3">
      <c r="A3399" s="9">
        <v>4072</v>
      </c>
      <c r="B3399" t="s">
        <v>348</v>
      </c>
      <c r="C3399" s="25">
        <v>44690</v>
      </c>
      <c r="D3399" s="26">
        <v>2.0833333333333332E-2</v>
      </c>
      <c r="E3399" t="s">
        <v>28</v>
      </c>
      <c r="F3399" t="s">
        <v>210</v>
      </c>
      <c r="G3399" t="s">
        <v>211</v>
      </c>
      <c r="H3399" t="s">
        <v>204</v>
      </c>
      <c r="I3399">
        <v>440.04</v>
      </c>
      <c r="J3399" s="7">
        <v>0</v>
      </c>
      <c r="K3399" s="90">
        <f t="shared" si="200"/>
        <v>1054</v>
      </c>
      <c r="L3399" s="32">
        <v>1054</v>
      </c>
      <c r="M3399" s="10">
        <f t="shared" ref="M3399:M3430" si="201">I3399/K3399*100</f>
        <v>41.7495256166983</v>
      </c>
    </row>
    <row r="3400" spans="1:13" ht="15.75" hidden="1" customHeight="1" x14ac:dyDescent="0.3">
      <c r="A3400" s="9">
        <v>4108</v>
      </c>
      <c r="B3400" t="s">
        <v>348</v>
      </c>
      <c r="C3400" s="25">
        <v>44691</v>
      </c>
      <c r="D3400" s="26">
        <v>0.34399305555555554</v>
      </c>
      <c r="E3400" t="s">
        <v>28</v>
      </c>
      <c r="F3400" t="s">
        <v>428</v>
      </c>
      <c r="G3400" t="s">
        <v>429</v>
      </c>
      <c r="H3400" t="s">
        <v>204</v>
      </c>
      <c r="I3400">
        <v>150.04</v>
      </c>
      <c r="J3400" s="7">
        <v>0</v>
      </c>
      <c r="K3400" s="90">
        <f t="shared" ref="K3400:K3402" si="202">+L3400-J3400</f>
        <v>906</v>
      </c>
      <c r="L3400" s="32">
        <v>906</v>
      </c>
      <c r="M3400" s="10">
        <f t="shared" si="201"/>
        <v>16.560706401766005</v>
      </c>
    </row>
    <row r="3401" spans="1:13" ht="15.75" hidden="1" customHeight="1" x14ac:dyDescent="0.3">
      <c r="A3401" s="9">
        <v>4109</v>
      </c>
      <c r="B3401" t="s">
        <v>348</v>
      </c>
      <c r="C3401" s="25">
        <v>44691</v>
      </c>
      <c r="D3401" s="26">
        <v>0.58885416666666668</v>
      </c>
      <c r="E3401" t="s">
        <v>28</v>
      </c>
      <c r="F3401" t="s">
        <v>175</v>
      </c>
      <c r="G3401" t="s">
        <v>172</v>
      </c>
      <c r="H3401" t="s">
        <v>204</v>
      </c>
      <c r="I3401">
        <v>271.32</v>
      </c>
      <c r="J3401" s="7">
        <v>0</v>
      </c>
      <c r="K3401" s="90">
        <f t="shared" si="202"/>
        <v>157</v>
      </c>
      <c r="L3401" s="32">
        <v>157</v>
      </c>
      <c r="M3401" s="10">
        <f t="shared" si="201"/>
        <v>172.81528662420382</v>
      </c>
    </row>
    <row r="3402" spans="1:13" ht="15.75" hidden="1" customHeight="1" x14ac:dyDescent="0.3">
      <c r="A3402" s="9">
        <v>4159</v>
      </c>
      <c r="B3402" t="s">
        <v>348</v>
      </c>
      <c r="C3402" s="25">
        <v>44692</v>
      </c>
      <c r="D3402" s="26">
        <v>0.92290509259259268</v>
      </c>
      <c r="E3402" t="s">
        <v>28</v>
      </c>
      <c r="F3402" t="s">
        <v>210</v>
      </c>
      <c r="G3402" t="s">
        <v>211</v>
      </c>
      <c r="H3402" t="s">
        <v>204</v>
      </c>
      <c r="I3402">
        <v>386.02</v>
      </c>
      <c r="J3402" s="7">
        <v>0</v>
      </c>
      <c r="K3402" s="89">
        <f t="shared" si="202"/>
        <v>856</v>
      </c>
      <c r="L3402" s="32">
        <v>856</v>
      </c>
      <c r="M3402" s="10">
        <f t="shared" si="201"/>
        <v>45.095794392523366</v>
      </c>
    </row>
    <row r="3403" spans="1:13" ht="15.75" hidden="1" customHeight="1" x14ac:dyDescent="0.3">
      <c r="A3403" s="9">
        <v>4266</v>
      </c>
      <c r="B3403" t="s">
        <v>348</v>
      </c>
      <c r="C3403" s="25">
        <v>44694</v>
      </c>
      <c r="D3403" s="26">
        <v>0.6549652777777778</v>
      </c>
      <c r="E3403" t="s">
        <v>28</v>
      </c>
      <c r="F3403" t="s">
        <v>210</v>
      </c>
      <c r="G3403" t="s">
        <v>211</v>
      </c>
      <c r="H3403" t="s">
        <v>204</v>
      </c>
      <c r="I3403">
        <v>439.27</v>
      </c>
      <c r="J3403" s="7">
        <v>0</v>
      </c>
      <c r="K3403" s="89">
        <f>+L3403-J3675</f>
        <v>1149</v>
      </c>
      <c r="L3403" s="37">
        <v>1149</v>
      </c>
      <c r="M3403" s="10">
        <f t="shared" si="201"/>
        <v>38.230635335073977</v>
      </c>
    </row>
    <row r="3404" spans="1:13" ht="15.75" hidden="1" customHeight="1" x14ac:dyDescent="0.3">
      <c r="A3404" s="9">
        <v>4606</v>
      </c>
      <c r="B3404" t="s">
        <v>348</v>
      </c>
      <c r="C3404" s="25">
        <v>44700</v>
      </c>
      <c r="D3404" s="26">
        <v>0.49732638888888886</v>
      </c>
      <c r="E3404" t="s">
        <v>28</v>
      </c>
      <c r="F3404" t="s">
        <v>175</v>
      </c>
      <c r="G3404" t="s">
        <v>172</v>
      </c>
      <c r="H3404" t="s">
        <v>204</v>
      </c>
      <c r="I3404">
        <v>412.98</v>
      </c>
      <c r="J3404" s="7">
        <v>0</v>
      </c>
      <c r="K3404" s="89">
        <f>+L3404-J3675</f>
        <v>1006</v>
      </c>
      <c r="L3404" s="32">
        <v>1006</v>
      </c>
      <c r="M3404" s="10">
        <f t="shared" si="201"/>
        <v>41.051689860834998</v>
      </c>
    </row>
    <row r="3405" spans="1:13" ht="15.75" hidden="1" customHeight="1" x14ac:dyDescent="0.3">
      <c r="A3405" s="9">
        <v>4655</v>
      </c>
      <c r="B3405" t="s">
        <v>348</v>
      </c>
      <c r="C3405" s="25">
        <v>44701</v>
      </c>
      <c r="D3405" s="26">
        <v>0.35226851851851854</v>
      </c>
      <c r="E3405" t="s">
        <v>28</v>
      </c>
      <c r="F3405" t="s">
        <v>210</v>
      </c>
      <c r="G3405" t="s">
        <v>211</v>
      </c>
      <c r="H3405" t="s">
        <v>204</v>
      </c>
      <c r="I3405">
        <v>313.2</v>
      </c>
      <c r="J3405" s="7">
        <v>0</v>
      </c>
      <c r="K3405" s="89">
        <f>+L3405-J3676</f>
        <v>687</v>
      </c>
      <c r="L3405" s="37">
        <v>687</v>
      </c>
      <c r="M3405" s="10">
        <f t="shared" si="201"/>
        <v>45.589519650655021</v>
      </c>
    </row>
    <row r="3406" spans="1:13" ht="15.75" hidden="1" customHeight="1" x14ac:dyDescent="0.3">
      <c r="A3406" s="9">
        <v>4707</v>
      </c>
      <c r="B3406" t="s">
        <v>348</v>
      </c>
      <c r="C3406" s="25">
        <v>44702</v>
      </c>
      <c r="D3406" s="26">
        <v>0.3626388888888889</v>
      </c>
      <c r="E3406" t="s">
        <v>28</v>
      </c>
      <c r="F3406" t="s">
        <v>210</v>
      </c>
      <c r="G3406" t="s">
        <v>211</v>
      </c>
      <c r="H3406" t="s">
        <v>204</v>
      </c>
      <c r="I3406">
        <v>446.28</v>
      </c>
      <c r="J3406" s="7">
        <v>0</v>
      </c>
      <c r="K3406" s="89">
        <f t="shared" ref="K3406:K3411" si="203">+L3406-J3675</f>
        <v>1055</v>
      </c>
      <c r="L3406" s="32">
        <v>1055</v>
      </c>
      <c r="M3406" s="10">
        <f t="shared" si="201"/>
        <v>42.301421800947864</v>
      </c>
    </row>
    <row r="3407" spans="1:13" ht="15.75" hidden="1" customHeight="1" x14ac:dyDescent="0.3">
      <c r="A3407" s="9">
        <v>4819</v>
      </c>
      <c r="B3407" t="s">
        <v>348</v>
      </c>
      <c r="C3407" s="25">
        <v>44704</v>
      </c>
      <c r="D3407" s="26">
        <v>0.55462962962962969</v>
      </c>
      <c r="E3407" t="s">
        <v>28</v>
      </c>
      <c r="F3407" t="s">
        <v>339</v>
      </c>
      <c r="G3407" t="s">
        <v>392</v>
      </c>
      <c r="H3407" t="s">
        <v>204</v>
      </c>
      <c r="I3407">
        <v>100</v>
      </c>
      <c r="J3407" s="7">
        <v>0</v>
      </c>
      <c r="K3407" s="89">
        <f t="shared" si="203"/>
        <v>1022</v>
      </c>
      <c r="L3407" s="32">
        <v>1022</v>
      </c>
      <c r="M3407" s="10">
        <f t="shared" si="201"/>
        <v>9.7847358121330714</v>
      </c>
    </row>
    <row r="3408" spans="1:13" ht="15.75" hidden="1" customHeight="1" x14ac:dyDescent="0.3">
      <c r="A3408" s="9">
        <v>4820</v>
      </c>
      <c r="B3408" t="s">
        <v>348</v>
      </c>
      <c r="C3408" s="25">
        <v>44704</v>
      </c>
      <c r="D3408" s="26">
        <v>0.6482754629629629</v>
      </c>
      <c r="E3408" t="s">
        <v>28</v>
      </c>
      <c r="F3408" t="s">
        <v>197</v>
      </c>
      <c r="G3408" t="s">
        <v>44</v>
      </c>
      <c r="H3408" t="s">
        <v>204</v>
      </c>
      <c r="I3408">
        <v>153.97</v>
      </c>
      <c r="J3408" s="7">
        <v>0</v>
      </c>
      <c r="K3408" s="89">
        <f t="shared" si="203"/>
        <v>94</v>
      </c>
      <c r="L3408" s="32">
        <v>94</v>
      </c>
      <c r="M3408" s="10">
        <f t="shared" si="201"/>
        <v>163.79787234042553</v>
      </c>
    </row>
    <row r="3409" spans="1:13" ht="15.75" hidden="1" customHeight="1" x14ac:dyDescent="0.3">
      <c r="A3409" s="9">
        <v>4821</v>
      </c>
      <c r="B3409" t="s">
        <v>348</v>
      </c>
      <c r="C3409" s="25">
        <v>44704</v>
      </c>
      <c r="D3409" s="26">
        <v>0.69038194444444445</v>
      </c>
      <c r="E3409" t="s">
        <v>28</v>
      </c>
      <c r="F3409" t="s">
        <v>541</v>
      </c>
      <c r="G3409" t="s">
        <v>542</v>
      </c>
      <c r="H3409" t="s">
        <v>204</v>
      </c>
      <c r="I3409">
        <v>150.02000000000001</v>
      </c>
      <c r="J3409" s="7">
        <v>0</v>
      </c>
      <c r="K3409" s="89">
        <f t="shared" si="203"/>
        <v>51</v>
      </c>
      <c r="L3409" s="32">
        <v>51</v>
      </c>
      <c r="M3409" s="10">
        <f t="shared" si="201"/>
        <v>294.15686274509807</v>
      </c>
    </row>
    <row r="3410" spans="1:13" ht="15.75" hidden="1" customHeight="1" x14ac:dyDescent="0.3">
      <c r="A3410" s="9">
        <v>4873</v>
      </c>
      <c r="B3410" t="s">
        <v>348</v>
      </c>
      <c r="C3410" s="25">
        <v>44705</v>
      </c>
      <c r="D3410" s="26">
        <v>0.22479166666666664</v>
      </c>
      <c r="E3410" t="s">
        <v>28</v>
      </c>
      <c r="F3410" t="s">
        <v>210</v>
      </c>
      <c r="G3410" t="s">
        <v>211</v>
      </c>
      <c r="H3410" t="s">
        <v>204</v>
      </c>
      <c r="I3410">
        <v>337.96</v>
      </c>
      <c r="J3410" s="7">
        <v>0</v>
      </c>
      <c r="K3410" s="89">
        <f t="shared" si="203"/>
        <v>532</v>
      </c>
      <c r="L3410" s="32">
        <v>532</v>
      </c>
      <c r="M3410" s="10">
        <f t="shared" si="201"/>
        <v>63.526315789473678</v>
      </c>
    </row>
    <row r="3411" spans="1:13" ht="15.75" hidden="1" customHeight="1" x14ac:dyDescent="0.3">
      <c r="A3411" s="9">
        <v>4925</v>
      </c>
      <c r="B3411" t="s">
        <v>348</v>
      </c>
      <c r="C3411" s="25">
        <v>44706</v>
      </c>
      <c r="D3411" s="26">
        <v>0.47075231481481478</v>
      </c>
      <c r="E3411" t="s">
        <v>28</v>
      </c>
      <c r="F3411" t="s">
        <v>210</v>
      </c>
      <c r="G3411" t="s">
        <v>211</v>
      </c>
      <c r="H3411" t="s">
        <v>204</v>
      </c>
      <c r="I3411">
        <v>456.91</v>
      </c>
      <c r="J3411" s="7">
        <v>0</v>
      </c>
      <c r="K3411" s="89">
        <f t="shared" si="203"/>
        <v>1056</v>
      </c>
      <c r="L3411" s="53">
        <v>1056</v>
      </c>
      <c r="M3411" s="10">
        <f t="shared" si="201"/>
        <v>43.267992424242422</v>
      </c>
    </row>
    <row r="3412" spans="1:13" ht="15.75" hidden="1" customHeight="1" x14ac:dyDescent="0.3">
      <c r="A3412" s="9">
        <v>4981</v>
      </c>
      <c r="B3412" t="s">
        <v>348</v>
      </c>
      <c r="C3412" s="25">
        <v>44707</v>
      </c>
      <c r="D3412" s="26">
        <v>0.35187499999999999</v>
      </c>
      <c r="E3412" t="s">
        <v>28</v>
      </c>
      <c r="F3412" t="s">
        <v>637</v>
      </c>
      <c r="G3412" t="s">
        <v>196</v>
      </c>
      <c r="H3412" t="s">
        <v>204</v>
      </c>
      <c r="I3412">
        <v>183.73</v>
      </c>
      <c r="J3412" s="7">
        <v>0</v>
      </c>
      <c r="K3412" s="89">
        <f>+L3412-J3680</f>
        <v>473</v>
      </c>
      <c r="L3412" s="11">
        <v>473</v>
      </c>
      <c r="M3412" s="10">
        <f t="shared" si="201"/>
        <v>38.843551797040163</v>
      </c>
    </row>
    <row r="3413" spans="1:13" ht="15.75" hidden="1" customHeight="1" x14ac:dyDescent="0.3">
      <c r="A3413" s="9">
        <v>5022</v>
      </c>
      <c r="B3413" t="s">
        <v>348</v>
      </c>
      <c r="C3413" s="25">
        <v>44708</v>
      </c>
      <c r="D3413" s="26">
        <v>0.46452546296296293</v>
      </c>
      <c r="E3413" t="s">
        <v>28</v>
      </c>
      <c r="F3413" t="s">
        <v>662</v>
      </c>
      <c r="G3413" t="s">
        <v>542</v>
      </c>
      <c r="H3413" t="s">
        <v>204</v>
      </c>
      <c r="I3413">
        <v>200</v>
      </c>
      <c r="J3413" s="7">
        <v>0</v>
      </c>
      <c r="K3413" s="89">
        <f>+L3413-J3681</f>
        <v>741</v>
      </c>
      <c r="L3413" s="7">
        <v>741</v>
      </c>
      <c r="M3413" s="10">
        <f t="shared" si="201"/>
        <v>26.990553306342779</v>
      </c>
    </row>
    <row r="3414" spans="1:13" ht="15.75" hidden="1" customHeight="1" x14ac:dyDescent="0.3">
      <c r="A3414" s="9">
        <v>5023</v>
      </c>
      <c r="B3414" t="s">
        <v>348</v>
      </c>
      <c r="C3414" s="25">
        <v>44708</v>
      </c>
      <c r="D3414" s="26">
        <v>0.87622685185185178</v>
      </c>
      <c r="E3414" t="s">
        <v>28</v>
      </c>
      <c r="F3414" t="s">
        <v>634</v>
      </c>
      <c r="G3414" t="s">
        <v>211</v>
      </c>
      <c r="H3414" t="s">
        <v>204</v>
      </c>
      <c r="I3414">
        <v>400.71</v>
      </c>
      <c r="J3414" s="34">
        <v>0</v>
      </c>
      <c r="K3414" s="89">
        <f>+L3414-J3682</f>
        <v>533</v>
      </c>
      <c r="L3414" s="34">
        <v>533</v>
      </c>
      <c r="M3414" s="10">
        <f t="shared" si="201"/>
        <v>75.180112570356471</v>
      </c>
    </row>
    <row r="3415" spans="1:13" ht="15.75" hidden="1" customHeight="1" x14ac:dyDescent="0.3">
      <c r="A3415" s="9">
        <v>5136</v>
      </c>
      <c r="B3415" t="s">
        <v>348</v>
      </c>
      <c r="C3415" s="25">
        <v>44710</v>
      </c>
      <c r="D3415" s="26">
        <v>0.35396990740740741</v>
      </c>
      <c r="E3415" t="s">
        <v>28</v>
      </c>
      <c r="F3415" t="s">
        <v>634</v>
      </c>
      <c r="G3415" t="s">
        <v>211</v>
      </c>
      <c r="H3415" t="s">
        <v>204</v>
      </c>
      <c r="I3415">
        <v>458.77</v>
      </c>
      <c r="J3415" s="34">
        <v>0</v>
      </c>
      <c r="K3415" s="89">
        <f>+L3415-J3683</f>
        <v>1056</v>
      </c>
      <c r="L3415" s="7">
        <v>1056</v>
      </c>
      <c r="M3415" s="10">
        <f t="shared" si="201"/>
        <v>43.444128787878789</v>
      </c>
    </row>
    <row r="3416" spans="1:13" ht="15.75" hidden="1" customHeight="1" x14ac:dyDescent="0.3">
      <c r="A3416" s="9">
        <v>5137</v>
      </c>
      <c r="B3416" t="s">
        <v>348</v>
      </c>
      <c r="C3416" s="25">
        <v>44710</v>
      </c>
      <c r="D3416" s="26">
        <v>0.67799768518518511</v>
      </c>
      <c r="E3416" t="s">
        <v>28</v>
      </c>
      <c r="F3416" t="s">
        <v>637</v>
      </c>
      <c r="G3416" t="s">
        <v>196</v>
      </c>
      <c r="H3416" t="s">
        <v>204</v>
      </c>
      <c r="I3416">
        <v>152.32</v>
      </c>
      <c r="J3416" s="7">
        <v>0</v>
      </c>
      <c r="K3416" s="89">
        <f>+L3416-J3684</f>
        <v>461</v>
      </c>
      <c r="L3416" s="34">
        <v>461</v>
      </c>
      <c r="M3416" s="10">
        <f t="shared" si="201"/>
        <v>33.041214750542295</v>
      </c>
    </row>
    <row r="3417" spans="1:13" ht="15.75" hidden="1" customHeight="1" x14ac:dyDescent="0.3">
      <c r="A3417" s="9">
        <v>5398</v>
      </c>
      <c r="B3417" t="s">
        <v>348</v>
      </c>
      <c r="C3417" s="25">
        <v>44715</v>
      </c>
      <c r="D3417" s="26">
        <v>0.76391203703703703</v>
      </c>
      <c r="E3417" t="s">
        <v>29</v>
      </c>
      <c r="F3417" t="s">
        <v>639</v>
      </c>
      <c r="G3417" t="s">
        <v>44</v>
      </c>
      <c r="H3417" t="s">
        <v>204</v>
      </c>
      <c r="I3417">
        <v>115.48</v>
      </c>
      <c r="J3417" s="7">
        <v>0</v>
      </c>
      <c r="K3417" s="90">
        <f>+L3417-J3676</f>
        <v>679</v>
      </c>
      <c r="L3417" s="7">
        <v>679</v>
      </c>
      <c r="M3417" s="10">
        <f t="shared" si="201"/>
        <v>17.007363770250368</v>
      </c>
    </row>
    <row r="3418" spans="1:13" ht="15.75" hidden="1" customHeight="1" x14ac:dyDescent="0.3">
      <c r="A3418" s="9">
        <v>5399</v>
      </c>
      <c r="B3418" t="s">
        <v>348</v>
      </c>
      <c r="C3418" s="25">
        <v>44715</v>
      </c>
      <c r="D3418" s="26">
        <v>0.90033564814814815</v>
      </c>
      <c r="E3418" t="s">
        <v>29</v>
      </c>
      <c r="F3418" t="s">
        <v>654</v>
      </c>
      <c r="G3418" t="s">
        <v>303</v>
      </c>
      <c r="H3418" t="s">
        <v>204</v>
      </c>
      <c r="I3418">
        <v>150.12</v>
      </c>
      <c r="J3418" s="34">
        <v>0</v>
      </c>
      <c r="K3418" s="92">
        <f>+L3418-J3677</f>
        <v>42</v>
      </c>
      <c r="L3418" s="7">
        <v>42</v>
      </c>
      <c r="M3418" s="10">
        <f t="shared" si="201"/>
        <v>357.42857142857144</v>
      </c>
    </row>
    <row r="3419" spans="1:13" ht="15.75" hidden="1" customHeight="1" x14ac:dyDescent="0.3">
      <c r="A3419" s="9">
        <v>5452</v>
      </c>
      <c r="B3419" t="s">
        <v>348</v>
      </c>
      <c r="C3419" s="25">
        <v>44716</v>
      </c>
      <c r="D3419" s="26">
        <v>0.55236111111111108</v>
      </c>
      <c r="E3419" t="s">
        <v>29</v>
      </c>
      <c r="F3419" t="s">
        <v>634</v>
      </c>
      <c r="G3419" t="s">
        <v>211</v>
      </c>
      <c r="H3419" t="s">
        <v>204</v>
      </c>
      <c r="I3419">
        <v>356.94</v>
      </c>
      <c r="J3419" s="7">
        <v>0</v>
      </c>
      <c r="K3419" s="89">
        <f>+L3419-J3678</f>
        <v>376</v>
      </c>
      <c r="L3419" s="7">
        <v>376</v>
      </c>
      <c r="M3419" s="10">
        <f t="shared" si="201"/>
        <v>94.930851063829792</v>
      </c>
    </row>
    <row r="3420" spans="1:13" ht="15.75" hidden="1" customHeight="1" x14ac:dyDescent="0.3">
      <c r="A3420" s="9">
        <v>5506</v>
      </c>
      <c r="B3420" t="s">
        <v>348</v>
      </c>
      <c r="C3420" s="25">
        <v>44717</v>
      </c>
      <c r="D3420" s="26">
        <v>0.58444444444444443</v>
      </c>
      <c r="E3420" t="s">
        <v>29</v>
      </c>
      <c r="F3420" t="s">
        <v>634</v>
      </c>
      <c r="G3420" t="s">
        <v>211</v>
      </c>
      <c r="H3420" t="s">
        <v>204</v>
      </c>
      <c r="I3420">
        <v>449.66</v>
      </c>
      <c r="J3420" s="7">
        <v>0</v>
      </c>
      <c r="K3420" s="89">
        <f>+L3420-J3679</f>
        <v>1056</v>
      </c>
      <c r="L3420" s="34">
        <v>1056</v>
      </c>
      <c r="M3420" s="10">
        <f t="shared" si="201"/>
        <v>42.581439393939398</v>
      </c>
    </row>
    <row r="3421" spans="1:13" ht="15.75" hidden="1" customHeight="1" x14ac:dyDescent="0.3">
      <c r="A3421" s="9">
        <v>5548</v>
      </c>
      <c r="B3421" t="s">
        <v>348</v>
      </c>
      <c r="C3421" s="25">
        <v>44718</v>
      </c>
      <c r="D3421" s="26">
        <v>0.29333333333333333</v>
      </c>
      <c r="E3421" t="s">
        <v>29</v>
      </c>
      <c r="F3421" t="s">
        <v>637</v>
      </c>
      <c r="G3421" t="s">
        <v>196</v>
      </c>
      <c r="H3421" t="s">
        <v>204</v>
      </c>
      <c r="I3421">
        <v>146</v>
      </c>
      <c r="J3421" s="7">
        <v>0</v>
      </c>
      <c r="K3421" s="89">
        <f>+L3421-J2985</f>
        <v>195</v>
      </c>
      <c r="L3421" s="7">
        <v>195</v>
      </c>
      <c r="M3421" s="10">
        <f t="shared" si="201"/>
        <v>74.871794871794876</v>
      </c>
    </row>
    <row r="3422" spans="1:13" ht="15.75" hidden="1" customHeight="1" x14ac:dyDescent="0.3">
      <c r="A3422" s="9">
        <v>5584</v>
      </c>
      <c r="B3422" t="s">
        <v>348</v>
      </c>
      <c r="C3422" s="25">
        <v>44719</v>
      </c>
      <c r="D3422" s="26">
        <v>0.43291666666666667</v>
      </c>
      <c r="E3422" t="s">
        <v>29</v>
      </c>
      <c r="F3422" t="s">
        <v>639</v>
      </c>
      <c r="G3422" t="s">
        <v>44</v>
      </c>
      <c r="H3422" t="s">
        <v>204</v>
      </c>
      <c r="I3422">
        <v>115.68</v>
      </c>
      <c r="J3422" s="7">
        <v>0</v>
      </c>
      <c r="K3422" s="89">
        <f>+L3422-J2980</f>
        <v>983</v>
      </c>
      <c r="L3422" s="7">
        <v>983</v>
      </c>
      <c r="M3422" s="10">
        <f t="shared" si="201"/>
        <v>11.768056968463886</v>
      </c>
    </row>
    <row r="3423" spans="1:13" ht="15.75" hidden="1" customHeight="1" x14ac:dyDescent="0.3">
      <c r="A3423" s="9">
        <v>5585</v>
      </c>
      <c r="B3423" t="s">
        <v>348</v>
      </c>
      <c r="C3423" s="25">
        <v>44719</v>
      </c>
      <c r="D3423" s="26">
        <v>0.50384259259259256</v>
      </c>
      <c r="E3423" t="s">
        <v>29</v>
      </c>
      <c r="F3423" t="s">
        <v>662</v>
      </c>
      <c r="G3423" t="s">
        <v>542</v>
      </c>
      <c r="H3423" t="s">
        <v>204</v>
      </c>
      <c r="I3423">
        <v>50.03</v>
      </c>
      <c r="J3423" s="34">
        <v>0</v>
      </c>
      <c r="K3423" s="89">
        <f>+L3423-J2981</f>
        <v>51</v>
      </c>
      <c r="L3423" s="7">
        <v>51</v>
      </c>
      <c r="M3423" s="10">
        <f t="shared" si="201"/>
        <v>98.098039215686271</v>
      </c>
    </row>
    <row r="3424" spans="1:13" ht="15.75" hidden="1" customHeight="1" x14ac:dyDescent="0.3">
      <c r="A3424" s="9">
        <v>5586</v>
      </c>
      <c r="B3424" t="s">
        <v>348</v>
      </c>
      <c r="C3424" s="25">
        <v>44719</v>
      </c>
      <c r="D3424" s="26">
        <v>0.61351851851851846</v>
      </c>
      <c r="E3424" t="s">
        <v>29</v>
      </c>
      <c r="F3424" t="s">
        <v>654</v>
      </c>
      <c r="G3424" t="s">
        <v>303</v>
      </c>
      <c r="H3424" t="s">
        <v>204</v>
      </c>
      <c r="I3424">
        <v>247.05</v>
      </c>
      <c r="J3424" s="34">
        <v>0</v>
      </c>
      <c r="K3424" s="89">
        <f>+L3424-J2982</f>
        <v>103</v>
      </c>
      <c r="L3424" s="7">
        <v>103</v>
      </c>
      <c r="M3424" s="10">
        <f t="shared" si="201"/>
        <v>239.85436893203885</v>
      </c>
    </row>
    <row r="3425" spans="1:19" ht="15.75" hidden="1" customHeight="1" x14ac:dyDescent="0.3">
      <c r="A3425" s="9">
        <v>5587</v>
      </c>
      <c r="B3425" t="s">
        <v>348</v>
      </c>
      <c r="C3425" s="25">
        <v>44719</v>
      </c>
      <c r="D3425" s="26">
        <v>0.93109953703703707</v>
      </c>
      <c r="E3425" t="s">
        <v>29</v>
      </c>
      <c r="F3425" t="s">
        <v>632</v>
      </c>
      <c r="G3425" t="s">
        <v>161</v>
      </c>
      <c r="H3425" t="s">
        <v>204</v>
      </c>
      <c r="I3425">
        <v>170.79</v>
      </c>
      <c r="J3425" s="34">
        <v>0</v>
      </c>
      <c r="K3425" s="89">
        <f>+L3425-J2983</f>
        <v>353</v>
      </c>
      <c r="L3425" s="7">
        <v>353</v>
      </c>
      <c r="M3425" s="10">
        <f t="shared" si="201"/>
        <v>48.38243626062323</v>
      </c>
    </row>
    <row r="3426" spans="1:19" ht="15.75" hidden="1" customHeight="1" x14ac:dyDescent="0.3">
      <c r="A3426" s="9">
        <v>5648</v>
      </c>
      <c r="B3426" t="s">
        <v>348</v>
      </c>
      <c r="C3426" s="25">
        <v>44720</v>
      </c>
      <c r="D3426" s="26">
        <v>0.82496527777777784</v>
      </c>
      <c r="E3426" t="s">
        <v>29</v>
      </c>
      <c r="F3426" t="s">
        <v>640</v>
      </c>
      <c r="G3426" t="s">
        <v>185</v>
      </c>
      <c r="H3426" t="s">
        <v>204</v>
      </c>
      <c r="I3426">
        <v>328.01</v>
      </c>
      <c r="J3426" s="37">
        <v>0</v>
      </c>
      <c r="K3426" s="89">
        <f t="shared" ref="K3426:K3431" si="204">+L3426-J2985</f>
        <v>629</v>
      </c>
      <c r="L3426" s="7">
        <v>629</v>
      </c>
      <c r="M3426" s="10">
        <f t="shared" si="201"/>
        <v>52.147853736089033</v>
      </c>
    </row>
    <row r="3427" spans="1:19" ht="15.75" hidden="1" customHeight="1" x14ac:dyDescent="0.3">
      <c r="A3427" s="9">
        <v>5759</v>
      </c>
      <c r="B3427" t="s">
        <v>348</v>
      </c>
      <c r="C3427" s="25">
        <v>44722</v>
      </c>
      <c r="D3427" s="26">
        <v>2.1874999999999998E-3</v>
      </c>
      <c r="E3427" t="s">
        <v>29</v>
      </c>
      <c r="F3427" t="s">
        <v>634</v>
      </c>
      <c r="G3427" t="s">
        <v>211</v>
      </c>
      <c r="H3427" t="s">
        <v>204</v>
      </c>
      <c r="I3427">
        <v>262.60000000000002</v>
      </c>
      <c r="J3427" s="37">
        <v>0</v>
      </c>
      <c r="K3427" s="89">
        <f t="shared" si="204"/>
        <v>559</v>
      </c>
      <c r="L3427" s="11">
        <v>559</v>
      </c>
      <c r="M3427" s="10">
        <f t="shared" si="201"/>
        <v>46.976744186046517</v>
      </c>
    </row>
    <row r="3428" spans="1:19" ht="15.75" hidden="1" customHeight="1" x14ac:dyDescent="0.3">
      <c r="A3428" s="9">
        <v>5760</v>
      </c>
      <c r="B3428" t="s">
        <v>348</v>
      </c>
      <c r="C3428" s="25">
        <v>44722</v>
      </c>
      <c r="D3428" s="26">
        <v>0.89567129629629638</v>
      </c>
      <c r="E3428" t="s">
        <v>29</v>
      </c>
      <c r="F3428" t="s">
        <v>653</v>
      </c>
      <c r="G3428" t="s">
        <v>402</v>
      </c>
      <c r="H3428" t="s">
        <v>204</v>
      </c>
      <c r="I3428">
        <v>28.48</v>
      </c>
      <c r="J3428" s="37">
        <v>0</v>
      </c>
      <c r="K3428" s="89">
        <f t="shared" si="204"/>
        <v>654</v>
      </c>
      <c r="L3428" s="11">
        <v>654</v>
      </c>
      <c r="M3428" s="10">
        <f t="shared" si="201"/>
        <v>4.3547400611620795</v>
      </c>
    </row>
    <row r="3429" spans="1:19" ht="15.75" hidden="1" customHeight="1" x14ac:dyDescent="0.3">
      <c r="A3429" s="9">
        <v>5805</v>
      </c>
      <c r="B3429" t="s">
        <v>348</v>
      </c>
      <c r="C3429" s="25">
        <v>44723</v>
      </c>
      <c r="D3429" s="26">
        <v>0.76670138888888895</v>
      </c>
      <c r="E3429" t="s">
        <v>29</v>
      </c>
      <c r="F3429" t="s">
        <v>639</v>
      </c>
      <c r="G3429" t="s">
        <v>44</v>
      </c>
      <c r="H3429" t="s">
        <v>204</v>
      </c>
      <c r="I3429">
        <v>231</v>
      </c>
      <c r="J3429" s="37">
        <v>0</v>
      </c>
      <c r="K3429" s="89">
        <f t="shared" si="204"/>
        <v>458</v>
      </c>
      <c r="L3429" s="11">
        <v>458</v>
      </c>
      <c r="M3429" s="10">
        <f t="shared" si="201"/>
        <v>50.436681222707428</v>
      </c>
    </row>
    <row r="3430" spans="1:19" ht="15.75" hidden="1" customHeight="1" x14ac:dyDescent="0.3">
      <c r="A3430" s="9">
        <v>5806</v>
      </c>
      <c r="B3430" t="s">
        <v>348</v>
      </c>
      <c r="C3430" s="25">
        <v>44723</v>
      </c>
      <c r="D3430" s="26">
        <v>0.90699074074074071</v>
      </c>
      <c r="E3430" t="s">
        <v>29</v>
      </c>
      <c r="F3430" t="s">
        <v>654</v>
      </c>
      <c r="G3430" t="s">
        <v>303</v>
      </c>
      <c r="H3430" t="s">
        <v>204</v>
      </c>
      <c r="I3430">
        <v>346.72</v>
      </c>
      <c r="J3430" s="37">
        <v>0</v>
      </c>
      <c r="K3430" s="89">
        <f t="shared" si="204"/>
        <v>155</v>
      </c>
      <c r="L3430" s="11">
        <v>155</v>
      </c>
      <c r="M3430" s="10">
        <f t="shared" si="201"/>
        <v>223.69032258064516</v>
      </c>
    </row>
    <row r="3431" spans="1:19" ht="15.75" hidden="1" customHeight="1" x14ac:dyDescent="0.3">
      <c r="A3431" s="9">
        <v>5869</v>
      </c>
      <c r="B3431" t="s">
        <v>348</v>
      </c>
      <c r="C3431" s="25">
        <v>44724</v>
      </c>
      <c r="D3431" s="26">
        <v>0.49180555555555555</v>
      </c>
      <c r="E3431" t="s">
        <v>29</v>
      </c>
      <c r="F3431" t="s">
        <v>634</v>
      </c>
      <c r="G3431" t="s">
        <v>211</v>
      </c>
      <c r="H3431" t="s">
        <v>204</v>
      </c>
      <c r="I3431" s="126">
        <v>210.14</v>
      </c>
      <c r="J3431" s="37">
        <v>0</v>
      </c>
      <c r="K3431" s="89">
        <f t="shared" si="204"/>
        <v>429</v>
      </c>
      <c r="L3431" s="11">
        <v>429</v>
      </c>
      <c r="M3431" s="10">
        <f t="shared" ref="M3431:M3446" si="205">I3431/K3431*100</f>
        <v>48.983682983682982</v>
      </c>
    </row>
    <row r="3432" spans="1:19" ht="15.75" hidden="1" customHeight="1" x14ac:dyDescent="0.3">
      <c r="A3432" s="9">
        <v>5923</v>
      </c>
      <c r="B3432" t="s">
        <v>348</v>
      </c>
      <c r="C3432" s="25">
        <v>44725</v>
      </c>
      <c r="D3432" s="26">
        <v>0.47116898148148145</v>
      </c>
      <c r="E3432" t="s">
        <v>29</v>
      </c>
      <c r="F3432" t="s">
        <v>634</v>
      </c>
      <c r="G3432" t="s">
        <v>211</v>
      </c>
      <c r="H3432" t="s">
        <v>204</v>
      </c>
      <c r="I3432" s="126">
        <v>377.07</v>
      </c>
      <c r="J3432" s="37">
        <v>0</v>
      </c>
      <c r="K3432" s="89">
        <v>905</v>
      </c>
      <c r="L3432" s="51">
        <v>905</v>
      </c>
      <c r="M3432" s="10">
        <f t="shared" si="205"/>
        <v>41.665193370165746</v>
      </c>
      <c r="N3432" s="2"/>
      <c r="O3432" s="2"/>
      <c r="P3432" s="2"/>
      <c r="Q3432" s="2"/>
      <c r="R3432" s="2"/>
      <c r="S3432" s="2"/>
    </row>
    <row r="3433" spans="1:19" ht="15.75" hidden="1" customHeight="1" x14ac:dyDescent="0.3">
      <c r="A3433" s="9">
        <v>5924</v>
      </c>
      <c r="B3433" t="s">
        <v>348</v>
      </c>
      <c r="C3433" s="25">
        <v>44725</v>
      </c>
      <c r="D3433" s="26">
        <v>0.89631944444444445</v>
      </c>
      <c r="E3433" t="s">
        <v>29</v>
      </c>
      <c r="F3433" t="s">
        <v>637</v>
      </c>
      <c r="G3433" t="s">
        <v>196</v>
      </c>
      <c r="H3433" t="s">
        <v>204</v>
      </c>
      <c r="I3433" s="126">
        <v>100</v>
      </c>
      <c r="J3433" s="37">
        <v>0</v>
      </c>
      <c r="K3433" s="89">
        <v>461</v>
      </c>
      <c r="L3433" s="51">
        <v>461</v>
      </c>
      <c r="M3433" s="10">
        <f t="shared" si="205"/>
        <v>21.691973969631238</v>
      </c>
      <c r="N3433" s="2"/>
      <c r="O3433" s="2"/>
      <c r="P3433" s="2"/>
      <c r="Q3433" s="2"/>
      <c r="R3433" s="2"/>
      <c r="S3433" s="2"/>
    </row>
    <row r="3434" spans="1:19" ht="15.75" hidden="1" customHeight="1" x14ac:dyDescent="0.3">
      <c r="A3434" s="9">
        <v>6033</v>
      </c>
      <c r="B3434" t="s">
        <v>348</v>
      </c>
      <c r="C3434" s="25">
        <v>44727</v>
      </c>
      <c r="D3434" s="26">
        <v>0.385775462962963</v>
      </c>
      <c r="E3434" t="s">
        <v>29</v>
      </c>
      <c r="F3434" t="s">
        <v>639</v>
      </c>
      <c r="G3434" t="s">
        <v>44</v>
      </c>
      <c r="H3434" t="s">
        <v>204</v>
      </c>
      <c r="I3434" s="126">
        <v>389.46</v>
      </c>
      <c r="J3434" s="32">
        <v>0</v>
      </c>
      <c r="K3434" s="89">
        <v>667</v>
      </c>
      <c r="L3434" s="11">
        <v>667</v>
      </c>
      <c r="M3434" s="10">
        <f t="shared" si="205"/>
        <v>58.389805097451273</v>
      </c>
    </row>
    <row r="3435" spans="1:19" ht="15.75" hidden="1" customHeight="1" x14ac:dyDescent="0.3">
      <c r="A3435" s="9">
        <v>6034</v>
      </c>
      <c r="B3435" t="s">
        <v>348</v>
      </c>
      <c r="C3435" s="25">
        <v>44727</v>
      </c>
      <c r="D3435" s="26">
        <v>0.89425925925925931</v>
      </c>
      <c r="E3435" t="s">
        <v>29</v>
      </c>
      <c r="F3435" t="s">
        <v>634</v>
      </c>
      <c r="G3435" t="s">
        <v>211</v>
      </c>
      <c r="H3435" t="s">
        <v>204</v>
      </c>
      <c r="I3435" s="125">
        <v>294.31</v>
      </c>
      <c r="J3435" s="32">
        <v>0</v>
      </c>
      <c r="K3435" s="89">
        <v>585</v>
      </c>
      <c r="L3435" s="28">
        <v>585</v>
      </c>
      <c r="M3435" s="10">
        <f t="shared" si="205"/>
        <v>50.309401709401712</v>
      </c>
    </row>
    <row r="3436" spans="1:19" ht="15.75" hidden="1" customHeight="1" x14ac:dyDescent="0.3">
      <c r="A3436" s="9">
        <v>6144</v>
      </c>
      <c r="B3436" t="s">
        <v>348</v>
      </c>
      <c r="C3436" s="25">
        <v>44729</v>
      </c>
      <c r="D3436" s="26">
        <v>5.9907407407407409E-2</v>
      </c>
      <c r="E3436" t="s">
        <v>29</v>
      </c>
      <c r="F3436" t="s">
        <v>634</v>
      </c>
      <c r="G3436" t="s">
        <v>211</v>
      </c>
      <c r="H3436" t="s">
        <v>204</v>
      </c>
      <c r="I3436" s="125">
        <v>460.94</v>
      </c>
      <c r="J3436" s="32">
        <v>0</v>
      </c>
      <c r="K3436" s="89">
        <v>1086</v>
      </c>
      <c r="L3436" s="7">
        <v>1086</v>
      </c>
      <c r="M3436" s="36">
        <f t="shared" si="205"/>
        <v>42.443830570902399</v>
      </c>
    </row>
    <row r="3437" spans="1:19" ht="15.75" hidden="1" customHeight="1" x14ac:dyDescent="0.3">
      <c r="A3437" s="9">
        <v>6145</v>
      </c>
      <c r="B3437" t="s">
        <v>348</v>
      </c>
      <c r="C3437" s="25">
        <v>44729</v>
      </c>
      <c r="D3437" s="26">
        <v>0.74833333333333341</v>
      </c>
      <c r="E3437" t="s">
        <v>29</v>
      </c>
      <c r="F3437" t="s">
        <v>637</v>
      </c>
      <c r="G3437" t="s">
        <v>196</v>
      </c>
      <c r="H3437" t="s">
        <v>204</v>
      </c>
      <c r="I3437" s="125">
        <v>152.04</v>
      </c>
      <c r="J3437" s="32">
        <v>0</v>
      </c>
      <c r="K3437" s="89">
        <v>473</v>
      </c>
      <c r="L3437" s="7">
        <v>473</v>
      </c>
      <c r="M3437" s="36">
        <f t="shared" si="205"/>
        <v>32.143763213530654</v>
      </c>
    </row>
    <row r="3438" spans="1:19" ht="15.75" hidden="1" customHeight="1" x14ac:dyDescent="0.3">
      <c r="A3438" s="9">
        <v>6377</v>
      </c>
      <c r="B3438" t="s">
        <v>348</v>
      </c>
      <c r="C3438" s="25">
        <v>44735</v>
      </c>
      <c r="D3438" s="26">
        <v>0.52980324074074081</v>
      </c>
      <c r="E3438" t="s">
        <v>29</v>
      </c>
      <c r="F3438" t="s">
        <v>651</v>
      </c>
      <c r="G3438" t="s">
        <v>172</v>
      </c>
      <c r="H3438" t="s">
        <v>204</v>
      </c>
      <c r="I3438" s="125">
        <v>243.83</v>
      </c>
      <c r="J3438" s="32">
        <v>0</v>
      </c>
      <c r="K3438" s="89">
        <v>459</v>
      </c>
      <c r="L3438" s="7">
        <v>459</v>
      </c>
      <c r="M3438" s="36">
        <f t="shared" si="205"/>
        <v>53.122004357298479</v>
      </c>
    </row>
    <row r="3439" spans="1:19" ht="15.75" hidden="1" customHeight="1" x14ac:dyDescent="0.3">
      <c r="A3439" s="9">
        <v>6423</v>
      </c>
      <c r="B3439" t="s">
        <v>348</v>
      </c>
      <c r="C3439" s="25">
        <v>44736</v>
      </c>
      <c r="D3439" s="26">
        <v>0.53200231481481486</v>
      </c>
      <c r="E3439" t="s">
        <v>29</v>
      </c>
      <c r="F3439" t="s">
        <v>634</v>
      </c>
      <c r="G3439" t="s">
        <v>211</v>
      </c>
      <c r="H3439" t="s">
        <v>204</v>
      </c>
      <c r="I3439" s="126">
        <v>375.79</v>
      </c>
      <c r="J3439" s="32">
        <v>0</v>
      </c>
      <c r="K3439" s="89">
        <v>814</v>
      </c>
      <c r="L3439" s="7">
        <v>814</v>
      </c>
      <c r="M3439" s="36">
        <f t="shared" si="205"/>
        <v>46.165847665847672</v>
      </c>
    </row>
    <row r="3440" spans="1:19" ht="15.75" hidden="1" customHeight="1" x14ac:dyDescent="0.3">
      <c r="A3440" s="9">
        <v>6487</v>
      </c>
      <c r="B3440" t="s">
        <v>348</v>
      </c>
      <c r="C3440" s="25">
        <v>44737</v>
      </c>
      <c r="D3440" s="26">
        <v>0.90115740740740735</v>
      </c>
      <c r="E3440" t="s">
        <v>29</v>
      </c>
      <c r="F3440" t="s">
        <v>634</v>
      </c>
      <c r="G3440" t="s">
        <v>211</v>
      </c>
      <c r="H3440" t="s">
        <v>204</v>
      </c>
      <c r="I3440" s="126">
        <v>465</v>
      </c>
      <c r="J3440" s="32">
        <v>0</v>
      </c>
      <c r="K3440" s="89">
        <v>1056</v>
      </c>
      <c r="L3440" s="7">
        <v>1056</v>
      </c>
      <c r="M3440" s="36">
        <f t="shared" si="205"/>
        <v>44.034090909090914</v>
      </c>
    </row>
    <row r="3441" spans="1:13" ht="15.75" hidden="1" customHeight="1" x14ac:dyDescent="0.3">
      <c r="A3441" s="9">
        <v>6536</v>
      </c>
      <c r="B3441" t="s">
        <v>348</v>
      </c>
      <c r="C3441" s="25">
        <v>44738</v>
      </c>
      <c r="D3441" s="26">
        <v>0.61047453703703702</v>
      </c>
      <c r="E3441" t="s">
        <v>29</v>
      </c>
      <c r="F3441" t="s">
        <v>637</v>
      </c>
      <c r="G3441" t="s">
        <v>196</v>
      </c>
      <c r="H3441" t="s">
        <v>204</v>
      </c>
      <c r="I3441" s="126">
        <v>193</v>
      </c>
      <c r="J3441" s="32">
        <v>0</v>
      </c>
      <c r="K3441" s="97">
        <v>464</v>
      </c>
      <c r="L3441" s="30">
        <v>464</v>
      </c>
      <c r="M3441" s="10">
        <f t="shared" si="205"/>
        <v>41.594827586206897</v>
      </c>
    </row>
    <row r="3442" spans="1:13" ht="15.75" hidden="1" customHeight="1" x14ac:dyDescent="0.3">
      <c r="A3442" s="9">
        <v>6644</v>
      </c>
      <c r="B3442" t="s">
        <v>348</v>
      </c>
      <c r="C3442" s="25">
        <v>44740</v>
      </c>
      <c r="D3442" s="26">
        <v>0.50228009259259265</v>
      </c>
      <c r="E3442" t="s">
        <v>29</v>
      </c>
      <c r="F3442" t="s">
        <v>639</v>
      </c>
      <c r="G3442" t="s">
        <v>44</v>
      </c>
      <c r="H3442" t="s">
        <v>204</v>
      </c>
      <c r="I3442" s="126">
        <v>134.77000000000001</v>
      </c>
      <c r="J3442" s="32">
        <v>0</v>
      </c>
      <c r="K3442" s="90">
        <v>667</v>
      </c>
      <c r="L3442" s="11">
        <v>667</v>
      </c>
      <c r="M3442" s="10">
        <f t="shared" si="205"/>
        <v>20.205397301349326</v>
      </c>
    </row>
    <row r="3443" spans="1:13" ht="15.75" hidden="1" customHeight="1" x14ac:dyDescent="0.3">
      <c r="A3443" s="9">
        <v>6645</v>
      </c>
      <c r="B3443" t="s">
        <v>348</v>
      </c>
      <c r="C3443" s="25">
        <v>44740</v>
      </c>
      <c r="D3443" s="26">
        <v>0.56407407407407406</v>
      </c>
      <c r="E3443" t="s">
        <v>29</v>
      </c>
      <c r="F3443" t="s">
        <v>663</v>
      </c>
      <c r="G3443" t="s">
        <v>344</v>
      </c>
      <c r="H3443" t="s">
        <v>204</v>
      </c>
      <c r="I3443" s="126">
        <v>100</v>
      </c>
      <c r="J3443" s="32">
        <v>0</v>
      </c>
      <c r="K3443" s="89">
        <v>81</v>
      </c>
      <c r="L3443" s="11">
        <v>81</v>
      </c>
      <c r="M3443" s="10">
        <f t="shared" si="205"/>
        <v>123.45679012345678</v>
      </c>
    </row>
    <row r="3444" spans="1:13" ht="15.75" hidden="1" customHeight="1" x14ac:dyDescent="0.3">
      <c r="A3444" s="9">
        <v>6646</v>
      </c>
      <c r="B3444" t="s">
        <v>348</v>
      </c>
      <c r="C3444" s="25">
        <v>44740</v>
      </c>
      <c r="D3444" s="26">
        <v>0.61454861111111114</v>
      </c>
      <c r="E3444" t="s">
        <v>29</v>
      </c>
      <c r="F3444" t="s">
        <v>654</v>
      </c>
      <c r="G3444" t="s">
        <v>303</v>
      </c>
      <c r="H3444" t="s">
        <v>204</v>
      </c>
      <c r="I3444" s="126">
        <v>174.35</v>
      </c>
      <c r="J3444" s="32">
        <v>0</v>
      </c>
      <c r="K3444" s="89">
        <v>69</v>
      </c>
      <c r="L3444" s="11">
        <v>69</v>
      </c>
      <c r="M3444" s="10">
        <f t="shared" si="205"/>
        <v>252.68115942028984</v>
      </c>
    </row>
    <row r="3445" spans="1:13" ht="15.75" hidden="1" customHeight="1" x14ac:dyDescent="0.3">
      <c r="A3445" s="9">
        <v>6647</v>
      </c>
      <c r="B3445" t="s">
        <v>348</v>
      </c>
      <c r="C3445" s="25">
        <v>44740</v>
      </c>
      <c r="D3445" s="26">
        <v>0.92961805555555566</v>
      </c>
      <c r="E3445" t="s">
        <v>29</v>
      </c>
      <c r="F3445" t="s">
        <v>634</v>
      </c>
      <c r="G3445" t="s">
        <v>211</v>
      </c>
      <c r="H3445" t="s">
        <v>204</v>
      </c>
      <c r="I3445" s="148">
        <v>169.58</v>
      </c>
      <c r="J3445" s="32">
        <v>0</v>
      </c>
      <c r="K3445" s="89">
        <v>428</v>
      </c>
      <c r="L3445" s="11">
        <v>428</v>
      </c>
      <c r="M3445" s="10">
        <f t="shared" si="205"/>
        <v>39.621495327102807</v>
      </c>
    </row>
    <row r="3446" spans="1:13" ht="15.75" hidden="1" customHeight="1" x14ac:dyDescent="0.3">
      <c r="A3446" s="9">
        <v>6708</v>
      </c>
      <c r="B3446" t="s">
        <v>348</v>
      </c>
      <c r="C3446" s="25">
        <v>44741</v>
      </c>
      <c r="D3446" s="26">
        <v>0.69368055555555552</v>
      </c>
      <c r="E3446" t="s">
        <v>29</v>
      </c>
      <c r="F3446" t="s">
        <v>635</v>
      </c>
      <c r="G3446" t="s">
        <v>185</v>
      </c>
      <c r="H3446" t="s">
        <v>204</v>
      </c>
      <c r="I3446" s="148">
        <v>360.98</v>
      </c>
      <c r="J3446" s="32">
        <v>0</v>
      </c>
      <c r="K3446" s="89">
        <v>544</v>
      </c>
      <c r="L3446" s="11">
        <v>544</v>
      </c>
      <c r="M3446" s="10">
        <f t="shared" si="205"/>
        <v>66.356617647058826</v>
      </c>
    </row>
    <row r="3447" spans="1:13" ht="15.75" hidden="1" customHeight="1" x14ac:dyDescent="0.3">
      <c r="A3447" s="9">
        <v>6751</v>
      </c>
      <c r="B3447" t="s">
        <v>348</v>
      </c>
      <c r="C3447" s="25">
        <v>44742</v>
      </c>
      <c r="D3447" s="26">
        <v>0.71349537037037036</v>
      </c>
      <c r="E3447" t="s">
        <v>29</v>
      </c>
      <c r="F3447" t="s">
        <v>210</v>
      </c>
      <c r="G3447" t="s">
        <v>211</v>
      </c>
      <c r="H3447" t="s">
        <v>204</v>
      </c>
      <c r="I3447" s="148">
        <v>403.96</v>
      </c>
      <c r="J3447" s="54"/>
      <c r="K3447" s="56">
        <v>9135</v>
      </c>
      <c r="L3447" s="56">
        <f>+K3447-J3447</f>
        <v>9135</v>
      </c>
      <c r="M3447" s="131">
        <f>I3447/L3447*100</f>
        <v>4.4221127531472355</v>
      </c>
    </row>
    <row r="3448" spans="1:13" ht="15.75" hidden="1" customHeight="1" x14ac:dyDescent="0.3">
      <c r="B3448" t="s">
        <v>323</v>
      </c>
      <c r="C3448" s="25">
        <v>44753</v>
      </c>
      <c r="D3448" s="26">
        <v>0.42440972222222223</v>
      </c>
      <c r="E3448" t="s">
        <v>30</v>
      </c>
      <c r="F3448" t="s">
        <v>169</v>
      </c>
      <c r="G3448" t="s">
        <v>196</v>
      </c>
      <c r="H3448" t="s">
        <v>187</v>
      </c>
      <c r="I3448" s="173">
        <v>55.18</v>
      </c>
      <c r="J3448" s="23"/>
      <c r="K3448" s="90"/>
      <c r="L3448" s="23"/>
      <c r="M3448" s="254" t="e">
        <f>I3448/K3448*100</f>
        <v>#DIV/0!</v>
      </c>
    </row>
    <row r="3449" spans="1:13" ht="15.75" hidden="1" customHeight="1" x14ac:dyDescent="0.3">
      <c r="B3449" t="s">
        <v>323</v>
      </c>
      <c r="C3449" s="25">
        <v>44754</v>
      </c>
      <c r="D3449" s="26">
        <v>0.5142592592592593</v>
      </c>
      <c r="E3449" t="s">
        <v>30</v>
      </c>
      <c r="F3449" t="s">
        <v>175</v>
      </c>
      <c r="G3449" t="s">
        <v>172</v>
      </c>
      <c r="H3449" t="s">
        <v>187</v>
      </c>
      <c r="I3449" s="159">
        <v>161.88999999999999</v>
      </c>
      <c r="J3449" s="288">
        <f>162+55+100</f>
        <v>317</v>
      </c>
      <c r="K3449" s="203"/>
      <c r="L3449" s="264">
        <v>916</v>
      </c>
      <c r="M3449" s="299">
        <f>+J3449/L3449*100</f>
        <v>34.606986899563317</v>
      </c>
    </row>
    <row r="3450" spans="1:13" ht="15.75" hidden="1" customHeight="1" x14ac:dyDescent="0.3">
      <c r="B3450" t="s">
        <v>323</v>
      </c>
      <c r="C3450" s="25">
        <v>44762</v>
      </c>
      <c r="D3450" s="26">
        <v>0.5175925925925926</v>
      </c>
      <c r="E3450" t="s">
        <v>30</v>
      </c>
      <c r="F3450" t="s">
        <v>210</v>
      </c>
      <c r="G3450" t="s">
        <v>211</v>
      </c>
      <c r="H3450" t="s">
        <v>187</v>
      </c>
      <c r="I3450" s="160">
        <v>360.54</v>
      </c>
      <c r="J3450" s="160">
        <f>360+162+55+100</f>
        <v>677</v>
      </c>
      <c r="K3450" s="160">
        <v>766636</v>
      </c>
      <c r="L3450" s="160">
        <v>1768</v>
      </c>
      <c r="M3450" s="254">
        <f>+J3450/L3450*100</f>
        <v>38.29185520361991</v>
      </c>
    </row>
    <row r="3451" spans="1:13" ht="15.75" hidden="1" customHeight="1" x14ac:dyDescent="0.3">
      <c r="B3451" t="s">
        <v>323</v>
      </c>
      <c r="C3451" s="25">
        <v>44762</v>
      </c>
      <c r="D3451" s="26">
        <v>0.96333333333333337</v>
      </c>
      <c r="E3451" t="s">
        <v>30</v>
      </c>
      <c r="F3451" t="s">
        <v>165</v>
      </c>
      <c r="G3451" t="s">
        <v>185</v>
      </c>
      <c r="H3451" t="s">
        <v>187</v>
      </c>
      <c r="I3451" s="164">
        <v>253.7</v>
      </c>
      <c r="J3451" s="8"/>
      <c r="K3451" s="8">
        <v>767497</v>
      </c>
      <c r="L3451" s="8">
        <f>+K3451-J3451</f>
        <v>767497</v>
      </c>
      <c r="M3451" s="254">
        <f>+J3451/L3451*100</f>
        <v>0</v>
      </c>
    </row>
    <row r="3452" spans="1:13" ht="15.75" hidden="1" customHeight="1" x14ac:dyDescent="0.3">
      <c r="A3452" s="9">
        <v>5542</v>
      </c>
      <c r="B3452" t="s">
        <v>510</v>
      </c>
      <c r="C3452" s="25">
        <v>44718</v>
      </c>
      <c r="D3452" s="26">
        <v>0.98253472222222227</v>
      </c>
      <c r="E3452" t="s">
        <v>29</v>
      </c>
      <c r="F3452" t="s">
        <v>632</v>
      </c>
      <c r="G3452" t="s">
        <v>161</v>
      </c>
      <c r="H3452" t="s">
        <v>178</v>
      </c>
      <c r="I3452" s="236">
        <v>274.18</v>
      </c>
      <c r="J3452" s="30">
        <v>0</v>
      </c>
      <c r="K3452" s="100">
        <v>171</v>
      </c>
      <c r="L3452" s="35">
        <v>171</v>
      </c>
      <c r="M3452" s="61">
        <f>I3452/K3452*100</f>
        <v>160.33918128654972</v>
      </c>
    </row>
    <row r="3453" spans="1:13" ht="15.75" hidden="1" customHeight="1" x14ac:dyDescent="0.3">
      <c r="B3453" t="s">
        <v>323</v>
      </c>
      <c r="C3453" s="25">
        <v>44763</v>
      </c>
      <c r="D3453" s="26">
        <v>0.60488425925925926</v>
      </c>
      <c r="E3453" t="s">
        <v>30</v>
      </c>
      <c r="F3453" t="s">
        <v>210</v>
      </c>
      <c r="G3453" t="s">
        <v>211</v>
      </c>
      <c r="H3453" t="s">
        <v>187</v>
      </c>
      <c r="I3453" s="148">
        <v>134.18</v>
      </c>
      <c r="J3453" s="160">
        <f>134+254</f>
        <v>388</v>
      </c>
      <c r="K3453" s="160">
        <v>767719</v>
      </c>
      <c r="L3453" s="160">
        <v>1063</v>
      </c>
      <c r="M3453" s="269">
        <f>+J3453/L3453*100</f>
        <v>36.500470366886177</v>
      </c>
    </row>
    <row r="3454" spans="1:13" ht="15.75" hidden="1" customHeight="1" x14ac:dyDescent="0.3">
      <c r="B3454" t="s">
        <v>323</v>
      </c>
      <c r="C3454" s="25">
        <v>44764</v>
      </c>
      <c r="D3454" s="26">
        <v>0.61603009259259256</v>
      </c>
      <c r="E3454" t="s">
        <v>30</v>
      </c>
      <c r="F3454" t="s">
        <v>428</v>
      </c>
      <c r="G3454" t="s">
        <v>429</v>
      </c>
      <c r="H3454" t="s">
        <v>187</v>
      </c>
      <c r="I3454" s="148">
        <v>100.08</v>
      </c>
      <c r="J3454" s="78"/>
      <c r="K3454" s="54">
        <v>768629</v>
      </c>
      <c r="L3454" s="54">
        <f>+K3454-J3454</f>
        <v>768629</v>
      </c>
      <c r="M3454" s="302">
        <f>+J3454/L3454*100</f>
        <v>0</v>
      </c>
    </row>
    <row r="3455" spans="1:13" ht="15.75" hidden="1" customHeight="1" x14ac:dyDescent="0.3">
      <c r="B3455" t="s">
        <v>323</v>
      </c>
      <c r="C3455" s="25">
        <v>44764</v>
      </c>
      <c r="D3455" s="26">
        <v>0.61881944444444448</v>
      </c>
      <c r="E3455" t="s">
        <v>30</v>
      </c>
      <c r="F3455" t="s">
        <v>428</v>
      </c>
      <c r="G3455" t="s">
        <v>429</v>
      </c>
      <c r="H3455" t="s">
        <v>187</v>
      </c>
      <c r="I3455" s="160">
        <v>184.95</v>
      </c>
      <c r="J3455" s="8"/>
      <c r="K3455" s="8">
        <v>768269</v>
      </c>
      <c r="L3455" s="8">
        <f>+K3455-J3455</f>
        <v>768269</v>
      </c>
      <c r="M3455" s="254">
        <f>+J3455/L3455*100</f>
        <v>0</v>
      </c>
    </row>
    <row r="3456" spans="1:13" ht="15.75" hidden="1" customHeight="1" x14ac:dyDescent="0.3">
      <c r="B3456" t="s">
        <v>323</v>
      </c>
      <c r="C3456" s="25">
        <v>44765</v>
      </c>
      <c r="D3456" s="26">
        <v>0.87708333333333333</v>
      </c>
      <c r="E3456" t="s">
        <v>30</v>
      </c>
      <c r="F3456" t="s">
        <v>210</v>
      </c>
      <c r="G3456" t="s">
        <v>211</v>
      </c>
      <c r="H3456" t="s">
        <v>187</v>
      </c>
      <c r="I3456" s="160">
        <v>353.47</v>
      </c>
      <c r="J3456" s="160">
        <f>353+185+100</f>
        <v>638</v>
      </c>
      <c r="K3456" s="160">
        <v>769631</v>
      </c>
      <c r="L3456" s="160">
        <v>1874</v>
      </c>
      <c r="M3456" s="254">
        <f>+J3456/L3456*100</f>
        <v>34.044823906083245</v>
      </c>
    </row>
    <row r="3457" spans="1:13" ht="15.75" hidden="1" customHeight="1" x14ac:dyDescent="0.3">
      <c r="B3457" t="s">
        <v>323</v>
      </c>
      <c r="C3457" s="25">
        <v>44767</v>
      </c>
      <c r="D3457" s="26">
        <v>0.49489583333333331</v>
      </c>
      <c r="E3457" t="s">
        <v>30</v>
      </c>
      <c r="F3457" t="s">
        <v>210</v>
      </c>
      <c r="G3457" t="s">
        <v>211</v>
      </c>
      <c r="H3457" t="s">
        <v>187</v>
      </c>
      <c r="I3457" s="148">
        <v>385.63</v>
      </c>
      <c r="J3457" s="75"/>
      <c r="K3457" s="44">
        <v>770717</v>
      </c>
      <c r="L3457" s="44">
        <v>1064</v>
      </c>
      <c r="M3457" s="305">
        <f>+I3457/L3457*100</f>
        <v>36.243421052631582</v>
      </c>
    </row>
    <row r="3458" spans="1:13" ht="15.75" hidden="1" customHeight="1" x14ac:dyDescent="0.3">
      <c r="B3458" t="s">
        <v>323</v>
      </c>
      <c r="C3458" s="25">
        <v>44767</v>
      </c>
      <c r="D3458" s="26">
        <v>0.88895833333333341</v>
      </c>
      <c r="E3458" t="s">
        <v>30</v>
      </c>
      <c r="F3458" t="s">
        <v>169</v>
      </c>
      <c r="G3458" t="s">
        <v>196</v>
      </c>
      <c r="H3458" t="s">
        <v>187</v>
      </c>
      <c r="I3458" s="148">
        <v>177.88</v>
      </c>
      <c r="J3458" s="24"/>
      <c r="K3458" s="8">
        <v>771208</v>
      </c>
      <c r="L3458" s="8">
        <v>481</v>
      </c>
      <c r="M3458" s="269">
        <f>+I3458/L3458*100</f>
        <v>36.981288981288976</v>
      </c>
    </row>
    <row r="3459" spans="1:13" ht="15.75" hidden="1" customHeight="1" x14ac:dyDescent="0.3">
      <c r="A3459" s="9">
        <v>2008</v>
      </c>
      <c r="B3459" t="s">
        <v>510</v>
      </c>
      <c r="C3459" s="25">
        <v>44645</v>
      </c>
      <c r="D3459" s="26">
        <v>0.94336805555555558</v>
      </c>
      <c r="E3459" t="s">
        <v>26</v>
      </c>
      <c r="F3459" t="s">
        <v>166</v>
      </c>
      <c r="G3459" t="s">
        <v>161</v>
      </c>
      <c r="H3459" t="s">
        <v>259</v>
      </c>
      <c r="I3459">
        <v>350</v>
      </c>
      <c r="J3459" s="41">
        <v>0</v>
      </c>
      <c r="K3459" s="90">
        <f t="shared" ref="K3459:K3478" si="206">+L3459-J3459</f>
        <v>697.81</v>
      </c>
      <c r="L3459" s="31">
        <v>697.81</v>
      </c>
      <c r="M3459" s="10">
        <f t="shared" ref="M3459:M3490" si="207">I3459/K3459*100</f>
        <v>50.156919505309475</v>
      </c>
    </row>
    <row r="3460" spans="1:13" ht="15.75" hidden="1" customHeight="1" x14ac:dyDescent="0.3">
      <c r="A3460" s="9">
        <v>2009</v>
      </c>
      <c r="B3460" t="s">
        <v>510</v>
      </c>
      <c r="C3460" s="25">
        <v>44648</v>
      </c>
      <c r="D3460" s="26">
        <v>0.83106481481481476</v>
      </c>
      <c r="E3460" t="s">
        <v>26</v>
      </c>
      <c r="F3460" t="s">
        <v>210</v>
      </c>
      <c r="G3460" t="s">
        <v>211</v>
      </c>
      <c r="H3460" t="s">
        <v>259</v>
      </c>
      <c r="I3460">
        <v>184.98</v>
      </c>
      <c r="J3460" s="65">
        <v>0</v>
      </c>
      <c r="K3460" s="89">
        <f t="shared" si="206"/>
        <v>757.29</v>
      </c>
      <c r="L3460" s="7">
        <v>757.29</v>
      </c>
      <c r="M3460" s="10">
        <f t="shared" si="207"/>
        <v>24.426573703600997</v>
      </c>
    </row>
    <row r="3461" spans="1:13" ht="15.75" hidden="1" customHeight="1" x14ac:dyDescent="0.3">
      <c r="A3461" s="9">
        <v>2010</v>
      </c>
      <c r="B3461" t="s">
        <v>510</v>
      </c>
      <c r="C3461" s="25">
        <v>44650</v>
      </c>
      <c r="D3461" s="26">
        <v>0.43702546296296302</v>
      </c>
      <c r="E3461" t="s">
        <v>26</v>
      </c>
      <c r="F3461" t="s">
        <v>518</v>
      </c>
      <c r="G3461" t="s">
        <v>172</v>
      </c>
      <c r="H3461" t="s">
        <v>259</v>
      </c>
      <c r="I3461">
        <v>238.82</v>
      </c>
      <c r="J3461" s="41">
        <v>0</v>
      </c>
      <c r="K3461" s="90">
        <f t="shared" si="206"/>
        <v>952.58</v>
      </c>
      <c r="L3461" s="34">
        <v>952.58</v>
      </c>
      <c r="M3461" s="10">
        <f t="shared" si="207"/>
        <v>25.070860190220241</v>
      </c>
    </row>
    <row r="3462" spans="1:13" ht="16.5" hidden="1" customHeight="1" x14ac:dyDescent="0.3">
      <c r="A3462" s="9">
        <v>3127</v>
      </c>
      <c r="B3462" t="s">
        <v>510</v>
      </c>
      <c r="C3462" s="25">
        <v>44655</v>
      </c>
      <c r="D3462" s="26">
        <v>0.48372685185185182</v>
      </c>
      <c r="E3462" t="s">
        <v>27</v>
      </c>
      <c r="F3462" t="s">
        <v>197</v>
      </c>
      <c r="G3462" t="s">
        <v>44</v>
      </c>
      <c r="H3462" t="s">
        <v>113</v>
      </c>
      <c r="I3462" s="4">
        <v>100.1</v>
      </c>
      <c r="J3462" s="32">
        <v>0</v>
      </c>
      <c r="K3462" s="90">
        <f t="shared" si="206"/>
        <v>372.99</v>
      </c>
      <c r="L3462" s="37">
        <v>372.99</v>
      </c>
      <c r="M3462" s="10">
        <f t="shared" si="207"/>
        <v>26.83718062146438</v>
      </c>
    </row>
    <row r="3463" spans="1:13" ht="15.75" hidden="1" customHeight="1" x14ac:dyDescent="0.3">
      <c r="A3463" s="9">
        <v>3128</v>
      </c>
      <c r="B3463" t="s">
        <v>510</v>
      </c>
      <c r="C3463" s="25">
        <v>44655</v>
      </c>
      <c r="D3463" s="26">
        <v>0.94192129629629628</v>
      </c>
      <c r="E3463" t="s">
        <v>27</v>
      </c>
      <c r="F3463" t="s">
        <v>166</v>
      </c>
      <c r="G3463" t="s">
        <v>161</v>
      </c>
      <c r="H3463" t="s">
        <v>113</v>
      </c>
      <c r="I3463" s="4">
        <v>200</v>
      </c>
      <c r="J3463" s="32">
        <v>0</v>
      </c>
      <c r="K3463" s="90">
        <f t="shared" si="206"/>
        <v>511.62</v>
      </c>
      <c r="L3463" s="33">
        <v>511.62</v>
      </c>
      <c r="M3463" s="10">
        <f t="shared" si="207"/>
        <v>39.091513232477226</v>
      </c>
    </row>
    <row r="3464" spans="1:13" ht="15.75" hidden="1" customHeight="1" x14ac:dyDescent="0.3">
      <c r="A3464" s="9">
        <v>3129</v>
      </c>
      <c r="B3464" t="s">
        <v>510</v>
      </c>
      <c r="C3464" s="25">
        <v>44656</v>
      </c>
      <c r="D3464" s="26">
        <v>0.55224537037037036</v>
      </c>
      <c r="E3464" t="s">
        <v>27</v>
      </c>
      <c r="F3464" t="s">
        <v>210</v>
      </c>
      <c r="G3464" t="s">
        <v>211</v>
      </c>
      <c r="H3464" t="s">
        <v>113</v>
      </c>
      <c r="I3464" s="4">
        <v>90.53</v>
      </c>
      <c r="J3464" s="32">
        <v>0</v>
      </c>
      <c r="K3464" s="90">
        <f t="shared" si="206"/>
        <v>587.52</v>
      </c>
      <c r="L3464" s="32">
        <v>587.52</v>
      </c>
      <c r="M3464" s="10">
        <f t="shared" si="207"/>
        <v>15.4088371459695</v>
      </c>
    </row>
    <row r="3465" spans="1:13" ht="18" hidden="1" customHeight="1" x14ac:dyDescent="0.3">
      <c r="A3465" s="9">
        <v>3130</v>
      </c>
      <c r="B3465" t="s">
        <v>510</v>
      </c>
      <c r="C3465" s="25">
        <v>44658</v>
      </c>
      <c r="D3465" s="26">
        <v>3.4386574074074076E-2</v>
      </c>
      <c r="E3465" t="s">
        <v>27</v>
      </c>
      <c r="F3465" t="s">
        <v>210</v>
      </c>
      <c r="G3465" t="s">
        <v>211</v>
      </c>
      <c r="H3465" t="s">
        <v>113</v>
      </c>
      <c r="I3465" s="4">
        <v>349.32</v>
      </c>
      <c r="J3465" s="32">
        <v>0</v>
      </c>
      <c r="K3465" s="90">
        <f t="shared" si="206"/>
        <v>949.21</v>
      </c>
      <c r="L3465" s="55">
        <v>949.21</v>
      </c>
      <c r="M3465" s="10">
        <f t="shared" si="207"/>
        <v>36.801129360204797</v>
      </c>
    </row>
    <row r="3466" spans="1:13" ht="15.75" hidden="1" customHeight="1" x14ac:dyDescent="0.3">
      <c r="A3466" s="9">
        <v>3131</v>
      </c>
      <c r="B3466" t="s">
        <v>510</v>
      </c>
      <c r="C3466" s="25">
        <v>44658</v>
      </c>
      <c r="D3466" s="26">
        <v>0.83086805555555554</v>
      </c>
      <c r="E3466" t="s">
        <v>27</v>
      </c>
      <c r="F3466" t="s">
        <v>169</v>
      </c>
      <c r="G3466" t="s">
        <v>196</v>
      </c>
      <c r="H3466" t="s">
        <v>113</v>
      </c>
      <c r="I3466" s="4">
        <v>137.06</v>
      </c>
      <c r="J3466" s="32">
        <v>0</v>
      </c>
      <c r="K3466" s="90">
        <f t="shared" si="206"/>
        <v>482.9</v>
      </c>
      <c r="L3466" s="53">
        <v>482.9</v>
      </c>
      <c r="M3466" s="10">
        <f t="shared" si="207"/>
        <v>28.382687927107064</v>
      </c>
    </row>
    <row r="3467" spans="1:13" ht="15.75" hidden="1" customHeight="1" x14ac:dyDescent="0.3">
      <c r="A3467" s="9">
        <v>3132</v>
      </c>
      <c r="B3467" t="s">
        <v>510</v>
      </c>
      <c r="C3467" s="25">
        <v>44661</v>
      </c>
      <c r="D3467" s="26">
        <v>0.41824074074074075</v>
      </c>
      <c r="E3467" t="s">
        <v>27</v>
      </c>
      <c r="F3467" t="s">
        <v>331</v>
      </c>
      <c r="G3467" t="s">
        <v>277</v>
      </c>
      <c r="H3467" t="s">
        <v>113</v>
      </c>
      <c r="I3467" s="4">
        <v>146.06</v>
      </c>
      <c r="J3467" s="33">
        <v>0</v>
      </c>
      <c r="K3467" s="90">
        <f t="shared" si="206"/>
        <v>332.18</v>
      </c>
      <c r="L3467" s="67">
        <v>332.18</v>
      </c>
      <c r="M3467" s="10">
        <f t="shared" si="207"/>
        <v>43.970136672888195</v>
      </c>
    </row>
    <row r="3468" spans="1:13" ht="15.75" hidden="1" customHeight="1" x14ac:dyDescent="0.3">
      <c r="A3468" s="9">
        <v>3133</v>
      </c>
      <c r="B3468" t="s">
        <v>510</v>
      </c>
      <c r="C3468" s="25">
        <v>44662</v>
      </c>
      <c r="D3468" s="26">
        <v>0.78959490740740745</v>
      </c>
      <c r="E3468" t="s">
        <v>27</v>
      </c>
      <c r="F3468" t="s">
        <v>175</v>
      </c>
      <c r="G3468" t="s">
        <v>172</v>
      </c>
      <c r="H3468" t="s">
        <v>113</v>
      </c>
      <c r="I3468" s="4">
        <v>64.22</v>
      </c>
      <c r="J3468" s="33">
        <v>0</v>
      </c>
      <c r="K3468" s="90">
        <f t="shared" si="206"/>
        <v>140.88</v>
      </c>
      <c r="L3468" s="53">
        <v>140.88</v>
      </c>
      <c r="M3468" s="10">
        <f t="shared" si="207"/>
        <v>45.584894946053382</v>
      </c>
    </row>
    <row r="3469" spans="1:13" ht="15.75" hidden="1" customHeight="1" x14ac:dyDescent="0.3">
      <c r="A3469" s="9">
        <v>3134</v>
      </c>
      <c r="B3469" t="s">
        <v>510</v>
      </c>
      <c r="C3469" s="25">
        <v>44663</v>
      </c>
      <c r="D3469" s="26">
        <v>0.61476851851851855</v>
      </c>
      <c r="E3469" t="s">
        <v>27</v>
      </c>
      <c r="F3469" t="s">
        <v>197</v>
      </c>
      <c r="G3469" t="s">
        <v>44</v>
      </c>
      <c r="H3469" t="s">
        <v>113</v>
      </c>
      <c r="I3469" s="4">
        <v>100.1</v>
      </c>
      <c r="J3469" s="33">
        <v>0</v>
      </c>
      <c r="K3469" s="90">
        <f t="shared" si="206"/>
        <v>247.97</v>
      </c>
      <c r="L3469" s="53">
        <v>247.97</v>
      </c>
      <c r="M3469" s="10">
        <f t="shared" si="207"/>
        <v>40.367786425777311</v>
      </c>
    </row>
    <row r="3470" spans="1:13" ht="15.75" hidden="1" customHeight="1" x14ac:dyDescent="0.3">
      <c r="A3470" s="9">
        <v>3135</v>
      </c>
      <c r="B3470" t="s">
        <v>510</v>
      </c>
      <c r="C3470" s="25">
        <v>44664</v>
      </c>
      <c r="D3470" s="26">
        <v>0.52921296296296294</v>
      </c>
      <c r="E3470" t="s">
        <v>27</v>
      </c>
      <c r="F3470" t="s">
        <v>166</v>
      </c>
      <c r="G3470" t="s">
        <v>161</v>
      </c>
      <c r="H3470" t="s">
        <v>113</v>
      </c>
      <c r="I3470" s="4">
        <v>202.39</v>
      </c>
      <c r="J3470" s="55">
        <v>0</v>
      </c>
      <c r="K3470" s="90">
        <f t="shared" si="206"/>
        <v>511.76</v>
      </c>
      <c r="L3470" s="67">
        <v>511.76</v>
      </c>
      <c r="M3470" s="10">
        <f t="shared" si="207"/>
        <v>39.547834922619977</v>
      </c>
    </row>
    <row r="3471" spans="1:13" ht="15.75" hidden="1" customHeight="1" x14ac:dyDescent="0.3">
      <c r="A3471" s="9">
        <v>3136</v>
      </c>
      <c r="B3471" t="s">
        <v>510</v>
      </c>
      <c r="C3471" s="25">
        <v>44664</v>
      </c>
      <c r="D3471" s="26">
        <v>0.60943287037037031</v>
      </c>
      <c r="E3471" t="s">
        <v>27</v>
      </c>
      <c r="F3471" t="s">
        <v>210</v>
      </c>
      <c r="G3471" t="s">
        <v>211</v>
      </c>
      <c r="H3471" t="s">
        <v>113</v>
      </c>
      <c r="I3471" s="4">
        <v>33.71</v>
      </c>
      <c r="J3471" s="55">
        <v>0</v>
      </c>
      <c r="K3471" s="89">
        <f t="shared" si="206"/>
        <v>587</v>
      </c>
      <c r="L3471" s="32">
        <v>587</v>
      </c>
      <c r="M3471" s="10">
        <f t="shared" si="207"/>
        <v>5.7427597955706986</v>
      </c>
    </row>
    <row r="3472" spans="1:13" ht="15.75" hidden="1" customHeight="1" x14ac:dyDescent="0.3">
      <c r="A3472" s="9">
        <v>3137</v>
      </c>
      <c r="B3472" t="s">
        <v>510</v>
      </c>
      <c r="C3472" s="25">
        <v>44666</v>
      </c>
      <c r="D3472" s="26">
        <v>0.69927083333333329</v>
      </c>
      <c r="E3472" t="s">
        <v>27</v>
      </c>
      <c r="F3472" t="s">
        <v>165</v>
      </c>
      <c r="G3472" t="s">
        <v>185</v>
      </c>
      <c r="H3472" t="s">
        <v>113</v>
      </c>
      <c r="I3472" s="4">
        <v>227.05</v>
      </c>
      <c r="J3472" s="55">
        <v>0</v>
      </c>
      <c r="K3472" s="89">
        <f t="shared" si="206"/>
        <v>627</v>
      </c>
      <c r="L3472" s="32">
        <v>627</v>
      </c>
      <c r="M3472" s="10">
        <f t="shared" si="207"/>
        <v>36.212121212121211</v>
      </c>
    </row>
    <row r="3473" spans="1:13" ht="15.75" hidden="1" customHeight="1" x14ac:dyDescent="0.3">
      <c r="A3473" s="9">
        <v>3138</v>
      </c>
      <c r="B3473" t="s">
        <v>510</v>
      </c>
      <c r="C3473" s="25">
        <v>44669</v>
      </c>
      <c r="D3473" s="26">
        <v>0.37706018518518519</v>
      </c>
      <c r="E3473" t="s">
        <v>27</v>
      </c>
      <c r="F3473" t="s">
        <v>210</v>
      </c>
      <c r="G3473" t="s">
        <v>211</v>
      </c>
      <c r="H3473" t="s">
        <v>113</v>
      </c>
      <c r="I3473" s="4">
        <v>169.1</v>
      </c>
      <c r="J3473" s="32">
        <v>0</v>
      </c>
      <c r="K3473" s="89">
        <f t="shared" si="206"/>
        <v>516.30999999999995</v>
      </c>
      <c r="L3473" s="37">
        <v>516.30999999999995</v>
      </c>
      <c r="M3473" s="10">
        <f t="shared" si="207"/>
        <v>32.751641455714591</v>
      </c>
    </row>
    <row r="3474" spans="1:13" ht="15.75" hidden="1" customHeight="1" x14ac:dyDescent="0.3">
      <c r="A3474" s="9">
        <v>3139</v>
      </c>
      <c r="B3474" t="s">
        <v>510</v>
      </c>
      <c r="C3474" s="25">
        <v>44669</v>
      </c>
      <c r="D3474" s="26">
        <v>0.6729398148148148</v>
      </c>
      <c r="E3474" t="s">
        <v>27</v>
      </c>
      <c r="F3474" t="s">
        <v>169</v>
      </c>
      <c r="G3474" t="s">
        <v>196</v>
      </c>
      <c r="H3474" t="s">
        <v>113</v>
      </c>
      <c r="I3474" s="4">
        <v>169.66</v>
      </c>
      <c r="J3474" s="32">
        <v>0</v>
      </c>
      <c r="K3474" s="89">
        <f t="shared" si="206"/>
        <v>467</v>
      </c>
      <c r="L3474" s="32">
        <v>467</v>
      </c>
      <c r="M3474" s="10">
        <f t="shared" si="207"/>
        <v>36.329764453961452</v>
      </c>
    </row>
    <row r="3475" spans="1:13" ht="15.75" hidden="1" customHeight="1" x14ac:dyDescent="0.3">
      <c r="A3475" s="9">
        <v>3140</v>
      </c>
      <c r="B3475" t="s">
        <v>510</v>
      </c>
      <c r="C3475" s="25">
        <v>44670</v>
      </c>
      <c r="D3475" s="26">
        <v>0.61428240740740747</v>
      </c>
      <c r="E3475" t="s">
        <v>27</v>
      </c>
      <c r="F3475" t="s">
        <v>262</v>
      </c>
      <c r="G3475" t="s">
        <v>263</v>
      </c>
      <c r="H3475" t="s">
        <v>113</v>
      </c>
      <c r="I3475" s="4">
        <v>154.74</v>
      </c>
      <c r="J3475" s="32">
        <v>0</v>
      </c>
      <c r="K3475" s="89">
        <f t="shared" si="206"/>
        <v>405</v>
      </c>
      <c r="L3475" s="32">
        <v>405</v>
      </c>
      <c r="M3475" s="10">
        <f t="shared" si="207"/>
        <v>38.207407407407409</v>
      </c>
    </row>
    <row r="3476" spans="1:13" ht="15.75" hidden="1" customHeight="1" x14ac:dyDescent="0.3">
      <c r="A3476" s="9">
        <v>3141</v>
      </c>
      <c r="B3476" t="s">
        <v>510</v>
      </c>
      <c r="C3476" s="25">
        <v>44670</v>
      </c>
      <c r="D3476" s="26">
        <v>0.6740624999999999</v>
      </c>
      <c r="E3476" t="s">
        <v>27</v>
      </c>
      <c r="F3476" t="s">
        <v>175</v>
      </c>
      <c r="G3476" t="s">
        <v>172</v>
      </c>
      <c r="H3476" t="s">
        <v>113</v>
      </c>
      <c r="I3476" s="4">
        <v>12.85</v>
      </c>
      <c r="J3476" s="37">
        <v>0</v>
      </c>
      <c r="K3476" s="89">
        <f t="shared" si="206"/>
        <v>44</v>
      </c>
      <c r="L3476" s="32">
        <v>44</v>
      </c>
      <c r="M3476" s="10">
        <f t="shared" si="207"/>
        <v>29.204545454545457</v>
      </c>
    </row>
    <row r="3477" spans="1:13" ht="15.75" hidden="1" customHeight="1" x14ac:dyDescent="0.3">
      <c r="A3477" s="9">
        <v>3142</v>
      </c>
      <c r="B3477" t="s">
        <v>510</v>
      </c>
      <c r="C3477" s="25">
        <v>44671</v>
      </c>
      <c r="D3477" s="26">
        <v>0.57072916666666662</v>
      </c>
      <c r="E3477" t="s">
        <v>27</v>
      </c>
      <c r="F3477" t="s">
        <v>262</v>
      </c>
      <c r="G3477" t="s">
        <v>263</v>
      </c>
      <c r="H3477" t="s">
        <v>113</v>
      </c>
      <c r="I3477" s="4">
        <v>125.81</v>
      </c>
      <c r="J3477" s="32">
        <v>0</v>
      </c>
      <c r="K3477" s="89">
        <f t="shared" si="206"/>
        <v>346.77</v>
      </c>
      <c r="L3477" s="32">
        <v>346.77</v>
      </c>
      <c r="M3477" s="10">
        <f t="shared" si="207"/>
        <v>36.280531764570178</v>
      </c>
    </row>
    <row r="3478" spans="1:13" ht="15.75" hidden="1" customHeight="1" x14ac:dyDescent="0.3">
      <c r="A3478" s="9">
        <v>3143</v>
      </c>
      <c r="B3478" t="s">
        <v>510</v>
      </c>
      <c r="C3478" s="25">
        <v>44679</v>
      </c>
      <c r="D3478" s="26">
        <v>0.74799768518518517</v>
      </c>
      <c r="E3478" t="s">
        <v>27</v>
      </c>
      <c r="F3478" t="s">
        <v>171</v>
      </c>
      <c r="G3478" t="s">
        <v>172</v>
      </c>
      <c r="H3478" t="s">
        <v>113</v>
      </c>
      <c r="I3478">
        <v>185.69</v>
      </c>
      <c r="J3478" s="32">
        <v>0</v>
      </c>
      <c r="K3478" s="89">
        <f t="shared" si="206"/>
        <v>529</v>
      </c>
      <c r="L3478" s="7">
        <v>529</v>
      </c>
      <c r="M3478" s="10">
        <f t="shared" si="207"/>
        <v>35.10207939508507</v>
      </c>
    </row>
    <row r="3479" spans="1:13" ht="15.75" hidden="1" customHeight="1" x14ac:dyDescent="0.3">
      <c r="A3479" s="9">
        <v>3732</v>
      </c>
      <c r="B3479" t="s">
        <v>510</v>
      </c>
      <c r="C3479" s="25">
        <v>44683</v>
      </c>
      <c r="D3479" s="26">
        <v>0.60197916666666662</v>
      </c>
      <c r="E3479" t="s">
        <v>28</v>
      </c>
      <c r="F3479" t="s">
        <v>169</v>
      </c>
      <c r="G3479" t="s">
        <v>196</v>
      </c>
      <c r="H3479" t="s">
        <v>113</v>
      </c>
      <c r="I3479">
        <v>142.91999999999999</v>
      </c>
      <c r="J3479" s="32">
        <v>0</v>
      </c>
      <c r="K3479" s="89">
        <f>+L3479-J3611</f>
        <v>468.22</v>
      </c>
      <c r="L3479" s="37">
        <v>468.22</v>
      </c>
      <c r="M3479" s="10">
        <f t="shared" si="207"/>
        <v>30.524112596642599</v>
      </c>
    </row>
    <row r="3480" spans="1:13" ht="15.75" hidden="1" customHeight="1" x14ac:dyDescent="0.3">
      <c r="A3480" s="9">
        <v>3775</v>
      </c>
      <c r="B3480" t="s">
        <v>510</v>
      </c>
      <c r="C3480" s="25">
        <v>44684</v>
      </c>
      <c r="D3480" s="26">
        <v>0.62754629629629632</v>
      </c>
      <c r="E3480" t="s">
        <v>28</v>
      </c>
      <c r="F3480" t="s">
        <v>428</v>
      </c>
      <c r="G3480" t="s">
        <v>429</v>
      </c>
      <c r="H3480" t="s">
        <v>113</v>
      </c>
      <c r="I3480">
        <v>150</v>
      </c>
      <c r="J3480" s="7">
        <v>0</v>
      </c>
      <c r="K3480" s="89">
        <f>+L3480-J3613</f>
        <v>589</v>
      </c>
      <c r="L3480" s="32">
        <v>589</v>
      </c>
      <c r="M3480" s="10">
        <f t="shared" si="207"/>
        <v>25.466893039049239</v>
      </c>
    </row>
    <row r="3481" spans="1:13" ht="15.75" hidden="1" customHeight="1" x14ac:dyDescent="0.3">
      <c r="A3481" s="9">
        <v>3831</v>
      </c>
      <c r="B3481" t="s">
        <v>510</v>
      </c>
      <c r="C3481" s="25">
        <v>44685</v>
      </c>
      <c r="D3481" s="26">
        <v>0.51230324074074074</v>
      </c>
      <c r="E3481" t="s">
        <v>28</v>
      </c>
      <c r="F3481" t="s">
        <v>197</v>
      </c>
      <c r="G3481" t="s">
        <v>44</v>
      </c>
      <c r="H3481" t="s">
        <v>113</v>
      </c>
      <c r="I3481">
        <v>100.67</v>
      </c>
      <c r="J3481" s="7">
        <v>0</v>
      </c>
      <c r="K3481" s="89">
        <f>+L3481-J3611</f>
        <v>390</v>
      </c>
      <c r="L3481" s="32">
        <v>390</v>
      </c>
      <c r="M3481" s="10">
        <f t="shared" si="207"/>
        <v>25.812820512820512</v>
      </c>
    </row>
    <row r="3482" spans="1:13" ht="15.75" hidden="1" customHeight="1" x14ac:dyDescent="0.3">
      <c r="A3482" s="9">
        <v>3832</v>
      </c>
      <c r="B3482" t="s">
        <v>510</v>
      </c>
      <c r="C3482" s="25">
        <v>44685</v>
      </c>
      <c r="D3482" s="26">
        <v>0.62887731481481479</v>
      </c>
      <c r="E3482" t="s">
        <v>28</v>
      </c>
      <c r="F3482" t="s">
        <v>311</v>
      </c>
      <c r="G3482" t="s">
        <v>303</v>
      </c>
      <c r="H3482" t="s">
        <v>113</v>
      </c>
      <c r="I3482">
        <v>179.06</v>
      </c>
      <c r="J3482" s="7">
        <v>0</v>
      </c>
      <c r="K3482" s="89">
        <f>+L3482-J3612</f>
        <v>156</v>
      </c>
      <c r="L3482" s="68">
        <v>156</v>
      </c>
      <c r="M3482" s="10">
        <f t="shared" si="207"/>
        <v>114.78205128205128</v>
      </c>
    </row>
    <row r="3483" spans="1:13" ht="15.75" hidden="1" customHeight="1" x14ac:dyDescent="0.3">
      <c r="A3483" s="9">
        <v>3833</v>
      </c>
      <c r="B3483" t="s">
        <v>510</v>
      </c>
      <c r="C3483" s="25">
        <v>44685</v>
      </c>
      <c r="D3483" s="26">
        <v>0.78689814814814818</v>
      </c>
      <c r="E3483" t="s">
        <v>28</v>
      </c>
      <c r="F3483" t="s">
        <v>488</v>
      </c>
      <c r="G3483" t="s">
        <v>489</v>
      </c>
      <c r="H3483" t="s">
        <v>113</v>
      </c>
      <c r="I3483">
        <v>88.29</v>
      </c>
      <c r="J3483" s="7">
        <v>0</v>
      </c>
      <c r="K3483" s="89">
        <f>+L3483-J3613</f>
        <v>182</v>
      </c>
      <c r="L3483" s="53">
        <v>182</v>
      </c>
      <c r="M3483" s="10">
        <f t="shared" si="207"/>
        <v>48.510989010989015</v>
      </c>
    </row>
    <row r="3484" spans="1:13" ht="15.75" hidden="1" customHeight="1" x14ac:dyDescent="0.3">
      <c r="A3484" s="9">
        <v>3834</v>
      </c>
      <c r="B3484" t="s">
        <v>510</v>
      </c>
      <c r="C3484" s="25">
        <v>44685</v>
      </c>
      <c r="D3484" s="26">
        <v>0.95673611111111112</v>
      </c>
      <c r="E3484" t="s">
        <v>28</v>
      </c>
      <c r="F3484" t="s">
        <v>210</v>
      </c>
      <c r="G3484" t="s">
        <v>211</v>
      </c>
      <c r="H3484" t="s">
        <v>113</v>
      </c>
      <c r="I3484">
        <v>96.82</v>
      </c>
      <c r="J3484" s="7">
        <v>0</v>
      </c>
      <c r="K3484" s="89">
        <f>+L3484-J3614</f>
        <v>258.69</v>
      </c>
      <c r="L3484" s="53">
        <v>258.69</v>
      </c>
      <c r="M3484" s="10">
        <f t="shared" si="207"/>
        <v>37.427036220959451</v>
      </c>
    </row>
    <row r="3485" spans="1:13" ht="15.75" hidden="1" customHeight="1" x14ac:dyDescent="0.3">
      <c r="A3485" s="9">
        <v>3948</v>
      </c>
      <c r="B3485" t="s">
        <v>510</v>
      </c>
      <c r="C3485" s="25">
        <v>44687</v>
      </c>
      <c r="D3485" s="26">
        <v>7.7858796296296287E-2</v>
      </c>
      <c r="E3485" t="s">
        <v>28</v>
      </c>
      <c r="F3485" t="s">
        <v>165</v>
      </c>
      <c r="G3485" t="s">
        <v>185</v>
      </c>
      <c r="H3485" t="s">
        <v>113</v>
      </c>
      <c r="I3485">
        <v>237.86</v>
      </c>
      <c r="J3485" s="35">
        <v>0</v>
      </c>
      <c r="K3485" s="89">
        <f>+L3485-J3615</f>
        <v>549</v>
      </c>
      <c r="L3485" s="38">
        <v>549</v>
      </c>
      <c r="M3485" s="10">
        <f t="shared" si="207"/>
        <v>43.326047358834245</v>
      </c>
    </row>
    <row r="3486" spans="1:13" ht="15.75" hidden="1" customHeight="1" x14ac:dyDescent="0.3">
      <c r="A3486" s="9">
        <v>3949</v>
      </c>
      <c r="B3486" t="s">
        <v>510</v>
      </c>
      <c r="C3486" s="25">
        <v>44687</v>
      </c>
      <c r="D3486" s="26">
        <v>0.78481481481481474</v>
      </c>
      <c r="E3486" t="s">
        <v>28</v>
      </c>
      <c r="F3486" t="s">
        <v>210</v>
      </c>
      <c r="G3486" t="s">
        <v>211</v>
      </c>
      <c r="H3486" t="s">
        <v>113</v>
      </c>
      <c r="I3486">
        <v>136.77000000000001</v>
      </c>
      <c r="J3486" s="31">
        <v>0</v>
      </c>
      <c r="K3486" s="89">
        <f>+L3486-J3615</f>
        <v>514</v>
      </c>
      <c r="L3486" s="32">
        <v>514</v>
      </c>
      <c r="M3486" s="10">
        <f t="shared" si="207"/>
        <v>26.608949416342416</v>
      </c>
    </row>
    <row r="3487" spans="1:13" ht="15.75" hidden="1" customHeight="1" x14ac:dyDescent="0.3">
      <c r="A3487" s="9">
        <v>3991</v>
      </c>
      <c r="B3487" t="s">
        <v>510</v>
      </c>
      <c r="C3487" s="25">
        <v>44688</v>
      </c>
      <c r="D3487" s="26">
        <v>0.52685185185185179</v>
      </c>
      <c r="E3487" t="s">
        <v>28</v>
      </c>
      <c r="F3487" t="s">
        <v>169</v>
      </c>
      <c r="G3487" t="s">
        <v>196</v>
      </c>
      <c r="H3487" t="s">
        <v>113</v>
      </c>
      <c r="I3487">
        <v>149.82</v>
      </c>
      <c r="J3487" s="31">
        <v>0</v>
      </c>
      <c r="K3487" s="89">
        <f>+L3487-J3616</f>
        <v>467</v>
      </c>
      <c r="L3487" s="32">
        <v>467</v>
      </c>
      <c r="M3487" s="10">
        <f t="shared" si="207"/>
        <v>32.081370449678801</v>
      </c>
    </row>
    <row r="3488" spans="1:13" ht="15.75" hidden="1" customHeight="1" x14ac:dyDescent="0.3">
      <c r="A3488" s="9">
        <v>4036</v>
      </c>
      <c r="B3488" t="s">
        <v>510</v>
      </c>
      <c r="C3488" s="25">
        <v>44689</v>
      </c>
      <c r="D3488" s="26">
        <v>0.49011574074074077</v>
      </c>
      <c r="E3488" t="s">
        <v>28</v>
      </c>
      <c r="F3488" t="s">
        <v>262</v>
      </c>
      <c r="G3488" t="s">
        <v>263</v>
      </c>
      <c r="H3488" t="s">
        <v>113</v>
      </c>
      <c r="I3488">
        <v>134.74</v>
      </c>
      <c r="J3488" s="31">
        <v>0</v>
      </c>
      <c r="K3488" s="89">
        <f>+L3488-J3617</f>
        <v>355</v>
      </c>
      <c r="L3488" s="32">
        <v>355</v>
      </c>
      <c r="M3488" s="10">
        <f t="shared" si="207"/>
        <v>37.954929577464789</v>
      </c>
    </row>
    <row r="3489" spans="1:13" ht="15.75" hidden="1" customHeight="1" x14ac:dyDescent="0.3">
      <c r="A3489" s="9">
        <v>4084</v>
      </c>
      <c r="B3489" t="s">
        <v>510</v>
      </c>
      <c r="C3489" s="25">
        <v>44690</v>
      </c>
      <c r="D3489" s="26">
        <v>0.88082175925925921</v>
      </c>
      <c r="E3489" t="s">
        <v>28</v>
      </c>
      <c r="F3489" t="s">
        <v>197</v>
      </c>
      <c r="G3489" t="s">
        <v>44</v>
      </c>
      <c r="H3489" t="s">
        <v>113</v>
      </c>
      <c r="I3489">
        <v>100</v>
      </c>
      <c r="J3489" s="31">
        <v>0</v>
      </c>
      <c r="K3489" s="89">
        <f>+L3489-J3618</f>
        <v>325</v>
      </c>
      <c r="L3489" s="32">
        <v>325</v>
      </c>
      <c r="M3489" s="10">
        <f t="shared" si="207"/>
        <v>30.76923076923077</v>
      </c>
    </row>
    <row r="3490" spans="1:13" ht="15.75" hidden="1" customHeight="1" x14ac:dyDescent="0.3">
      <c r="A3490" s="9">
        <v>4131</v>
      </c>
      <c r="B3490" t="s">
        <v>510</v>
      </c>
      <c r="C3490" s="25">
        <v>44691</v>
      </c>
      <c r="D3490" s="26">
        <v>0.41061342592592592</v>
      </c>
      <c r="E3490" t="s">
        <v>28</v>
      </c>
      <c r="F3490" t="s">
        <v>311</v>
      </c>
      <c r="G3490" t="s">
        <v>303</v>
      </c>
      <c r="H3490" t="s">
        <v>113</v>
      </c>
      <c r="I3490">
        <v>87.45</v>
      </c>
      <c r="J3490" s="7">
        <v>0</v>
      </c>
      <c r="K3490" s="89">
        <f>+L3490-J3621</f>
        <v>156</v>
      </c>
      <c r="L3490" s="37">
        <v>156</v>
      </c>
      <c r="M3490" s="10">
        <f t="shared" si="207"/>
        <v>56.057692307692307</v>
      </c>
    </row>
    <row r="3491" spans="1:13" ht="15.75" hidden="1" customHeight="1" x14ac:dyDescent="0.3">
      <c r="A3491" s="9">
        <v>4175</v>
      </c>
      <c r="B3491" t="s">
        <v>510</v>
      </c>
      <c r="C3491" s="25">
        <v>44692</v>
      </c>
      <c r="D3491" s="26">
        <v>0.47827546296296292</v>
      </c>
      <c r="E3491" t="s">
        <v>28</v>
      </c>
      <c r="F3491" t="s">
        <v>210</v>
      </c>
      <c r="G3491" t="s">
        <v>211</v>
      </c>
      <c r="H3491" t="s">
        <v>113</v>
      </c>
      <c r="I3491">
        <v>174.33</v>
      </c>
      <c r="J3491" s="7">
        <v>0</v>
      </c>
      <c r="K3491" s="89">
        <f>+L3491-J3623</f>
        <v>-674842</v>
      </c>
      <c r="L3491" s="32">
        <v>435</v>
      </c>
      <c r="M3491" s="10">
        <f t="shared" ref="M3491:M3510" si="208">I3491/K3491*100</f>
        <v>-2.583271343514482E-2</v>
      </c>
    </row>
    <row r="3492" spans="1:13" ht="15.75" hidden="1" customHeight="1" x14ac:dyDescent="0.3">
      <c r="A3492" s="9">
        <v>4515</v>
      </c>
      <c r="B3492" t="s">
        <v>510</v>
      </c>
      <c r="C3492" s="25">
        <v>44698</v>
      </c>
      <c r="D3492" s="26">
        <v>0.85881944444444447</v>
      </c>
      <c r="E3492" t="s">
        <v>28</v>
      </c>
      <c r="F3492" t="s">
        <v>396</v>
      </c>
      <c r="G3492" t="s">
        <v>397</v>
      </c>
      <c r="H3492" t="s">
        <v>113</v>
      </c>
      <c r="I3492">
        <v>356.83</v>
      </c>
      <c r="J3492" s="28">
        <v>0</v>
      </c>
      <c r="K3492" s="89">
        <f>+L3492-J3764</f>
        <v>850</v>
      </c>
      <c r="L3492" s="32">
        <v>850</v>
      </c>
      <c r="M3492" s="10">
        <f t="shared" si="208"/>
        <v>41.980000000000004</v>
      </c>
    </row>
    <row r="3493" spans="1:13" ht="15.75" hidden="1" customHeight="1" x14ac:dyDescent="0.3">
      <c r="A3493" s="9">
        <v>4565</v>
      </c>
      <c r="B3493" t="s">
        <v>510</v>
      </c>
      <c r="C3493" s="25">
        <v>44699</v>
      </c>
      <c r="D3493" s="26">
        <v>0.50890046296296299</v>
      </c>
      <c r="E3493" t="s">
        <v>28</v>
      </c>
      <c r="F3493" t="s">
        <v>210</v>
      </c>
      <c r="G3493" t="s">
        <v>211</v>
      </c>
      <c r="H3493" t="s">
        <v>113</v>
      </c>
      <c r="I3493">
        <v>104.79</v>
      </c>
      <c r="J3493" s="31">
        <v>0</v>
      </c>
      <c r="K3493" s="89">
        <f>+L3493-J3765</f>
        <v>325</v>
      </c>
      <c r="L3493" s="32">
        <v>325</v>
      </c>
      <c r="M3493" s="10">
        <f t="shared" si="208"/>
        <v>32.243076923076927</v>
      </c>
    </row>
    <row r="3494" spans="1:13" ht="15.75" hidden="1" customHeight="1" x14ac:dyDescent="0.3">
      <c r="A3494" s="9">
        <v>4621</v>
      </c>
      <c r="B3494" t="s">
        <v>510</v>
      </c>
      <c r="C3494" s="25">
        <v>44700</v>
      </c>
      <c r="D3494" s="26">
        <v>0.69126157407407407</v>
      </c>
      <c r="E3494" t="s">
        <v>28</v>
      </c>
      <c r="F3494" t="s">
        <v>262</v>
      </c>
      <c r="G3494" t="s">
        <v>263</v>
      </c>
      <c r="H3494" t="s">
        <v>113</v>
      </c>
      <c r="I3494">
        <v>123.74</v>
      </c>
      <c r="J3494" s="31">
        <v>0</v>
      </c>
      <c r="K3494" s="89">
        <f>+L3494-J3765</f>
        <v>829</v>
      </c>
      <c r="L3494" s="32">
        <v>829</v>
      </c>
      <c r="M3494" s="10">
        <f t="shared" si="208"/>
        <v>14.926417370325693</v>
      </c>
    </row>
    <row r="3495" spans="1:13" ht="15.75" hidden="1" customHeight="1" x14ac:dyDescent="0.3">
      <c r="A3495" s="9">
        <v>4657</v>
      </c>
      <c r="B3495" t="s">
        <v>510</v>
      </c>
      <c r="C3495" s="25">
        <v>44701</v>
      </c>
      <c r="D3495" s="26">
        <v>0.87326388888888884</v>
      </c>
      <c r="E3495" t="s">
        <v>28</v>
      </c>
      <c r="F3495" t="s">
        <v>166</v>
      </c>
      <c r="G3495" t="s">
        <v>161</v>
      </c>
      <c r="H3495" t="s">
        <v>113</v>
      </c>
      <c r="I3495">
        <v>204.45</v>
      </c>
      <c r="J3495" s="31">
        <v>0</v>
      </c>
      <c r="K3495" s="89">
        <f>+L3495-J3764</f>
        <v>510</v>
      </c>
      <c r="L3495" s="32">
        <v>510</v>
      </c>
      <c r="M3495" s="10">
        <f t="shared" si="208"/>
        <v>40.088235294117645</v>
      </c>
    </row>
    <row r="3496" spans="1:13" ht="15.75" hidden="1" customHeight="1" x14ac:dyDescent="0.3">
      <c r="A3496" s="9">
        <v>4672</v>
      </c>
      <c r="B3496" t="s">
        <v>510</v>
      </c>
      <c r="C3496" s="25">
        <v>44701</v>
      </c>
      <c r="D3496" s="26">
        <v>0.49313657407407407</v>
      </c>
      <c r="E3496" t="s">
        <v>28</v>
      </c>
      <c r="F3496" t="s">
        <v>197</v>
      </c>
      <c r="G3496" t="s">
        <v>44</v>
      </c>
      <c r="H3496" t="s">
        <v>113</v>
      </c>
      <c r="I3496">
        <v>113.97</v>
      </c>
      <c r="J3496" s="31">
        <v>0</v>
      </c>
      <c r="K3496" s="89">
        <f>+L3496-J3765</f>
        <v>293</v>
      </c>
      <c r="L3496" s="37">
        <v>293</v>
      </c>
      <c r="M3496" s="10">
        <f t="shared" si="208"/>
        <v>38.897610921501709</v>
      </c>
    </row>
    <row r="3497" spans="1:13" ht="15.75" hidden="1" customHeight="1" x14ac:dyDescent="0.3">
      <c r="A3497" s="9">
        <v>4673</v>
      </c>
      <c r="B3497" t="s">
        <v>510</v>
      </c>
      <c r="C3497" s="25">
        <v>44701</v>
      </c>
      <c r="D3497" s="26">
        <v>0.9526041666666667</v>
      </c>
      <c r="E3497" t="s">
        <v>28</v>
      </c>
      <c r="F3497" t="s">
        <v>210</v>
      </c>
      <c r="G3497" t="s">
        <v>211</v>
      </c>
      <c r="H3497" t="s">
        <v>113</v>
      </c>
      <c r="I3497">
        <v>30.59</v>
      </c>
      <c r="J3497" s="7">
        <v>0</v>
      </c>
      <c r="K3497" s="89">
        <f>+L3497-J3766</f>
        <v>76</v>
      </c>
      <c r="L3497" s="55">
        <v>76</v>
      </c>
      <c r="M3497" s="10">
        <f t="shared" si="208"/>
        <v>40.25</v>
      </c>
    </row>
    <row r="3498" spans="1:13" ht="15.75" hidden="1" customHeight="1" x14ac:dyDescent="0.3">
      <c r="A3498" s="9">
        <v>4732</v>
      </c>
      <c r="B3498" t="s">
        <v>510</v>
      </c>
      <c r="C3498" s="25">
        <v>44702</v>
      </c>
      <c r="D3498" s="26">
        <v>0.96253472222222225</v>
      </c>
      <c r="E3498" t="s">
        <v>28</v>
      </c>
      <c r="F3498" t="s">
        <v>165</v>
      </c>
      <c r="G3498" t="s">
        <v>185</v>
      </c>
      <c r="H3498" t="s">
        <v>113</v>
      </c>
      <c r="I3498">
        <v>245.89</v>
      </c>
      <c r="J3498" s="7">
        <v>0</v>
      </c>
      <c r="K3498" s="89">
        <f>+L3498-J3750</f>
        <v>548</v>
      </c>
      <c r="L3498" s="53">
        <v>548</v>
      </c>
      <c r="M3498" s="10">
        <f t="shared" si="208"/>
        <v>44.870437956204377</v>
      </c>
    </row>
    <row r="3499" spans="1:13" ht="15.75" hidden="1" customHeight="1" x14ac:dyDescent="0.3">
      <c r="A3499" s="9">
        <v>4778</v>
      </c>
      <c r="B3499" t="s">
        <v>510</v>
      </c>
      <c r="C3499" s="25">
        <v>44703</v>
      </c>
      <c r="D3499" s="26">
        <v>0.77918981481481486</v>
      </c>
      <c r="E3499" t="s">
        <v>28</v>
      </c>
      <c r="F3499" t="s">
        <v>210</v>
      </c>
      <c r="G3499" t="s">
        <v>211</v>
      </c>
      <c r="H3499" t="s">
        <v>113</v>
      </c>
      <c r="I3499">
        <v>154.94999999999999</v>
      </c>
      <c r="J3499" s="7">
        <v>0</v>
      </c>
      <c r="K3499" s="89">
        <f>+L3499-J3751</f>
        <v>522</v>
      </c>
      <c r="L3499" s="53">
        <v>522</v>
      </c>
      <c r="M3499" s="10">
        <f t="shared" si="208"/>
        <v>29.683908045977009</v>
      </c>
    </row>
    <row r="3500" spans="1:13" ht="15.75" hidden="1" customHeight="1" x14ac:dyDescent="0.3">
      <c r="A3500" s="9">
        <v>4831</v>
      </c>
      <c r="B3500" t="s">
        <v>510</v>
      </c>
      <c r="C3500" s="25">
        <v>44704</v>
      </c>
      <c r="D3500" s="26">
        <v>0.46170138888888884</v>
      </c>
      <c r="E3500" t="s">
        <v>28</v>
      </c>
      <c r="F3500" t="s">
        <v>169</v>
      </c>
      <c r="G3500" t="s">
        <v>196</v>
      </c>
      <c r="H3500" t="s">
        <v>113</v>
      </c>
      <c r="I3500">
        <v>140.29</v>
      </c>
      <c r="J3500" s="7">
        <v>0</v>
      </c>
      <c r="K3500" s="89">
        <f>+L3500-J3752</f>
        <v>466</v>
      </c>
      <c r="L3500" s="53">
        <v>466</v>
      </c>
      <c r="M3500" s="10">
        <f t="shared" si="208"/>
        <v>30.105150214592275</v>
      </c>
    </row>
    <row r="3501" spans="1:13" ht="15.75" hidden="1" customHeight="1" x14ac:dyDescent="0.3">
      <c r="A3501" s="9">
        <v>5333</v>
      </c>
      <c r="B3501" t="s">
        <v>510</v>
      </c>
      <c r="C3501" s="25">
        <v>44714</v>
      </c>
      <c r="D3501" s="26">
        <v>0.42090277777777779</v>
      </c>
      <c r="E3501" t="s">
        <v>29</v>
      </c>
      <c r="F3501" t="s">
        <v>638</v>
      </c>
      <c r="G3501" t="s">
        <v>263</v>
      </c>
      <c r="H3501" t="s">
        <v>313</v>
      </c>
      <c r="I3501">
        <v>200</v>
      </c>
      <c r="J3501" s="69">
        <v>0</v>
      </c>
      <c r="K3501" s="89">
        <f>+L3501-J3766</f>
        <v>121</v>
      </c>
      <c r="L3501" s="30">
        <v>121</v>
      </c>
      <c r="M3501" s="10">
        <f t="shared" si="208"/>
        <v>165.28925619834712</v>
      </c>
    </row>
    <row r="3502" spans="1:13" ht="15.75" hidden="1" customHeight="1" x14ac:dyDescent="0.3">
      <c r="A3502" s="9">
        <v>5471</v>
      </c>
      <c r="B3502" t="s">
        <v>510</v>
      </c>
      <c r="C3502" s="25">
        <v>44716</v>
      </c>
      <c r="D3502" s="26">
        <v>0.36733796296296295</v>
      </c>
      <c r="E3502" t="s">
        <v>29</v>
      </c>
      <c r="F3502" t="s">
        <v>637</v>
      </c>
      <c r="G3502" t="s">
        <v>196</v>
      </c>
      <c r="H3502" t="s">
        <v>113</v>
      </c>
      <c r="I3502">
        <v>158</v>
      </c>
      <c r="J3502" s="39">
        <v>0</v>
      </c>
      <c r="K3502" s="89">
        <f>+L3502-J3745</f>
        <v>446</v>
      </c>
      <c r="L3502" s="11">
        <v>446</v>
      </c>
      <c r="M3502" s="10">
        <f t="shared" si="208"/>
        <v>35.426008968609871</v>
      </c>
    </row>
    <row r="3503" spans="1:13" ht="15.75" hidden="1" customHeight="1" x14ac:dyDescent="0.3">
      <c r="A3503" s="9">
        <v>5574</v>
      </c>
      <c r="B3503" t="s">
        <v>510</v>
      </c>
      <c r="C3503" s="25">
        <v>44719</v>
      </c>
      <c r="D3503" s="26">
        <v>0.55489583333333337</v>
      </c>
      <c r="E3503" t="s">
        <v>29</v>
      </c>
      <c r="F3503" t="s">
        <v>634</v>
      </c>
      <c r="G3503" t="s">
        <v>211</v>
      </c>
      <c r="H3503" t="s">
        <v>178</v>
      </c>
      <c r="I3503" s="173">
        <v>40.090000000000003</v>
      </c>
      <c r="J3503" s="174">
        <v>0</v>
      </c>
      <c r="K3503" s="89">
        <f>+L3503-J3064</f>
        <v>78</v>
      </c>
      <c r="L3503" s="11">
        <v>78</v>
      </c>
      <c r="M3503" s="10">
        <f t="shared" si="208"/>
        <v>51.397435897435905</v>
      </c>
    </row>
    <row r="3504" spans="1:13" ht="15.75" hidden="1" customHeight="1" x14ac:dyDescent="0.3">
      <c r="A3504" s="9">
        <v>5704</v>
      </c>
      <c r="B3504" t="s">
        <v>510</v>
      </c>
      <c r="C3504" s="25">
        <v>44721</v>
      </c>
      <c r="D3504" s="26">
        <v>0.10289351851851852</v>
      </c>
      <c r="E3504" t="s">
        <v>29</v>
      </c>
      <c r="F3504" t="s">
        <v>635</v>
      </c>
      <c r="G3504" t="s">
        <v>185</v>
      </c>
      <c r="H3504" t="s">
        <v>178</v>
      </c>
      <c r="I3504" s="173">
        <v>286.95999999999998</v>
      </c>
      <c r="J3504" s="52">
        <v>0</v>
      </c>
      <c r="K3504" s="89">
        <f t="shared" ref="K3504:K3510" si="209">+L3504-J3066</f>
        <v>-2019</v>
      </c>
      <c r="L3504" s="51">
        <v>576</v>
      </c>
      <c r="M3504" s="10">
        <f t="shared" si="208"/>
        <v>-14.212976721149081</v>
      </c>
    </row>
    <row r="3505" spans="1:13" ht="15.75" hidden="1" customHeight="1" x14ac:dyDescent="0.3">
      <c r="A3505" s="9">
        <v>5751</v>
      </c>
      <c r="B3505" t="s">
        <v>510</v>
      </c>
      <c r="C3505" s="25">
        <v>44722</v>
      </c>
      <c r="D3505" s="26">
        <v>0.39636574074074077</v>
      </c>
      <c r="E3505" t="s">
        <v>29</v>
      </c>
      <c r="F3505" t="s">
        <v>634</v>
      </c>
      <c r="G3505" t="s">
        <v>211</v>
      </c>
      <c r="H3505" t="s">
        <v>178</v>
      </c>
      <c r="I3505" s="173">
        <v>169.37</v>
      </c>
      <c r="J3505" s="52">
        <v>0</v>
      </c>
      <c r="K3505" s="89">
        <f t="shared" si="209"/>
        <v>511</v>
      </c>
      <c r="L3505" s="51">
        <v>511</v>
      </c>
      <c r="M3505" s="10">
        <f t="shared" si="208"/>
        <v>33.144814090019572</v>
      </c>
    </row>
    <row r="3506" spans="1:13" ht="15.75" hidden="1" customHeight="1" x14ac:dyDescent="0.3">
      <c r="A3506" s="9">
        <v>6132</v>
      </c>
      <c r="B3506" t="s">
        <v>510</v>
      </c>
      <c r="C3506" s="25">
        <v>44729</v>
      </c>
      <c r="D3506" s="26">
        <v>0.49012731481481481</v>
      </c>
      <c r="E3506" t="s">
        <v>29</v>
      </c>
      <c r="F3506" t="s">
        <v>662</v>
      </c>
      <c r="G3506" t="s">
        <v>542</v>
      </c>
      <c r="H3506" t="s">
        <v>178</v>
      </c>
      <c r="I3506" s="173">
        <v>40</v>
      </c>
      <c r="J3506" s="65">
        <v>0</v>
      </c>
      <c r="K3506" s="89">
        <f t="shared" si="209"/>
        <v>1154</v>
      </c>
      <c r="L3506" s="11">
        <v>1758</v>
      </c>
      <c r="M3506" s="10">
        <f t="shared" si="208"/>
        <v>3.4662045060658579</v>
      </c>
    </row>
    <row r="3507" spans="1:13" ht="15.75" hidden="1" customHeight="1" x14ac:dyDescent="0.3">
      <c r="A3507" s="9">
        <v>6133</v>
      </c>
      <c r="B3507" t="s">
        <v>510</v>
      </c>
      <c r="C3507" s="25">
        <v>44729</v>
      </c>
      <c r="D3507" s="26">
        <v>0.75032407407407409</v>
      </c>
      <c r="E3507" t="s">
        <v>29</v>
      </c>
      <c r="F3507" t="s">
        <v>694</v>
      </c>
      <c r="G3507" t="s">
        <v>489</v>
      </c>
      <c r="H3507" t="s">
        <v>178</v>
      </c>
      <c r="I3507" s="173">
        <v>278.27999999999997</v>
      </c>
      <c r="J3507" s="53">
        <v>0</v>
      </c>
      <c r="K3507" s="89">
        <f t="shared" si="209"/>
        <v>286</v>
      </c>
      <c r="L3507" s="11">
        <v>286</v>
      </c>
      <c r="M3507" s="10">
        <f t="shared" si="208"/>
        <v>97.300699300699293</v>
      </c>
    </row>
    <row r="3508" spans="1:13" ht="15.75" hidden="1" customHeight="1" x14ac:dyDescent="0.3">
      <c r="A3508" s="9">
        <v>6134</v>
      </c>
      <c r="B3508" t="s">
        <v>510</v>
      </c>
      <c r="C3508" s="25">
        <v>44729</v>
      </c>
      <c r="D3508" s="26">
        <v>0.8784953703703704</v>
      </c>
      <c r="E3508" t="s">
        <v>29</v>
      </c>
      <c r="F3508" t="s">
        <v>632</v>
      </c>
      <c r="G3508" t="s">
        <v>161</v>
      </c>
      <c r="H3508" t="s">
        <v>178</v>
      </c>
      <c r="I3508" s="173">
        <v>122.32</v>
      </c>
      <c r="J3508" s="53">
        <v>0</v>
      </c>
      <c r="K3508" s="89">
        <f t="shared" si="209"/>
        <v>172</v>
      </c>
      <c r="L3508" s="11">
        <v>172</v>
      </c>
      <c r="M3508" s="10">
        <f t="shared" si="208"/>
        <v>71.116279069767444</v>
      </c>
    </row>
    <row r="3509" spans="1:13" ht="15.75" hidden="1" customHeight="1" x14ac:dyDescent="0.3">
      <c r="A3509" s="9">
        <v>6135</v>
      </c>
      <c r="B3509" t="s">
        <v>510</v>
      </c>
      <c r="C3509" s="25">
        <v>44729</v>
      </c>
      <c r="D3509" s="26">
        <v>0.94645833333333329</v>
      </c>
      <c r="E3509" t="s">
        <v>29</v>
      </c>
      <c r="F3509" t="s">
        <v>634</v>
      </c>
      <c r="G3509" t="s">
        <v>211</v>
      </c>
      <c r="H3509" t="s">
        <v>178</v>
      </c>
      <c r="I3509" s="173">
        <v>40.49</v>
      </c>
      <c r="J3509" s="53">
        <v>0</v>
      </c>
      <c r="K3509" s="89">
        <f t="shared" si="209"/>
        <v>75</v>
      </c>
      <c r="L3509" s="30">
        <v>75</v>
      </c>
      <c r="M3509" s="10">
        <f t="shared" si="208"/>
        <v>53.986666666666672</v>
      </c>
    </row>
    <row r="3510" spans="1:13" ht="15.75" hidden="1" customHeight="1" x14ac:dyDescent="0.3">
      <c r="A3510" s="9">
        <v>6193</v>
      </c>
      <c r="B3510" t="s">
        <v>510</v>
      </c>
      <c r="C3510" s="25">
        <v>44730</v>
      </c>
      <c r="D3510" s="26">
        <v>0.93767361111111114</v>
      </c>
      <c r="E3510" t="s">
        <v>29</v>
      </c>
      <c r="F3510" t="s">
        <v>635</v>
      </c>
      <c r="G3510" t="s">
        <v>185</v>
      </c>
      <c r="H3510" t="s">
        <v>178</v>
      </c>
      <c r="I3510" s="173">
        <v>253.29</v>
      </c>
      <c r="J3510" s="53">
        <v>0</v>
      </c>
      <c r="K3510" s="89">
        <f t="shared" si="209"/>
        <v>544</v>
      </c>
      <c r="L3510" s="28">
        <v>544</v>
      </c>
      <c r="M3510" s="10">
        <f t="shared" si="208"/>
        <v>46.560661764705877</v>
      </c>
    </row>
    <row r="3511" spans="1:13" ht="15.75" hidden="1" customHeight="1" x14ac:dyDescent="0.3">
      <c r="A3511" s="9">
        <v>6470</v>
      </c>
      <c r="B3511" t="s">
        <v>510</v>
      </c>
      <c r="C3511" s="25">
        <v>44737</v>
      </c>
      <c r="D3511" s="26">
        <v>0.47545138888888888</v>
      </c>
      <c r="E3511" t="s">
        <v>29</v>
      </c>
      <c r="F3511" t="s">
        <v>634</v>
      </c>
      <c r="G3511" t="s">
        <v>211</v>
      </c>
      <c r="H3511" t="s">
        <v>178</v>
      </c>
      <c r="I3511" s="173">
        <v>170.19</v>
      </c>
      <c r="J3511" s="281">
        <f>40+287+170+40+278+122+41+254</f>
        <v>1232</v>
      </c>
      <c r="K3511" s="280">
        <v>513</v>
      </c>
      <c r="L3511" s="151">
        <v>4518</v>
      </c>
      <c r="M3511" s="157">
        <f>+J3511/L3511*100</f>
        <v>27.26870296591412</v>
      </c>
    </row>
    <row r="3512" spans="1:13" ht="15.75" hidden="1" customHeight="1" x14ac:dyDescent="0.3">
      <c r="A3512" s="9">
        <v>6471</v>
      </c>
      <c r="B3512" t="s">
        <v>510</v>
      </c>
      <c r="C3512" s="25">
        <v>44737</v>
      </c>
      <c r="D3512" s="26">
        <v>0.88416666666666666</v>
      </c>
      <c r="E3512" t="s">
        <v>29</v>
      </c>
      <c r="F3512" t="s">
        <v>637</v>
      </c>
      <c r="G3512" t="s">
        <v>196</v>
      </c>
      <c r="H3512" t="s">
        <v>178</v>
      </c>
      <c r="I3512" s="173">
        <v>147</v>
      </c>
      <c r="J3512" s="53">
        <v>0</v>
      </c>
      <c r="K3512" s="94">
        <v>463</v>
      </c>
      <c r="L3512" s="7">
        <v>463</v>
      </c>
      <c r="M3512" s="36">
        <f>I3512/K3512*100</f>
        <v>31.749460043196542</v>
      </c>
    </row>
    <row r="3513" spans="1:13" ht="15.75" hidden="1" customHeight="1" x14ac:dyDescent="0.3">
      <c r="B3513" t="s">
        <v>323</v>
      </c>
      <c r="C3513" s="25">
        <v>44769</v>
      </c>
      <c r="D3513" s="26">
        <v>1.9328703703703702E-2</v>
      </c>
      <c r="E3513" t="s">
        <v>30</v>
      </c>
      <c r="F3513" t="s">
        <v>197</v>
      </c>
      <c r="G3513" t="s">
        <v>44</v>
      </c>
      <c r="H3513" t="s">
        <v>187</v>
      </c>
      <c r="I3513" s="160">
        <v>243.87</v>
      </c>
      <c r="J3513" s="82"/>
      <c r="K3513" s="224">
        <v>771913</v>
      </c>
      <c r="L3513" s="54">
        <f>+K3513-J3513</f>
        <v>771913</v>
      </c>
      <c r="M3513" s="300">
        <f t="shared" ref="M3513:M3518" si="210">+J3513/L3513*100</f>
        <v>0</v>
      </c>
    </row>
    <row r="3514" spans="1:13" ht="15.75" hidden="1" customHeight="1" x14ac:dyDescent="0.3">
      <c r="B3514" t="s">
        <v>323</v>
      </c>
      <c r="C3514" s="25">
        <v>44769</v>
      </c>
      <c r="D3514" s="26">
        <v>0.80847222222222215</v>
      </c>
      <c r="E3514" t="s">
        <v>30</v>
      </c>
      <c r="F3514" t="s">
        <v>210</v>
      </c>
      <c r="G3514" t="s">
        <v>211</v>
      </c>
      <c r="H3514" t="s">
        <v>187</v>
      </c>
      <c r="I3514" s="161">
        <v>261.44</v>
      </c>
      <c r="J3514" s="160">
        <f>386+178+244+261</f>
        <v>1069</v>
      </c>
      <c r="K3514" s="160">
        <v>772513</v>
      </c>
      <c r="L3514" s="160">
        <v>1577</v>
      </c>
      <c r="M3514" s="254">
        <f t="shared" si="210"/>
        <v>67.786937222574508</v>
      </c>
    </row>
    <row r="3515" spans="1:13" ht="15.75" hidden="1" customHeight="1" x14ac:dyDescent="0.3">
      <c r="B3515" t="s">
        <v>323</v>
      </c>
      <c r="C3515" s="25">
        <v>44771</v>
      </c>
      <c r="D3515" s="26">
        <v>0.3611226851851852</v>
      </c>
      <c r="E3515" t="s">
        <v>30</v>
      </c>
      <c r="F3515" t="s">
        <v>210</v>
      </c>
      <c r="G3515" t="s">
        <v>211</v>
      </c>
      <c r="H3515" t="s">
        <v>187</v>
      </c>
      <c r="I3515" s="160">
        <v>400.36</v>
      </c>
      <c r="J3515" s="8"/>
      <c r="K3515" s="8">
        <v>773597</v>
      </c>
      <c r="L3515" s="8">
        <f>+K3515-J3515</f>
        <v>773597</v>
      </c>
      <c r="M3515" s="254">
        <f t="shared" si="210"/>
        <v>0</v>
      </c>
    </row>
    <row r="3516" spans="1:13" ht="15.75" hidden="1" customHeight="1" x14ac:dyDescent="0.3">
      <c r="B3516" t="s">
        <v>323</v>
      </c>
      <c r="C3516" s="25">
        <v>44771</v>
      </c>
      <c r="D3516" s="26">
        <v>0.80560185185185185</v>
      </c>
      <c r="E3516" t="s">
        <v>30</v>
      </c>
      <c r="F3516" t="s">
        <v>169</v>
      </c>
      <c r="G3516" t="s">
        <v>196</v>
      </c>
      <c r="H3516" t="s">
        <v>187</v>
      </c>
      <c r="I3516" s="160">
        <v>150.26</v>
      </c>
      <c r="J3516" s="8"/>
      <c r="K3516" s="8">
        <v>774089</v>
      </c>
      <c r="L3516" s="8">
        <f>+K3516-J3516</f>
        <v>774089</v>
      </c>
      <c r="M3516" s="254">
        <f t="shared" si="210"/>
        <v>0</v>
      </c>
    </row>
    <row r="3517" spans="1:13" ht="15.75" hidden="1" customHeight="1" x14ac:dyDescent="0.3">
      <c r="B3517" t="s">
        <v>323</v>
      </c>
      <c r="C3517" s="25">
        <v>44772</v>
      </c>
      <c r="D3517" s="26">
        <v>0.47753472222222221</v>
      </c>
      <c r="E3517" t="s">
        <v>30</v>
      </c>
      <c r="F3517" t="s">
        <v>175</v>
      </c>
      <c r="G3517" t="s">
        <v>172</v>
      </c>
      <c r="H3517" t="s">
        <v>187</v>
      </c>
      <c r="I3517" s="160">
        <v>153.63</v>
      </c>
      <c r="J3517" s="8"/>
      <c r="K3517" s="8">
        <v>774532</v>
      </c>
      <c r="L3517" s="8">
        <f>+K3517-J3517</f>
        <v>774532</v>
      </c>
      <c r="M3517" s="254">
        <f t="shared" si="210"/>
        <v>0</v>
      </c>
    </row>
    <row r="3518" spans="1:13" ht="15.75" hidden="1" customHeight="1" x14ac:dyDescent="0.3">
      <c r="B3518" t="s">
        <v>323</v>
      </c>
      <c r="C3518" s="25">
        <v>44773</v>
      </c>
      <c r="D3518" s="26">
        <v>0.59266203703703701</v>
      </c>
      <c r="E3518" t="s">
        <v>30</v>
      </c>
      <c r="F3518" t="s">
        <v>210</v>
      </c>
      <c r="G3518" t="s">
        <v>211</v>
      </c>
      <c r="H3518" t="s">
        <v>187</v>
      </c>
      <c r="I3518" s="160">
        <v>306.27999999999997</v>
      </c>
      <c r="J3518" s="160">
        <f>306+154+150+400</f>
        <v>1010</v>
      </c>
      <c r="K3518" s="160">
        <v>775379</v>
      </c>
      <c r="L3518" s="160">
        <v>2336</v>
      </c>
      <c r="M3518" s="254">
        <f t="shared" si="210"/>
        <v>43.236301369863014</v>
      </c>
    </row>
    <row r="3519" spans="1:13" ht="15.75" hidden="1" customHeight="1" x14ac:dyDescent="0.3">
      <c r="A3519" s="9">
        <v>5269</v>
      </c>
      <c r="B3519" t="s">
        <v>188</v>
      </c>
      <c r="C3519" s="25">
        <v>44713</v>
      </c>
      <c r="D3519" s="26">
        <v>0.53120370370370373</v>
      </c>
      <c r="E3519" t="s">
        <v>29</v>
      </c>
      <c r="F3519" t="s">
        <v>651</v>
      </c>
      <c r="G3519" t="s">
        <v>172</v>
      </c>
      <c r="H3519" t="s">
        <v>189</v>
      </c>
      <c r="I3519" s="8">
        <v>389.48</v>
      </c>
      <c r="J3519" s="32">
        <v>0</v>
      </c>
      <c r="K3519" s="90">
        <f>+L3519-J3771</f>
        <v>1067</v>
      </c>
      <c r="L3519" s="7">
        <v>1067</v>
      </c>
      <c r="M3519" s="91">
        <f>I3519/K3519*100</f>
        <v>36.502343017806936</v>
      </c>
    </row>
    <row r="3520" spans="1:13" ht="15.75" hidden="1" customHeight="1" x14ac:dyDescent="0.3">
      <c r="A3520" s="9">
        <v>5322</v>
      </c>
      <c r="B3520" t="s">
        <v>188</v>
      </c>
      <c r="C3520" s="25">
        <v>44714</v>
      </c>
      <c r="D3520" s="26">
        <v>3.9270833333333331E-2</v>
      </c>
      <c r="E3520" t="s">
        <v>29</v>
      </c>
      <c r="F3520" t="s">
        <v>632</v>
      </c>
      <c r="G3520" t="s">
        <v>161</v>
      </c>
      <c r="H3520" t="s">
        <v>189</v>
      </c>
      <c r="I3520" s="8">
        <v>238.17</v>
      </c>
      <c r="J3520" s="32">
        <v>0</v>
      </c>
      <c r="K3520" s="90">
        <f>+L3520-J3771</f>
        <v>622</v>
      </c>
      <c r="L3520" s="7">
        <v>622</v>
      </c>
      <c r="M3520" s="91">
        <f>I3520/K3520*100</f>
        <v>38.29099678456592</v>
      </c>
    </row>
    <row r="3521" spans="1:13" ht="15.75" hidden="1" customHeight="1" x14ac:dyDescent="0.3">
      <c r="A3521" s="9">
        <v>6502</v>
      </c>
      <c r="B3521" t="s">
        <v>455</v>
      </c>
      <c r="C3521" s="25">
        <v>44737</v>
      </c>
      <c r="D3521" s="26">
        <v>0.96775462962962966</v>
      </c>
      <c r="E3521" t="s">
        <v>29</v>
      </c>
      <c r="F3521" t="s">
        <v>651</v>
      </c>
      <c r="G3521" t="s">
        <v>172</v>
      </c>
      <c r="H3521" t="s">
        <v>130</v>
      </c>
      <c r="I3521" s="148">
        <v>369.79</v>
      </c>
      <c r="J3521" s="152">
        <f>370+432+372+170+142+479+375+200+135</f>
        <v>2675</v>
      </c>
      <c r="K3521" s="203">
        <v>1012</v>
      </c>
      <c r="L3521" s="203">
        <v>6638</v>
      </c>
      <c r="M3521" s="227">
        <f>+J3521/L3521*100</f>
        <v>40.298282615245554</v>
      </c>
    </row>
    <row r="3522" spans="1:13" ht="15.75" hidden="1" customHeight="1" x14ac:dyDescent="0.3">
      <c r="A3522" s="9">
        <v>6663</v>
      </c>
      <c r="B3522" t="s">
        <v>455</v>
      </c>
      <c r="C3522" s="25">
        <v>44740</v>
      </c>
      <c r="D3522" s="26">
        <v>1.2326388888888888E-2</v>
      </c>
      <c r="E3522" t="s">
        <v>29</v>
      </c>
      <c r="F3522" t="s">
        <v>634</v>
      </c>
      <c r="G3522" t="s">
        <v>211</v>
      </c>
      <c r="H3522" t="s">
        <v>130</v>
      </c>
      <c r="I3522" s="148">
        <v>402.08</v>
      </c>
      <c r="J3522" s="198">
        <f>402+299</f>
        <v>701</v>
      </c>
      <c r="K3522" s="154">
        <v>1056</v>
      </c>
      <c r="L3522" s="154">
        <v>1743</v>
      </c>
      <c r="M3522" s="232">
        <f>+J3522/L3522*100</f>
        <v>40.218014916810098</v>
      </c>
    </row>
    <row r="3523" spans="1:13" ht="15.75" hidden="1" customHeight="1" x14ac:dyDescent="0.3">
      <c r="A3523" s="9">
        <v>5323</v>
      </c>
      <c r="B3523" t="s">
        <v>188</v>
      </c>
      <c r="C3523" s="25">
        <v>44714</v>
      </c>
      <c r="D3523" s="26">
        <v>0.90192129629629625</v>
      </c>
      <c r="E3523" t="s">
        <v>29</v>
      </c>
      <c r="F3523" t="s">
        <v>640</v>
      </c>
      <c r="G3523" t="s">
        <v>185</v>
      </c>
      <c r="H3523" t="s">
        <v>189</v>
      </c>
      <c r="I3523" s="8">
        <v>288.51</v>
      </c>
      <c r="J3523" s="32">
        <v>0</v>
      </c>
      <c r="K3523" s="90">
        <f>+L3523-J3774</f>
        <v>628</v>
      </c>
      <c r="L3523" s="7">
        <v>628</v>
      </c>
      <c r="M3523" s="91">
        <f t="shared" ref="M3523:M3554" si="211">I3523/K3523*100</f>
        <v>45.941082802547768</v>
      </c>
    </row>
    <row r="3524" spans="1:13" ht="15.75" hidden="1" customHeight="1" x14ac:dyDescent="0.3">
      <c r="A3524" s="9">
        <v>687</v>
      </c>
      <c r="B3524" t="s">
        <v>455</v>
      </c>
      <c r="C3524" s="25">
        <v>44610</v>
      </c>
      <c r="D3524" s="26">
        <v>0.55825231481481474</v>
      </c>
      <c r="E3524" t="s">
        <v>25</v>
      </c>
      <c r="F3524" t="s">
        <v>210</v>
      </c>
      <c r="G3524" t="s">
        <v>211</v>
      </c>
      <c r="H3524" t="s">
        <v>130</v>
      </c>
      <c r="I3524">
        <v>380.83</v>
      </c>
      <c r="J3524" s="7">
        <v>0</v>
      </c>
      <c r="K3524" s="7">
        <f t="shared" ref="K3524:K3555" si="212">+L3524-J3524</f>
        <v>801.13</v>
      </c>
      <c r="L3524" s="32">
        <v>801.13</v>
      </c>
      <c r="M3524" s="36">
        <f t="shared" si="211"/>
        <v>47.536604546078664</v>
      </c>
    </row>
    <row r="3525" spans="1:13" ht="15.75" hidden="1" customHeight="1" x14ac:dyDescent="0.3">
      <c r="A3525" s="9">
        <v>688</v>
      </c>
      <c r="B3525" t="s">
        <v>455</v>
      </c>
      <c r="C3525" s="25">
        <v>44612</v>
      </c>
      <c r="D3525" s="26">
        <v>4.929398148148148E-2</v>
      </c>
      <c r="E3525" t="s">
        <v>25</v>
      </c>
      <c r="F3525" t="s">
        <v>210</v>
      </c>
      <c r="G3525" t="s">
        <v>211</v>
      </c>
      <c r="H3525" t="s">
        <v>130</v>
      </c>
      <c r="I3525">
        <v>350.36</v>
      </c>
      <c r="J3525" s="39">
        <v>0</v>
      </c>
      <c r="K3525" s="40">
        <f t="shared" si="212"/>
        <v>993.64</v>
      </c>
      <c r="L3525" s="34">
        <v>993.64</v>
      </c>
      <c r="M3525" s="10">
        <f t="shared" si="211"/>
        <v>35.26025522321968</v>
      </c>
    </row>
    <row r="3526" spans="1:13" ht="15.75" hidden="1" customHeight="1" x14ac:dyDescent="0.3">
      <c r="A3526" s="9">
        <v>689</v>
      </c>
      <c r="B3526" t="s">
        <v>455</v>
      </c>
      <c r="C3526" s="25">
        <v>44614</v>
      </c>
      <c r="D3526" s="26">
        <v>0.23633101851851854</v>
      </c>
      <c r="E3526" t="s">
        <v>25</v>
      </c>
      <c r="F3526" t="s">
        <v>175</v>
      </c>
      <c r="G3526" t="s">
        <v>172</v>
      </c>
      <c r="H3526" t="s">
        <v>130</v>
      </c>
      <c r="I3526">
        <v>368.19</v>
      </c>
      <c r="J3526" s="7">
        <v>0</v>
      </c>
      <c r="K3526" s="34">
        <f t="shared" si="212"/>
        <v>1018.93</v>
      </c>
      <c r="L3526" s="37">
        <v>1018.93</v>
      </c>
      <c r="M3526" s="10">
        <f t="shared" si="211"/>
        <v>36.134965110459014</v>
      </c>
    </row>
    <row r="3527" spans="1:13" ht="15.75" hidden="1" customHeight="1" x14ac:dyDescent="0.3">
      <c r="A3527" s="9">
        <v>690</v>
      </c>
      <c r="B3527" t="s">
        <v>455</v>
      </c>
      <c r="C3527" s="25">
        <v>44616</v>
      </c>
      <c r="D3527" s="26">
        <v>0.36887731481481478</v>
      </c>
      <c r="E3527" t="s">
        <v>25</v>
      </c>
      <c r="F3527" t="s">
        <v>210</v>
      </c>
      <c r="G3527" t="s">
        <v>211</v>
      </c>
      <c r="H3527" t="s">
        <v>130</v>
      </c>
      <c r="I3527">
        <v>439.5</v>
      </c>
      <c r="J3527" s="7">
        <v>0</v>
      </c>
      <c r="K3527" s="7">
        <f t="shared" si="212"/>
        <v>1850.7</v>
      </c>
      <c r="L3527" s="7">
        <v>1850.7</v>
      </c>
      <c r="M3527" s="10">
        <f t="shared" si="211"/>
        <v>23.74777111363268</v>
      </c>
    </row>
    <row r="3528" spans="1:13" ht="15.75" hidden="1" customHeight="1" x14ac:dyDescent="0.3">
      <c r="A3528" s="9">
        <v>691</v>
      </c>
      <c r="B3528" t="s">
        <v>455</v>
      </c>
      <c r="C3528" s="25">
        <v>44617</v>
      </c>
      <c r="D3528" s="26">
        <v>0.66488425925925931</v>
      </c>
      <c r="E3528" t="s">
        <v>25</v>
      </c>
      <c r="F3528" t="s">
        <v>414</v>
      </c>
      <c r="G3528" t="s">
        <v>449</v>
      </c>
      <c r="H3528" t="s">
        <v>130</v>
      </c>
      <c r="I3528">
        <v>422.5</v>
      </c>
      <c r="J3528" s="7">
        <v>0</v>
      </c>
      <c r="K3528" s="7">
        <f t="shared" si="212"/>
        <v>1135.79</v>
      </c>
      <c r="L3528" s="32">
        <v>1135.79</v>
      </c>
      <c r="M3528" s="10">
        <f t="shared" si="211"/>
        <v>37.198777943105682</v>
      </c>
    </row>
    <row r="3529" spans="1:13" ht="15.75" hidden="1" customHeight="1" x14ac:dyDescent="0.3">
      <c r="A3529" s="9">
        <v>692</v>
      </c>
      <c r="B3529" t="s">
        <v>455</v>
      </c>
      <c r="C3529" s="25">
        <v>44618</v>
      </c>
      <c r="D3529" s="26">
        <v>0.58496527777777774</v>
      </c>
      <c r="E3529" t="s">
        <v>25</v>
      </c>
      <c r="F3529" t="s">
        <v>210</v>
      </c>
      <c r="G3529" t="s">
        <v>211</v>
      </c>
      <c r="H3529" t="s">
        <v>130</v>
      </c>
      <c r="I3529">
        <v>277.88</v>
      </c>
      <c r="J3529" s="7">
        <v>0</v>
      </c>
      <c r="K3529" s="7">
        <f t="shared" si="212"/>
        <v>639.6</v>
      </c>
      <c r="L3529" s="7">
        <v>639.6</v>
      </c>
      <c r="M3529" s="10">
        <f t="shared" si="211"/>
        <v>43.445903689806123</v>
      </c>
    </row>
    <row r="3530" spans="1:13" ht="15.75" hidden="1" customHeight="1" x14ac:dyDescent="0.3">
      <c r="A3530" s="9">
        <v>693</v>
      </c>
      <c r="B3530" t="s">
        <v>455</v>
      </c>
      <c r="C3530" s="25">
        <v>44619</v>
      </c>
      <c r="D3530" s="26">
        <v>0.79292824074074064</v>
      </c>
      <c r="E3530" t="s">
        <v>25</v>
      </c>
      <c r="F3530" t="s">
        <v>202</v>
      </c>
      <c r="G3530" t="s">
        <v>203</v>
      </c>
      <c r="H3530" t="s">
        <v>130</v>
      </c>
      <c r="I3530">
        <v>429.79</v>
      </c>
      <c r="J3530" s="7">
        <v>0</v>
      </c>
      <c r="K3530" s="7">
        <f t="shared" si="212"/>
        <v>1083.94</v>
      </c>
      <c r="L3530" s="32">
        <v>1083.94</v>
      </c>
      <c r="M3530" s="10">
        <f t="shared" si="211"/>
        <v>39.650718674465374</v>
      </c>
    </row>
    <row r="3531" spans="1:13" ht="15.75" hidden="1" customHeight="1" x14ac:dyDescent="0.3">
      <c r="A3531" s="9">
        <v>694</v>
      </c>
      <c r="B3531" t="s">
        <v>455</v>
      </c>
      <c r="C3531" s="25">
        <v>44620</v>
      </c>
      <c r="D3531" s="26">
        <v>0.84828703703703701</v>
      </c>
      <c r="E3531" t="s">
        <v>25</v>
      </c>
      <c r="F3531" t="s">
        <v>202</v>
      </c>
      <c r="G3531" t="s">
        <v>203</v>
      </c>
      <c r="H3531" t="s">
        <v>130</v>
      </c>
      <c r="I3531">
        <v>179.53</v>
      </c>
      <c r="J3531" s="7">
        <v>0</v>
      </c>
      <c r="K3531" s="34">
        <f t="shared" si="212"/>
        <v>503.45</v>
      </c>
      <c r="L3531" s="34">
        <v>503.45</v>
      </c>
      <c r="M3531" s="10">
        <f t="shared" si="211"/>
        <v>35.659946370046683</v>
      </c>
    </row>
    <row r="3532" spans="1:13" ht="15.75" hidden="1" customHeight="1" x14ac:dyDescent="0.3">
      <c r="A3532" s="9">
        <v>1765</v>
      </c>
      <c r="B3532" t="s">
        <v>455</v>
      </c>
      <c r="C3532" s="25">
        <v>44621</v>
      </c>
      <c r="D3532" s="26">
        <v>0.84771990740740744</v>
      </c>
      <c r="E3532" t="s">
        <v>26</v>
      </c>
      <c r="F3532" t="s">
        <v>210</v>
      </c>
      <c r="G3532" t="s">
        <v>211</v>
      </c>
      <c r="H3532" t="s">
        <v>130</v>
      </c>
      <c r="I3532">
        <v>415.04</v>
      </c>
      <c r="J3532" s="7">
        <v>0</v>
      </c>
      <c r="K3532" s="90">
        <f t="shared" si="212"/>
        <v>1081.56</v>
      </c>
      <c r="L3532" s="7">
        <v>1081.56</v>
      </c>
      <c r="M3532" s="10">
        <f t="shared" si="211"/>
        <v>38.374200229298424</v>
      </c>
    </row>
    <row r="3533" spans="1:13" ht="15.75" hidden="1" customHeight="1" x14ac:dyDescent="0.3">
      <c r="A3533" s="9">
        <v>1766</v>
      </c>
      <c r="B3533" t="s">
        <v>455</v>
      </c>
      <c r="C3533" s="25">
        <v>44622</v>
      </c>
      <c r="D3533" s="26">
        <v>0.83341435185185186</v>
      </c>
      <c r="E3533" t="s">
        <v>26</v>
      </c>
      <c r="F3533" t="s">
        <v>175</v>
      </c>
      <c r="G3533" t="s">
        <v>172</v>
      </c>
      <c r="H3533" t="s">
        <v>130</v>
      </c>
      <c r="I3533">
        <v>335.09</v>
      </c>
      <c r="J3533" s="7">
        <v>0</v>
      </c>
      <c r="K3533" s="97">
        <f t="shared" si="212"/>
        <v>901.6</v>
      </c>
      <c r="L3533" s="34">
        <v>901.6</v>
      </c>
      <c r="M3533" s="10">
        <f t="shared" si="211"/>
        <v>37.16614906832298</v>
      </c>
    </row>
    <row r="3534" spans="1:13" ht="15.75" hidden="1" customHeight="1" x14ac:dyDescent="0.3">
      <c r="A3534" s="9">
        <v>1767</v>
      </c>
      <c r="B3534" t="s">
        <v>455</v>
      </c>
      <c r="C3534" s="25">
        <v>44623</v>
      </c>
      <c r="D3534" s="26">
        <v>0.77831018518518524</v>
      </c>
      <c r="E3534" t="s">
        <v>26</v>
      </c>
      <c r="F3534" t="s">
        <v>210</v>
      </c>
      <c r="G3534" t="s">
        <v>211</v>
      </c>
      <c r="H3534" t="s">
        <v>130</v>
      </c>
      <c r="I3534">
        <v>351.09</v>
      </c>
      <c r="J3534" s="34">
        <v>0</v>
      </c>
      <c r="K3534" s="97">
        <f t="shared" si="212"/>
        <v>827.79</v>
      </c>
      <c r="L3534" s="7">
        <v>827.79</v>
      </c>
      <c r="M3534" s="10">
        <f t="shared" si="211"/>
        <v>42.412930815786609</v>
      </c>
    </row>
    <row r="3535" spans="1:13" ht="15.75" hidden="1" customHeight="1" x14ac:dyDescent="0.3">
      <c r="A3535" s="9">
        <v>1768</v>
      </c>
      <c r="B3535" t="s">
        <v>455</v>
      </c>
      <c r="C3535" s="25">
        <v>44624</v>
      </c>
      <c r="D3535" s="26">
        <v>0.97394675925925922</v>
      </c>
      <c r="E3535" t="s">
        <v>26</v>
      </c>
      <c r="F3535" t="s">
        <v>210</v>
      </c>
      <c r="G3535" t="s">
        <v>211</v>
      </c>
      <c r="H3535" t="s">
        <v>130</v>
      </c>
      <c r="I3535">
        <v>427.2</v>
      </c>
      <c r="J3535" s="34">
        <v>0</v>
      </c>
      <c r="K3535" s="97">
        <f t="shared" si="212"/>
        <v>1057.1300000000001</v>
      </c>
      <c r="L3535" s="33">
        <v>1057.1300000000001</v>
      </c>
      <c r="M3535" s="10">
        <f t="shared" si="211"/>
        <v>40.411302299622562</v>
      </c>
    </row>
    <row r="3536" spans="1:13" ht="15.75" hidden="1" customHeight="1" x14ac:dyDescent="0.3">
      <c r="A3536" s="9">
        <v>1769</v>
      </c>
      <c r="B3536" t="s">
        <v>455</v>
      </c>
      <c r="C3536" s="25">
        <v>44626</v>
      </c>
      <c r="D3536" s="26">
        <v>7.3148148148148148E-3</v>
      </c>
      <c r="E3536" t="s">
        <v>26</v>
      </c>
      <c r="F3536" t="s">
        <v>175</v>
      </c>
      <c r="G3536" t="s">
        <v>172</v>
      </c>
      <c r="H3536" t="s">
        <v>130</v>
      </c>
      <c r="I3536">
        <v>345.71</v>
      </c>
      <c r="J3536" s="31">
        <v>0</v>
      </c>
      <c r="K3536" s="99">
        <f t="shared" si="212"/>
        <v>1020.83</v>
      </c>
      <c r="L3536" s="7">
        <v>1020.83</v>
      </c>
      <c r="M3536" s="36">
        <f t="shared" si="211"/>
        <v>33.865579969240713</v>
      </c>
    </row>
    <row r="3537" spans="1:13" ht="15.75" hidden="1" customHeight="1" x14ac:dyDescent="0.3">
      <c r="A3537" s="9">
        <v>1770</v>
      </c>
      <c r="B3537" t="s">
        <v>455</v>
      </c>
      <c r="C3537" s="25">
        <v>44626</v>
      </c>
      <c r="D3537" s="26">
        <v>0.7731365740740741</v>
      </c>
      <c r="E3537" t="s">
        <v>26</v>
      </c>
      <c r="F3537" t="s">
        <v>210</v>
      </c>
      <c r="G3537" t="s">
        <v>211</v>
      </c>
      <c r="H3537" t="s">
        <v>130</v>
      </c>
      <c r="I3537">
        <v>368</v>
      </c>
      <c r="J3537" s="7">
        <v>0</v>
      </c>
      <c r="K3537" s="90">
        <f t="shared" si="212"/>
        <v>697.65</v>
      </c>
      <c r="L3537" s="32">
        <v>697.65</v>
      </c>
      <c r="M3537" s="36">
        <f t="shared" si="211"/>
        <v>52.748512864616927</v>
      </c>
    </row>
    <row r="3538" spans="1:13" ht="15.75" hidden="1" customHeight="1" x14ac:dyDescent="0.3">
      <c r="A3538" s="9">
        <v>1771</v>
      </c>
      <c r="B3538" t="s">
        <v>455</v>
      </c>
      <c r="C3538" s="25">
        <v>44627</v>
      </c>
      <c r="D3538" s="26">
        <v>0.87913194444444442</v>
      </c>
      <c r="E3538" t="s">
        <v>26</v>
      </c>
      <c r="F3538" t="s">
        <v>210</v>
      </c>
      <c r="G3538" t="s">
        <v>211</v>
      </c>
      <c r="H3538" t="s">
        <v>130</v>
      </c>
      <c r="I3538">
        <v>410.2</v>
      </c>
      <c r="J3538" s="7">
        <v>0</v>
      </c>
      <c r="K3538" s="90">
        <f t="shared" si="212"/>
        <v>1059</v>
      </c>
      <c r="L3538" s="7">
        <v>1059</v>
      </c>
      <c r="M3538" s="36">
        <f t="shared" si="211"/>
        <v>38.734655335221909</v>
      </c>
    </row>
    <row r="3539" spans="1:13" ht="15.75" hidden="1" customHeight="1" x14ac:dyDescent="0.3">
      <c r="A3539" s="9">
        <v>1772</v>
      </c>
      <c r="B3539" t="s">
        <v>455</v>
      </c>
      <c r="C3539" s="25">
        <v>44629</v>
      </c>
      <c r="D3539" s="26">
        <v>0.83089120370370362</v>
      </c>
      <c r="E3539" t="s">
        <v>26</v>
      </c>
      <c r="F3539" t="s">
        <v>262</v>
      </c>
      <c r="G3539" t="s">
        <v>263</v>
      </c>
      <c r="H3539" t="s">
        <v>130</v>
      </c>
      <c r="I3539">
        <v>200</v>
      </c>
      <c r="J3539" s="7">
        <v>0</v>
      </c>
      <c r="K3539" s="90">
        <f t="shared" si="212"/>
        <v>935.1</v>
      </c>
      <c r="L3539" s="32">
        <v>935.1</v>
      </c>
      <c r="M3539" s="36">
        <f t="shared" si="211"/>
        <v>21.388086835632553</v>
      </c>
    </row>
    <row r="3540" spans="1:13" ht="15.75" hidden="1" customHeight="1" x14ac:dyDescent="0.3">
      <c r="A3540" s="9">
        <v>1773</v>
      </c>
      <c r="B3540" t="s">
        <v>455</v>
      </c>
      <c r="C3540" s="25">
        <v>44630</v>
      </c>
      <c r="D3540" s="26">
        <v>0.31957175925925924</v>
      </c>
      <c r="E3540" t="s">
        <v>26</v>
      </c>
      <c r="F3540" t="s">
        <v>169</v>
      </c>
      <c r="G3540" t="s">
        <v>196</v>
      </c>
      <c r="H3540" t="s">
        <v>130</v>
      </c>
      <c r="I3540">
        <v>254.55</v>
      </c>
      <c r="J3540" s="7">
        <v>0</v>
      </c>
      <c r="K3540" s="90">
        <f t="shared" si="212"/>
        <v>347.11</v>
      </c>
      <c r="L3540" s="7">
        <v>347.11</v>
      </c>
      <c r="M3540" s="36">
        <f t="shared" si="211"/>
        <v>73.334101581631188</v>
      </c>
    </row>
    <row r="3541" spans="1:13" ht="15.75" hidden="1" customHeight="1" x14ac:dyDescent="0.3">
      <c r="A3541" s="9">
        <v>1774</v>
      </c>
      <c r="B3541" t="s">
        <v>455</v>
      </c>
      <c r="C3541" s="25">
        <v>44631</v>
      </c>
      <c r="D3541" s="26">
        <v>0.41770833333333335</v>
      </c>
      <c r="E3541" t="s">
        <v>26</v>
      </c>
      <c r="F3541" t="s">
        <v>175</v>
      </c>
      <c r="G3541" t="s">
        <v>172</v>
      </c>
      <c r="H3541" t="s">
        <v>130</v>
      </c>
      <c r="I3541">
        <v>87.98</v>
      </c>
      <c r="J3541" s="34">
        <v>0</v>
      </c>
      <c r="K3541" s="90">
        <f t="shared" si="212"/>
        <v>448.31</v>
      </c>
      <c r="L3541" s="53">
        <v>448.31</v>
      </c>
      <c r="M3541" s="36">
        <f t="shared" si="211"/>
        <v>19.624813187303431</v>
      </c>
    </row>
    <row r="3542" spans="1:13" ht="15.75" hidden="1" customHeight="1" x14ac:dyDescent="0.3">
      <c r="A3542" s="9">
        <v>1775</v>
      </c>
      <c r="B3542" t="s">
        <v>455</v>
      </c>
      <c r="C3542" s="25">
        <v>44632</v>
      </c>
      <c r="D3542" s="26">
        <v>0.85287037037037028</v>
      </c>
      <c r="E3542" t="s">
        <v>26</v>
      </c>
      <c r="F3542" t="s">
        <v>210</v>
      </c>
      <c r="G3542" t="s">
        <v>211</v>
      </c>
      <c r="H3542" t="s">
        <v>130</v>
      </c>
      <c r="I3542">
        <v>467.96</v>
      </c>
      <c r="J3542" s="34">
        <v>0</v>
      </c>
      <c r="K3542" s="90">
        <f t="shared" si="212"/>
        <v>876.61</v>
      </c>
      <c r="L3542" s="11">
        <v>876.61</v>
      </c>
      <c r="M3542" s="36">
        <f t="shared" si="211"/>
        <v>53.382918287493865</v>
      </c>
    </row>
    <row r="3543" spans="1:13" ht="15.75" hidden="1" customHeight="1" x14ac:dyDescent="0.3">
      <c r="A3543" s="9">
        <v>1776</v>
      </c>
      <c r="B3543" t="s">
        <v>455</v>
      </c>
      <c r="C3543" s="25">
        <v>44633</v>
      </c>
      <c r="D3543" s="26">
        <v>0.7439930555555555</v>
      </c>
      <c r="E3543" t="s">
        <v>26</v>
      </c>
      <c r="F3543" t="s">
        <v>210</v>
      </c>
      <c r="G3543" t="s">
        <v>211</v>
      </c>
      <c r="H3543" t="s">
        <v>130</v>
      </c>
      <c r="I3543">
        <v>324.87</v>
      </c>
      <c r="J3543" s="34">
        <v>0</v>
      </c>
      <c r="K3543" s="90">
        <f t="shared" si="212"/>
        <v>873.4</v>
      </c>
      <c r="L3543" s="53">
        <v>873.4</v>
      </c>
      <c r="M3543" s="36">
        <f t="shared" si="211"/>
        <v>37.196015571330435</v>
      </c>
    </row>
    <row r="3544" spans="1:13" ht="15.75" hidden="1" customHeight="1" x14ac:dyDescent="0.3">
      <c r="A3544" s="9">
        <v>1777</v>
      </c>
      <c r="B3544" t="s">
        <v>455</v>
      </c>
      <c r="C3544" s="25">
        <v>44635</v>
      </c>
      <c r="D3544" s="26">
        <v>0.68803240740740745</v>
      </c>
      <c r="E3544" t="s">
        <v>26</v>
      </c>
      <c r="F3544" t="s">
        <v>171</v>
      </c>
      <c r="G3544" t="s">
        <v>172</v>
      </c>
      <c r="H3544" t="s">
        <v>130</v>
      </c>
      <c r="I3544">
        <v>390.75</v>
      </c>
      <c r="J3544" s="34">
        <v>0</v>
      </c>
      <c r="K3544" s="90">
        <f t="shared" si="212"/>
        <v>1183.0999999999999</v>
      </c>
      <c r="L3544" s="7">
        <v>1183.0999999999999</v>
      </c>
      <c r="M3544" s="36">
        <f t="shared" si="211"/>
        <v>33.027639252810417</v>
      </c>
    </row>
    <row r="3545" spans="1:13" ht="15.75" hidden="1" customHeight="1" x14ac:dyDescent="0.3">
      <c r="A3545" s="9">
        <v>1778</v>
      </c>
      <c r="B3545" t="s">
        <v>455</v>
      </c>
      <c r="C3545" s="25">
        <v>44636</v>
      </c>
      <c r="D3545" s="26">
        <v>0.79115740740740748</v>
      </c>
      <c r="E3545" t="s">
        <v>26</v>
      </c>
      <c r="F3545" t="s">
        <v>210</v>
      </c>
      <c r="G3545" t="s">
        <v>211</v>
      </c>
      <c r="H3545" t="s">
        <v>130</v>
      </c>
      <c r="I3545">
        <v>400.02</v>
      </c>
      <c r="J3545" s="34">
        <v>0</v>
      </c>
      <c r="K3545" s="90">
        <f t="shared" si="212"/>
        <v>706.78</v>
      </c>
      <c r="L3545" s="32">
        <v>706.78</v>
      </c>
      <c r="M3545" s="36">
        <f t="shared" si="211"/>
        <v>56.597526811737744</v>
      </c>
    </row>
    <row r="3546" spans="1:13" ht="15.75" hidden="1" customHeight="1" x14ac:dyDescent="0.3">
      <c r="A3546" s="9">
        <v>1779</v>
      </c>
      <c r="B3546" t="s">
        <v>455</v>
      </c>
      <c r="C3546" s="25">
        <v>44637</v>
      </c>
      <c r="D3546" s="26">
        <v>0.86449074074074073</v>
      </c>
      <c r="E3546" t="s">
        <v>26</v>
      </c>
      <c r="F3546" t="s">
        <v>210</v>
      </c>
      <c r="G3546" t="s">
        <v>211</v>
      </c>
      <c r="H3546" t="s">
        <v>130</v>
      </c>
      <c r="I3546">
        <v>405.28</v>
      </c>
      <c r="J3546" s="7">
        <v>0</v>
      </c>
      <c r="K3546" s="97">
        <f t="shared" si="212"/>
        <v>1057.81</v>
      </c>
      <c r="L3546" s="34">
        <v>1057.81</v>
      </c>
      <c r="M3546" s="10">
        <f t="shared" si="211"/>
        <v>38.313118612983423</v>
      </c>
    </row>
    <row r="3547" spans="1:13" ht="15.75" hidden="1" customHeight="1" x14ac:dyDescent="0.3">
      <c r="A3547" s="9">
        <v>1780</v>
      </c>
      <c r="B3547" t="s">
        <v>455</v>
      </c>
      <c r="C3547" s="25">
        <v>44639</v>
      </c>
      <c r="D3547" s="26">
        <v>0.7465046296296296</v>
      </c>
      <c r="E3547" t="s">
        <v>26</v>
      </c>
      <c r="F3547" t="s">
        <v>492</v>
      </c>
      <c r="G3547" t="s">
        <v>44</v>
      </c>
      <c r="H3547" t="s">
        <v>130</v>
      </c>
      <c r="I3547">
        <v>488.94</v>
      </c>
      <c r="J3547" s="7">
        <v>0</v>
      </c>
      <c r="K3547" s="97">
        <f t="shared" si="212"/>
        <v>1163.6099999999999</v>
      </c>
      <c r="L3547" s="37">
        <v>1163.6099999999999</v>
      </c>
      <c r="M3547" s="10">
        <f t="shared" si="211"/>
        <v>42.019233248253286</v>
      </c>
    </row>
    <row r="3548" spans="1:13" ht="15.75" hidden="1" customHeight="1" x14ac:dyDescent="0.3">
      <c r="A3548" s="9">
        <v>1781</v>
      </c>
      <c r="B3548" t="s">
        <v>455</v>
      </c>
      <c r="C3548" s="25">
        <v>44640</v>
      </c>
      <c r="D3548" s="26">
        <v>0.38186342592592593</v>
      </c>
      <c r="E3548" t="s">
        <v>26</v>
      </c>
      <c r="F3548" t="s">
        <v>166</v>
      </c>
      <c r="G3548" t="s">
        <v>161</v>
      </c>
      <c r="H3548" t="s">
        <v>130</v>
      </c>
      <c r="I3548">
        <v>252.34</v>
      </c>
      <c r="J3548" s="7">
        <v>0</v>
      </c>
      <c r="K3548" s="90">
        <f t="shared" si="212"/>
        <v>546.5</v>
      </c>
      <c r="L3548" s="7">
        <v>546.5</v>
      </c>
      <c r="M3548" s="10">
        <f t="shared" si="211"/>
        <v>46.173833485818847</v>
      </c>
    </row>
    <row r="3549" spans="1:13" ht="15.75" hidden="1" customHeight="1" x14ac:dyDescent="0.3">
      <c r="A3549" s="9">
        <v>1782</v>
      </c>
      <c r="B3549" t="s">
        <v>455</v>
      </c>
      <c r="C3549" s="25">
        <v>44641</v>
      </c>
      <c r="D3549" s="26">
        <v>0.55690972222222224</v>
      </c>
      <c r="E3549" t="s">
        <v>26</v>
      </c>
      <c r="F3549" t="s">
        <v>278</v>
      </c>
      <c r="G3549" t="s">
        <v>279</v>
      </c>
      <c r="H3549" t="s">
        <v>130</v>
      </c>
      <c r="I3549">
        <v>319.69</v>
      </c>
      <c r="J3549" s="34">
        <v>0</v>
      </c>
      <c r="K3549" s="100">
        <f t="shared" si="212"/>
        <v>661.72</v>
      </c>
      <c r="L3549" s="32">
        <v>661.72</v>
      </c>
      <c r="M3549" s="10">
        <f t="shared" si="211"/>
        <v>48.311974853412316</v>
      </c>
    </row>
    <row r="3550" spans="1:13" ht="15.75" hidden="1" customHeight="1" x14ac:dyDescent="0.3">
      <c r="A3550" s="9">
        <v>1783</v>
      </c>
      <c r="B3550" t="s">
        <v>455</v>
      </c>
      <c r="C3550" s="25">
        <v>44642</v>
      </c>
      <c r="D3550" s="26">
        <v>0.73851851851851846</v>
      </c>
      <c r="E3550" t="s">
        <v>26</v>
      </c>
      <c r="F3550" t="s">
        <v>202</v>
      </c>
      <c r="G3550" t="s">
        <v>203</v>
      </c>
      <c r="H3550" t="s">
        <v>130</v>
      </c>
      <c r="I3550">
        <v>310.42</v>
      </c>
      <c r="J3550" s="39">
        <v>0</v>
      </c>
      <c r="K3550" s="90">
        <f t="shared" si="212"/>
        <v>874.77</v>
      </c>
      <c r="L3550" s="11">
        <v>874.77</v>
      </c>
      <c r="M3550" s="10">
        <f t="shared" si="211"/>
        <v>35.485899150633884</v>
      </c>
    </row>
    <row r="3551" spans="1:13" ht="15.75" hidden="1" customHeight="1" x14ac:dyDescent="0.3">
      <c r="A3551" s="9">
        <v>1784</v>
      </c>
      <c r="B3551" t="s">
        <v>455</v>
      </c>
      <c r="C3551" s="25">
        <v>44643</v>
      </c>
      <c r="D3551" s="26">
        <v>0.92748842592592595</v>
      </c>
      <c r="E3551" t="s">
        <v>26</v>
      </c>
      <c r="F3551" t="s">
        <v>210</v>
      </c>
      <c r="G3551" t="s">
        <v>211</v>
      </c>
      <c r="H3551" t="s">
        <v>130</v>
      </c>
      <c r="I3551">
        <v>411.78</v>
      </c>
      <c r="J3551" s="76">
        <v>0</v>
      </c>
      <c r="K3551" s="90">
        <f t="shared" si="212"/>
        <v>1084.74</v>
      </c>
      <c r="L3551" s="67">
        <v>1084.74</v>
      </c>
      <c r="M3551" s="10">
        <f t="shared" si="211"/>
        <v>37.961170418717849</v>
      </c>
    </row>
    <row r="3552" spans="1:13" ht="15.75" hidden="1" customHeight="1" x14ac:dyDescent="0.3">
      <c r="A3552" s="9">
        <v>1785</v>
      </c>
      <c r="B3552" t="s">
        <v>455</v>
      </c>
      <c r="C3552" s="25">
        <v>44645</v>
      </c>
      <c r="D3552" s="26">
        <v>0.91501157407407396</v>
      </c>
      <c r="E3552" t="s">
        <v>26</v>
      </c>
      <c r="F3552" t="s">
        <v>171</v>
      </c>
      <c r="G3552" t="s">
        <v>172</v>
      </c>
      <c r="H3552" t="s">
        <v>130</v>
      </c>
      <c r="I3552">
        <v>518.23</v>
      </c>
      <c r="J3552" s="39">
        <v>0</v>
      </c>
      <c r="K3552" s="90">
        <f t="shared" si="212"/>
        <v>1072.52</v>
      </c>
      <c r="L3552" s="11">
        <v>1072.52</v>
      </c>
      <c r="M3552" s="10">
        <f t="shared" si="211"/>
        <v>48.318912467832767</v>
      </c>
    </row>
    <row r="3553" spans="1:13" ht="15.75" hidden="1" customHeight="1" x14ac:dyDescent="0.3">
      <c r="A3553" s="9">
        <v>1786</v>
      </c>
      <c r="B3553" t="s">
        <v>455</v>
      </c>
      <c r="C3553" s="25">
        <v>44647</v>
      </c>
      <c r="D3553" s="26">
        <v>0.53149305555555559</v>
      </c>
      <c r="E3553" t="s">
        <v>26</v>
      </c>
      <c r="F3553" t="s">
        <v>210</v>
      </c>
      <c r="G3553" t="s">
        <v>211</v>
      </c>
      <c r="H3553" t="s">
        <v>130</v>
      </c>
      <c r="I3553">
        <v>515.61</v>
      </c>
      <c r="J3553" s="40">
        <v>0</v>
      </c>
      <c r="K3553" s="90">
        <f t="shared" si="212"/>
        <v>1139.54</v>
      </c>
      <c r="L3553" s="53">
        <v>1139.54</v>
      </c>
      <c r="M3553" s="10">
        <f t="shared" si="211"/>
        <v>45.247205012548925</v>
      </c>
    </row>
    <row r="3554" spans="1:13" ht="15.75" hidden="1" customHeight="1" x14ac:dyDescent="0.3">
      <c r="A3554" s="9">
        <v>1787</v>
      </c>
      <c r="B3554" t="s">
        <v>455</v>
      </c>
      <c r="C3554" s="25">
        <v>44648</v>
      </c>
      <c r="D3554" s="26">
        <v>0.83591435185185192</v>
      </c>
      <c r="E3554" t="s">
        <v>26</v>
      </c>
      <c r="F3554" t="s">
        <v>210</v>
      </c>
      <c r="G3554" t="s">
        <v>211</v>
      </c>
      <c r="H3554" t="s">
        <v>130</v>
      </c>
      <c r="I3554">
        <v>409.36</v>
      </c>
      <c r="J3554" s="7">
        <v>0</v>
      </c>
      <c r="K3554" s="90">
        <f t="shared" si="212"/>
        <v>898.45</v>
      </c>
      <c r="L3554" s="30">
        <v>898.45</v>
      </c>
      <c r="M3554" s="10">
        <f t="shared" si="211"/>
        <v>45.562913907284766</v>
      </c>
    </row>
    <row r="3555" spans="1:13" ht="15.75" hidden="1" customHeight="1" x14ac:dyDescent="0.3">
      <c r="A3555" s="9">
        <v>1788</v>
      </c>
      <c r="B3555" t="s">
        <v>455</v>
      </c>
      <c r="C3555" s="25">
        <v>44649</v>
      </c>
      <c r="D3555" s="26">
        <v>0.76462962962962966</v>
      </c>
      <c r="E3555" t="s">
        <v>26</v>
      </c>
      <c r="F3555" t="s">
        <v>428</v>
      </c>
      <c r="G3555" t="s">
        <v>429</v>
      </c>
      <c r="H3555" t="s">
        <v>130</v>
      </c>
      <c r="I3555">
        <f>201.69+150.25</f>
        <v>351.94</v>
      </c>
      <c r="J3555" s="7">
        <v>0</v>
      </c>
      <c r="K3555" s="90">
        <f t="shared" si="212"/>
        <v>914.84</v>
      </c>
      <c r="L3555" s="52">
        <v>914.84</v>
      </c>
      <c r="M3555" s="10">
        <f t="shared" ref="M3555:M3586" si="213">I3555/K3555*100</f>
        <v>38.470114992785618</v>
      </c>
    </row>
    <row r="3556" spans="1:13" ht="15.75" hidden="1" customHeight="1" x14ac:dyDescent="0.3">
      <c r="A3556" s="9">
        <v>1789</v>
      </c>
      <c r="B3556" t="s">
        <v>455</v>
      </c>
      <c r="C3556" s="25">
        <v>44651</v>
      </c>
      <c r="D3556" s="26">
        <v>0.59392361111111114</v>
      </c>
      <c r="E3556" t="s">
        <v>26</v>
      </c>
      <c r="F3556" t="s">
        <v>210</v>
      </c>
      <c r="G3556" t="s">
        <v>211</v>
      </c>
      <c r="H3556" t="s">
        <v>130</v>
      </c>
      <c r="I3556">
        <v>439.48</v>
      </c>
      <c r="J3556" s="7">
        <v>0</v>
      </c>
      <c r="K3556" s="90">
        <f t="shared" ref="K3556:K3578" si="214">+L3556-J3556</f>
        <v>773.69</v>
      </c>
      <c r="L3556" s="53">
        <v>773.69</v>
      </c>
      <c r="M3556" s="10">
        <f t="shared" si="213"/>
        <v>56.803112357662634</v>
      </c>
    </row>
    <row r="3557" spans="1:13" ht="15.75" hidden="1" customHeight="1" x14ac:dyDescent="0.3">
      <c r="A3557" s="9">
        <v>3031</v>
      </c>
      <c r="B3557" t="s">
        <v>455</v>
      </c>
      <c r="C3557" s="25">
        <v>44653</v>
      </c>
      <c r="D3557" s="26">
        <v>0.47165509259259258</v>
      </c>
      <c r="E3557" t="s">
        <v>27</v>
      </c>
      <c r="F3557" t="s">
        <v>210</v>
      </c>
      <c r="G3557" t="s">
        <v>211</v>
      </c>
      <c r="H3557" t="s">
        <v>130</v>
      </c>
      <c r="I3557" s="4">
        <v>501.21</v>
      </c>
      <c r="J3557" s="7">
        <v>0</v>
      </c>
      <c r="K3557" s="90">
        <f t="shared" si="214"/>
        <v>1108.2</v>
      </c>
      <c r="L3557" s="53">
        <v>1108.2</v>
      </c>
      <c r="M3557" s="10">
        <f t="shared" si="213"/>
        <v>45.227395776935566</v>
      </c>
    </row>
    <row r="3558" spans="1:13" ht="15.75" hidden="1" customHeight="1" x14ac:dyDescent="0.3">
      <c r="A3558" s="9">
        <v>3032</v>
      </c>
      <c r="B3558" t="s">
        <v>455</v>
      </c>
      <c r="C3558" s="25">
        <v>44656</v>
      </c>
      <c r="D3558" s="26">
        <v>0.41601851851851851</v>
      </c>
      <c r="E3558" t="s">
        <v>27</v>
      </c>
      <c r="F3558" t="s">
        <v>197</v>
      </c>
      <c r="G3558" t="s">
        <v>44</v>
      </c>
      <c r="H3558" t="s">
        <v>130</v>
      </c>
      <c r="I3558" s="4">
        <v>200.1</v>
      </c>
      <c r="J3558" s="7">
        <v>0</v>
      </c>
      <c r="K3558" s="90">
        <f t="shared" si="214"/>
        <v>1248.3499999999999</v>
      </c>
      <c r="L3558" s="53">
        <v>1248.3499999999999</v>
      </c>
      <c r="M3558" s="10">
        <f t="shared" si="213"/>
        <v>16.029158489205752</v>
      </c>
    </row>
    <row r="3559" spans="1:13" ht="15.75" hidden="1" customHeight="1" x14ac:dyDescent="0.3">
      <c r="A3559" s="9">
        <v>3033</v>
      </c>
      <c r="B3559" t="s">
        <v>455</v>
      </c>
      <c r="C3559" s="25">
        <v>44656</v>
      </c>
      <c r="D3559" s="26">
        <v>0.53847222222222224</v>
      </c>
      <c r="E3559" t="s">
        <v>27</v>
      </c>
      <c r="F3559" t="s">
        <v>311</v>
      </c>
      <c r="G3559" t="s">
        <v>303</v>
      </c>
      <c r="H3559" t="s">
        <v>130</v>
      </c>
      <c r="I3559" s="4">
        <v>353.36</v>
      </c>
      <c r="J3559" s="7">
        <v>0</v>
      </c>
      <c r="K3559" s="90">
        <f t="shared" si="214"/>
        <v>155.49</v>
      </c>
      <c r="L3559" s="67">
        <v>155.49</v>
      </c>
      <c r="M3559" s="10">
        <f t="shared" si="213"/>
        <v>227.25577207537461</v>
      </c>
    </row>
    <row r="3560" spans="1:13" ht="15.75" hidden="1" customHeight="1" x14ac:dyDescent="0.3">
      <c r="A3560" s="9">
        <v>3034</v>
      </c>
      <c r="B3560" t="s">
        <v>455</v>
      </c>
      <c r="C3560" s="25">
        <v>44656</v>
      </c>
      <c r="D3560" s="26">
        <v>0.89497685185185183</v>
      </c>
      <c r="E3560" t="s">
        <v>27</v>
      </c>
      <c r="F3560" t="s">
        <v>210</v>
      </c>
      <c r="G3560" t="s">
        <v>211</v>
      </c>
      <c r="H3560" t="s">
        <v>130</v>
      </c>
      <c r="I3560" s="4">
        <v>197.67</v>
      </c>
      <c r="J3560" s="7">
        <v>0</v>
      </c>
      <c r="K3560" s="90">
        <f t="shared" si="214"/>
        <v>450.43</v>
      </c>
      <c r="L3560" s="53">
        <v>450.43</v>
      </c>
      <c r="M3560" s="10">
        <f t="shared" si="213"/>
        <v>43.884732366849448</v>
      </c>
    </row>
    <row r="3561" spans="1:13" ht="15.75" hidden="1" customHeight="1" x14ac:dyDescent="0.3">
      <c r="A3561" s="9">
        <v>3035</v>
      </c>
      <c r="B3561" t="s">
        <v>455</v>
      </c>
      <c r="C3561" s="25">
        <v>44657</v>
      </c>
      <c r="D3561" s="26">
        <v>0.58371527777777776</v>
      </c>
      <c r="E3561" t="s">
        <v>27</v>
      </c>
      <c r="F3561" t="s">
        <v>165</v>
      </c>
      <c r="G3561" t="s">
        <v>185</v>
      </c>
      <c r="H3561" t="s">
        <v>130</v>
      </c>
      <c r="I3561" s="4">
        <v>243.71</v>
      </c>
      <c r="J3561" s="7">
        <v>0</v>
      </c>
      <c r="K3561" s="90">
        <f t="shared" si="214"/>
        <v>545.15</v>
      </c>
      <c r="L3561" s="67">
        <v>545.15</v>
      </c>
      <c r="M3561" s="10">
        <f t="shared" si="213"/>
        <v>44.705127029258009</v>
      </c>
    </row>
    <row r="3562" spans="1:13" ht="15.75" hidden="1" customHeight="1" x14ac:dyDescent="0.3">
      <c r="A3562" s="9">
        <v>3036</v>
      </c>
      <c r="B3562" t="s">
        <v>455</v>
      </c>
      <c r="C3562" s="25">
        <v>44657</v>
      </c>
      <c r="D3562" s="26">
        <v>0.9642708333333333</v>
      </c>
      <c r="E3562" t="s">
        <v>27</v>
      </c>
      <c r="F3562" t="s">
        <v>210</v>
      </c>
      <c r="G3562" t="s">
        <v>211</v>
      </c>
      <c r="H3562" t="s">
        <v>130</v>
      </c>
      <c r="I3562" s="4">
        <v>139.72999999999999</v>
      </c>
      <c r="J3562" s="40">
        <v>0</v>
      </c>
      <c r="K3562" s="97">
        <f t="shared" si="214"/>
        <v>512.34</v>
      </c>
      <c r="L3562" s="53">
        <v>512.34</v>
      </c>
      <c r="M3562" s="10">
        <f t="shared" si="213"/>
        <v>27.272904711714872</v>
      </c>
    </row>
    <row r="3563" spans="1:13" ht="15.75" hidden="1" customHeight="1" x14ac:dyDescent="0.3">
      <c r="A3563" s="9">
        <v>3037</v>
      </c>
      <c r="B3563" t="s">
        <v>455</v>
      </c>
      <c r="C3563" s="25">
        <v>44659</v>
      </c>
      <c r="D3563" s="26">
        <v>0.40471064814814817</v>
      </c>
      <c r="E3563" t="s">
        <v>27</v>
      </c>
      <c r="F3563" t="s">
        <v>428</v>
      </c>
      <c r="G3563" t="s">
        <v>429</v>
      </c>
      <c r="H3563" t="s">
        <v>130</v>
      </c>
      <c r="I3563" s="4">
        <v>100.02</v>
      </c>
      <c r="J3563" s="39">
        <v>0</v>
      </c>
      <c r="K3563" s="90">
        <f t="shared" si="214"/>
        <v>912.7</v>
      </c>
      <c r="L3563" s="53">
        <v>912.7</v>
      </c>
      <c r="M3563" s="10">
        <f t="shared" si="213"/>
        <v>10.958693984880025</v>
      </c>
    </row>
    <row r="3564" spans="1:13" ht="15.75" hidden="1" customHeight="1" x14ac:dyDescent="0.3">
      <c r="A3564" s="9">
        <v>3038</v>
      </c>
      <c r="B3564" t="s">
        <v>455</v>
      </c>
      <c r="C3564" s="25">
        <v>44659</v>
      </c>
      <c r="D3564" s="26">
        <v>0.54590277777777774</v>
      </c>
      <c r="E3564" t="s">
        <v>27</v>
      </c>
      <c r="F3564" t="s">
        <v>175</v>
      </c>
      <c r="G3564" t="s">
        <v>172</v>
      </c>
      <c r="H3564" t="s">
        <v>130</v>
      </c>
      <c r="I3564" s="4">
        <v>276.2</v>
      </c>
      <c r="J3564" s="39">
        <v>0</v>
      </c>
      <c r="K3564" s="90">
        <f t="shared" si="214"/>
        <v>142.63999999999999</v>
      </c>
      <c r="L3564" s="67">
        <v>142.63999999999999</v>
      </c>
      <c r="M3564" s="10">
        <f t="shared" si="213"/>
        <v>193.63432417274257</v>
      </c>
    </row>
    <row r="3565" spans="1:13" ht="15.75" hidden="1" customHeight="1" x14ac:dyDescent="0.3">
      <c r="A3565" s="9">
        <v>3039</v>
      </c>
      <c r="B3565" t="s">
        <v>455</v>
      </c>
      <c r="C3565" s="25">
        <v>44660</v>
      </c>
      <c r="D3565" s="26">
        <v>0.85862268518518514</v>
      </c>
      <c r="E3565" t="s">
        <v>27</v>
      </c>
      <c r="F3565" t="s">
        <v>210</v>
      </c>
      <c r="G3565" t="s">
        <v>211</v>
      </c>
      <c r="H3565" t="s">
        <v>130</v>
      </c>
      <c r="I3565" s="4">
        <v>325.16000000000003</v>
      </c>
      <c r="J3565" s="40">
        <v>0</v>
      </c>
      <c r="K3565" s="90">
        <f t="shared" si="214"/>
        <v>836.27</v>
      </c>
      <c r="L3565" s="52">
        <v>836.27</v>
      </c>
      <c r="M3565" s="10">
        <f t="shared" si="213"/>
        <v>38.882179200497454</v>
      </c>
    </row>
    <row r="3566" spans="1:13" ht="15.75" hidden="1" customHeight="1" x14ac:dyDescent="0.3">
      <c r="A3566" s="9">
        <v>3040</v>
      </c>
      <c r="B3566" t="s">
        <v>455</v>
      </c>
      <c r="C3566" s="25">
        <v>44661</v>
      </c>
      <c r="D3566" s="26">
        <v>0.87229166666666658</v>
      </c>
      <c r="E3566" t="s">
        <v>27</v>
      </c>
      <c r="F3566" t="s">
        <v>210</v>
      </c>
      <c r="G3566" t="s">
        <v>211</v>
      </c>
      <c r="H3566" t="s">
        <v>130</v>
      </c>
      <c r="I3566" s="4">
        <v>407.11</v>
      </c>
      <c r="J3566" s="39">
        <v>0</v>
      </c>
      <c r="K3566" s="90">
        <f t="shared" si="214"/>
        <v>1057.28</v>
      </c>
      <c r="L3566" s="55">
        <v>1057.28</v>
      </c>
      <c r="M3566" s="10">
        <f t="shared" si="213"/>
        <v>38.505410108958834</v>
      </c>
    </row>
    <row r="3567" spans="1:13" ht="15.75" hidden="1" customHeight="1" x14ac:dyDescent="0.3">
      <c r="A3567" s="9">
        <v>3041</v>
      </c>
      <c r="B3567" t="s">
        <v>455</v>
      </c>
      <c r="C3567" s="25">
        <v>44663</v>
      </c>
      <c r="D3567" s="26">
        <v>0.44616898148148149</v>
      </c>
      <c r="E3567" t="s">
        <v>27</v>
      </c>
      <c r="F3567" t="s">
        <v>175</v>
      </c>
      <c r="G3567" t="s">
        <v>172</v>
      </c>
      <c r="H3567" t="s">
        <v>130</v>
      </c>
      <c r="I3567" s="4">
        <v>331.06</v>
      </c>
      <c r="J3567" s="40">
        <v>0</v>
      </c>
      <c r="K3567" s="90">
        <f t="shared" si="214"/>
        <v>932.69</v>
      </c>
      <c r="L3567" s="55">
        <v>932.69</v>
      </c>
      <c r="M3567" s="10">
        <f t="shared" si="213"/>
        <v>35.495180606632424</v>
      </c>
    </row>
    <row r="3568" spans="1:13" ht="15.75" hidden="1" customHeight="1" x14ac:dyDescent="0.3">
      <c r="A3568" s="9">
        <v>3042</v>
      </c>
      <c r="B3568" t="s">
        <v>455</v>
      </c>
      <c r="C3568" s="25">
        <v>44664</v>
      </c>
      <c r="D3568" s="26">
        <v>0.78613425925925917</v>
      </c>
      <c r="E3568" t="s">
        <v>27</v>
      </c>
      <c r="F3568" t="s">
        <v>210</v>
      </c>
      <c r="G3568" t="s">
        <v>211</v>
      </c>
      <c r="H3568" t="s">
        <v>130</v>
      </c>
      <c r="I3568" s="4">
        <v>344.59</v>
      </c>
      <c r="J3568" s="40">
        <v>0</v>
      </c>
      <c r="K3568" s="90">
        <f t="shared" si="214"/>
        <v>817.17</v>
      </c>
      <c r="L3568" s="53">
        <v>817.17</v>
      </c>
      <c r="M3568" s="10">
        <f t="shared" si="213"/>
        <v>42.168704186399403</v>
      </c>
    </row>
    <row r="3569" spans="1:13" ht="15.75" hidden="1" customHeight="1" x14ac:dyDescent="0.3">
      <c r="A3569" s="9">
        <v>3043</v>
      </c>
      <c r="B3569" t="s">
        <v>455</v>
      </c>
      <c r="C3569" s="25">
        <v>44665</v>
      </c>
      <c r="D3569" s="26">
        <v>0.9946990740740741</v>
      </c>
      <c r="E3569" t="s">
        <v>27</v>
      </c>
      <c r="F3569" t="s">
        <v>210</v>
      </c>
      <c r="G3569" t="s">
        <v>211</v>
      </c>
      <c r="H3569" t="s">
        <v>130</v>
      </c>
      <c r="I3569" s="4">
        <v>477.98</v>
      </c>
      <c r="J3569" s="40">
        <v>0</v>
      </c>
      <c r="K3569" s="90">
        <f t="shared" si="214"/>
        <v>1108.6099999999999</v>
      </c>
      <c r="L3569" s="53">
        <v>1108.6099999999999</v>
      </c>
      <c r="M3569" s="10">
        <f t="shared" si="213"/>
        <v>43.115252433227205</v>
      </c>
    </row>
    <row r="3570" spans="1:13" ht="15.75" hidden="1" customHeight="1" x14ac:dyDescent="0.3">
      <c r="A3570" s="9">
        <v>3044</v>
      </c>
      <c r="B3570" t="s">
        <v>455</v>
      </c>
      <c r="C3570" s="25">
        <v>44669</v>
      </c>
      <c r="D3570" s="26">
        <v>0.5143402777777778</v>
      </c>
      <c r="E3570" t="s">
        <v>27</v>
      </c>
      <c r="F3570" t="s">
        <v>175</v>
      </c>
      <c r="G3570" t="s">
        <v>172</v>
      </c>
      <c r="H3570" t="s">
        <v>130</v>
      </c>
      <c r="I3570" s="4">
        <v>332.75</v>
      </c>
      <c r="J3570" s="40">
        <v>0</v>
      </c>
      <c r="K3570" s="89">
        <f t="shared" si="214"/>
        <v>909</v>
      </c>
      <c r="L3570" s="52">
        <v>909</v>
      </c>
      <c r="M3570" s="10">
        <f t="shared" si="213"/>
        <v>36.606160616061608</v>
      </c>
    </row>
    <row r="3571" spans="1:13" ht="15.75" hidden="1" customHeight="1" x14ac:dyDescent="0.3">
      <c r="A3571" s="9">
        <v>3045</v>
      </c>
      <c r="B3571" t="s">
        <v>455</v>
      </c>
      <c r="C3571" s="25">
        <v>44670</v>
      </c>
      <c r="D3571" s="26">
        <v>0.55101851851851846</v>
      </c>
      <c r="E3571" t="s">
        <v>27</v>
      </c>
      <c r="F3571" t="s">
        <v>210</v>
      </c>
      <c r="G3571" t="s">
        <v>211</v>
      </c>
      <c r="H3571" t="s">
        <v>130</v>
      </c>
      <c r="I3571" s="4">
        <v>360.17</v>
      </c>
      <c r="J3571" s="40">
        <v>0</v>
      </c>
      <c r="K3571" s="89">
        <f t="shared" si="214"/>
        <v>850</v>
      </c>
      <c r="L3571" s="32">
        <v>850</v>
      </c>
      <c r="M3571" s="10">
        <f t="shared" si="213"/>
        <v>42.37294117647059</v>
      </c>
    </row>
    <row r="3572" spans="1:13" ht="15.75" hidden="1" customHeight="1" x14ac:dyDescent="0.3">
      <c r="A3572" s="9">
        <v>3046</v>
      </c>
      <c r="B3572" t="s">
        <v>455</v>
      </c>
      <c r="C3572" s="25">
        <v>44673</v>
      </c>
      <c r="D3572" s="26"/>
      <c r="E3572" t="s">
        <v>27</v>
      </c>
      <c r="F3572" t="s">
        <v>210</v>
      </c>
      <c r="G3572" t="s">
        <v>211</v>
      </c>
      <c r="H3572" t="s">
        <v>130</v>
      </c>
      <c r="I3572" s="4">
        <v>337.23</v>
      </c>
      <c r="J3572" s="40">
        <v>0</v>
      </c>
      <c r="K3572" s="89">
        <f t="shared" si="214"/>
        <v>836</v>
      </c>
      <c r="L3572" s="7">
        <v>836</v>
      </c>
      <c r="M3572" s="10">
        <f t="shared" si="213"/>
        <v>40.338516746411486</v>
      </c>
    </row>
    <row r="3573" spans="1:13" ht="15.75" hidden="1" customHeight="1" x14ac:dyDescent="0.3">
      <c r="A3573" s="9">
        <v>3047</v>
      </c>
      <c r="B3573" t="s">
        <v>455</v>
      </c>
      <c r="C3573" s="25">
        <v>44675</v>
      </c>
      <c r="D3573" s="26">
        <v>0.75148148148148142</v>
      </c>
      <c r="E3573" t="s">
        <v>27</v>
      </c>
      <c r="F3573" t="s">
        <v>210</v>
      </c>
      <c r="G3573" t="s">
        <v>211</v>
      </c>
      <c r="H3573" t="s">
        <v>130</v>
      </c>
      <c r="I3573" s="4">
        <v>384.51</v>
      </c>
      <c r="J3573" s="40">
        <v>0</v>
      </c>
      <c r="K3573" s="89">
        <f t="shared" si="214"/>
        <v>1120.24</v>
      </c>
      <c r="L3573" s="32">
        <v>1120.24</v>
      </c>
      <c r="M3573" s="10">
        <f t="shared" si="213"/>
        <v>34.323894879668643</v>
      </c>
    </row>
    <row r="3574" spans="1:13" ht="15.75" hidden="1" customHeight="1" x14ac:dyDescent="0.3">
      <c r="A3574" s="9">
        <v>3048</v>
      </c>
      <c r="B3574" t="s">
        <v>455</v>
      </c>
      <c r="C3574" s="25">
        <v>44677</v>
      </c>
      <c r="D3574" s="26">
        <v>0.3454976851851852</v>
      </c>
      <c r="E3574" t="s">
        <v>27</v>
      </c>
      <c r="F3574" t="s">
        <v>428</v>
      </c>
      <c r="G3574" t="s">
        <v>429</v>
      </c>
      <c r="H3574" t="s">
        <v>130</v>
      </c>
      <c r="I3574">
        <v>150.22</v>
      </c>
      <c r="J3574" s="39">
        <v>0</v>
      </c>
      <c r="K3574" s="89">
        <f t="shared" si="214"/>
        <v>331</v>
      </c>
      <c r="L3574" s="31">
        <v>331</v>
      </c>
      <c r="M3574" s="10">
        <f t="shared" si="213"/>
        <v>45.383685800604226</v>
      </c>
    </row>
    <row r="3575" spans="1:13" ht="15.75" hidden="1" customHeight="1" x14ac:dyDescent="0.3">
      <c r="A3575" s="9">
        <v>3826</v>
      </c>
      <c r="B3575" t="s">
        <v>455</v>
      </c>
      <c r="C3575" s="25">
        <v>44685</v>
      </c>
      <c r="D3575" s="26">
        <v>0.88296296296296306</v>
      </c>
      <c r="E3575" t="s">
        <v>28</v>
      </c>
      <c r="F3575" t="s">
        <v>197</v>
      </c>
      <c r="G3575" t="s">
        <v>44</v>
      </c>
      <c r="H3575" t="s">
        <v>130</v>
      </c>
      <c r="I3575">
        <v>150</v>
      </c>
      <c r="J3575" s="7">
        <v>0</v>
      </c>
      <c r="K3575" s="89">
        <f t="shared" si="214"/>
        <v>460</v>
      </c>
      <c r="L3575" s="32">
        <v>460</v>
      </c>
      <c r="M3575" s="36">
        <f t="shared" si="213"/>
        <v>32.608695652173914</v>
      </c>
    </row>
    <row r="3576" spans="1:13" ht="15.75" hidden="1" customHeight="1" x14ac:dyDescent="0.3">
      <c r="A3576" s="9">
        <v>3827</v>
      </c>
      <c r="B3576" t="s">
        <v>455</v>
      </c>
      <c r="C3576" s="25">
        <v>44685</v>
      </c>
      <c r="D3576" s="26">
        <v>0.97305555555555545</v>
      </c>
      <c r="E3576" t="s">
        <v>28</v>
      </c>
      <c r="F3576" t="s">
        <v>541</v>
      </c>
      <c r="G3576" t="s">
        <v>542</v>
      </c>
      <c r="H3576" t="s">
        <v>130</v>
      </c>
      <c r="I3576">
        <v>50</v>
      </c>
      <c r="J3576" s="7">
        <v>0</v>
      </c>
      <c r="K3576" s="89">
        <f t="shared" si="214"/>
        <v>51</v>
      </c>
      <c r="L3576" s="32">
        <v>51</v>
      </c>
      <c r="M3576" s="36">
        <f t="shared" si="213"/>
        <v>98.039215686274503</v>
      </c>
    </row>
    <row r="3577" spans="1:13" ht="15.75" hidden="1" customHeight="1" x14ac:dyDescent="0.3">
      <c r="A3577" s="9">
        <v>3883</v>
      </c>
      <c r="B3577" t="s">
        <v>455</v>
      </c>
      <c r="C3577" s="25">
        <v>44686</v>
      </c>
      <c r="D3577" s="26">
        <v>4.8182870370370369E-2</v>
      </c>
      <c r="E3577" t="s">
        <v>28</v>
      </c>
      <c r="F3577" t="s">
        <v>311</v>
      </c>
      <c r="G3577" t="s">
        <v>303</v>
      </c>
      <c r="H3577" t="s">
        <v>130</v>
      </c>
      <c r="I3577">
        <v>100.01</v>
      </c>
      <c r="J3577" s="7">
        <v>0</v>
      </c>
      <c r="K3577" s="89">
        <f t="shared" si="214"/>
        <v>113</v>
      </c>
      <c r="L3577" s="32">
        <v>113</v>
      </c>
      <c r="M3577" s="36">
        <f t="shared" si="213"/>
        <v>88.504424778761077</v>
      </c>
    </row>
    <row r="3578" spans="1:13" ht="15.75" hidden="1" customHeight="1" x14ac:dyDescent="0.3">
      <c r="A3578" s="9">
        <v>3884</v>
      </c>
      <c r="B3578" t="s">
        <v>455</v>
      </c>
      <c r="C3578" s="25">
        <v>44686</v>
      </c>
      <c r="D3578" s="26">
        <v>0.58537037037037043</v>
      </c>
      <c r="E3578" t="s">
        <v>28</v>
      </c>
      <c r="F3578" t="s">
        <v>210</v>
      </c>
      <c r="G3578" t="s">
        <v>211</v>
      </c>
      <c r="H3578" t="s">
        <v>130</v>
      </c>
      <c r="I3578">
        <v>331.62</v>
      </c>
      <c r="J3578" s="7">
        <v>0</v>
      </c>
      <c r="K3578" s="89">
        <f t="shared" si="214"/>
        <v>428.91</v>
      </c>
      <c r="L3578" s="32">
        <v>428.91</v>
      </c>
      <c r="M3578" s="36">
        <f t="shared" si="213"/>
        <v>77.316919633489547</v>
      </c>
    </row>
    <row r="3579" spans="1:13" ht="15.75" hidden="1" customHeight="1" x14ac:dyDescent="0.3">
      <c r="A3579" s="9">
        <v>3942</v>
      </c>
      <c r="B3579" t="s">
        <v>455</v>
      </c>
      <c r="C3579" s="25">
        <v>44687</v>
      </c>
      <c r="D3579" s="26">
        <v>0.52026620370370369</v>
      </c>
      <c r="E3579" t="s">
        <v>28</v>
      </c>
      <c r="F3579" t="s">
        <v>210</v>
      </c>
      <c r="G3579" t="s">
        <v>211</v>
      </c>
      <c r="H3579" t="s">
        <v>130</v>
      </c>
      <c r="I3579">
        <v>327.83</v>
      </c>
      <c r="J3579" s="7">
        <v>0</v>
      </c>
      <c r="K3579" s="89">
        <f>+L3579-J3710</f>
        <v>873</v>
      </c>
      <c r="L3579" s="67">
        <v>873</v>
      </c>
      <c r="M3579" s="10">
        <f t="shared" si="213"/>
        <v>37.552119129438715</v>
      </c>
    </row>
    <row r="3580" spans="1:13" ht="15.75" hidden="1" customHeight="1" x14ac:dyDescent="0.3">
      <c r="A3580" s="9">
        <v>3986</v>
      </c>
      <c r="B3580" t="s">
        <v>455</v>
      </c>
      <c r="C3580" s="25">
        <v>44688</v>
      </c>
      <c r="D3580" s="26">
        <v>0.84436342592592595</v>
      </c>
      <c r="E3580" t="s">
        <v>28</v>
      </c>
      <c r="F3580" t="s">
        <v>175</v>
      </c>
      <c r="G3580" t="s">
        <v>172</v>
      </c>
      <c r="H3580" t="s">
        <v>130</v>
      </c>
      <c r="I3580">
        <v>409.27</v>
      </c>
      <c r="J3580" s="7">
        <v>0</v>
      </c>
      <c r="K3580" s="89">
        <f>+L3580-J3711</f>
        <v>1173</v>
      </c>
      <c r="L3580" s="53">
        <v>1173</v>
      </c>
      <c r="M3580" s="10">
        <f t="shared" si="213"/>
        <v>34.890878090366577</v>
      </c>
    </row>
    <row r="3581" spans="1:13" ht="15.75" hidden="1" customHeight="1" x14ac:dyDescent="0.3">
      <c r="A3581" s="9">
        <v>4042</v>
      </c>
      <c r="B3581" t="s">
        <v>455</v>
      </c>
      <c r="C3581" s="25">
        <v>44689</v>
      </c>
      <c r="D3581" s="26">
        <v>0.53456018518518522</v>
      </c>
      <c r="E3581" t="s">
        <v>28</v>
      </c>
      <c r="F3581" t="s">
        <v>166</v>
      </c>
      <c r="G3581" t="s">
        <v>161</v>
      </c>
      <c r="H3581" t="s">
        <v>130</v>
      </c>
      <c r="I3581">
        <v>256.24</v>
      </c>
      <c r="J3581" s="7">
        <v>0</v>
      </c>
      <c r="K3581" s="89">
        <f>+L3581-J3712</f>
        <v>610</v>
      </c>
      <c r="L3581" s="55">
        <v>610</v>
      </c>
      <c r="M3581" s="10">
        <f t="shared" si="213"/>
        <v>42.006557377049184</v>
      </c>
    </row>
    <row r="3582" spans="1:13" ht="15.75" hidden="1" customHeight="1" x14ac:dyDescent="0.3">
      <c r="A3582" s="9">
        <v>4081</v>
      </c>
      <c r="B3582" t="s">
        <v>455</v>
      </c>
      <c r="C3582" s="25">
        <v>44690</v>
      </c>
      <c r="D3582" s="26">
        <v>0.77422453703703698</v>
      </c>
      <c r="E3582" t="s">
        <v>28</v>
      </c>
      <c r="F3582" t="s">
        <v>210</v>
      </c>
      <c r="G3582" t="s">
        <v>211</v>
      </c>
      <c r="H3582" t="s">
        <v>130</v>
      </c>
      <c r="I3582">
        <v>412.75</v>
      </c>
      <c r="J3582" s="7">
        <v>0</v>
      </c>
      <c r="K3582" s="89">
        <f>+L3582-J3713</f>
        <v>1135</v>
      </c>
      <c r="L3582" s="53">
        <v>1135</v>
      </c>
      <c r="M3582" s="10">
        <f t="shared" si="213"/>
        <v>36.365638766519822</v>
      </c>
    </row>
    <row r="3583" spans="1:13" ht="15.75" hidden="1" customHeight="1" x14ac:dyDescent="0.3">
      <c r="A3583" s="9">
        <v>4172</v>
      </c>
      <c r="B3583" t="s">
        <v>455</v>
      </c>
      <c r="C3583" s="25">
        <v>44692</v>
      </c>
      <c r="D3583" s="26">
        <v>0.42555555555555552</v>
      </c>
      <c r="E3583" t="s">
        <v>28</v>
      </c>
      <c r="F3583" t="s">
        <v>175</v>
      </c>
      <c r="G3583" t="s">
        <v>172</v>
      </c>
      <c r="H3583" t="s">
        <v>130</v>
      </c>
      <c r="I3583">
        <v>392.59</v>
      </c>
      <c r="J3583" s="7">
        <v>0</v>
      </c>
      <c r="K3583" s="89">
        <f>+L3583-J3716</f>
        <v>1044</v>
      </c>
      <c r="L3583" s="53">
        <v>1044</v>
      </c>
      <c r="M3583" s="10">
        <f t="shared" si="213"/>
        <v>37.604406130268195</v>
      </c>
    </row>
    <row r="3584" spans="1:13" ht="15.75" hidden="1" customHeight="1" x14ac:dyDescent="0.3">
      <c r="A3584" s="9">
        <v>4216</v>
      </c>
      <c r="B3584" t="s">
        <v>455</v>
      </c>
      <c r="C3584" s="25">
        <v>44693</v>
      </c>
      <c r="D3584" s="26">
        <v>0.45012731481481483</v>
      </c>
      <c r="E3584" t="s">
        <v>28</v>
      </c>
      <c r="F3584" t="s">
        <v>210</v>
      </c>
      <c r="G3584" t="s">
        <v>211</v>
      </c>
      <c r="H3584" t="s">
        <v>130</v>
      </c>
      <c r="I3584">
        <v>282.95999999999998</v>
      </c>
      <c r="J3584" s="7">
        <v>0</v>
      </c>
      <c r="K3584" s="89">
        <f>+L3584-J3717</f>
        <v>684</v>
      </c>
      <c r="L3584" s="67">
        <v>684</v>
      </c>
      <c r="M3584" s="10">
        <f t="shared" si="213"/>
        <v>41.368421052631575</v>
      </c>
    </row>
    <row r="3585" spans="1:13" ht="15.75" hidden="1" customHeight="1" x14ac:dyDescent="0.3">
      <c r="A3585" s="9">
        <v>4257</v>
      </c>
      <c r="B3585" t="s">
        <v>455</v>
      </c>
      <c r="C3585" s="25">
        <v>44694</v>
      </c>
      <c r="D3585" s="26">
        <v>0.63119212962962956</v>
      </c>
      <c r="E3585" t="s">
        <v>28</v>
      </c>
      <c r="F3585" t="s">
        <v>166</v>
      </c>
      <c r="G3585" t="s">
        <v>161</v>
      </c>
      <c r="H3585" t="s">
        <v>130</v>
      </c>
      <c r="I3585">
        <v>442.61</v>
      </c>
      <c r="J3585" s="7">
        <v>0</v>
      </c>
      <c r="K3585" s="89">
        <f>+L3585-J3858</f>
        <v>-750672</v>
      </c>
      <c r="L3585" s="67">
        <v>1131</v>
      </c>
      <c r="M3585" s="10">
        <f t="shared" si="213"/>
        <v>-5.8961836860839355E-2</v>
      </c>
    </row>
    <row r="3586" spans="1:13" ht="15.75" hidden="1" customHeight="1" x14ac:dyDescent="0.3">
      <c r="A3586" s="9">
        <v>4390</v>
      </c>
      <c r="B3586" t="s">
        <v>455</v>
      </c>
      <c r="C3586" s="25">
        <v>44696</v>
      </c>
      <c r="D3586" s="26">
        <v>0.46847222222222223</v>
      </c>
      <c r="E3586" t="s">
        <v>28</v>
      </c>
      <c r="F3586" t="s">
        <v>492</v>
      </c>
      <c r="G3586" t="s">
        <v>44</v>
      </c>
      <c r="H3586" t="s">
        <v>130</v>
      </c>
      <c r="I3586">
        <v>367.52</v>
      </c>
      <c r="J3586" s="7">
        <v>0</v>
      </c>
      <c r="K3586" s="89">
        <f>+L3586-J3859</f>
        <v>-751415</v>
      </c>
      <c r="L3586" s="53">
        <v>1004</v>
      </c>
      <c r="M3586" s="10">
        <f t="shared" si="213"/>
        <v>-4.891038906596222E-2</v>
      </c>
    </row>
    <row r="3587" spans="1:13" ht="15.75" hidden="1" customHeight="1" x14ac:dyDescent="0.3">
      <c r="A3587" s="9">
        <v>4391</v>
      </c>
      <c r="B3587" t="s">
        <v>455</v>
      </c>
      <c r="C3587" s="25">
        <v>44696</v>
      </c>
      <c r="D3587" s="26">
        <v>0.9759606481481482</v>
      </c>
      <c r="E3587" t="s">
        <v>28</v>
      </c>
      <c r="F3587" t="s">
        <v>210</v>
      </c>
      <c r="G3587" t="s">
        <v>211</v>
      </c>
      <c r="H3587" t="s">
        <v>130</v>
      </c>
      <c r="I3587">
        <v>274.58999999999997</v>
      </c>
      <c r="J3587" s="7">
        <v>0</v>
      </c>
      <c r="K3587" s="89">
        <f>+L3587-J3860</f>
        <v>-752628</v>
      </c>
      <c r="L3587" s="67">
        <v>604</v>
      </c>
      <c r="M3587" s="10">
        <f t="shared" ref="M3587:M3618" si="215">I3587/K3587*100</f>
        <v>-3.6484159505094149E-2</v>
      </c>
    </row>
    <row r="3588" spans="1:13" ht="15.75" hidden="1" customHeight="1" x14ac:dyDescent="0.3">
      <c r="A3588" s="9">
        <v>4460</v>
      </c>
      <c r="B3588" t="s">
        <v>455</v>
      </c>
      <c r="C3588" s="25">
        <v>44697</v>
      </c>
      <c r="D3588" s="26">
        <v>0.84285879629629623</v>
      </c>
      <c r="E3588" t="s">
        <v>28</v>
      </c>
      <c r="F3588" t="s">
        <v>165</v>
      </c>
      <c r="G3588" t="s">
        <v>185</v>
      </c>
      <c r="H3588" t="s">
        <v>130</v>
      </c>
      <c r="I3588">
        <v>254.04</v>
      </c>
      <c r="J3588" s="7">
        <v>0</v>
      </c>
      <c r="K3588" s="89">
        <f>+L3588-J3861</f>
        <v>-754352</v>
      </c>
      <c r="L3588" s="55">
        <v>545</v>
      </c>
      <c r="M3588" s="10">
        <f t="shared" si="215"/>
        <v>-3.367658599698814E-2</v>
      </c>
    </row>
    <row r="3589" spans="1:13" ht="15.75" hidden="1" customHeight="1" x14ac:dyDescent="0.3">
      <c r="A3589" s="9">
        <v>4559</v>
      </c>
      <c r="B3589" t="s">
        <v>455</v>
      </c>
      <c r="C3589" s="25">
        <v>44699</v>
      </c>
      <c r="D3589" s="26">
        <v>0.67923611111111104</v>
      </c>
      <c r="E3589" t="s">
        <v>28</v>
      </c>
      <c r="F3589" t="s">
        <v>210</v>
      </c>
      <c r="G3589" t="s">
        <v>211</v>
      </c>
      <c r="H3589" t="s">
        <v>130</v>
      </c>
      <c r="I3589">
        <v>188.63</v>
      </c>
      <c r="J3589" s="7">
        <v>0</v>
      </c>
      <c r="K3589" s="89">
        <f t="shared" ref="K3589:K3596" si="216">+L3589-J3861</f>
        <v>-754346</v>
      </c>
      <c r="L3589" s="53">
        <v>551</v>
      </c>
      <c r="M3589" s="10">
        <f t="shared" si="215"/>
        <v>-2.5005766584564638E-2</v>
      </c>
    </row>
    <row r="3590" spans="1:13" ht="15.75" hidden="1" customHeight="1" x14ac:dyDescent="0.3">
      <c r="A3590" s="9">
        <v>4667</v>
      </c>
      <c r="B3590" t="s">
        <v>455</v>
      </c>
      <c r="C3590" s="25">
        <v>44701</v>
      </c>
      <c r="D3590" s="26">
        <v>0.73929398148148151</v>
      </c>
      <c r="E3590" t="s">
        <v>28</v>
      </c>
      <c r="F3590" t="s">
        <v>262</v>
      </c>
      <c r="G3590" t="s">
        <v>263</v>
      </c>
      <c r="H3590" t="s">
        <v>130</v>
      </c>
      <c r="I3590">
        <v>200</v>
      </c>
      <c r="J3590" s="7">
        <v>0</v>
      </c>
      <c r="K3590" s="89">
        <f t="shared" si="216"/>
        <v>-754629</v>
      </c>
      <c r="L3590" s="53">
        <v>822</v>
      </c>
      <c r="M3590" s="10">
        <f t="shared" si="215"/>
        <v>-2.6503089597669845E-2</v>
      </c>
    </row>
    <row r="3591" spans="1:13" ht="15.75" hidden="1" customHeight="1" x14ac:dyDescent="0.3">
      <c r="A3591" s="9">
        <v>4729</v>
      </c>
      <c r="B3591" t="s">
        <v>455</v>
      </c>
      <c r="C3591" s="25">
        <v>44702</v>
      </c>
      <c r="D3591" s="26">
        <v>0.62707175925925929</v>
      </c>
      <c r="E3591" t="s">
        <v>28</v>
      </c>
      <c r="F3591" t="s">
        <v>175</v>
      </c>
      <c r="G3591" t="s">
        <v>172</v>
      </c>
      <c r="H3591" t="s">
        <v>130</v>
      </c>
      <c r="I3591">
        <v>74.64</v>
      </c>
      <c r="J3591" s="39">
        <v>0</v>
      </c>
      <c r="K3591" s="89">
        <f t="shared" si="216"/>
        <v>-758194</v>
      </c>
      <c r="L3591" s="68">
        <v>87</v>
      </c>
      <c r="M3591" s="10">
        <f t="shared" si="215"/>
        <v>-9.8444461443904872E-3</v>
      </c>
    </row>
    <row r="3592" spans="1:13" ht="15.75" hidden="1" customHeight="1" x14ac:dyDescent="0.3">
      <c r="A3592" s="9">
        <v>4829</v>
      </c>
      <c r="B3592" t="s">
        <v>455</v>
      </c>
      <c r="C3592" s="25">
        <v>44704</v>
      </c>
      <c r="D3592" s="26">
        <v>0.94224537037037026</v>
      </c>
      <c r="E3592" t="s">
        <v>28</v>
      </c>
      <c r="F3592" t="s">
        <v>366</v>
      </c>
      <c r="G3592" t="s">
        <v>367</v>
      </c>
      <c r="H3592" t="s">
        <v>130</v>
      </c>
      <c r="I3592">
        <v>100.01</v>
      </c>
      <c r="J3592" s="39">
        <v>0</v>
      </c>
      <c r="K3592" s="89">
        <f t="shared" si="216"/>
        <v>-757761</v>
      </c>
      <c r="L3592" s="53">
        <v>615</v>
      </c>
      <c r="M3592" s="10">
        <f t="shared" si="215"/>
        <v>-1.3198092802347969E-2</v>
      </c>
    </row>
    <row r="3593" spans="1:13" ht="15.75" hidden="1" customHeight="1" x14ac:dyDescent="0.3">
      <c r="A3593" s="9">
        <v>4889</v>
      </c>
      <c r="B3593" t="s">
        <v>455</v>
      </c>
      <c r="C3593" s="25">
        <v>44705</v>
      </c>
      <c r="D3593" s="26">
        <v>8.0636574074074083E-2</v>
      </c>
      <c r="E3593" t="s">
        <v>28</v>
      </c>
      <c r="F3593" t="s">
        <v>210</v>
      </c>
      <c r="G3593" t="s">
        <v>211</v>
      </c>
      <c r="H3593" t="s">
        <v>130</v>
      </c>
      <c r="I3593">
        <v>337.66</v>
      </c>
      <c r="J3593" s="40">
        <v>0</v>
      </c>
      <c r="K3593" s="89">
        <f t="shared" si="216"/>
        <v>198</v>
      </c>
      <c r="L3593" s="53">
        <v>198</v>
      </c>
      <c r="M3593" s="10">
        <f t="shared" si="215"/>
        <v>170.53535353535355</v>
      </c>
    </row>
    <row r="3594" spans="1:13" ht="15.75" hidden="1" customHeight="1" x14ac:dyDescent="0.3">
      <c r="A3594" s="9">
        <v>4947</v>
      </c>
      <c r="B3594" t="s">
        <v>455</v>
      </c>
      <c r="C3594" s="25">
        <v>44706</v>
      </c>
      <c r="D3594" s="26">
        <v>0.43024305555555559</v>
      </c>
      <c r="E3594" t="s">
        <v>28</v>
      </c>
      <c r="F3594" t="s">
        <v>165</v>
      </c>
      <c r="G3594" t="s">
        <v>185</v>
      </c>
      <c r="H3594" t="s">
        <v>130</v>
      </c>
      <c r="I3594">
        <v>298.01</v>
      </c>
      <c r="J3594" s="7">
        <v>0</v>
      </c>
      <c r="K3594" s="89">
        <f t="shared" si="216"/>
        <v>545</v>
      </c>
      <c r="L3594" s="68">
        <v>545</v>
      </c>
      <c r="M3594" s="10">
        <f t="shared" si="215"/>
        <v>54.680733944954127</v>
      </c>
    </row>
    <row r="3595" spans="1:13" ht="15.75" hidden="1" customHeight="1" x14ac:dyDescent="0.3">
      <c r="A3595" s="9">
        <v>4992</v>
      </c>
      <c r="B3595" t="s">
        <v>455</v>
      </c>
      <c r="C3595" s="25">
        <v>44707</v>
      </c>
      <c r="D3595" s="26">
        <v>6.128472222222222E-2</v>
      </c>
      <c r="E3595" t="s">
        <v>28</v>
      </c>
      <c r="F3595" t="s">
        <v>635</v>
      </c>
      <c r="G3595" t="s">
        <v>185</v>
      </c>
      <c r="H3595" t="s">
        <v>130</v>
      </c>
      <c r="I3595">
        <v>198.21</v>
      </c>
      <c r="J3595" s="7">
        <v>0</v>
      </c>
      <c r="K3595" s="89">
        <f t="shared" si="216"/>
        <v>430</v>
      </c>
      <c r="L3595" s="11">
        <v>430</v>
      </c>
      <c r="M3595" s="10">
        <f t="shared" si="215"/>
        <v>46.095348837209308</v>
      </c>
    </row>
    <row r="3596" spans="1:13" ht="15.75" hidden="1" customHeight="1" x14ac:dyDescent="0.3">
      <c r="A3596" s="9">
        <v>4993</v>
      </c>
      <c r="B3596" t="s">
        <v>455</v>
      </c>
      <c r="C3596" s="25">
        <v>44707</v>
      </c>
      <c r="D3596" s="26">
        <v>0.79482638888888879</v>
      </c>
      <c r="E3596" t="s">
        <v>28</v>
      </c>
      <c r="F3596" t="s">
        <v>635</v>
      </c>
      <c r="G3596" t="s">
        <v>185</v>
      </c>
      <c r="H3596" t="s">
        <v>130</v>
      </c>
      <c r="I3596">
        <v>185.2</v>
      </c>
      <c r="J3596" s="7">
        <v>0</v>
      </c>
      <c r="K3596" s="89">
        <f t="shared" si="216"/>
        <v>428</v>
      </c>
      <c r="L3596" s="28">
        <v>428</v>
      </c>
      <c r="M3596" s="10">
        <f t="shared" si="215"/>
        <v>43.271028037383175</v>
      </c>
    </row>
    <row r="3597" spans="1:13" ht="15.75" hidden="1" customHeight="1" x14ac:dyDescent="0.3">
      <c r="A3597" s="9">
        <v>5042</v>
      </c>
      <c r="B3597" t="s">
        <v>455</v>
      </c>
      <c r="C3597" s="25">
        <v>44708</v>
      </c>
      <c r="D3597" s="26">
        <v>0.92809027777777775</v>
      </c>
      <c r="E3597" t="s">
        <v>28</v>
      </c>
      <c r="F3597" t="s">
        <v>635</v>
      </c>
      <c r="G3597" t="s">
        <v>185</v>
      </c>
      <c r="H3597" t="s">
        <v>130</v>
      </c>
      <c r="I3597">
        <v>202.74</v>
      </c>
      <c r="J3597" s="7">
        <v>0</v>
      </c>
      <c r="K3597" s="89">
        <f>+L3597-J3861</f>
        <v>-754460</v>
      </c>
      <c r="L3597" s="7">
        <v>437</v>
      </c>
      <c r="M3597" s="36">
        <f t="shared" si="215"/>
        <v>-2.6872199984094586E-2</v>
      </c>
    </row>
    <row r="3598" spans="1:13" ht="15.75" hidden="1" customHeight="1" x14ac:dyDescent="0.3">
      <c r="A3598" s="9">
        <v>5354</v>
      </c>
      <c r="B3598" t="s">
        <v>455</v>
      </c>
      <c r="C3598" s="25">
        <v>44714</v>
      </c>
      <c r="D3598" s="26">
        <v>0.54644675925925923</v>
      </c>
      <c r="E3598" t="s">
        <v>29</v>
      </c>
      <c r="F3598" t="s">
        <v>637</v>
      </c>
      <c r="G3598" t="s">
        <v>196</v>
      </c>
      <c r="H3598" t="s">
        <v>130</v>
      </c>
      <c r="I3598">
        <v>383.66</v>
      </c>
      <c r="J3598" s="7">
        <v>0</v>
      </c>
      <c r="K3598" s="89">
        <f>+L3598-J3861</f>
        <v>-753787</v>
      </c>
      <c r="L3598" s="7">
        <v>1110</v>
      </c>
      <c r="M3598" s="36">
        <f t="shared" si="215"/>
        <v>-5.0897667378185088E-2</v>
      </c>
    </row>
    <row r="3599" spans="1:13" ht="15.75" hidden="1" customHeight="1" x14ac:dyDescent="0.3">
      <c r="A3599" s="9">
        <v>5468</v>
      </c>
      <c r="B3599" t="s">
        <v>455</v>
      </c>
      <c r="C3599" s="25">
        <v>44716</v>
      </c>
      <c r="D3599" s="26">
        <v>0.59166666666666667</v>
      </c>
      <c r="E3599" t="s">
        <v>29</v>
      </c>
      <c r="F3599" t="s">
        <v>709</v>
      </c>
      <c r="G3599" t="s">
        <v>44</v>
      </c>
      <c r="H3599" t="s">
        <v>130</v>
      </c>
      <c r="I3599">
        <v>328.35</v>
      </c>
      <c r="J3599" s="7">
        <v>0</v>
      </c>
      <c r="K3599" s="89">
        <f>+L3599-J3862</f>
        <v>-754788</v>
      </c>
      <c r="L3599" s="7">
        <v>663</v>
      </c>
      <c r="M3599" s="36">
        <f t="shared" si="215"/>
        <v>-4.3502281435316939E-2</v>
      </c>
    </row>
    <row r="3600" spans="1:13" ht="15.75" hidden="1" customHeight="1" x14ac:dyDescent="0.3">
      <c r="A3600" s="9">
        <v>5469</v>
      </c>
      <c r="B3600" t="s">
        <v>455</v>
      </c>
      <c r="C3600" s="25">
        <v>44716</v>
      </c>
      <c r="D3600" s="26">
        <v>0.98949074074074073</v>
      </c>
      <c r="E3600" t="s">
        <v>29</v>
      </c>
      <c r="F3600" t="s">
        <v>632</v>
      </c>
      <c r="G3600" t="s">
        <v>161</v>
      </c>
      <c r="H3600" t="s">
        <v>130</v>
      </c>
      <c r="I3600">
        <v>200.77</v>
      </c>
      <c r="J3600" s="7">
        <v>0</v>
      </c>
      <c r="K3600" s="89">
        <f>+L3600-J3863</f>
        <v>-757763</v>
      </c>
      <c r="L3600" s="7">
        <v>518</v>
      </c>
      <c r="M3600" s="36">
        <f t="shared" si="215"/>
        <v>-2.6495091473191484E-2</v>
      </c>
    </row>
    <row r="3601" spans="1:13" ht="15.75" hidden="1" customHeight="1" x14ac:dyDescent="0.3">
      <c r="A3601" s="9">
        <v>5516</v>
      </c>
      <c r="B3601" t="s">
        <v>455</v>
      </c>
      <c r="C3601" s="25">
        <v>44717</v>
      </c>
      <c r="D3601" s="26">
        <v>0.84643518518518512</v>
      </c>
      <c r="E3601" t="s">
        <v>29</v>
      </c>
      <c r="F3601" t="s">
        <v>635</v>
      </c>
      <c r="G3601" t="s">
        <v>185</v>
      </c>
      <c r="H3601" t="s">
        <v>130</v>
      </c>
      <c r="I3601">
        <v>283.14999999999998</v>
      </c>
      <c r="J3601" s="7">
        <v>0</v>
      </c>
      <c r="K3601" s="89">
        <f>+L3601-J3864</f>
        <v>-757749</v>
      </c>
      <c r="L3601" s="30">
        <v>627</v>
      </c>
      <c r="M3601" s="10">
        <f t="shared" si="215"/>
        <v>-3.7367254856159486E-2</v>
      </c>
    </row>
    <row r="3602" spans="1:13" ht="15.75" hidden="1" customHeight="1" x14ac:dyDescent="0.3">
      <c r="A3602" s="9">
        <v>5609</v>
      </c>
      <c r="B3602" t="s">
        <v>455</v>
      </c>
      <c r="C3602" s="25">
        <v>44719</v>
      </c>
      <c r="D3602" s="26">
        <v>0.35515046296296293</v>
      </c>
      <c r="E3602" t="s">
        <v>29</v>
      </c>
      <c r="F3602" t="s">
        <v>634</v>
      </c>
      <c r="G3602" t="s">
        <v>211</v>
      </c>
      <c r="H3602" t="s">
        <v>130</v>
      </c>
      <c r="I3602">
        <v>248.53</v>
      </c>
      <c r="J3602" s="32">
        <v>0</v>
      </c>
      <c r="K3602" s="89">
        <f>+L3602-J3161</f>
        <v>576</v>
      </c>
      <c r="L3602" s="30">
        <v>576</v>
      </c>
      <c r="M3602" s="10">
        <f t="shared" si="215"/>
        <v>43.147569444444443</v>
      </c>
    </row>
    <row r="3603" spans="1:13" ht="15.75" hidden="1" customHeight="1" x14ac:dyDescent="0.3">
      <c r="A3603" s="9">
        <v>5670</v>
      </c>
      <c r="B3603" t="s">
        <v>455</v>
      </c>
      <c r="C3603" s="25">
        <v>44720</v>
      </c>
      <c r="D3603" s="26">
        <v>0.97391203703703699</v>
      </c>
      <c r="E3603" t="s">
        <v>29</v>
      </c>
      <c r="F3603" t="s">
        <v>662</v>
      </c>
      <c r="G3603" t="s">
        <v>542</v>
      </c>
      <c r="H3603" t="s">
        <v>130</v>
      </c>
      <c r="I3603">
        <v>200</v>
      </c>
      <c r="J3603" s="32">
        <v>0</v>
      </c>
      <c r="K3603" s="89">
        <f>+L3603-J3203</f>
        <v>1154</v>
      </c>
      <c r="L3603" s="11">
        <v>1154</v>
      </c>
      <c r="M3603" s="10">
        <f t="shared" si="215"/>
        <v>17.331022530329289</v>
      </c>
    </row>
    <row r="3604" spans="1:13" ht="15.75" hidden="1" customHeight="1" x14ac:dyDescent="0.3">
      <c r="A3604" s="9">
        <v>5723</v>
      </c>
      <c r="B3604" t="s">
        <v>455</v>
      </c>
      <c r="C3604" s="25">
        <v>44721</v>
      </c>
      <c r="D3604" s="26">
        <v>0.97026620370370376</v>
      </c>
      <c r="E3604" t="s">
        <v>29</v>
      </c>
      <c r="F3604" t="s">
        <v>632</v>
      </c>
      <c r="G3604" t="s">
        <v>161</v>
      </c>
      <c r="H3604" t="s">
        <v>130</v>
      </c>
      <c r="I3604">
        <v>443.7</v>
      </c>
      <c r="J3604" s="32">
        <v>0</v>
      </c>
      <c r="K3604" s="89">
        <f>+L3604-J3204</f>
        <v>458</v>
      </c>
      <c r="L3604" s="34">
        <v>458</v>
      </c>
      <c r="M3604" s="10">
        <f t="shared" si="215"/>
        <v>96.877729257641917</v>
      </c>
    </row>
    <row r="3605" spans="1:13" ht="15.75" hidden="1" customHeight="1" x14ac:dyDescent="0.3">
      <c r="A3605" s="9">
        <v>5822</v>
      </c>
      <c r="B3605" t="s">
        <v>455</v>
      </c>
      <c r="C3605" s="25">
        <v>44723</v>
      </c>
      <c r="D3605" s="26">
        <v>0.76473379629629623</v>
      </c>
      <c r="E3605" t="s">
        <v>29</v>
      </c>
      <c r="F3605" t="s">
        <v>634</v>
      </c>
      <c r="G3605" t="s">
        <v>211</v>
      </c>
      <c r="H3605" t="s">
        <v>130</v>
      </c>
      <c r="I3605">
        <v>461.49</v>
      </c>
      <c r="J3605" s="32">
        <v>0</v>
      </c>
      <c r="K3605" s="89">
        <f>+L3605-J3205</f>
        <v>1046</v>
      </c>
      <c r="L3605" s="7">
        <v>1046</v>
      </c>
      <c r="M3605" s="10">
        <f t="shared" si="215"/>
        <v>44.119502868068835</v>
      </c>
    </row>
    <row r="3606" spans="1:13" ht="15.75" hidden="1" customHeight="1" x14ac:dyDescent="0.3">
      <c r="A3606" s="9">
        <v>5882</v>
      </c>
      <c r="B3606" t="s">
        <v>455</v>
      </c>
      <c r="C3606" s="25">
        <v>44724</v>
      </c>
      <c r="D3606" s="26">
        <v>0.80351851851851841</v>
      </c>
      <c r="E3606" t="s">
        <v>29</v>
      </c>
      <c r="F3606" t="s">
        <v>637</v>
      </c>
      <c r="G3606" t="s">
        <v>196</v>
      </c>
      <c r="H3606" t="s">
        <v>130</v>
      </c>
      <c r="I3606" s="148">
        <v>134</v>
      </c>
      <c r="J3606" s="37">
        <v>0</v>
      </c>
      <c r="K3606" s="89">
        <f>+L3606-J3206</f>
        <v>461</v>
      </c>
      <c r="L3606" s="7">
        <v>461</v>
      </c>
      <c r="M3606" s="10">
        <f t="shared" si="215"/>
        <v>29.067245119305856</v>
      </c>
    </row>
    <row r="3607" spans="1:13" ht="15" hidden="1" customHeight="1" x14ac:dyDescent="0.3">
      <c r="A3607" s="9">
        <v>5990</v>
      </c>
      <c r="B3607" t="s">
        <v>455</v>
      </c>
      <c r="C3607" s="25">
        <v>44726</v>
      </c>
      <c r="D3607" s="26">
        <v>0.99715277777777767</v>
      </c>
      <c r="E3607" t="s">
        <v>29</v>
      </c>
      <c r="F3607" t="s">
        <v>639</v>
      </c>
      <c r="G3607" t="s">
        <v>44</v>
      </c>
      <c r="H3607" t="s">
        <v>130</v>
      </c>
      <c r="I3607" s="148">
        <v>200</v>
      </c>
      <c r="J3607" s="32">
        <v>0</v>
      </c>
      <c r="K3607" s="89">
        <v>695</v>
      </c>
      <c r="L3607" s="7">
        <v>695</v>
      </c>
      <c r="M3607" s="10">
        <f t="shared" si="215"/>
        <v>28.776978417266186</v>
      </c>
    </row>
    <row r="3608" spans="1:13" ht="15.75" hidden="1" customHeight="1" x14ac:dyDescent="0.3">
      <c r="A3608" s="9">
        <v>6055</v>
      </c>
      <c r="B3608" t="s">
        <v>455</v>
      </c>
      <c r="C3608" s="25">
        <v>44727</v>
      </c>
      <c r="D3608" s="26">
        <v>0.75502314814814808</v>
      </c>
      <c r="E3608" t="s">
        <v>29</v>
      </c>
      <c r="F3608" t="s">
        <v>634</v>
      </c>
      <c r="G3608" t="s">
        <v>211</v>
      </c>
      <c r="H3608" t="s">
        <v>130</v>
      </c>
      <c r="I3608" s="148">
        <v>375.19</v>
      </c>
      <c r="J3608" s="32">
        <v>0</v>
      </c>
      <c r="K3608" s="89">
        <v>641</v>
      </c>
      <c r="L3608" s="7">
        <v>641</v>
      </c>
      <c r="M3608" s="10">
        <f t="shared" si="215"/>
        <v>58.53198127925117</v>
      </c>
    </row>
    <row r="3609" spans="1:13" ht="15.75" hidden="1" customHeight="1" x14ac:dyDescent="0.3">
      <c r="A3609" s="9">
        <v>6167</v>
      </c>
      <c r="B3609" t="s">
        <v>455</v>
      </c>
      <c r="C3609" s="25">
        <v>44729</v>
      </c>
      <c r="D3609" s="26">
        <v>0.71409722222222216</v>
      </c>
      <c r="E3609" t="s">
        <v>29</v>
      </c>
      <c r="F3609" t="s">
        <v>634</v>
      </c>
      <c r="G3609" t="s">
        <v>211</v>
      </c>
      <c r="H3609" t="s">
        <v>130</v>
      </c>
      <c r="I3609" s="148">
        <v>478.94</v>
      </c>
      <c r="J3609" s="41">
        <v>0</v>
      </c>
      <c r="K3609" s="89">
        <v>1115</v>
      </c>
      <c r="L3609" s="7">
        <v>1115</v>
      </c>
      <c r="M3609" s="36">
        <f t="shared" si="215"/>
        <v>42.954260089686095</v>
      </c>
    </row>
    <row r="3610" spans="1:13" ht="15.75" hidden="1" customHeight="1" x14ac:dyDescent="0.3">
      <c r="A3610" s="9">
        <v>6244</v>
      </c>
      <c r="B3610" t="s">
        <v>455</v>
      </c>
      <c r="C3610" s="25">
        <v>44731</v>
      </c>
      <c r="D3610" s="26">
        <v>0.50578703703703709</v>
      </c>
      <c r="E3610" t="s">
        <v>29</v>
      </c>
      <c r="F3610" t="s">
        <v>637</v>
      </c>
      <c r="G3610" t="s">
        <v>196</v>
      </c>
      <c r="H3610" t="s">
        <v>130</v>
      </c>
      <c r="I3610" s="148">
        <v>142.22</v>
      </c>
      <c r="J3610" s="71">
        <v>0</v>
      </c>
      <c r="K3610" s="89">
        <v>461</v>
      </c>
      <c r="L3610" s="7">
        <v>461</v>
      </c>
      <c r="M3610" s="36">
        <f t="shared" si="215"/>
        <v>30.850325379609544</v>
      </c>
    </row>
    <row r="3611" spans="1:13" ht="15.75" hidden="1" customHeight="1" x14ac:dyDescent="0.3">
      <c r="A3611" s="9">
        <v>6340</v>
      </c>
      <c r="B3611" t="s">
        <v>455</v>
      </c>
      <c r="C3611" s="25">
        <v>44734</v>
      </c>
      <c r="D3611" s="26">
        <v>0.41108796296296296</v>
      </c>
      <c r="E3611" t="s">
        <v>29</v>
      </c>
      <c r="F3611" t="s">
        <v>638</v>
      </c>
      <c r="G3611" t="s">
        <v>263</v>
      </c>
      <c r="H3611" t="s">
        <v>130</v>
      </c>
      <c r="I3611" s="148">
        <v>170.03</v>
      </c>
      <c r="J3611" s="71">
        <v>0</v>
      </c>
      <c r="K3611" s="89">
        <v>363</v>
      </c>
      <c r="L3611" s="7">
        <v>363</v>
      </c>
      <c r="M3611" s="36">
        <f t="shared" si="215"/>
        <v>46.840220385674932</v>
      </c>
    </row>
    <row r="3612" spans="1:13" ht="15.75" hidden="1" customHeight="1" x14ac:dyDescent="0.3">
      <c r="A3612" s="9">
        <v>6393</v>
      </c>
      <c r="B3612" t="s">
        <v>455</v>
      </c>
      <c r="C3612" s="25">
        <v>44735</v>
      </c>
      <c r="D3612" s="26">
        <v>0.89952546296296287</v>
      </c>
      <c r="E3612" t="s">
        <v>29</v>
      </c>
      <c r="F3612" t="s">
        <v>634</v>
      </c>
      <c r="G3612" t="s">
        <v>211</v>
      </c>
      <c r="H3612" t="s">
        <v>130</v>
      </c>
      <c r="I3612" s="148">
        <v>371.51</v>
      </c>
      <c r="J3612" s="71">
        <v>0</v>
      </c>
      <c r="K3612" s="89">
        <v>885</v>
      </c>
      <c r="L3612" s="7">
        <v>885</v>
      </c>
      <c r="M3612" s="36">
        <f t="shared" si="215"/>
        <v>41.978531073446327</v>
      </c>
    </row>
    <row r="3613" spans="1:13" ht="15.75" hidden="1" customHeight="1" x14ac:dyDescent="0.3">
      <c r="A3613" s="9">
        <v>6442</v>
      </c>
      <c r="B3613" t="s">
        <v>455</v>
      </c>
      <c r="C3613" s="25">
        <v>44736</v>
      </c>
      <c r="D3613" s="26">
        <v>0.96311342592592597</v>
      </c>
      <c r="E3613" t="s">
        <v>29</v>
      </c>
      <c r="F3613" t="s">
        <v>634</v>
      </c>
      <c r="G3613" t="s">
        <v>211</v>
      </c>
      <c r="H3613" t="s">
        <v>130</v>
      </c>
      <c r="I3613" s="148">
        <v>431.97</v>
      </c>
      <c r="J3613" s="41">
        <v>0</v>
      </c>
      <c r="K3613" s="90">
        <v>1055</v>
      </c>
      <c r="L3613" s="30">
        <v>1055</v>
      </c>
      <c r="M3613" s="10">
        <f t="shared" si="215"/>
        <v>40.945023696682462</v>
      </c>
    </row>
    <row r="3614" spans="1:13" ht="15.75" hidden="1" customHeight="1" x14ac:dyDescent="0.3">
      <c r="A3614" s="9">
        <v>6552</v>
      </c>
      <c r="B3614" t="s">
        <v>455</v>
      </c>
      <c r="C3614" s="25">
        <v>44738</v>
      </c>
      <c r="D3614" s="26">
        <v>0.83512731481481473</v>
      </c>
      <c r="E3614" t="s">
        <v>29</v>
      </c>
      <c r="F3614" t="s">
        <v>634</v>
      </c>
      <c r="G3614" t="s">
        <v>211</v>
      </c>
      <c r="H3614" t="s">
        <v>130</v>
      </c>
      <c r="I3614" s="148">
        <v>299.81</v>
      </c>
      <c r="J3614" s="71">
        <v>0</v>
      </c>
      <c r="K3614" s="99">
        <v>686</v>
      </c>
      <c r="L3614" s="28">
        <v>686</v>
      </c>
      <c r="M3614" s="131">
        <f t="shared" si="215"/>
        <v>43.704081632653065</v>
      </c>
    </row>
    <row r="3615" spans="1:13" ht="15.75" hidden="1" customHeight="1" x14ac:dyDescent="0.3">
      <c r="A3615" s="9">
        <v>5390</v>
      </c>
      <c r="B3615" t="s">
        <v>188</v>
      </c>
      <c r="C3615" s="25">
        <v>44715</v>
      </c>
      <c r="D3615" s="26">
        <v>0.91621527777777778</v>
      </c>
      <c r="E3615" t="s">
        <v>29</v>
      </c>
      <c r="F3615" t="s">
        <v>637</v>
      </c>
      <c r="G3615" t="s">
        <v>196</v>
      </c>
      <c r="H3615" t="s">
        <v>189</v>
      </c>
      <c r="I3615" s="8">
        <v>100.08</v>
      </c>
      <c r="J3615" s="32">
        <v>0</v>
      </c>
      <c r="K3615" s="90">
        <f>+L3615-J3865</f>
        <v>963</v>
      </c>
      <c r="L3615" s="7">
        <v>963</v>
      </c>
      <c r="M3615" s="91">
        <f t="shared" si="215"/>
        <v>10.392523364485982</v>
      </c>
    </row>
    <row r="3616" spans="1:13" ht="15.75" hidden="1" customHeight="1" x14ac:dyDescent="0.3">
      <c r="A3616" s="9">
        <v>5447</v>
      </c>
      <c r="B3616" t="s">
        <v>188</v>
      </c>
      <c r="C3616" s="25">
        <v>44716</v>
      </c>
      <c r="D3616" s="26">
        <v>0.29349537037037038</v>
      </c>
      <c r="E3616" t="s">
        <v>29</v>
      </c>
      <c r="F3616" t="s">
        <v>656</v>
      </c>
      <c r="G3616" t="s">
        <v>495</v>
      </c>
      <c r="H3616" t="s">
        <v>189</v>
      </c>
      <c r="I3616" s="8">
        <v>100</v>
      </c>
      <c r="J3616" s="32">
        <v>0</v>
      </c>
      <c r="K3616" s="90">
        <f>+L3616-J3866</f>
        <v>87</v>
      </c>
      <c r="L3616" s="7">
        <v>87</v>
      </c>
      <c r="M3616" s="91">
        <f t="shared" si="215"/>
        <v>114.94252873563218</v>
      </c>
    </row>
    <row r="3617" spans="1:19" ht="15.75" hidden="1" customHeight="1" x14ac:dyDescent="0.3">
      <c r="A3617" s="9">
        <v>5796</v>
      </c>
      <c r="B3617" t="s">
        <v>188</v>
      </c>
      <c r="C3617" s="25">
        <v>44723</v>
      </c>
      <c r="D3617" s="26">
        <v>0.68709490740740742</v>
      </c>
      <c r="E3617" t="s">
        <v>29</v>
      </c>
      <c r="F3617" t="s">
        <v>639</v>
      </c>
      <c r="G3617" t="s">
        <v>44</v>
      </c>
      <c r="H3617" t="s">
        <v>189</v>
      </c>
      <c r="I3617" s="8">
        <v>231</v>
      </c>
      <c r="J3617" s="32">
        <v>0</v>
      </c>
      <c r="K3617" s="90">
        <f>+L3617-J3867</f>
        <v>634</v>
      </c>
      <c r="L3617" s="7">
        <v>634</v>
      </c>
      <c r="M3617" s="91">
        <f t="shared" si="215"/>
        <v>36.435331230283914</v>
      </c>
    </row>
    <row r="3618" spans="1:19" ht="15.75" hidden="1" customHeight="1" x14ac:dyDescent="0.3">
      <c r="A3618" s="9">
        <v>5797</v>
      </c>
      <c r="B3618" t="s">
        <v>188</v>
      </c>
      <c r="C3618" s="25">
        <v>44723</v>
      </c>
      <c r="D3618" s="26">
        <v>0.84895833333333337</v>
      </c>
      <c r="E3618" t="s">
        <v>29</v>
      </c>
      <c r="F3618" t="s">
        <v>663</v>
      </c>
      <c r="G3618" t="s">
        <v>344</v>
      </c>
      <c r="H3618" t="s">
        <v>189</v>
      </c>
      <c r="I3618" s="8">
        <v>100</v>
      </c>
      <c r="J3618" s="32">
        <v>0</v>
      </c>
      <c r="K3618" s="90">
        <f>+L3618-J3868</f>
        <v>82</v>
      </c>
      <c r="L3618" s="7">
        <v>82</v>
      </c>
      <c r="M3618" s="91">
        <f t="shared" si="215"/>
        <v>121.95121951219512</v>
      </c>
    </row>
    <row r="3619" spans="1:19" ht="15.75" hidden="1" customHeight="1" x14ac:dyDescent="0.3">
      <c r="A3619" s="9">
        <v>5861</v>
      </c>
      <c r="B3619" t="s">
        <v>188</v>
      </c>
      <c r="C3619" s="25">
        <v>44724</v>
      </c>
      <c r="D3619" s="26">
        <v>0.625462962962963</v>
      </c>
      <c r="E3619" t="s">
        <v>29</v>
      </c>
      <c r="F3619" t="s">
        <v>634</v>
      </c>
      <c r="G3619" t="s">
        <v>211</v>
      </c>
      <c r="H3619" t="s">
        <v>189</v>
      </c>
      <c r="I3619" s="8">
        <v>373.69</v>
      </c>
      <c r="J3619" s="32">
        <v>0</v>
      </c>
      <c r="K3619" s="90">
        <f>+L3619-J3847</f>
        <v>507</v>
      </c>
      <c r="L3619" s="7">
        <v>507</v>
      </c>
      <c r="M3619" s="91">
        <f t="shared" ref="M3619:M3650" si="217">I3619/K3619*100</f>
        <v>73.706114398422102</v>
      </c>
    </row>
    <row r="3620" spans="1:19" ht="15.75" hidden="1" customHeight="1" x14ac:dyDescent="0.3">
      <c r="A3620" s="9">
        <v>5917</v>
      </c>
      <c r="B3620" t="s">
        <v>188</v>
      </c>
      <c r="C3620" s="25">
        <v>44725</v>
      </c>
      <c r="D3620" s="26">
        <v>0.92984953703703699</v>
      </c>
      <c r="E3620" t="s">
        <v>29</v>
      </c>
      <c r="F3620" t="s">
        <v>634</v>
      </c>
      <c r="G3620" t="s">
        <v>211</v>
      </c>
      <c r="H3620" t="s">
        <v>189</v>
      </c>
      <c r="I3620" s="8">
        <v>398.67</v>
      </c>
      <c r="J3620" s="32">
        <v>0</v>
      </c>
      <c r="K3620" s="90">
        <v>972</v>
      </c>
      <c r="L3620" s="7">
        <v>972</v>
      </c>
      <c r="M3620" s="91">
        <f t="shared" si="217"/>
        <v>41.015432098765437</v>
      </c>
      <c r="N3620" s="2"/>
      <c r="O3620" s="2"/>
      <c r="P3620" s="2"/>
      <c r="Q3620" s="2"/>
      <c r="R3620" s="2"/>
      <c r="S3620" s="2"/>
    </row>
    <row r="3621" spans="1:19" ht="15.75" hidden="1" customHeight="1" x14ac:dyDescent="0.3">
      <c r="A3621" s="9">
        <v>6087</v>
      </c>
      <c r="B3621" t="s">
        <v>188</v>
      </c>
      <c r="C3621" s="25">
        <v>44728</v>
      </c>
      <c r="D3621" s="26">
        <v>0.43907407407407412</v>
      </c>
      <c r="E3621" t="s">
        <v>29</v>
      </c>
      <c r="F3621" t="s">
        <v>639</v>
      </c>
      <c r="G3621" t="s">
        <v>44</v>
      </c>
      <c r="H3621" t="s">
        <v>189</v>
      </c>
      <c r="I3621" s="8">
        <v>226</v>
      </c>
      <c r="J3621" s="32">
        <v>0</v>
      </c>
      <c r="K3621" s="90">
        <v>1179</v>
      </c>
      <c r="L3621" s="7">
        <v>1179</v>
      </c>
      <c r="M3621" s="91">
        <f t="shared" si="217"/>
        <v>19.168787107718405</v>
      </c>
    </row>
    <row r="3622" spans="1:19" ht="15.75" hidden="1" customHeight="1" x14ac:dyDescent="0.3">
      <c r="B3622" t="s">
        <v>183</v>
      </c>
      <c r="C3622" s="25">
        <v>44572</v>
      </c>
      <c r="D3622" s="26">
        <v>0.83922453703703714</v>
      </c>
      <c r="E3622" t="s">
        <v>24</v>
      </c>
      <c r="F3622" t="s">
        <v>166</v>
      </c>
      <c r="G3622" t="s">
        <v>161</v>
      </c>
      <c r="H3622" t="s">
        <v>184</v>
      </c>
      <c r="I3622">
        <v>381.65</v>
      </c>
      <c r="J3622" s="51">
        <v>674418</v>
      </c>
      <c r="K3622" s="34">
        <f t="shared" ref="K3622:K3653" si="218">+L3622-J3622</f>
        <v>859</v>
      </c>
      <c r="L3622" s="51">
        <v>675277</v>
      </c>
      <c r="M3622" s="61">
        <f t="shared" si="217"/>
        <v>44.429569266589056</v>
      </c>
    </row>
    <row r="3623" spans="1:19" ht="15.75" hidden="1" customHeight="1" x14ac:dyDescent="0.3">
      <c r="B3623" t="s">
        <v>183</v>
      </c>
      <c r="C3623" s="25">
        <v>44573</v>
      </c>
      <c r="D3623" s="26">
        <v>0.65474537037037039</v>
      </c>
      <c r="E3623" t="s">
        <v>24</v>
      </c>
      <c r="F3623" t="s">
        <v>165</v>
      </c>
      <c r="G3623" t="s">
        <v>185</v>
      </c>
      <c r="H3623" t="s">
        <v>184</v>
      </c>
      <c r="I3623">
        <v>305.37</v>
      </c>
      <c r="J3623" s="39">
        <v>675277</v>
      </c>
      <c r="K3623" s="7">
        <f t="shared" si="218"/>
        <v>651</v>
      </c>
      <c r="L3623" s="11">
        <v>675928</v>
      </c>
      <c r="M3623" s="10">
        <f t="shared" si="217"/>
        <v>46.907834101382491</v>
      </c>
    </row>
    <row r="3624" spans="1:19" ht="15.75" hidden="1" customHeight="1" x14ac:dyDescent="0.3">
      <c r="B3624" t="s">
        <v>183</v>
      </c>
      <c r="C3624" s="25">
        <v>44574</v>
      </c>
      <c r="D3624" s="26">
        <v>0.84525462962962961</v>
      </c>
      <c r="E3624" t="s">
        <v>24</v>
      </c>
      <c r="F3624" t="s">
        <v>210</v>
      </c>
      <c r="G3624" t="s">
        <v>211</v>
      </c>
      <c r="H3624" t="s">
        <v>184</v>
      </c>
      <c r="I3624">
        <v>221.26</v>
      </c>
      <c r="J3624" s="39">
        <v>675928</v>
      </c>
      <c r="K3624" s="7">
        <f t="shared" si="218"/>
        <v>594</v>
      </c>
      <c r="L3624" s="28">
        <v>676522</v>
      </c>
      <c r="M3624" s="10">
        <f t="shared" si="217"/>
        <v>37.249158249158249</v>
      </c>
    </row>
    <row r="3625" spans="1:19" ht="15.75" hidden="1" customHeight="1" x14ac:dyDescent="0.3">
      <c r="B3625" t="s">
        <v>183</v>
      </c>
      <c r="C3625" s="25">
        <v>44576</v>
      </c>
      <c r="D3625" s="26">
        <v>0.4583564814814815</v>
      </c>
      <c r="E3625" t="s">
        <v>24</v>
      </c>
      <c r="F3625" t="s">
        <v>175</v>
      </c>
      <c r="G3625" t="s">
        <v>172</v>
      </c>
      <c r="H3625" t="s">
        <v>184</v>
      </c>
      <c r="I3625">
        <v>346.6</v>
      </c>
      <c r="J3625" s="39">
        <v>676522</v>
      </c>
      <c r="K3625" s="7">
        <f t="shared" si="218"/>
        <v>976</v>
      </c>
      <c r="L3625" s="11">
        <v>677498</v>
      </c>
      <c r="M3625" s="10">
        <f t="shared" si="217"/>
        <v>35.512295081967217</v>
      </c>
    </row>
    <row r="3626" spans="1:19" ht="15.75" hidden="1" customHeight="1" x14ac:dyDescent="0.3">
      <c r="B3626" t="s">
        <v>183</v>
      </c>
      <c r="C3626" s="25">
        <v>44577</v>
      </c>
      <c r="D3626" s="26">
        <v>0.55863425925925925</v>
      </c>
      <c r="E3626" t="s">
        <v>24</v>
      </c>
      <c r="F3626" t="s">
        <v>210</v>
      </c>
      <c r="G3626" t="s">
        <v>211</v>
      </c>
      <c r="H3626" t="s">
        <v>184</v>
      </c>
      <c r="I3626">
        <v>411.21</v>
      </c>
      <c r="J3626" s="7">
        <v>677498</v>
      </c>
      <c r="K3626" s="34">
        <f t="shared" si="218"/>
        <v>857</v>
      </c>
      <c r="L3626" s="34">
        <v>678355</v>
      </c>
      <c r="M3626" s="10">
        <f t="shared" si="217"/>
        <v>47.982497082847139</v>
      </c>
    </row>
    <row r="3627" spans="1:19" ht="15.75" hidden="1" customHeight="1" x14ac:dyDescent="0.3">
      <c r="B3627" t="s">
        <v>183</v>
      </c>
      <c r="C3627" s="25">
        <v>44578</v>
      </c>
      <c r="D3627" s="26">
        <v>0.59035879629629628</v>
      </c>
      <c r="E3627" t="s">
        <v>24</v>
      </c>
      <c r="F3627" t="s">
        <v>210</v>
      </c>
      <c r="G3627" t="s">
        <v>211</v>
      </c>
      <c r="H3627" t="s">
        <v>184</v>
      </c>
      <c r="I3627">
        <v>429.63</v>
      </c>
      <c r="J3627" s="7">
        <v>678355</v>
      </c>
      <c r="K3627" s="7">
        <f t="shared" si="218"/>
        <v>1095</v>
      </c>
      <c r="L3627" s="7">
        <v>679450</v>
      </c>
      <c r="M3627" s="10">
        <f t="shared" si="217"/>
        <v>39.235616438356161</v>
      </c>
    </row>
    <row r="3628" spans="1:19" ht="16.5" hidden="1" customHeight="1" x14ac:dyDescent="0.3">
      <c r="B3628" t="s">
        <v>183</v>
      </c>
      <c r="C3628" s="25">
        <v>44579</v>
      </c>
      <c r="D3628" s="26">
        <v>0.77159722222222227</v>
      </c>
      <c r="E3628" t="s">
        <v>24</v>
      </c>
      <c r="F3628" t="s">
        <v>175</v>
      </c>
      <c r="G3628" t="s">
        <v>172</v>
      </c>
      <c r="H3628" t="s">
        <v>184</v>
      </c>
      <c r="I3628">
        <v>407.03</v>
      </c>
      <c r="J3628" s="31">
        <v>679450</v>
      </c>
      <c r="K3628" s="31">
        <f t="shared" si="218"/>
        <v>1036</v>
      </c>
      <c r="L3628" s="7">
        <v>680486</v>
      </c>
      <c r="M3628" s="10">
        <f t="shared" si="217"/>
        <v>39.288610038610031</v>
      </c>
    </row>
    <row r="3629" spans="1:19" ht="15.75" hidden="1" customHeight="1" x14ac:dyDescent="0.3">
      <c r="B3629" t="s">
        <v>183</v>
      </c>
      <c r="C3629" s="25">
        <v>44580</v>
      </c>
      <c r="D3629" s="26">
        <v>0.6601041666666666</v>
      </c>
      <c r="E3629" t="s">
        <v>24</v>
      </c>
      <c r="F3629" t="s">
        <v>210</v>
      </c>
      <c r="G3629" t="s">
        <v>211</v>
      </c>
      <c r="H3629" t="s">
        <v>184</v>
      </c>
      <c r="I3629">
        <v>344.32</v>
      </c>
      <c r="J3629" s="7">
        <v>680486</v>
      </c>
      <c r="K3629" s="11">
        <f t="shared" si="218"/>
        <v>857</v>
      </c>
      <c r="L3629" s="7">
        <v>681343</v>
      </c>
      <c r="M3629" s="10">
        <f t="shared" si="217"/>
        <v>40.177362893815634</v>
      </c>
    </row>
    <row r="3630" spans="1:19" ht="15.75" hidden="1" customHeight="1" x14ac:dyDescent="0.3">
      <c r="B3630" t="s">
        <v>183</v>
      </c>
      <c r="C3630" s="25">
        <v>44581</v>
      </c>
      <c r="D3630" s="26">
        <v>0.59908564814814813</v>
      </c>
      <c r="E3630" t="s">
        <v>24</v>
      </c>
      <c r="F3630" t="s">
        <v>210</v>
      </c>
      <c r="G3630" t="s">
        <v>211</v>
      </c>
      <c r="H3630" t="s">
        <v>184</v>
      </c>
      <c r="I3630">
        <v>416.41</v>
      </c>
      <c r="J3630" s="34">
        <v>681343</v>
      </c>
      <c r="K3630" s="11">
        <f t="shared" si="218"/>
        <v>1096</v>
      </c>
      <c r="L3630" s="7">
        <v>682439</v>
      </c>
      <c r="M3630" s="10">
        <f t="shared" si="217"/>
        <v>37.993613138686136</v>
      </c>
    </row>
    <row r="3631" spans="1:19" ht="15.75" hidden="1" customHeight="1" x14ac:dyDescent="0.3">
      <c r="B3631" t="s">
        <v>183</v>
      </c>
      <c r="C3631" s="25">
        <v>44582</v>
      </c>
      <c r="D3631" s="26">
        <v>0.6894097222222223</v>
      </c>
      <c r="E3631" t="s">
        <v>24</v>
      </c>
      <c r="F3631" t="s">
        <v>175</v>
      </c>
      <c r="G3631" t="s">
        <v>172</v>
      </c>
      <c r="H3631" t="s">
        <v>184</v>
      </c>
      <c r="I3631">
        <v>340.93</v>
      </c>
      <c r="J3631" s="7">
        <v>682439</v>
      </c>
      <c r="K3631" s="11">
        <f t="shared" si="218"/>
        <v>1002</v>
      </c>
      <c r="L3631" s="7">
        <v>683441</v>
      </c>
      <c r="M3631" s="10">
        <f t="shared" si="217"/>
        <v>34.0249500998004</v>
      </c>
    </row>
    <row r="3632" spans="1:19" ht="15.75" hidden="1" customHeight="1" x14ac:dyDescent="0.3">
      <c r="B3632" t="s">
        <v>183</v>
      </c>
      <c r="C3632" s="25">
        <v>44591</v>
      </c>
      <c r="D3632" s="26">
        <v>0.55896990740740737</v>
      </c>
      <c r="E3632" t="s">
        <v>24</v>
      </c>
      <c r="F3632" t="s">
        <v>210</v>
      </c>
      <c r="G3632" t="s">
        <v>211</v>
      </c>
      <c r="H3632" t="s">
        <v>184</v>
      </c>
      <c r="I3632">
        <v>402.9</v>
      </c>
      <c r="J3632" s="34">
        <v>683441</v>
      </c>
      <c r="K3632" s="11">
        <f t="shared" si="218"/>
        <v>886</v>
      </c>
      <c r="L3632" s="7">
        <v>684327</v>
      </c>
      <c r="M3632" s="10">
        <f t="shared" si="217"/>
        <v>45.474040632054177</v>
      </c>
    </row>
    <row r="3633" spans="1:13" ht="15.75" hidden="1" customHeight="1" x14ac:dyDescent="0.3">
      <c r="B3633" t="s">
        <v>183</v>
      </c>
      <c r="C3633" s="25">
        <v>44592</v>
      </c>
      <c r="D3633" s="26">
        <v>0.54101851851851845</v>
      </c>
      <c r="E3633" t="s">
        <v>24</v>
      </c>
      <c r="F3633" t="s">
        <v>210</v>
      </c>
      <c r="G3633" t="s">
        <v>211</v>
      </c>
      <c r="H3633" t="s">
        <v>184</v>
      </c>
      <c r="I3633">
        <v>431.6</v>
      </c>
      <c r="J3633" s="7">
        <v>0</v>
      </c>
      <c r="K3633" s="7">
        <f t="shared" si="218"/>
        <v>1063.76</v>
      </c>
      <c r="L3633" s="7">
        <v>1063.76</v>
      </c>
      <c r="M3633" s="36">
        <f t="shared" si="217"/>
        <v>40.573061592840496</v>
      </c>
    </row>
    <row r="3634" spans="1:13" ht="15.75" hidden="1" customHeight="1" x14ac:dyDescent="0.3">
      <c r="A3634" s="9">
        <v>246</v>
      </c>
      <c r="B3634" t="s">
        <v>183</v>
      </c>
      <c r="C3634" s="25">
        <v>44593</v>
      </c>
      <c r="D3634" s="26">
        <v>0.62350694444444443</v>
      </c>
      <c r="E3634" t="s">
        <v>25</v>
      </c>
      <c r="F3634" t="s">
        <v>391</v>
      </c>
      <c r="G3634" t="s">
        <v>392</v>
      </c>
      <c r="H3634" t="s">
        <v>184</v>
      </c>
      <c r="I3634">
        <v>359.75</v>
      </c>
      <c r="J3634" s="7">
        <v>0</v>
      </c>
      <c r="K3634" s="7">
        <f t="shared" si="218"/>
        <v>908.28</v>
      </c>
      <c r="L3634" s="7">
        <v>908.28</v>
      </c>
      <c r="M3634" s="36">
        <f t="shared" si="217"/>
        <v>39.607830184524595</v>
      </c>
    </row>
    <row r="3635" spans="1:13" ht="15.75" hidden="1" customHeight="1" x14ac:dyDescent="0.3">
      <c r="A3635" s="9">
        <v>247</v>
      </c>
      <c r="B3635" t="s">
        <v>183</v>
      </c>
      <c r="C3635" s="25">
        <v>44594</v>
      </c>
      <c r="D3635" s="26">
        <v>0.66993055555555558</v>
      </c>
      <c r="E3635" t="s">
        <v>25</v>
      </c>
      <c r="F3635" t="s">
        <v>210</v>
      </c>
      <c r="G3635" t="s">
        <v>211</v>
      </c>
      <c r="H3635" t="s">
        <v>184</v>
      </c>
      <c r="I3635">
        <v>347.26</v>
      </c>
      <c r="J3635" s="32">
        <v>0</v>
      </c>
      <c r="K3635" s="32">
        <f t="shared" si="218"/>
        <v>846.94</v>
      </c>
      <c r="L3635" s="7">
        <v>846.94</v>
      </c>
      <c r="M3635" s="36">
        <f t="shared" si="217"/>
        <v>41.001723852929366</v>
      </c>
    </row>
    <row r="3636" spans="1:13" ht="15.75" hidden="1" customHeight="1" x14ac:dyDescent="0.3">
      <c r="A3636" s="9">
        <v>248</v>
      </c>
      <c r="B3636" t="s">
        <v>183</v>
      </c>
      <c r="C3636" s="25">
        <v>44595</v>
      </c>
      <c r="D3636" s="26">
        <v>0.93307870370370372</v>
      </c>
      <c r="E3636" t="s">
        <v>25</v>
      </c>
      <c r="F3636" t="s">
        <v>210</v>
      </c>
      <c r="G3636" t="s">
        <v>211</v>
      </c>
      <c r="H3636" t="s">
        <v>184</v>
      </c>
      <c r="I3636">
        <v>401.68</v>
      </c>
      <c r="J3636" s="32">
        <v>0</v>
      </c>
      <c r="K3636" s="32">
        <f t="shared" si="218"/>
        <v>1063.26</v>
      </c>
      <c r="L3636" s="7">
        <v>1063.26</v>
      </c>
      <c r="M3636" s="36">
        <f t="shared" si="217"/>
        <v>37.778153979271302</v>
      </c>
    </row>
    <row r="3637" spans="1:13" ht="15.75" hidden="1" customHeight="1" x14ac:dyDescent="0.3">
      <c r="A3637" s="9">
        <v>249</v>
      </c>
      <c r="B3637" t="s">
        <v>183</v>
      </c>
      <c r="C3637" s="25">
        <v>44596</v>
      </c>
      <c r="D3637" s="26">
        <v>0.77519675925925924</v>
      </c>
      <c r="E3637" t="s">
        <v>25</v>
      </c>
      <c r="F3637" t="s">
        <v>391</v>
      </c>
      <c r="G3637" t="s">
        <v>392</v>
      </c>
      <c r="H3637" t="s">
        <v>184</v>
      </c>
      <c r="I3637">
        <v>365.95</v>
      </c>
      <c r="J3637" s="32">
        <v>0</v>
      </c>
      <c r="K3637" s="67">
        <f t="shared" si="218"/>
        <v>917.31</v>
      </c>
      <c r="L3637" s="30">
        <v>917.31</v>
      </c>
      <c r="M3637" s="10">
        <f t="shared" si="217"/>
        <v>39.89381997361852</v>
      </c>
    </row>
    <row r="3638" spans="1:13" ht="15.75" hidden="1" customHeight="1" x14ac:dyDescent="0.3">
      <c r="A3638" s="9">
        <v>250</v>
      </c>
      <c r="B3638" t="s">
        <v>183</v>
      </c>
      <c r="C3638" s="25">
        <v>44598</v>
      </c>
      <c r="D3638" s="26">
        <v>0.51343749999999999</v>
      </c>
      <c r="E3638" t="s">
        <v>25</v>
      </c>
      <c r="F3638" t="s">
        <v>210</v>
      </c>
      <c r="G3638" t="s">
        <v>211</v>
      </c>
      <c r="H3638" t="s">
        <v>184</v>
      </c>
      <c r="I3638">
        <v>390.48</v>
      </c>
      <c r="J3638" s="32">
        <v>0</v>
      </c>
      <c r="K3638" s="53">
        <f t="shared" si="218"/>
        <v>844.96</v>
      </c>
      <c r="L3638" s="28">
        <v>844.96</v>
      </c>
      <c r="M3638" s="10">
        <f t="shared" si="217"/>
        <v>46.212838477561071</v>
      </c>
    </row>
    <row r="3639" spans="1:13" ht="15.75" hidden="1" customHeight="1" x14ac:dyDescent="0.3">
      <c r="A3639" s="9">
        <v>251</v>
      </c>
      <c r="B3639" t="s">
        <v>183</v>
      </c>
      <c r="C3639" s="25">
        <v>44599</v>
      </c>
      <c r="D3639" s="26">
        <v>0.42657407407407405</v>
      </c>
      <c r="E3639" t="s">
        <v>25</v>
      </c>
      <c r="F3639" t="s">
        <v>210</v>
      </c>
      <c r="G3639" t="s">
        <v>211</v>
      </c>
      <c r="H3639" t="s">
        <v>184</v>
      </c>
      <c r="I3639">
        <v>432.74</v>
      </c>
      <c r="J3639" s="32">
        <v>0</v>
      </c>
      <c r="K3639" s="53">
        <f t="shared" si="218"/>
        <v>1062.76</v>
      </c>
      <c r="L3639" s="7">
        <v>1062.76</v>
      </c>
      <c r="M3639" s="10">
        <f t="shared" si="217"/>
        <v>40.718506530166735</v>
      </c>
    </row>
    <row r="3640" spans="1:13" ht="15.75" hidden="1" customHeight="1" x14ac:dyDescent="0.3">
      <c r="A3640" s="9">
        <v>252</v>
      </c>
      <c r="B3640" t="s">
        <v>183</v>
      </c>
      <c r="C3640" s="25">
        <v>44600</v>
      </c>
      <c r="D3640" s="26">
        <v>0.38833333333333336</v>
      </c>
      <c r="E3640" t="s">
        <v>25</v>
      </c>
      <c r="F3640" t="s">
        <v>428</v>
      </c>
      <c r="G3640" t="s">
        <v>429</v>
      </c>
      <c r="H3640" t="s">
        <v>184</v>
      </c>
      <c r="I3640">
        <v>359.6</v>
      </c>
      <c r="J3640" s="32">
        <v>0</v>
      </c>
      <c r="K3640" s="53">
        <f t="shared" si="218"/>
        <v>941.44</v>
      </c>
      <c r="L3640" s="7">
        <v>941.44</v>
      </c>
      <c r="M3640" s="10">
        <f t="shared" si="217"/>
        <v>38.196804894629501</v>
      </c>
    </row>
    <row r="3641" spans="1:13" ht="15.75" hidden="1" customHeight="1" x14ac:dyDescent="0.3">
      <c r="A3641" s="9">
        <v>253</v>
      </c>
      <c r="B3641" t="s">
        <v>183</v>
      </c>
      <c r="C3641" s="25">
        <v>44601</v>
      </c>
      <c r="D3641" s="26">
        <v>1.2025462962962962E-2</v>
      </c>
      <c r="E3641" t="s">
        <v>25</v>
      </c>
      <c r="F3641" t="s">
        <v>210</v>
      </c>
      <c r="G3641" t="s">
        <v>211</v>
      </c>
      <c r="H3641" t="s">
        <v>184</v>
      </c>
      <c r="I3641">
        <v>339.24</v>
      </c>
      <c r="J3641" s="32">
        <v>0</v>
      </c>
      <c r="K3641" s="53">
        <f t="shared" si="218"/>
        <v>818.18</v>
      </c>
      <c r="L3641" s="7">
        <v>818.18</v>
      </c>
      <c r="M3641" s="10">
        <f t="shared" si="217"/>
        <v>41.462758806130687</v>
      </c>
    </row>
    <row r="3642" spans="1:13" hidden="1" x14ac:dyDescent="0.3">
      <c r="A3642" s="9">
        <v>254</v>
      </c>
      <c r="B3642" t="s">
        <v>183</v>
      </c>
      <c r="C3642" s="25">
        <v>44602</v>
      </c>
      <c r="D3642" s="26">
        <v>0.41362268518518519</v>
      </c>
      <c r="E3642" t="s">
        <v>25</v>
      </c>
      <c r="F3642" t="s">
        <v>210</v>
      </c>
      <c r="G3642" t="s">
        <v>211</v>
      </c>
      <c r="H3642" t="s">
        <v>184</v>
      </c>
      <c r="I3642">
        <v>434.6</v>
      </c>
      <c r="J3642" s="32">
        <v>0</v>
      </c>
      <c r="K3642" s="32">
        <f t="shared" si="218"/>
        <v>1062.7</v>
      </c>
      <c r="L3642" s="7">
        <v>1062.7</v>
      </c>
      <c r="M3642" s="36">
        <f t="shared" si="217"/>
        <v>40.895831372918039</v>
      </c>
    </row>
    <row r="3643" spans="1:13" ht="15.75" hidden="1" customHeight="1" x14ac:dyDescent="0.3">
      <c r="A3643" s="9">
        <v>255</v>
      </c>
      <c r="B3643" t="s">
        <v>183</v>
      </c>
      <c r="C3643" s="25">
        <v>44603</v>
      </c>
      <c r="D3643" s="26">
        <v>0.77243055555555562</v>
      </c>
      <c r="E3643" t="s">
        <v>25</v>
      </c>
      <c r="F3643" t="s">
        <v>175</v>
      </c>
      <c r="G3643" t="s">
        <v>172</v>
      </c>
      <c r="H3643" t="s">
        <v>184</v>
      </c>
      <c r="I3643">
        <v>436.94</v>
      </c>
      <c r="J3643" s="32">
        <v>0</v>
      </c>
      <c r="K3643" s="32">
        <f t="shared" si="218"/>
        <v>1062.3599999999999</v>
      </c>
      <c r="L3643" s="7">
        <v>1062.3599999999999</v>
      </c>
      <c r="M3643" s="36">
        <f t="shared" si="217"/>
        <v>41.129184080725935</v>
      </c>
    </row>
    <row r="3644" spans="1:13" ht="15.75" hidden="1" customHeight="1" x14ac:dyDescent="0.3">
      <c r="A3644" s="9">
        <v>256</v>
      </c>
      <c r="B3644" t="s">
        <v>183</v>
      </c>
      <c r="C3644" s="25">
        <v>44604</v>
      </c>
      <c r="D3644" s="26">
        <v>0.86109953703703701</v>
      </c>
      <c r="E3644" t="s">
        <v>25</v>
      </c>
      <c r="F3644" t="s">
        <v>210</v>
      </c>
      <c r="G3644" t="s">
        <v>211</v>
      </c>
      <c r="H3644" t="s">
        <v>184</v>
      </c>
      <c r="I3644">
        <v>412.93</v>
      </c>
      <c r="J3644" s="32">
        <v>0</v>
      </c>
      <c r="K3644" s="32">
        <f t="shared" si="218"/>
        <v>901.9</v>
      </c>
      <c r="L3644" s="7">
        <v>901.9</v>
      </c>
      <c r="M3644" s="36">
        <f t="shared" si="217"/>
        <v>45.784455039361347</v>
      </c>
    </row>
    <row r="3645" spans="1:13" ht="15.75" hidden="1" customHeight="1" x14ac:dyDescent="0.3">
      <c r="A3645" s="9">
        <v>257</v>
      </c>
      <c r="B3645" t="s">
        <v>183</v>
      </c>
      <c r="C3645" s="25">
        <v>44605</v>
      </c>
      <c r="D3645" s="26">
        <v>0.91958333333333331</v>
      </c>
      <c r="E3645" t="s">
        <v>25</v>
      </c>
      <c r="F3645" t="s">
        <v>210</v>
      </c>
      <c r="G3645" t="s">
        <v>211</v>
      </c>
      <c r="H3645" t="s">
        <v>184</v>
      </c>
      <c r="I3645">
        <v>400.01</v>
      </c>
      <c r="J3645" s="32">
        <v>0</v>
      </c>
      <c r="K3645" s="32">
        <f t="shared" si="218"/>
        <v>1062.33</v>
      </c>
      <c r="L3645" s="11">
        <v>1062.33</v>
      </c>
      <c r="M3645" s="36">
        <f t="shared" si="217"/>
        <v>37.654024643943032</v>
      </c>
    </row>
    <row r="3646" spans="1:13" ht="15.75" hidden="1" customHeight="1" x14ac:dyDescent="0.3">
      <c r="A3646" s="9">
        <v>258</v>
      </c>
      <c r="B3646" t="s">
        <v>183</v>
      </c>
      <c r="C3646" s="25">
        <v>44607</v>
      </c>
      <c r="D3646" s="26">
        <v>0.35130787037037042</v>
      </c>
      <c r="E3646" t="s">
        <v>25</v>
      </c>
      <c r="F3646" t="s">
        <v>428</v>
      </c>
      <c r="G3646" t="s">
        <v>429</v>
      </c>
      <c r="H3646" t="s">
        <v>184</v>
      </c>
      <c r="I3646">
        <v>370.03</v>
      </c>
      <c r="J3646" s="32">
        <v>0</v>
      </c>
      <c r="K3646" s="32">
        <f t="shared" si="218"/>
        <v>900.78</v>
      </c>
      <c r="L3646" s="68">
        <v>900.78</v>
      </c>
      <c r="M3646" s="10">
        <f t="shared" si="217"/>
        <v>41.078842780701166</v>
      </c>
    </row>
    <row r="3647" spans="1:13" ht="15.75" hidden="1" customHeight="1" x14ac:dyDescent="0.3">
      <c r="A3647" s="9">
        <v>259</v>
      </c>
      <c r="B3647" t="s">
        <v>183</v>
      </c>
      <c r="C3647" s="25">
        <v>44608</v>
      </c>
      <c r="D3647" s="26">
        <v>0.34260416666666665</v>
      </c>
      <c r="E3647" t="s">
        <v>25</v>
      </c>
      <c r="F3647" t="s">
        <v>210</v>
      </c>
      <c r="G3647" t="s">
        <v>211</v>
      </c>
      <c r="H3647" t="s">
        <v>184</v>
      </c>
      <c r="I3647">
        <v>364.85</v>
      </c>
      <c r="J3647" s="32">
        <v>0</v>
      </c>
      <c r="K3647" s="69">
        <f t="shared" si="218"/>
        <v>827.5</v>
      </c>
      <c r="L3647" s="32">
        <v>827.5</v>
      </c>
      <c r="M3647" s="36">
        <f t="shared" si="217"/>
        <v>44.090634441087616</v>
      </c>
    </row>
    <row r="3648" spans="1:13" ht="15.75" hidden="1" customHeight="1" x14ac:dyDescent="0.3">
      <c r="A3648" s="9">
        <v>260</v>
      </c>
      <c r="B3648" t="s">
        <v>183</v>
      </c>
      <c r="C3648" s="25">
        <v>44609</v>
      </c>
      <c r="D3648" s="26">
        <v>0.27179398148148148</v>
      </c>
      <c r="E3648" t="s">
        <v>25</v>
      </c>
      <c r="F3648" t="s">
        <v>278</v>
      </c>
      <c r="G3648" t="s">
        <v>279</v>
      </c>
      <c r="H3648" t="s">
        <v>184</v>
      </c>
      <c r="I3648">
        <v>350.1</v>
      </c>
      <c r="J3648" s="38">
        <v>0</v>
      </c>
      <c r="K3648" s="112">
        <f t="shared" si="218"/>
        <v>746.79</v>
      </c>
      <c r="L3648" s="31">
        <v>746.79</v>
      </c>
      <c r="M3648" s="121">
        <f t="shared" si="217"/>
        <v>46.880649178483921</v>
      </c>
    </row>
    <row r="3649" spans="1:13" ht="15.75" hidden="1" customHeight="1" x14ac:dyDescent="0.3">
      <c r="A3649" s="9">
        <v>261</v>
      </c>
      <c r="B3649" t="s">
        <v>183</v>
      </c>
      <c r="C3649" s="25">
        <v>44610</v>
      </c>
      <c r="D3649" s="26">
        <v>0.92005787037037035</v>
      </c>
      <c r="E3649" t="s">
        <v>25</v>
      </c>
      <c r="F3649" t="s">
        <v>175</v>
      </c>
      <c r="G3649" t="s">
        <v>172</v>
      </c>
      <c r="H3649" t="s">
        <v>184</v>
      </c>
      <c r="I3649">
        <v>537.88</v>
      </c>
      <c r="J3649" s="32">
        <v>0</v>
      </c>
      <c r="K3649" s="32">
        <f t="shared" si="218"/>
        <v>1384.51</v>
      </c>
      <c r="L3649" s="32">
        <v>1384.51</v>
      </c>
      <c r="M3649" s="91">
        <f t="shared" si="217"/>
        <v>38.849845793818751</v>
      </c>
    </row>
    <row r="3650" spans="1:13" ht="15.75" hidden="1" customHeight="1" x14ac:dyDescent="0.3">
      <c r="A3650" s="9">
        <v>1297</v>
      </c>
      <c r="B3650" t="s">
        <v>183</v>
      </c>
      <c r="C3650" s="25">
        <v>44631</v>
      </c>
      <c r="D3650" s="26">
        <v>0.56859953703703703</v>
      </c>
      <c r="E3650" t="s">
        <v>26</v>
      </c>
      <c r="F3650" t="s">
        <v>210</v>
      </c>
      <c r="G3650" t="s">
        <v>211</v>
      </c>
      <c r="H3650" t="s">
        <v>184</v>
      </c>
      <c r="I3650">
        <v>530.79999999999995</v>
      </c>
      <c r="J3650" s="32">
        <v>0</v>
      </c>
      <c r="K3650" s="90">
        <f t="shared" si="218"/>
        <v>1193.83</v>
      </c>
      <c r="L3650" s="32">
        <v>1193.83</v>
      </c>
      <c r="M3650" s="91">
        <f t="shared" si="217"/>
        <v>44.461941817511708</v>
      </c>
    </row>
    <row r="3651" spans="1:13" ht="15.75" hidden="1" customHeight="1" x14ac:dyDescent="0.3">
      <c r="A3651" s="9">
        <v>1298</v>
      </c>
      <c r="B3651" t="s">
        <v>183</v>
      </c>
      <c r="C3651" s="25">
        <v>44633</v>
      </c>
      <c r="D3651" s="26">
        <v>0.61885416666666659</v>
      </c>
      <c r="E3651" t="s">
        <v>26</v>
      </c>
      <c r="F3651" t="s">
        <v>210</v>
      </c>
      <c r="G3651" t="s">
        <v>211</v>
      </c>
      <c r="H3651" t="s">
        <v>184</v>
      </c>
      <c r="I3651">
        <v>341.65</v>
      </c>
      <c r="J3651" s="32">
        <v>0</v>
      </c>
      <c r="K3651" s="90">
        <f t="shared" si="218"/>
        <v>889.1</v>
      </c>
      <c r="L3651" s="32">
        <v>889.1</v>
      </c>
      <c r="M3651" s="91">
        <f t="shared" ref="M3651:M3682" si="219">I3651/K3651*100</f>
        <v>38.42649870655719</v>
      </c>
    </row>
    <row r="3652" spans="1:13" ht="15.75" hidden="1" customHeight="1" x14ac:dyDescent="0.3">
      <c r="A3652" s="9">
        <v>1299</v>
      </c>
      <c r="B3652" t="s">
        <v>183</v>
      </c>
      <c r="C3652" s="25">
        <v>44635</v>
      </c>
      <c r="D3652" s="26">
        <v>0.73325231481481479</v>
      </c>
      <c r="E3652" t="s">
        <v>26</v>
      </c>
      <c r="F3652" t="s">
        <v>391</v>
      </c>
      <c r="G3652" t="s">
        <v>392</v>
      </c>
      <c r="H3652" t="s">
        <v>184</v>
      </c>
      <c r="I3652">
        <v>420.01</v>
      </c>
      <c r="J3652" s="32">
        <v>0</v>
      </c>
      <c r="K3652" s="90">
        <f t="shared" si="218"/>
        <v>1094.3499999999999</v>
      </c>
      <c r="L3652" s="32">
        <v>1094.3499999999999</v>
      </c>
      <c r="M3652" s="91">
        <f t="shared" si="219"/>
        <v>38.379860190980949</v>
      </c>
    </row>
    <row r="3653" spans="1:13" ht="15.75" hidden="1" customHeight="1" x14ac:dyDescent="0.3">
      <c r="A3653" s="9">
        <v>1300</v>
      </c>
      <c r="B3653" t="s">
        <v>183</v>
      </c>
      <c r="C3653" s="25">
        <v>44636</v>
      </c>
      <c r="D3653" s="26">
        <v>0.81254629629629627</v>
      </c>
      <c r="E3653" t="s">
        <v>26</v>
      </c>
      <c r="F3653" t="s">
        <v>210</v>
      </c>
      <c r="G3653" t="s">
        <v>211</v>
      </c>
      <c r="H3653" t="s">
        <v>184</v>
      </c>
      <c r="I3653">
        <v>344.2</v>
      </c>
      <c r="J3653" s="32">
        <v>0</v>
      </c>
      <c r="K3653" s="90">
        <f t="shared" si="218"/>
        <v>811.89</v>
      </c>
      <c r="L3653" s="32">
        <v>811.89</v>
      </c>
      <c r="M3653" s="91">
        <f t="shared" si="219"/>
        <v>42.39490571382823</v>
      </c>
    </row>
    <row r="3654" spans="1:13" ht="15.75" hidden="1" customHeight="1" x14ac:dyDescent="0.3">
      <c r="A3654" s="9">
        <v>1301</v>
      </c>
      <c r="B3654" t="s">
        <v>183</v>
      </c>
      <c r="C3654" s="25">
        <v>44637</v>
      </c>
      <c r="D3654" s="26">
        <v>0.98603009259259267</v>
      </c>
      <c r="E3654" t="s">
        <v>26</v>
      </c>
      <c r="F3654" t="s">
        <v>210</v>
      </c>
      <c r="G3654" t="s">
        <v>211</v>
      </c>
      <c r="H3654" t="s">
        <v>184</v>
      </c>
      <c r="I3654">
        <v>403.66</v>
      </c>
      <c r="J3654" s="41">
        <v>0</v>
      </c>
      <c r="K3654" s="99">
        <f t="shared" ref="K3654:K3684" si="220">+L3654-J3654</f>
        <v>1063.26</v>
      </c>
      <c r="L3654" s="53">
        <v>1063.26</v>
      </c>
      <c r="M3654" s="36">
        <f t="shared" si="219"/>
        <v>37.964373718563664</v>
      </c>
    </row>
    <row r="3655" spans="1:13" ht="15.75" hidden="1" customHeight="1" x14ac:dyDescent="0.3">
      <c r="A3655" s="9">
        <v>1302</v>
      </c>
      <c r="B3655" t="s">
        <v>183</v>
      </c>
      <c r="C3655" s="25">
        <v>44639</v>
      </c>
      <c r="D3655" s="26">
        <v>0.40049768518518519</v>
      </c>
      <c r="E3655" t="s">
        <v>26</v>
      </c>
      <c r="F3655" t="s">
        <v>391</v>
      </c>
      <c r="G3655" t="s">
        <v>392</v>
      </c>
      <c r="H3655" t="s">
        <v>184</v>
      </c>
      <c r="I3655">
        <f>200.99+133.83</f>
        <v>334.82000000000005</v>
      </c>
      <c r="J3655" s="41">
        <v>0</v>
      </c>
      <c r="K3655" s="90">
        <f t="shared" si="220"/>
        <v>955.9</v>
      </c>
      <c r="L3655" s="53">
        <v>955.9</v>
      </c>
      <c r="M3655" s="36">
        <f t="shared" si="219"/>
        <v>35.026676430588985</v>
      </c>
    </row>
    <row r="3656" spans="1:13" ht="15.75" hidden="1" customHeight="1" x14ac:dyDescent="0.3">
      <c r="A3656" s="9">
        <v>1303</v>
      </c>
      <c r="B3656" t="s">
        <v>183</v>
      </c>
      <c r="C3656" s="25">
        <v>44641</v>
      </c>
      <c r="D3656" s="26">
        <v>0.99488425925925927</v>
      </c>
      <c r="E3656" t="s">
        <v>26</v>
      </c>
      <c r="F3656" t="s">
        <v>311</v>
      </c>
      <c r="G3656" t="s">
        <v>303</v>
      </c>
      <c r="H3656" t="s">
        <v>184</v>
      </c>
      <c r="I3656">
        <v>230.74</v>
      </c>
      <c r="J3656" s="41">
        <v>0</v>
      </c>
      <c r="K3656" s="90">
        <f t="shared" si="220"/>
        <v>551.73</v>
      </c>
      <c r="L3656" s="53">
        <v>551.73</v>
      </c>
      <c r="M3656" s="36">
        <f t="shared" si="219"/>
        <v>41.8211806499556</v>
      </c>
    </row>
    <row r="3657" spans="1:13" ht="15.75" hidden="1" customHeight="1" x14ac:dyDescent="0.3">
      <c r="A3657" s="9">
        <v>1304</v>
      </c>
      <c r="B3657" t="s">
        <v>183</v>
      </c>
      <c r="C3657" s="25">
        <v>44642</v>
      </c>
      <c r="D3657" s="26">
        <v>0.58408564814814812</v>
      </c>
      <c r="E3657" t="s">
        <v>26</v>
      </c>
      <c r="F3657" t="s">
        <v>210</v>
      </c>
      <c r="G3657" t="s">
        <v>211</v>
      </c>
      <c r="H3657" t="s">
        <v>184</v>
      </c>
      <c r="I3657">
        <v>194.04</v>
      </c>
      <c r="J3657" s="41">
        <v>0</v>
      </c>
      <c r="K3657" s="90">
        <f t="shared" si="220"/>
        <v>432.48</v>
      </c>
      <c r="L3657" s="53">
        <v>432.48</v>
      </c>
      <c r="M3657" s="36">
        <f t="shared" si="219"/>
        <v>44.866814650388456</v>
      </c>
    </row>
    <row r="3658" spans="1:13" ht="15.75" hidden="1" customHeight="1" x14ac:dyDescent="0.3">
      <c r="A3658" s="9">
        <v>1305</v>
      </c>
      <c r="B3658" t="s">
        <v>183</v>
      </c>
      <c r="C3658" s="25">
        <v>44643</v>
      </c>
      <c r="D3658" s="26">
        <v>0.92225694444444439</v>
      </c>
      <c r="E3658" t="s">
        <v>26</v>
      </c>
      <c r="F3658" t="s">
        <v>210</v>
      </c>
      <c r="G3658" t="s">
        <v>211</v>
      </c>
      <c r="H3658" t="s">
        <v>184</v>
      </c>
      <c r="I3658">
        <v>387.64</v>
      </c>
      <c r="J3658" s="41">
        <v>0</v>
      </c>
      <c r="K3658" s="90">
        <f t="shared" si="220"/>
        <v>884.9</v>
      </c>
      <c r="L3658" s="53">
        <v>884.9</v>
      </c>
      <c r="M3658" s="36">
        <f t="shared" si="219"/>
        <v>43.806079783026334</v>
      </c>
    </row>
    <row r="3659" spans="1:13" ht="15.75" hidden="1" customHeight="1" x14ac:dyDescent="0.3">
      <c r="A3659" s="9">
        <v>1306</v>
      </c>
      <c r="B3659" t="s">
        <v>183</v>
      </c>
      <c r="C3659" s="25">
        <v>44644</v>
      </c>
      <c r="D3659" s="26">
        <v>0.63444444444444448</v>
      </c>
      <c r="E3659" t="s">
        <v>26</v>
      </c>
      <c r="F3659" t="s">
        <v>499</v>
      </c>
      <c r="G3659" t="s">
        <v>500</v>
      </c>
      <c r="H3659" t="s">
        <v>184</v>
      </c>
      <c r="I3659">
        <v>100</v>
      </c>
      <c r="J3659" s="69">
        <v>0</v>
      </c>
      <c r="K3659" s="90">
        <f t="shared" si="220"/>
        <v>702.59</v>
      </c>
      <c r="L3659" s="53">
        <v>702.59</v>
      </c>
      <c r="M3659" s="36">
        <f t="shared" si="219"/>
        <v>14.233051993338929</v>
      </c>
    </row>
    <row r="3660" spans="1:13" ht="15.75" hidden="1" customHeight="1" x14ac:dyDescent="0.3">
      <c r="A3660" s="9">
        <v>1307</v>
      </c>
      <c r="B3660" t="s">
        <v>183</v>
      </c>
      <c r="C3660" s="25">
        <v>44646</v>
      </c>
      <c r="D3660" s="26">
        <v>0.15973379629629628</v>
      </c>
      <c r="E3660" t="s">
        <v>26</v>
      </c>
      <c r="F3660" t="s">
        <v>171</v>
      </c>
      <c r="G3660" t="s">
        <v>172</v>
      </c>
      <c r="H3660" t="s">
        <v>184</v>
      </c>
      <c r="I3660">
        <v>402.53</v>
      </c>
      <c r="J3660" s="69">
        <v>0</v>
      </c>
      <c r="K3660" s="90">
        <f t="shared" si="220"/>
        <v>401.82</v>
      </c>
      <c r="L3660" s="53">
        <v>401.82</v>
      </c>
      <c r="M3660" s="36">
        <f t="shared" si="219"/>
        <v>100.17669603304962</v>
      </c>
    </row>
    <row r="3661" spans="1:13" ht="15.75" hidden="1" customHeight="1" x14ac:dyDescent="0.3">
      <c r="A3661" s="9">
        <v>1308</v>
      </c>
      <c r="B3661" t="s">
        <v>183</v>
      </c>
      <c r="C3661" s="25">
        <v>44646</v>
      </c>
      <c r="D3661" s="26">
        <v>0.75391203703703702</v>
      </c>
      <c r="E3661" t="s">
        <v>26</v>
      </c>
      <c r="F3661" t="s">
        <v>210</v>
      </c>
      <c r="G3661" t="s">
        <v>211</v>
      </c>
      <c r="H3661" t="s">
        <v>184</v>
      </c>
      <c r="I3661">
        <v>304.63</v>
      </c>
      <c r="J3661" s="32">
        <v>0</v>
      </c>
      <c r="K3661" s="97">
        <f t="shared" si="220"/>
        <v>692.28</v>
      </c>
      <c r="L3661" s="52">
        <v>692.28</v>
      </c>
      <c r="M3661" s="10">
        <f t="shared" si="219"/>
        <v>44.003871265961756</v>
      </c>
    </row>
    <row r="3662" spans="1:13" ht="15.75" hidden="1" customHeight="1" x14ac:dyDescent="0.3">
      <c r="A3662" s="9">
        <v>1309</v>
      </c>
      <c r="B3662" t="s">
        <v>183</v>
      </c>
      <c r="C3662" s="25">
        <v>44647</v>
      </c>
      <c r="D3662" s="26">
        <v>0.69548611111111114</v>
      </c>
      <c r="E3662" t="s">
        <v>26</v>
      </c>
      <c r="F3662" t="s">
        <v>210</v>
      </c>
      <c r="G3662" t="s">
        <v>211</v>
      </c>
      <c r="H3662" t="s">
        <v>184</v>
      </c>
      <c r="I3662">
        <v>410.58</v>
      </c>
      <c r="J3662" s="32">
        <v>0</v>
      </c>
      <c r="K3662" s="90">
        <f t="shared" si="220"/>
        <v>1062.52</v>
      </c>
      <c r="L3662" s="52">
        <v>1062.52</v>
      </c>
      <c r="M3662" s="10">
        <f t="shared" si="219"/>
        <v>38.642096148778379</v>
      </c>
    </row>
    <row r="3663" spans="1:13" ht="15.75" hidden="1" customHeight="1" x14ac:dyDescent="0.3">
      <c r="A3663" s="9">
        <v>1310</v>
      </c>
      <c r="B3663" t="s">
        <v>183</v>
      </c>
      <c r="C3663" s="25">
        <v>44648</v>
      </c>
      <c r="D3663" s="26">
        <v>0.87787037037037041</v>
      </c>
      <c r="E3663" t="s">
        <v>26</v>
      </c>
      <c r="F3663" t="s">
        <v>175</v>
      </c>
      <c r="G3663" t="s">
        <v>172</v>
      </c>
      <c r="H3663" t="s">
        <v>184</v>
      </c>
      <c r="I3663">
        <v>426.04</v>
      </c>
      <c r="J3663" s="32">
        <v>0</v>
      </c>
      <c r="K3663" s="90">
        <f t="shared" si="220"/>
        <v>1076.6600000000001</v>
      </c>
      <c r="L3663" s="55">
        <v>1076.6600000000001</v>
      </c>
      <c r="M3663" s="10">
        <f t="shared" si="219"/>
        <v>39.570523656493229</v>
      </c>
    </row>
    <row r="3664" spans="1:13" ht="15.75" hidden="1" customHeight="1" x14ac:dyDescent="0.3">
      <c r="A3664" s="9">
        <v>1311</v>
      </c>
      <c r="B3664" t="s">
        <v>183</v>
      </c>
      <c r="C3664" s="25">
        <v>44649</v>
      </c>
      <c r="D3664" s="26">
        <v>0.93420138888888893</v>
      </c>
      <c r="E3664" t="s">
        <v>26</v>
      </c>
      <c r="F3664" t="s">
        <v>210</v>
      </c>
      <c r="G3664" t="s">
        <v>211</v>
      </c>
      <c r="H3664" t="s">
        <v>184</v>
      </c>
      <c r="I3664">
        <v>381.2</v>
      </c>
      <c r="J3664" s="32">
        <v>0</v>
      </c>
      <c r="K3664" s="90">
        <f t="shared" si="220"/>
        <v>831.44</v>
      </c>
      <c r="L3664" s="32">
        <v>831.44</v>
      </c>
      <c r="M3664" s="10">
        <f t="shared" si="219"/>
        <v>45.848167035504659</v>
      </c>
    </row>
    <row r="3665" spans="1:13" ht="15.75" hidden="1" customHeight="1" x14ac:dyDescent="0.3">
      <c r="A3665" s="9">
        <v>1312</v>
      </c>
      <c r="B3665" t="s">
        <v>183</v>
      </c>
      <c r="C3665" s="25">
        <v>44651</v>
      </c>
      <c r="D3665" s="26">
        <v>0.48369212962962965</v>
      </c>
      <c r="E3665" t="s">
        <v>26</v>
      </c>
      <c r="F3665" t="s">
        <v>210</v>
      </c>
      <c r="G3665" t="s">
        <v>211</v>
      </c>
      <c r="H3665" t="s">
        <v>184</v>
      </c>
      <c r="I3665">
        <v>451.05</v>
      </c>
      <c r="J3665" s="37">
        <v>0</v>
      </c>
      <c r="K3665" s="97">
        <f t="shared" si="220"/>
        <v>1059.49</v>
      </c>
      <c r="L3665" s="37">
        <v>1059.49</v>
      </c>
      <c r="M3665" s="10">
        <f t="shared" si="219"/>
        <v>42.572369725056397</v>
      </c>
    </row>
    <row r="3666" spans="1:13" ht="15.75" hidden="1" customHeight="1" x14ac:dyDescent="0.3">
      <c r="A3666" s="9">
        <v>2483</v>
      </c>
      <c r="B3666" t="s">
        <v>183</v>
      </c>
      <c r="C3666" s="25">
        <v>44660</v>
      </c>
      <c r="D3666" s="26">
        <v>0.52656249999999993</v>
      </c>
      <c r="E3666" t="s">
        <v>27</v>
      </c>
      <c r="F3666" t="s">
        <v>175</v>
      </c>
      <c r="G3666" t="s">
        <v>172</v>
      </c>
      <c r="H3666" t="s">
        <v>184</v>
      </c>
      <c r="I3666" s="4">
        <v>373.34</v>
      </c>
      <c r="J3666" s="32">
        <v>0</v>
      </c>
      <c r="K3666" s="90">
        <f t="shared" si="220"/>
        <v>1006.58</v>
      </c>
      <c r="L3666" s="32">
        <v>1006.58</v>
      </c>
      <c r="M3666" s="10">
        <f t="shared" si="219"/>
        <v>37.0899481412307</v>
      </c>
    </row>
    <row r="3667" spans="1:13" ht="15.75" hidden="1" customHeight="1" x14ac:dyDescent="0.3">
      <c r="A3667" s="9">
        <v>2484</v>
      </c>
      <c r="B3667" t="s">
        <v>183</v>
      </c>
      <c r="C3667" s="25">
        <v>44661</v>
      </c>
      <c r="D3667" s="26">
        <v>0.37619212962962961</v>
      </c>
      <c r="E3667" t="s">
        <v>27</v>
      </c>
      <c r="F3667" t="s">
        <v>166</v>
      </c>
      <c r="G3667" t="s">
        <v>161</v>
      </c>
      <c r="H3667" t="s">
        <v>184</v>
      </c>
      <c r="I3667" s="4">
        <v>294.86</v>
      </c>
      <c r="J3667" s="32">
        <v>0</v>
      </c>
      <c r="K3667" s="90">
        <f t="shared" si="220"/>
        <v>751.9</v>
      </c>
      <c r="L3667" s="32">
        <v>751.9</v>
      </c>
      <c r="M3667" s="10">
        <f t="shared" si="219"/>
        <v>39.215321186327969</v>
      </c>
    </row>
    <row r="3668" spans="1:13" ht="15.75" hidden="1" customHeight="1" x14ac:dyDescent="0.3">
      <c r="A3668" s="9">
        <v>2485</v>
      </c>
      <c r="B3668" t="s">
        <v>183</v>
      </c>
      <c r="C3668" s="25">
        <v>44661</v>
      </c>
      <c r="D3668" s="26">
        <v>0.97233796296296304</v>
      </c>
      <c r="E3668" t="s">
        <v>27</v>
      </c>
      <c r="F3668" t="s">
        <v>165</v>
      </c>
      <c r="G3668" t="s">
        <v>185</v>
      </c>
      <c r="H3668" t="s">
        <v>184</v>
      </c>
      <c r="I3668" s="4">
        <v>310.01</v>
      </c>
      <c r="J3668" s="41">
        <v>0</v>
      </c>
      <c r="K3668" s="102">
        <f t="shared" si="220"/>
        <v>1379.51</v>
      </c>
      <c r="L3668" s="37">
        <v>1379.51</v>
      </c>
      <c r="M3668" s="10">
        <f t="shared" si="219"/>
        <v>22.472472109662124</v>
      </c>
    </row>
    <row r="3669" spans="1:13" ht="15.75" hidden="1" customHeight="1" x14ac:dyDescent="0.3">
      <c r="A3669" s="9">
        <v>2486</v>
      </c>
      <c r="B3669" t="s">
        <v>183</v>
      </c>
      <c r="C3669" s="25">
        <v>44662</v>
      </c>
      <c r="D3669" s="26">
        <v>0.76217592592592587</v>
      </c>
      <c r="E3669" t="s">
        <v>27</v>
      </c>
      <c r="F3669" t="s">
        <v>169</v>
      </c>
      <c r="G3669" t="s">
        <v>196</v>
      </c>
      <c r="H3669" t="s">
        <v>184</v>
      </c>
      <c r="I3669" s="4">
        <v>150</v>
      </c>
      <c r="J3669" s="32">
        <v>0</v>
      </c>
      <c r="K3669" s="97">
        <f t="shared" si="220"/>
        <v>983.54</v>
      </c>
      <c r="L3669" s="37">
        <v>983.54</v>
      </c>
      <c r="M3669" s="10">
        <f t="shared" si="219"/>
        <v>15.251031986497754</v>
      </c>
    </row>
    <row r="3670" spans="1:13" ht="15.75" hidden="1" customHeight="1" x14ac:dyDescent="0.3">
      <c r="A3670" s="9">
        <v>2487</v>
      </c>
      <c r="B3670" t="s">
        <v>183</v>
      </c>
      <c r="C3670" s="25">
        <v>44663</v>
      </c>
      <c r="D3670" s="26">
        <v>0.59844907407407411</v>
      </c>
      <c r="E3670" t="s">
        <v>27</v>
      </c>
      <c r="F3670" t="s">
        <v>428</v>
      </c>
      <c r="G3670" t="s">
        <v>429</v>
      </c>
      <c r="H3670" t="s">
        <v>184</v>
      </c>
      <c r="I3670" s="4">
        <v>400</v>
      </c>
      <c r="J3670" s="32">
        <v>0</v>
      </c>
      <c r="K3670" s="90">
        <f t="shared" si="220"/>
        <v>429.31</v>
      </c>
      <c r="L3670" s="32">
        <v>429.31</v>
      </c>
      <c r="M3670" s="10">
        <f t="shared" si="219"/>
        <v>93.172765600614937</v>
      </c>
    </row>
    <row r="3671" spans="1:13" ht="15.75" hidden="1" customHeight="1" x14ac:dyDescent="0.3">
      <c r="A3671" s="9">
        <v>2488</v>
      </c>
      <c r="B3671" t="s">
        <v>183</v>
      </c>
      <c r="C3671" s="25">
        <v>44664</v>
      </c>
      <c r="D3671" s="26">
        <v>0.8165162037037037</v>
      </c>
      <c r="E3671" t="s">
        <v>27</v>
      </c>
      <c r="F3671" t="s">
        <v>210</v>
      </c>
      <c r="G3671" t="s">
        <v>211</v>
      </c>
      <c r="H3671" t="s">
        <v>184</v>
      </c>
      <c r="I3671" s="4">
        <v>426.83</v>
      </c>
      <c r="J3671" s="32">
        <v>0</v>
      </c>
      <c r="K3671" s="90">
        <f t="shared" si="220"/>
        <v>976.53</v>
      </c>
      <c r="L3671" s="53">
        <v>976.53</v>
      </c>
      <c r="M3671" s="10">
        <f t="shared" si="219"/>
        <v>43.708846630415863</v>
      </c>
    </row>
    <row r="3672" spans="1:13" ht="15.75" hidden="1" customHeight="1" x14ac:dyDescent="0.3">
      <c r="A3672" s="9">
        <v>2489</v>
      </c>
      <c r="B3672" t="s">
        <v>183</v>
      </c>
      <c r="C3672" s="25">
        <v>44666</v>
      </c>
      <c r="D3672" s="26">
        <v>8.519675925925925E-2</v>
      </c>
      <c r="E3672" t="s">
        <v>27</v>
      </c>
      <c r="F3672" t="s">
        <v>210</v>
      </c>
      <c r="G3672" t="s">
        <v>211</v>
      </c>
      <c r="H3672" t="s">
        <v>184</v>
      </c>
      <c r="I3672" s="4">
        <v>424.64</v>
      </c>
      <c r="J3672" s="32">
        <v>0</v>
      </c>
      <c r="K3672" s="97">
        <f t="shared" si="220"/>
        <v>1061.72</v>
      </c>
      <c r="L3672" s="32">
        <v>1061.72</v>
      </c>
      <c r="M3672" s="10">
        <f t="shared" si="219"/>
        <v>39.995479034020263</v>
      </c>
    </row>
    <row r="3673" spans="1:13" ht="15.75" hidden="1" customHeight="1" x14ac:dyDescent="0.3">
      <c r="A3673" s="9">
        <v>2490</v>
      </c>
      <c r="B3673" t="s">
        <v>183</v>
      </c>
      <c r="C3673" s="25">
        <v>44666</v>
      </c>
      <c r="D3673" s="26">
        <v>0.51634259259259263</v>
      </c>
      <c r="E3673" t="s">
        <v>27</v>
      </c>
      <c r="F3673" t="s">
        <v>169</v>
      </c>
      <c r="G3673" t="s">
        <v>196</v>
      </c>
      <c r="H3673" t="s">
        <v>184</v>
      </c>
      <c r="I3673" s="4">
        <v>157.87</v>
      </c>
      <c r="J3673" s="71">
        <v>0</v>
      </c>
      <c r="K3673" s="90">
        <f t="shared" si="220"/>
        <v>499</v>
      </c>
      <c r="L3673" s="37">
        <v>499</v>
      </c>
      <c r="M3673" s="10">
        <f t="shared" si="219"/>
        <v>31.637274549098198</v>
      </c>
    </row>
    <row r="3674" spans="1:13" ht="15.75" hidden="1" customHeight="1" x14ac:dyDescent="0.3">
      <c r="A3674" s="9">
        <v>2491</v>
      </c>
      <c r="B3674" t="s">
        <v>183</v>
      </c>
      <c r="C3674" s="25">
        <v>44667</v>
      </c>
      <c r="D3674" s="26">
        <v>0.49131944444444442</v>
      </c>
      <c r="E3674" t="s">
        <v>27</v>
      </c>
      <c r="F3674" t="s">
        <v>391</v>
      </c>
      <c r="G3674" t="s">
        <v>392</v>
      </c>
      <c r="H3674" t="s">
        <v>184</v>
      </c>
      <c r="I3674" s="4">
        <v>207.86</v>
      </c>
      <c r="J3674" s="71">
        <v>0</v>
      </c>
      <c r="K3674" s="90">
        <f t="shared" si="220"/>
        <v>421.68</v>
      </c>
      <c r="L3674" s="32">
        <v>421.68</v>
      </c>
      <c r="M3674" s="10">
        <f t="shared" si="219"/>
        <v>49.29330297856194</v>
      </c>
    </row>
    <row r="3675" spans="1:13" ht="15.75" hidden="1" customHeight="1" x14ac:dyDescent="0.3">
      <c r="A3675" s="9">
        <v>2492</v>
      </c>
      <c r="B3675" t="s">
        <v>183</v>
      </c>
      <c r="C3675" s="25">
        <v>44669</v>
      </c>
      <c r="D3675" s="26">
        <v>0.88739583333333327</v>
      </c>
      <c r="E3675" t="s">
        <v>27</v>
      </c>
      <c r="F3675" t="s">
        <v>210</v>
      </c>
      <c r="G3675" t="s">
        <v>211</v>
      </c>
      <c r="H3675" t="s">
        <v>184</v>
      </c>
      <c r="I3675" s="4">
        <v>364</v>
      </c>
      <c r="J3675" s="41">
        <v>0</v>
      </c>
      <c r="K3675" s="89">
        <f t="shared" si="220"/>
        <v>894.18</v>
      </c>
      <c r="L3675" s="33">
        <v>894.18</v>
      </c>
      <c r="M3675" s="10">
        <f t="shared" si="219"/>
        <v>40.707687490214504</v>
      </c>
    </row>
    <row r="3676" spans="1:13" ht="15.75" hidden="1" customHeight="1" x14ac:dyDescent="0.3">
      <c r="A3676" s="9">
        <v>2493</v>
      </c>
      <c r="B3676" t="s">
        <v>183</v>
      </c>
      <c r="C3676" s="25">
        <v>44671</v>
      </c>
      <c r="D3676" s="26">
        <v>6.6956018518518512E-2</v>
      </c>
      <c r="E3676" t="s">
        <v>27</v>
      </c>
      <c r="F3676" t="s">
        <v>210</v>
      </c>
      <c r="G3676" t="s">
        <v>211</v>
      </c>
      <c r="H3676" t="s">
        <v>184</v>
      </c>
      <c r="I3676" s="4">
        <v>397.68</v>
      </c>
      <c r="J3676" s="41">
        <v>0</v>
      </c>
      <c r="K3676" s="89">
        <f t="shared" si="220"/>
        <v>884.71</v>
      </c>
      <c r="L3676" s="33">
        <v>884.71</v>
      </c>
      <c r="M3676" s="10">
        <f t="shared" si="219"/>
        <v>44.950322704615068</v>
      </c>
    </row>
    <row r="3677" spans="1:13" ht="15.75" hidden="1" customHeight="1" x14ac:dyDescent="0.3">
      <c r="A3677" s="9">
        <v>2494</v>
      </c>
      <c r="B3677" t="s">
        <v>183</v>
      </c>
      <c r="C3677" s="25">
        <v>44672</v>
      </c>
      <c r="D3677" s="26">
        <v>0.82354166666666673</v>
      </c>
      <c r="E3677" t="s">
        <v>27</v>
      </c>
      <c r="F3677" t="s">
        <v>512</v>
      </c>
      <c r="G3677" t="s">
        <v>513</v>
      </c>
      <c r="H3677" t="s">
        <v>184</v>
      </c>
      <c r="I3677" s="4">
        <v>460</v>
      </c>
      <c r="J3677" s="41">
        <v>0</v>
      </c>
      <c r="K3677" s="89">
        <f t="shared" si="220"/>
        <v>1181</v>
      </c>
      <c r="L3677" s="32">
        <v>1181</v>
      </c>
      <c r="M3677" s="10">
        <f t="shared" si="219"/>
        <v>38.950042337002536</v>
      </c>
    </row>
    <row r="3678" spans="1:13" ht="15.75" hidden="1" customHeight="1" x14ac:dyDescent="0.3">
      <c r="A3678" s="9">
        <v>2495</v>
      </c>
      <c r="B3678" t="s">
        <v>183</v>
      </c>
      <c r="C3678" s="25">
        <v>44673</v>
      </c>
      <c r="D3678" s="26">
        <v>0.47921296296296295</v>
      </c>
      <c r="E3678" t="s">
        <v>27</v>
      </c>
      <c r="F3678" t="s">
        <v>166</v>
      </c>
      <c r="G3678" t="s">
        <v>161</v>
      </c>
      <c r="H3678" t="s">
        <v>184</v>
      </c>
      <c r="I3678" s="4">
        <v>245.02</v>
      </c>
      <c r="J3678" s="65">
        <v>0</v>
      </c>
      <c r="K3678" s="89">
        <f t="shared" si="220"/>
        <v>508.84</v>
      </c>
      <c r="L3678" s="37">
        <v>508.84</v>
      </c>
      <c r="M3678" s="10">
        <f t="shared" si="219"/>
        <v>48.152660954327494</v>
      </c>
    </row>
    <row r="3679" spans="1:13" ht="15.75" hidden="1" customHeight="1" x14ac:dyDescent="0.3">
      <c r="A3679" s="9">
        <v>2496</v>
      </c>
      <c r="B3679" t="s">
        <v>183</v>
      </c>
      <c r="C3679" s="25">
        <v>44674</v>
      </c>
      <c r="D3679" s="26">
        <v>0.65517361111111116</v>
      </c>
      <c r="E3679" t="s">
        <v>27</v>
      </c>
      <c r="F3679" t="s">
        <v>165</v>
      </c>
      <c r="G3679" t="s">
        <v>185</v>
      </c>
      <c r="H3679" t="s">
        <v>184</v>
      </c>
      <c r="I3679" s="4">
        <v>342.53</v>
      </c>
      <c r="J3679" s="41">
        <v>0</v>
      </c>
      <c r="K3679" s="89">
        <f t="shared" si="220"/>
        <v>632.57000000000005</v>
      </c>
      <c r="L3679" s="32">
        <v>632.57000000000005</v>
      </c>
      <c r="M3679" s="10">
        <f t="shared" si="219"/>
        <v>54.148947942520188</v>
      </c>
    </row>
    <row r="3680" spans="1:13" ht="15.75" hidden="1" customHeight="1" x14ac:dyDescent="0.3">
      <c r="A3680" s="9">
        <v>2497</v>
      </c>
      <c r="B3680" t="s">
        <v>183</v>
      </c>
      <c r="C3680" s="25">
        <v>44675</v>
      </c>
      <c r="D3680" s="26">
        <v>0.88599537037037035</v>
      </c>
      <c r="E3680" t="s">
        <v>27</v>
      </c>
      <c r="F3680" t="s">
        <v>340</v>
      </c>
      <c r="G3680" t="s">
        <v>337</v>
      </c>
      <c r="H3680" t="s">
        <v>184</v>
      </c>
      <c r="I3680" s="4">
        <v>238.31</v>
      </c>
      <c r="J3680" s="41">
        <v>0</v>
      </c>
      <c r="K3680" s="89">
        <f t="shared" si="220"/>
        <v>771.38</v>
      </c>
      <c r="L3680" s="37">
        <v>771.38</v>
      </c>
      <c r="M3680" s="10">
        <f t="shared" si="219"/>
        <v>30.893982213694937</v>
      </c>
    </row>
    <row r="3681" spans="1:13" ht="15.75" hidden="1" customHeight="1" x14ac:dyDescent="0.3">
      <c r="A3681" s="9">
        <v>2498</v>
      </c>
      <c r="B3681" t="s">
        <v>183</v>
      </c>
      <c r="C3681" s="25">
        <v>44677</v>
      </c>
      <c r="D3681" s="26">
        <v>0.50935185185185183</v>
      </c>
      <c r="E3681" t="s">
        <v>27</v>
      </c>
      <c r="F3681" t="s">
        <v>165</v>
      </c>
      <c r="G3681" t="s">
        <v>185</v>
      </c>
      <c r="H3681" t="s">
        <v>184</v>
      </c>
      <c r="I3681">
        <v>355</v>
      </c>
      <c r="J3681" s="69">
        <v>0</v>
      </c>
      <c r="K3681" s="89">
        <f t="shared" si="220"/>
        <v>857.92</v>
      </c>
      <c r="L3681" s="34">
        <v>857.92</v>
      </c>
      <c r="M3681" s="10">
        <f t="shared" si="219"/>
        <v>41.379149571055578</v>
      </c>
    </row>
    <row r="3682" spans="1:13" ht="15.75" hidden="1" customHeight="1" x14ac:dyDescent="0.3">
      <c r="A3682" s="9">
        <v>2499</v>
      </c>
      <c r="B3682" t="s">
        <v>183</v>
      </c>
      <c r="C3682" s="25">
        <v>44677</v>
      </c>
      <c r="D3682" s="26">
        <v>0.94331018518518517</v>
      </c>
      <c r="E3682" t="s">
        <v>27</v>
      </c>
      <c r="F3682" t="s">
        <v>166</v>
      </c>
      <c r="G3682" t="s">
        <v>161</v>
      </c>
      <c r="H3682" t="s">
        <v>184</v>
      </c>
      <c r="I3682">
        <v>172.02</v>
      </c>
      <c r="J3682" s="41">
        <v>0</v>
      </c>
      <c r="K3682" s="89">
        <f t="shared" si="220"/>
        <v>597.94000000000005</v>
      </c>
      <c r="L3682" s="35">
        <v>597.94000000000005</v>
      </c>
      <c r="M3682" s="10">
        <f t="shared" si="219"/>
        <v>28.768772786567215</v>
      </c>
    </row>
    <row r="3683" spans="1:13" ht="15.75" hidden="1" customHeight="1" x14ac:dyDescent="0.3">
      <c r="A3683" s="9">
        <v>2500</v>
      </c>
      <c r="B3683" t="s">
        <v>183</v>
      </c>
      <c r="C3683" s="25">
        <v>44679</v>
      </c>
      <c r="D3683" s="26">
        <v>0.38917824074074076</v>
      </c>
      <c r="E3683" t="s">
        <v>27</v>
      </c>
      <c r="F3683" t="s">
        <v>428</v>
      </c>
      <c r="G3683" t="s">
        <v>429</v>
      </c>
      <c r="H3683" t="s">
        <v>184</v>
      </c>
      <c r="I3683">
        <v>200</v>
      </c>
      <c r="J3683" s="41">
        <v>0</v>
      </c>
      <c r="K3683" s="89">
        <f t="shared" si="220"/>
        <v>870.93</v>
      </c>
      <c r="L3683" s="7">
        <v>870.93</v>
      </c>
      <c r="M3683" s="10">
        <f t="shared" ref="M3683:M3719" si="221">I3683/K3683*100</f>
        <v>22.96395806781257</v>
      </c>
    </row>
    <row r="3684" spans="1:13" ht="15.75" hidden="1" customHeight="1" x14ac:dyDescent="0.3">
      <c r="A3684" s="9">
        <v>2501</v>
      </c>
      <c r="B3684" t="s">
        <v>183</v>
      </c>
      <c r="C3684" s="25">
        <v>44679</v>
      </c>
      <c r="D3684" s="26">
        <v>0.64249999999999996</v>
      </c>
      <c r="E3684" t="s">
        <v>27</v>
      </c>
      <c r="F3684" t="s">
        <v>512</v>
      </c>
      <c r="G3684" t="s">
        <v>513</v>
      </c>
      <c r="H3684" t="s">
        <v>184</v>
      </c>
      <c r="I3684">
        <v>219.32</v>
      </c>
      <c r="J3684" s="32">
        <v>0</v>
      </c>
      <c r="K3684" s="89">
        <f t="shared" si="220"/>
        <v>243.57</v>
      </c>
      <c r="L3684" s="34">
        <v>243.57</v>
      </c>
      <c r="M3684" s="10">
        <f t="shared" si="221"/>
        <v>90.043929876421558</v>
      </c>
    </row>
    <row r="3685" spans="1:13" ht="15.75" hidden="1" customHeight="1" x14ac:dyDescent="0.3">
      <c r="A3685" s="9">
        <v>4103</v>
      </c>
      <c r="B3685" t="s">
        <v>183</v>
      </c>
      <c r="C3685" s="25">
        <v>44691</v>
      </c>
      <c r="D3685" s="26">
        <v>0.89869212962962963</v>
      </c>
      <c r="E3685" t="s">
        <v>28</v>
      </c>
      <c r="F3685" t="s">
        <v>197</v>
      </c>
      <c r="G3685" t="s">
        <v>44</v>
      </c>
      <c r="H3685" t="s">
        <v>184</v>
      </c>
      <c r="I3685">
        <v>300.77999999999997</v>
      </c>
      <c r="J3685" s="32">
        <v>0</v>
      </c>
      <c r="K3685" s="89">
        <f>+L3685-J3814</f>
        <v>1326</v>
      </c>
      <c r="L3685" s="32">
        <v>1326</v>
      </c>
      <c r="M3685" s="10">
        <f t="shared" si="221"/>
        <v>22.683257918552034</v>
      </c>
    </row>
    <row r="3686" spans="1:13" ht="15.75" hidden="1" customHeight="1" x14ac:dyDescent="0.3">
      <c r="A3686" s="9">
        <v>4155</v>
      </c>
      <c r="B3686" t="s">
        <v>183</v>
      </c>
      <c r="C3686" s="25">
        <v>44692</v>
      </c>
      <c r="D3686" s="26">
        <v>0.36222222222222222</v>
      </c>
      <c r="E3686" t="s">
        <v>28</v>
      </c>
      <c r="F3686" t="s">
        <v>456</v>
      </c>
      <c r="G3686" t="s">
        <v>457</v>
      </c>
      <c r="H3686" t="s">
        <v>184</v>
      </c>
      <c r="I3686">
        <v>101.13</v>
      </c>
      <c r="J3686" s="32">
        <v>0</v>
      </c>
      <c r="K3686" s="89">
        <f>+L3686-J3816</f>
        <v>275</v>
      </c>
      <c r="L3686" s="32">
        <v>275</v>
      </c>
      <c r="M3686" s="10">
        <f t="shared" si="221"/>
        <v>36.774545454545454</v>
      </c>
    </row>
    <row r="3687" spans="1:13" ht="15.75" hidden="1" customHeight="1" x14ac:dyDescent="0.3">
      <c r="A3687" s="9">
        <v>4181</v>
      </c>
      <c r="B3687" t="s">
        <v>183</v>
      </c>
      <c r="C3687" s="25">
        <v>44692</v>
      </c>
      <c r="D3687" s="26">
        <v>0.50094907407407407</v>
      </c>
      <c r="E3687" t="s">
        <v>28</v>
      </c>
      <c r="F3687" t="s">
        <v>166</v>
      </c>
      <c r="G3687" t="s">
        <v>161</v>
      </c>
      <c r="H3687" t="s">
        <v>184</v>
      </c>
      <c r="I3687">
        <v>297.39999999999998</v>
      </c>
      <c r="J3687" s="32">
        <v>0</v>
      </c>
      <c r="K3687" s="89">
        <f>+L3687-J3817</f>
        <v>235</v>
      </c>
      <c r="L3687" s="67">
        <v>235</v>
      </c>
      <c r="M3687" s="10">
        <f t="shared" si="221"/>
        <v>126.55319148936168</v>
      </c>
    </row>
    <row r="3688" spans="1:13" ht="15.75" hidden="1" customHeight="1" x14ac:dyDescent="0.3">
      <c r="A3688" s="9">
        <v>4205</v>
      </c>
      <c r="B3688" t="s">
        <v>183</v>
      </c>
      <c r="C3688" s="25">
        <v>44693</v>
      </c>
      <c r="D3688" s="26">
        <v>4.7812500000000001E-2</v>
      </c>
      <c r="E3688" t="s">
        <v>28</v>
      </c>
      <c r="F3688" t="s">
        <v>165</v>
      </c>
      <c r="G3688" t="s">
        <v>185</v>
      </c>
      <c r="H3688" t="s">
        <v>184</v>
      </c>
      <c r="I3688">
        <v>289.3</v>
      </c>
      <c r="J3688" s="32">
        <v>0</v>
      </c>
      <c r="K3688" s="89">
        <f>+L3688-J3818</f>
        <v>625</v>
      </c>
      <c r="L3688" s="52">
        <v>625</v>
      </c>
      <c r="M3688" s="10">
        <f t="shared" si="221"/>
        <v>46.288000000000004</v>
      </c>
    </row>
    <row r="3689" spans="1:13" ht="15.75" hidden="1" customHeight="1" x14ac:dyDescent="0.3">
      <c r="A3689" s="9">
        <v>4250</v>
      </c>
      <c r="B3689" t="s">
        <v>183</v>
      </c>
      <c r="C3689" s="25">
        <v>44694</v>
      </c>
      <c r="D3689" s="26">
        <v>0.23460648148148147</v>
      </c>
      <c r="E3689" t="s">
        <v>28</v>
      </c>
      <c r="F3689" t="s">
        <v>166</v>
      </c>
      <c r="G3689" t="s">
        <v>161</v>
      </c>
      <c r="H3689" t="s">
        <v>184</v>
      </c>
      <c r="I3689">
        <v>200</v>
      </c>
      <c r="J3689" s="32">
        <v>0</v>
      </c>
      <c r="K3689" s="89">
        <f>+L3689-J3818</f>
        <v>657</v>
      </c>
      <c r="L3689" s="52">
        <v>657</v>
      </c>
      <c r="M3689" s="10">
        <f t="shared" si="221"/>
        <v>30.441400304414003</v>
      </c>
    </row>
    <row r="3690" spans="1:13" ht="15.75" hidden="1" customHeight="1" x14ac:dyDescent="0.3">
      <c r="A3690" s="9">
        <v>4254</v>
      </c>
      <c r="B3690" t="s">
        <v>183</v>
      </c>
      <c r="C3690" s="25">
        <v>44694</v>
      </c>
      <c r="D3690" s="26">
        <v>0.57945601851851858</v>
      </c>
      <c r="E3690" t="s">
        <v>28</v>
      </c>
      <c r="F3690" t="s">
        <v>169</v>
      </c>
      <c r="G3690" t="s">
        <v>196</v>
      </c>
      <c r="H3690" t="s">
        <v>184</v>
      </c>
      <c r="I3690">
        <v>206.58</v>
      </c>
      <c r="J3690" s="41">
        <v>0</v>
      </c>
      <c r="K3690" s="90">
        <f>+L3690-J3819</f>
        <v>414</v>
      </c>
      <c r="L3690" s="55">
        <v>414</v>
      </c>
      <c r="M3690" s="10">
        <f t="shared" si="221"/>
        <v>49.898550724637687</v>
      </c>
    </row>
    <row r="3691" spans="1:13" ht="15.75" hidden="1" customHeight="1" x14ac:dyDescent="0.3">
      <c r="A3691" s="9">
        <v>4366</v>
      </c>
      <c r="B3691" t="s">
        <v>183</v>
      </c>
      <c r="C3691" s="25">
        <v>44696</v>
      </c>
      <c r="D3691" s="26">
        <v>0.70415509259259268</v>
      </c>
      <c r="E3691" t="s">
        <v>28</v>
      </c>
      <c r="F3691" t="s">
        <v>278</v>
      </c>
      <c r="G3691" t="s">
        <v>279</v>
      </c>
      <c r="H3691" t="s">
        <v>184</v>
      </c>
      <c r="I3691">
        <v>385.09</v>
      </c>
      <c r="J3691" s="41">
        <v>0</v>
      </c>
      <c r="K3691" s="90">
        <f>+L3691-J3820</f>
        <v>425</v>
      </c>
      <c r="L3691" s="53">
        <v>425</v>
      </c>
      <c r="M3691" s="10">
        <f t="shared" si="221"/>
        <v>90.609411764705868</v>
      </c>
    </row>
    <row r="3692" spans="1:13" ht="15.75" hidden="1" customHeight="1" x14ac:dyDescent="0.3">
      <c r="A3692" s="9">
        <v>4401</v>
      </c>
      <c r="B3692" t="s">
        <v>183</v>
      </c>
      <c r="C3692" s="25">
        <v>44696</v>
      </c>
      <c r="D3692" s="26">
        <v>0.38851851851851849</v>
      </c>
      <c r="E3692" t="s">
        <v>28</v>
      </c>
      <c r="F3692" t="s">
        <v>166</v>
      </c>
      <c r="G3692" t="s">
        <v>161</v>
      </c>
      <c r="H3692" t="s">
        <v>184</v>
      </c>
      <c r="I3692">
        <v>100</v>
      </c>
      <c r="J3692" s="41">
        <v>0</v>
      </c>
      <c r="K3692" s="90">
        <f>+L3692-J4122</f>
        <v>1166</v>
      </c>
      <c r="L3692" s="68">
        <v>1166</v>
      </c>
      <c r="M3692" s="10">
        <f t="shared" si="221"/>
        <v>8.5763293310463116</v>
      </c>
    </row>
    <row r="3693" spans="1:13" ht="15.75" hidden="1" customHeight="1" x14ac:dyDescent="0.3">
      <c r="A3693" s="9">
        <v>4440</v>
      </c>
      <c r="B3693" t="s">
        <v>183</v>
      </c>
      <c r="C3693" s="25">
        <v>44697</v>
      </c>
      <c r="D3693" s="26">
        <v>0.7949652777777777</v>
      </c>
      <c r="E3693" t="s">
        <v>28</v>
      </c>
      <c r="F3693" t="s">
        <v>169</v>
      </c>
      <c r="G3693" t="s">
        <v>196</v>
      </c>
      <c r="H3693" t="s">
        <v>184</v>
      </c>
      <c r="I3693">
        <v>249.73</v>
      </c>
      <c r="J3693" s="41">
        <v>0</v>
      </c>
      <c r="K3693" s="90">
        <f>+L3693-J3822</f>
        <v>405</v>
      </c>
      <c r="L3693" s="53">
        <v>405</v>
      </c>
      <c r="M3693" s="10">
        <f t="shared" si="221"/>
        <v>61.661728395061722</v>
      </c>
    </row>
    <row r="3694" spans="1:13" ht="15.75" hidden="1" customHeight="1" x14ac:dyDescent="0.3">
      <c r="A3694" s="9">
        <v>4480</v>
      </c>
      <c r="B3694" t="s">
        <v>183</v>
      </c>
      <c r="C3694" s="25">
        <v>44697</v>
      </c>
      <c r="D3694" s="26">
        <v>0.48721064814814818</v>
      </c>
      <c r="E3694" t="s">
        <v>28</v>
      </c>
      <c r="F3694" t="s">
        <v>166</v>
      </c>
      <c r="G3694" t="s">
        <v>161</v>
      </c>
      <c r="H3694" t="s">
        <v>184</v>
      </c>
      <c r="I3694">
        <v>200</v>
      </c>
      <c r="J3694" s="41">
        <v>0</v>
      </c>
      <c r="K3694" s="90">
        <f>+L3694-J3823</f>
        <v>-719325</v>
      </c>
      <c r="L3694" s="53">
        <v>810</v>
      </c>
      <c r="M3694" s="10">
        <f t="shared" si="221"/>
        <v>-2.7803843881416608E-2</v>
      </c>
    </row>
    <row r="3695" spans="1:13" ht="15.75" hidden="1" customHeight="1" x14ac:dyDescent="0.3">
      <c r="A3695" s="9">
        <v>4493</v>
      </c>
      <c r="B3695" t="s">
        <v>183</v>
      </c>
      <c r="C3695" s="25">
        <v>44698</v>
      </c>
      <c r="D3695" s="26">
        <v>0.90393518518518512</v>
      </c>
      <c r="E3695" t="s">
        <v>28</v>
      </c>
      <c r="F3695" t="s">
        <v>197</v>
      </c>
      <c r="G3695" t="s">
        <v>44</v>
      </c>
      <c r="H3695" t="s">
        <v>184</v>
      </c>
      <c r="I3695">
        <v>102.36</v>
      </c>
      <c r="J3695" s="41">
        <v>0</v>
      </c>
      <c r="K3695" s="90">
        <f>+L3695-J3823</f>
        <v>-719371</v>
      </c>
      <c r="L3695" s="53">
        <v>764</v>
      </c>
      <c r="M3695" s="10">
        <f t="shared" si="221"/>
        <v>-1.4229097364225134E-2</v>
      </c>
    </row>
    <row r="3696" spans="1:13" ht="15.75" hidden="1" customHeight="1" x14ac:dyDescent="0.3">
      <c r="A3696" s="9">
        <v>4533</v>
      </c>
      <c r="B3696" t="s">
        <v>183</v>
      </c>
      <c r="C3696" s="25">
        <v>44699</v>
      </c>
      <c r="D3696" s="26">
        <v>0.43167824074074074</v>
      </c>
      <c r="E3696" t="s">
        <v>28</v>
      </c>
      <c r="F3696" t="s">
        <v>488</v>
      </c>
      <c r="G3696" t="s">
        <v>489</v>
      </c>
      <c r="H3696" t="s">
        <v>184</v>
      </c>
      <c r="I3696">
        <v>344.53</v>
      </c>
      <c r="J3696" s="41">
        <v>0</v>
      </c>
      <c r="K3696" s="90">
        <f>+L3696-J3824</f>
        <v>-721070</v>
      </c>
      <c r="L3696" s="53">
        <v>338</v>
      </c>
      <c r="M3696" s="10">
        <f t="shared" si="221"/>
        <v>-4.7780381932406003E-2</v>
      </c>
    </row>
    <row r="3697" spans="1:19" ht="15.75" hidden="1" customHeight="1" x14ac:dyDescent="0.3">
      <c r="A3697" s="9">
        <v>4534</v>
      </c>
      <c r="B3697" t="s">
        <v>183</v>
      </c>
      <c r="C3697" s="25">
        <v>44699</v>
      </c>
      <c r="D3697" s="26">
        <v>0.97547453703703713</v>
      </c>
      <c r="E3697" t="s">
        <v>28</v>
      </c>
      <c r="F3697" t="s">
        <v>165</v>
      </c>
      <c r="G3697" t="s">
        <v>185</v>
      </c>
      <c r="H3697" t="s">
        <v>184</v>
      </c>
      <c r="I3697">
        <v>387.8</v>
      </c>
      <c r="J3697" s="69">
        <v>0</v>
      </c>
      <c r="K3697" s="90">
        <f>+L3697-J3824</f>
        <v>-720611</v>
      </c>
      <c r="L3697" s="67">
        <v>797</v>
      </c>
      <c r="M3697" s="10">
        <f t="shared" si="221"/>
        <v>-5.3815442728462379E-2</v>
      </c>
    </row>
    <row r="3698" spans="1:19" ht="15.75" hidden="1" customHeight="1" x14ac:dyDescent="0.3">
      <c r="A3698" s="9">
        <v>4597</v>
      </c>
      <c r="B3698" t="s">
        <v>183</v>
      </c>
      <c r="C3698" s="25">
        <v>44700</v>
      </c>
      <c r="D3698" s="26">
        <v>0.55734953703703705</v>
      </c>
      <c r="E3698" t="s">
        <v>28</v>
      </c>
      <c r="F3698" t="s">
        <v>210</v>
      </c>
      <c r="G3698" t="s">
        <v>211</v>
      </c>
      <c r="H3698" t="s">
        <v>184</v>
      </c>
      <c r="I3698">
        <v>169.14</v>
      </c>
      <c r="J3698" s="69">
        <v>0</v>
      </c>
      <c r="K3698" s="90">
        <f>+L3698-J3969</f>
        <v>514</v>
      </c>
      <c r="L3698" s="53">
        <v>514</v>
      </c>
      <c r="M3698" s="10">
        <f t="shared" si="221"/>
        <v>32.906614785992218</v>
      </c>
    </row>
    <row r="3699" spans="1:19" ht="15.75" hidden="1" customHeight="1" x14ac:dyDescent="0.3">
      <c r="A3699" s="9">
        <v>4647</v>
      </c>
      <c r="B3699" t="s">
        <v>183</v>
      </c>
      <c r="C3699" s="25">
        <v>44701</v>
      </c>
      <c r="D3699" s="26">
        <v>0.66476851851851848</v>
      </c>
      <c r="E3699" t="s">
        <v>28</v>
      </c>
      <c r="F3699" t="s">
        <v>262</v>
      </c>
      <c r="G3699" t="s">
        <v>263</v>
      </c>
      <c r="H3699" t="s">
        <v>184</v>
      </c>
      <c r="I3699">
        <v>200</v>
      </c>
      <c r="J3699" s="41">
        <v>0</v>
      </c>
      <c r="K3699" s="90">
        <f>+L3699-J3970</f>
        <v>853</v>
      </c>
      <c r="L3699" s="32">
        <v>853</v>
      </c>
      <c r="M3699" s="91">
        <f t="shared" si="221"/>
        <v>23.446658851113718</v>
      </c>
    </row>
    <row r="3700" spans="1:19" ht="15.75" hidden="1" customHeight="1" x14ac:dyDescent="0.3">
      <c r="A3700" s="9">
        <v>4700</v>
      </c>
      <c r="B3700" t="s">
        <v>183</v>
      </c>
      <c r="C3700" s="25">
        <v>44702</v>
      </c>
      <c r="D3700" s="26">
        <v>0.47502314814814817</v>
      </c>
      <c r="E3700" t="s">
        <v>28</v>
      </c>
      <c r="F3700" t="s">
        <v>197</v>
      </c>
      <c r="G3700" t="s">
        <v>44</v>
      </c>
      <c r="H3700" t="s">
        <v>184</v>
      </c>
      <c r="I3700">
        <f>118.11+118.56</f>
        <v>236.67000000000002</v>
      </c>
      <c r="J3700" s="32">
        <v>0</v>
      </c>
      <c r="K3700" s="89">
        <f>+L3700-J3971</f>
        <v>302</v>
      </c>
      <c r="L3700" s="32">
        <v>302</v>
      </c>
      <c r="M3700" s="10">
        <f t="shared" si="221"/>
        <v>78.367549668874176</v>
      </c>
    </row>
    <row r="3701" spans="1:19" ht="15.75" hidden="1" customHeight="1" x14ac:dyDescent="0.3">
      <c r="A3701" s="9">
        <v>4710</v>
      </c>
      <c r="B3701" t="s">
        <v>183</v>
      </c>
      <c r="C3701" s="25">
        <v>44702</v>
      </c>
      <c r="D3701" s="26">
        <v>0.78314814814814815</v>
      </c>
      <c r="E3701" t="s">
        <v>28</v>
      </c>
      <c r="F3701" t="s">
        <v>166</v>
      </c>
      <c r="G3701" t="s">
        <v>161</v>
      </c>
      <c r="H3701" t="s">
        <v>184</v>
      </c>
      <c r="I3701">
        <v>220.86</v>
      </c>
      <c r="J3701" s="32">
        <v>0</v>
      </c>
      <c r="K3701" s="89">
        <f>+L3701-J3969</f>
        <v>511</v>
      </c>
      <c r="L3701" s="32">
        <v>511</v>
      </c>
      <c r="M3701" s="10">
        <f t="shared" si="221"/>
        <v>43.221135029354208</v>
      </c>
    </row>
    <row r="3702" spans="1:19" ht="15.75" hidden="1" customHeight="1" x14ac:dyDescent="0.3">
      <c r="A3702" s="9">
        <v>4757</v>
      </c>
      <c r="B3702" t="s">
        <v>183</v>
      </c>
      <c r="C3702" s="25">
        <v>44703</v>
      </c>
      <c r="D3702" s="26">
        <v>0.17547453703703705</v>
      </c>
      <c r="E3702" t="s">
        <v>28</v>
      </c>
      <c r="F3702" t="s">
        <v>165</v>
      </c>
      <c r="G3702" t="s">
        <v>185</v>
      </c>
      <c r="H3702" t="s">
        <v>184</v>
      </c>
      <c r="I3702">
        <v>307.88</v>
      </c>
      <c r="J3702" s="32">
        <v>0</v>
      </c>
      <c r="K3702" s="89">
        <f>+L3702-J3973</f>
        <v>630</v>
      </c>
      <c r="L3702" s="33">
        <v>630</v>
      </c>
      <c r="M3702" s="10">
        <f t="shared" si="221"/>
        <v>48.869841269841267</v>
      </c>
    </row>
    <row r="3703" spans="1:19" ht="15.75" hidden="1" customHeight="1" x14ac:dyDescent="0.3">
      <c r="A3703" s="9">
        <v>4758</v>
      </c>
      <c r="B3703" t="s">
        <v>183</v>
      </c>
      <c r="C3703" s="25">
        <v>44703</v>
      </c>
      <c r="D3703" s="26">
        <v>0.49981481481481477</v>
      </c>
      <c r="E3703" t="s">
        <v>28</v>
      </c>
      <c r="F3703" t="s">
        <v>210</v>
      </c>
      <c r="G3703" t="s">
        <v>211</v>
      </c>
      <c r="H3703" t="s">
        <v>184</v>
      </c>
      <c r="I3703">
        <v>148.58000000000001</v>
      </c>
      <c r="J3703" s="32">
        <v>0</v>
      </c>
      <c r="K3703" s="89">
        <f>+L3703-J3974</f>
        <v>514</v>
      </c>
      <c r="L3703" s="32">
        <v>514</v>
      </c>
      <c r="M3703" s="36">
        <f t="shared" si="221"/>
        <v>28.906614785992218</v>
      </c>
    </row>
    <row r="3704" spans="1:19" ht="15.75" hidden="1" customHeight="1" x14ac:dyDescent="0.3">
      <c r="A3704" s="9">
        <v>4811</v>
      </c>
      <c r="B3704" t="s">
        <v>183</v>
      </c>
      <c r="C3704" s="25">
        <v>44704</v>
      </c>
      <c r="D3704" s="26">
        <v>0.26876157407407408</v>
      </c>
      <c r="E3704" t="s">
        <v>28</v>
      </c>
      <c r="F3704" t="s">
        <v>169</v>
      </c>
      <c r="G3704" t="s">
        <v>196</v>
      </c>
      <c r="H3704" t="s">
        <v>184</v>
      </c>
      <c r="I3704">
        <v>196.5</v>
      </c>
      <c r="J3704" s="37">
        <v>0</v>
      </c>
      <c r="K3704" s="90">
        <f>+L3704-J3972</f>
        <v>494</v>
      </c>
      <c r="L3704" s="32">
        <v>494</v>
      </c>
      <c r="M3704" s="36">
        <f t="shared" si="221"/>
        <v>39.777327935222672</v>
      </c>
    </row>
    <row r="3705" spans="1:19" ht="15.75" hidden="1" customHeight="1" x14ac:dyDescent="0.3">
      <c r="A3705" s="9">
        <v>5914</v>
      </c>
      <c r="B3705" t="s">
        <v>183</v>
      </c>
      <c r="C3705" s="25">
        <v>44725</v>
      </c>
      <c r="D3705" s="26">
        <v>0.9400115740740741</v>
      </c>
      <c r="E3705" t="s">
        <v>29</v>
      </c>
      <c r="F3705" t="s">
        <v>638</v>
      </c>
      <c r="G3705" t="s">
        <v>263</v>
      </c>
      <c r="H3705" t="s">
        <v>184</v>
      </c>
      <c r="I3705">
        <v>200.76</v>
      </c>
      <c r="J3705" s="32">
        <v>0</v>
      </c>
      <c r="K3705" s="90">
        <v>1099</v>
      </c>
      <c r="L3705" s="7">
        <v>1099</v>
      </c>
      <c r="M3705" s="36">
        <f t="shared" si="221"/>
        <v>18.267515923566879</v>
      </c>
      <c r="N3705" s="2"/>
      <c r="O3705" s="2"/>
      <c r="P3705" s="2"/>
      <c r="Q3705" s="2"/>
      <c r="R3705" s="2"/>
      <c r="S3705" s="2"/>
    </row>
    <row r="3706" spans="1:19" ht="15.75" hidden="1" customHeight="1" x14ac:dyDescent="0.3">
      <c r="A3706" s="9">
        <v>5967</v>
      </c>
      <c r="B3706" t="s">
        <v>183</v>
      </c>
      <c r="C3706" s="25">
        <v>44726</v>
      </c>
      <c r="D3706" s="26">
        <v>0.54295138888888894</v>
      </c>
      <c r="E3706" t="s">
        <v>29</v>
      </c>
      <c r="F3706" t="s">
        <v>634</v>
      </c>
      <c r="G3706" t="s">
        <v>211</v>
      </c>
      <c r="H3706" t="s">
        <v>184</v>
      </c>
      <c r="I3706">
        <v>429.23</v>
      </c>
      <c r="J3706" s="32">
        <v>0</v>
      </c>
      <c r="K3706" s="90">
        <v>622</v>
      </c>
      <c r="L3706" s="7">
        <v>622</v>
      </c>
      <c r="M3706" s="36">
        <f t="shared" si="221"/>
        <v>69.008038585209007</v>
      </c>
      <c r="N3706" s="2"/>
      <c r="O3706" s="2"/>
      <c r="P3706" s="2"/>
      <c r="Q3706" s="2"/>
      <c r="R3706" s="2"/>
      <c r="S3706" s="2"/>
    </row>
    <row r="3707" spans="1:19" ht="15.75" hidden="1" customHeight="1" x14ac:dyDescent="0.3">
      <c r="A3707" s="9">
        <v>6024</v>
      </c>
      <c r="B3707" t="s">
        <v>183</v>
      </c>
      <c r="C3707" s="25">
        <v>44727</v>
      </c>
      <c r="D3707" s="26">
        <v>0.69032407407407403</v>
      </c>
      <c r="E3707" t="s">
        <v>29</v>
      </c>
      <c r="F3707" t="s">
        <v>637</v>
      </c>
      <c r="G3707" t="s">
        <v>196</v>
      </c>
      <c r="H3707" t="s">
        <v>184</v>
      </c>
      <c r="I3707">
        <v>468.52</v>
      </c>
      <c r="J3707" s="32">
        <v>0</v>
      </c>
      <c r="K3707" s="90">
        <v>1377</v>
      </c>
      <c r="L3707" s="7">
        <v>1377</v>
      </c>
      <c r="M3707" s="36">
        <f t="shared" si="221"/>
        <v>34.02469135802469</v>
      </c>
    </row>
    <row r="3708" spans="1:19" ht="15.75" hidden="1" customHeight="1" x14ac:dyDescent="0.3">
      <c r="A3708" s="9">
        <v>6086</v>
      </c>
      <c r="B3708" t="s">
        <v>183</v>
      </c>
      <c r="C3708" s="25">
        <v>44728</v>
      </c>
      <c r="D3708" s="26">
        <v>0.89277777777777778</v>
      </c>
      <c r="E3708" t="s">
        <v>29</v>
      </c>
      <c r="F3708" t="s">
        <v>639</v>
      </c>
      <c r="G3708" t="s">
        <v>44</v>
      </c>
      <c r="H3708" t="s">
        <v>184</v>
      </c>
      <c r="I3708">
        <v>305.93</v>
      </c>
      <c r="J3708" s="32">
        <v>0</v>
      </c>
      <c r="K3708" s="90">
        <v>715</v>
      </c>
      <c r="L3708" s="34">
        <v>715</v>
      </c>
      <c r="M3708" s="10">
        <f t="shared" si="221"/>
        <v>42.787412587412589</v>
      </c>
    </row>
    <row r="3709" spans="1:19" ht="15.75" hidden="1" customHeight="1" x14ac:dyDescent="0.3">
      <c r="A3709" s="9">
        <v>6138</v>
      </c>
      <c r="B3709" t="s">
        <v>183</v>
      </c>
      <c r="C3709" s="25">
        <v>44729</v>
      </c>
      <c r="D3709" s="26">
        <v>0.66060185185185183</v>
      </c>
      <c r="E3709" t="s">
        <v>29</v>
      </c>
      <c r="F3709" t="s">
        <v>634</v>
      </c>
      <c r="G3709" t="s">
        <v>211</v>
      </c>
      <c r="H3709" t="s">
        <v>184</v>
      </c>
      <c r="I3709" s="126">
        <v>324.29000000000002</v>
      </c>
      <c r="J3709" s="32">
        <v>0</v>
      </c>
      <c r="K3709" s="90">
        <v>588</v>
      </c>
      <c r="L3709" s="31">
        <v>588</v>
      </c>
      <c r="M3709" s="10">
        <f t="shared" si="221"/>
        <v>55.151360544217688</v>
      </c>
    </row>
    <row r="3710" spans="1:19" ht="15.75" hidden="1" customHeight="1" x14ac:dyDescent="0.3">
      <c r="A3710" s="9">
        <v>6195</v>
      </c>
      <c r="B3710" t="s">
        <v>183</v>
      </c>
      <c r="C3710" s="25">
        <v>44730</v>
      </c>
      <c r="D3710" s="26">
        <v>1.9930555555555556E-2</v>
      </c>
      <c r="E3710" t="s">
        <v>29</v>
      </c>
      <c r="F3710" t="s">
        <v>645</v>
      </c>
      <c r="G3710" t="s">
        <v>279</v>
      </c>
      <c r="H3710" t="s">
        <v>184</v>
      </c>
      <c r="I3710" s="126">
        <v>260.33</v>
      </c>
      <c r="J3710" s="32">
        <v>0</v>
      </c>
      <c r="K3710" s="90">
        <v>561</v>
      </c>
      <c r="L3710" s="7">
        <v>561</v>
      </c>
      <c r="M3710" s="10">
        <f t="shared" si="221"/>
        <v>46.404634581105164</v>
      </c>
    </row>
    <row r="3711" spans="1:19" ht="15.75" hidden="1" customHeight="1" x14ac:dyDescent="0.3">
      <c r="A3711" s="9">
        <v>6232</v>
      </c>
      <c r="B3711" t="s">
        <v>183</v>
      </c>
      <c r="C3711" s="25">
        <v>44731</v>
      </c>
      <c r="D3711" s="26">
        <v>0.42768518518518522</v>
      </c>
      <c r="E3711" t="s">
        <v>29</v>
      </c>
      <c r="F3711" t="s">
        <v>637</v>
      </c>
      <c r="G3711" t="s">
        <v>196</v>
      </c>
      <c r="H3711" t="s">
        <v>184</v>
      </c>
      <c r="I3711" s="126">
        <v>229.32</v>
      </c>
      <c r="J3711" s="32">
        <v>0</v>
      </c>
      <c r="K3711" s="90">
        <v>819</v>
      </c>
      <c r="L3711" s="34">
        <v>819</v>
      </c>
      <c r="M3711" s="10">
        <f t="shared" si="221"/>
        <v>27.999999999999996</v>
      </c>
    </row>
    <row r="3712" spans="1:19" ht="15.75" hidden="1" customHeight="1" x14ac:dyDescent="0.3">
      <c r="A3712" s="9">
        <v>6286</v>
      </c>
      <c r="B3712" t="s">
        <v>183</v>
      </c>
      <c r="C3712" s="25">
        <v>44733</v>
      </c>
      <c r="D3712" s="26">
        <v>0.81190972222222213</v>
      </c>
      <c r="E3712" t="s">
        <v>29</v>
      </c>
      <c r="F3712" t="s">
        <v>651</v>
      </c>
      <c r="G3712" t="s">
        <v>172</v>
      </c>
      <c r="H3712" t="s">
        <v>184</v>
      </c>
      <c r="I3712" s="126">
        <v>209.86</v>
      </c>
      <c r="J3712" s="32">
        <v>0</v>
      </c>
      <c r="K3712" s="90">
        <v>455</v>
      </c>
      <c r="L3712" s="7">
        <v>455</v>
      </c>
      <c r="M3712" s="36">
        <f t="shared" si="221"/>
        <v>46.12307692307693</v>
      </c>
    </row>
    <row r="3713" spans="1:13" ht="15.75" hidden="1" customHeight="1" x14ac:dyDescent="0.3">
      <c r="A3713" s="9">
        <v>6318</v>
      </c>
      <c r="B3713" t="s">
        <v>183</v>
      </c>
      <c r="C3713" s="25">
        <v>44734</v>
      </c>
      <c r="D3713" s="26">
        <v>0.73934027777777767</v>
      </c>
      <c r="E3713" t="s">
        <v>29</v>
      </c>
      <c r="F3713" t="s">
        <v>634</v>
      </c>
      <c r="G3713" t="s">
        <v>211</v>
      </c>
      <c r="H3713" t="s">
        <v>184</v>
      </c>
      <c r="I3713" s="125">
        <v>382.47</v>
      </c>
      <c r="J3713" s="32">
        <v>0</v>
      </c>
      <c r="K3713" s="90">
        <v>830</v>
      </c>
      <c r="L3713" s="7">
        <v>830</v>
      </c>
      <c r="M3713" s="36">
        <f t="shared" si="221"/>
        <v>46.080722891566268</v>
      </c>
    </row>
    <row r="3714" spans="1:13" ht="15.75" hidden="1" customHeight="1" x14ac:dyDescent="0.3">
      <c r="A3714" s="9">
        <v>6368</v>
      </c>
      <c r="B3714" t="s">
        <v>183</v>
      </c>
      <c r="C3714" s="25">
        <v>44735</v>
      </c>
      <c r="D3714" s="26">
        <v>0.4866550925925926</v>
      </c>
      <c r="E3714" t="s">
        <v>29</v>
      </c>
      <c r="F3714" t="s">
        <v>645</v>
      </c>
      <c r="G3714" t="s">
        <v>279</v>
      </c>
      <c r="H3714" t="s">
        <v>184</v>
      </c>
      <c r="I3714" s="125">
        <v>294.73</v>
      </c>
      <c r="J3714" s="37">
        <v>0</v>
      </c>
      <c r="K3714" s="90">
        <v>712</v>
      </c>
      <c r="L3714" s="7">
        <v>712</v>
      </c>
      <c r="M3714" s="36">
        <f t="shared" si="221"/>
        <v>41.394662921348321</v>
      </c>
    </row>
    <row r="3715" spans="1:13" ht="15.75" hidden="1" customHeight="1" x14ac:dyDescent="0.3">
      <c r="A3715" s="9">
        <v>6369</v>
      </c>
      <c r="B3715" t="s">
        <v>183</v>
      </c>
      <c r="C3715" s="25">
        <v>44735</v>
      </c>
      <c r="D3715" s="26">
        <v>0.68259259259259253</v>
      </c>
      <c r="E3715" t="s">
        <v>29</v>
      </c>
      <c r="F3715" t="s">
        <v>634</v>
      </c>
      <c r="G3715" t="s">
        <v>211</v>
      </c>
      <c r="H3715" t="s">
        <v>184</v>
      </c>
      <c r="I3715" s="125">
        <v>111.3</v>
      </c>
      <c r="J3715" s="37">
        <v>0</v>
      </c>
      <c r="K3715" s="97">
        <v>349</v>
      </c>
      <c r="L3715" s="34">
        <v>349</v>
      </c>
      <c r="M3715" s="10">
        <f t="shared" si="221"/>
        <v>31.891117478510029</v>
      </c>
    </row>
    <row r="3716" spans="1:13" ht="15.75" hidden="1" customHeight="1" x14ac:dyDescent="0.3">
      <c r="A3716" s="9">
        <v>6413</v>
      </c>
      <c r="B3716" t="s">
        <v>183</v>
      </c>
      <c r="C3716" s="25">
        <v>44736</v>
      </c>
      <c r="D3716" s="26">
        <v>0.46773148148148147</v>
      </c>
      <c r="E3716" t="s">
        <v>29</v>
      </c>
      <c r="F3716" t="s">
        <v>649</v>
      </c>
      <c r="G3716" t="s">
        <v>500</v>
      </c>
      <c r="H3716" t="s">
        <v>184</v>
      </c>
      <c r="I3716" s="125">
        <v>241.3</v>
      </c>
      <c r="J3716" s="37">
        <v>0</v>
      </c>
      <c r="K3716" s="97">
        <v>703</v>
      </c>
      <c r="L3716" s="7">
        <v>703</v>
      </c>
      <c r="M3716" s="10">
        <f t="shared" si="221"/>
        <v>34.324324324324323</v>
      </c>
    </row>
    <row r="3717" spans="1:13" ht="15.75" hidden="1" customHeight="1" x14ac:dyDescent="0.3">
      <c r="A3717" s="9">
        <v>6476</v>
      </c>
      <c r="B3717" t="s">
        <v>183</v>
      </c>
      <c r="C3717" s="25">
        <v>44737</v>
      </c>
      <c r="D3717" s="26">
        <v>0.66870370370370369</v>
      </c>
      <c r="E3717" t="s">
        <v>29</v>
      </c>
      <c r="F3717" t="s">
        <v>634</v>
      </c>
      <c r="G3717" t="s">
        <v>211</v>
      </c>
      <c r="H3717" t="s">
        <v>184</v>
      </c>
      <c r="I3717">
        <v>440.81</v>
      </c>
      <c r="J3717" s="32">
        <v>0</v>
      </c>
      <c r="K3717" s="97">
        <v>1027</v>
      </c>
      <c r="L3717" s="34">
        <v>1027</v>
      </c>
      <c r="M3717" s="10">
        <f t="shared" si="221"/>
        <v>42.922103213242451</v>
      </c>
    </row>
    <row r="3718" spans="1:13" ht="15.75" hidden="1" customHeight="1" x14ac:dyDescent="0.3">
      <c r="A3718" s="9">
        <v>6634</v>
      </c>
      <c r="B3718" t="s">
        <v>183</v>
      </c>
      <c r="C3718" s="25">
        <v>44740</v>
      </c>
      <c r="D3718" s="26">
        <v>0.71820601851851851</v>
      </c>
      <c r="E3718" t="s">
        <v>29</v>
      </c>
      <c r="F3718" t="s">
        <v>634</v>
      </c>
      <c r="G3718" t="s">
        <v>211</v>
      </c>
      <c r="H3718" t="s">
        <v>184</v>
      </c>
      <c r="I3718">
        <v>372.85</v>
      </c>
      <c r="J3718" s="32">
        <v>0</v>
      </c>
      <c r="K3718" s="90">
        <v>943</v>
      </c>
      <c r="L3718" s="7">
        <v>943</v>
      </c>
      <c r="M3718" s="10">
        <f t="shared" si="221"/>
        <v>39.53870625662779</v>
      </c>
    </row>
    <row r="3719" spans="1:13" ht="15.75" hidden="1" customHeight="1" x14ac:dyDescent="0.3">
      <c r="A3719" s="9">
        <v>6701</v>
      </c>
      <c r="B3719" t="s">
        <v>183</v>
      </c>
      <c r="C3719" s="25">
        <v>44741</v>
      </c>
      <c r="D3719" s="26">
        <v>0.41731481481481486</v>
      </c>
      <c r="E3719" t="s">
        <v>29</v>
      </c>
      <c r="F3719" t="s">
        <v>637</v>
      </c>
      <c r="G3719" t="s">
        <v>196</v>
      </c>
      <c r="H3719" t="s">
        <v>184</v>
      </c>
      <c r="I3719">
        <v>201.73</v>
      </c>
      <c r="J3719" s="32">
        <v>0</v>
      </c>
      <c r="K3719" s="99">
        <v>480</v>
      </c>
      <c r="L3719" s="7">
        <v>480</v>
      </c>
      <c r="M3719" s="10">
        <f t="shared" si="221"/>
        <v>42.02708333333333</v>
      </c>
    </row>
    <row r="3720" spans="1:13" ht="15.75" hidden="1" customHeight="1" x14ac:dyDescent="0.3">
      <c r="A3720" s="9">
        <v>6751</v>
      </c>
      <c r="B3720" t="s">
        <v>183</v>
      </c>
      <c r="C3720" s="25">
        <v>44742</v>
      </c>
      <c r="D3720" s="26">
        <v>0.39439814814814816</v>
      </c>
      <c r="E3720" t="s">
        <v>29</v>
      </c>
      <c r="F3720" t="s">
        <v>343</v>
      </c>
      <c r="G3720" t="s">
        <v>344</v>
      </c>
      <c r="H3720" t="s">
        <v>184</v>
      </c>
      <c r="I3720">
        <v>150</v>
      </c>
      <c r="J3720" s="8"/>
      <c r="K3720" s="8">
        <v>764268</v>
      </c>
      <c r="L3720" s="82">
        <f>+K3720-J3720</f>
        <v>764268</v>
      </c>
      <c r="M3720" s="10">
        <f>I3720/L3720*100</f>
        <v>1.9626623121732165E-2</v>
      </c>
    </row>
    <row r="3721" spans="1:13" ht="15.75" hidden="1" customHeight="1" x14ac:dyDescent="0.3">
      <c r="A3721" s="9">
        <v>6751</v>
      </c>
      <c r="B3721" t="s">
        <v>183</v>
      </c>
      <c r="C3721" s="25">
        <v>44742</v>
      </c>
      <c r="D3721" s="26">
        <v>0.75618055555555552</v>
      </c>
      <c r="E3721" t="s">
        <v>29</v>
      </c>
      <c r="F3721" t="s">
        <v>210</v>
      </c>
      <c r="G3721" t="s">
        <v>211</v>
      </c>
      <c r="H3721" t="s">
        <v>184</v>
      </c>
      <c r="I3721">
        <v>388.39</v>
      </c>
      <c r="J3721" s="54"/>
      <c r="K3721" s="54">
        <v>764787</v>
      </c>
      <c r="L3721" s="56">
        <f>+K3721-J3721</f>
        <v>764787</v>
      </c>
      <c r="M3721" s="131">
        <f>I3721/L3721*100</f>
        <v>5.0784074520095139E-2</v>
      </c>
    </row>
    <row r="3722" spans="1:13" ht="15.75" hidden="1" customHeight="1" x14ac:dyDescent="0.3">
      <c r="A3722" s="9">
        <v>6088</v>
      </c>
      <c r="B3722" t="s">
        <v>188</v>
      </c>
      <c r="C3722" s="25">
        <v>44728</v>
      </c>
      <c r="D3722" s="26">
        <v>0.90523148148148147</v>
      </c>
      <c r="E3722" t="s">
        <v>29</v>
      </c>
      <c r="F3722" t="s">
        <v>634</v>
      </c>
      <c r="G3722" t="s">
        <v>211</v>
      </c>
      <c r="H3722" t="s">
        <v>189</v>
      </c>
      <c r="I3722" s="8">
        <v>446.79</v>
      </c>
      <c r="J3722" s="32">
        <v>0</v>
      </c>
      <c r="K3722" s="90">
        <v>589</v>
      </c>
      <c r="L3722" s="7">
        <v>589</v>
      </c>
      <c r="M3722" s="91">
        <f t="shared" ref="M3722:M3759" si="222">I3722/K3722*100</f>
        <v>75.855687606112056</v>
      </c>
    </row>
    <row r="3723" spans="1:13" ht="15.75" hidden="1" customHeight="1" x14ac:dyDescent="0.3">
      <c r="A3723" s="9">
        <v>6320</v>
      </c>
      <c r="B3723" t="s">
        <v>188</v>
      </c>
      <c r="C3723" s="25">
        <v>44734</v>
      </c>
      <c r="D3723" s="26">
        <v>0.32216435185185183</v>
      </c>
      <c r="E3723" t="s">
        <v>29</v>
      </c>
      <c r="F3723" t="s">
        <v>635</v>
      </c>
      <c r="G3723" t="s">
        <v>185</v>
      </c>
      <c r="H3723" t="s">
        <v>189</v>
      </c>
      <c r="I3723" s="8">
        <v>494.7</v>
      </c>
      <c r="J3723" s="32">
        <v>0</v>
      </c>
      <c r="K3723" s="90">
        <v>1000</v>
      </c>
      <c r="L3723" s="7">
        <v>1000</v>
      </c>
      <c r="M3723" s="91">
        <f t="shared" si="222"/>
        <v>49.47</v>
      </c>
    </row>
    <row r="3724" spans="1:13" ht="15.75" hidden="1" customHeight="1" x14ac:dyDescent="0.3">
      <c r="A3724" s="9">
        <v>6415</v>
      </c>
      <c r="B3724" t="s">
        <v>188</v>
      </c>
      <c r="C3724" s="25">
        <v>44736</v>
      </c>
      <c r="D3724" s="26">
        <v>0.69697916666666659</v>
      </c>
      <c r="E3724" t="s">
        <v>29</v>
      </c>
      <c r="F3724" t="s">
        <v>635</v>
      </c>
      <c r="G3724" t="s">
        <v>185</v>
      </c>
      <c r="H3724" t="s">
        <v>189</v>
      </c>
      <c r="I3724" s="8">
        <v>195.76</v>
      </c>
      <c r="J3724" s="32">
        <v>0</v>
      </c>
      <c r="K3724" s="90">
        <v>500</v>
      </c>
      <c r="L3724" s="7">
        <v>500</v>
      </c>
      <c r="M3724" s="91">
        <f t="shared" si="222"/>
        <v>39.152000000000001</v>
      </c>
    </row>
    <row r="3725" spans="1:13" ht="15.75" hidden="1" customHeight="1" x14ac:dyDescent="0.3">
      <c r="A3725" s="9">
        <v>6478</v>
      </c>
      <c r="B3725" t="s">
        <v>188</v>
      </c>
      <c r="C3725" s="25">
        <v>44737</v>
      </c>
      <c r="D3725" s="26">
        <v>0.48281250000000003</v>
      </c>
      <c r="E3725" t="s">
        <v>29</v>
      </c>
      <c r="F3725" t="s">
        <v>634</v>
      </c>
      <c r="G3725" t="s">
        <v>211</v>
      </c>
      <c r="H3725" t="s">
        <v>189</v>
      </c>
      <c r="I3725">
        <v>169.68</v>
      </c>
      <c r="J3725" s="37">
        <v>0</v>
      </c>
      <c r="K3725" s="97">
        <v>516</v>
      </c>
      <c r="L3725" s="34">
        <v>516</v>
      </c>
      <c r="M3725" s="132">
        <f t="shared" si="222"/>
        <v>32.883720930232556</v>
      </c>
    </row>
    <row r="3726" spans="1:13" ht="15.75" hidden="1" customHeight="1" x14ac:dyDescent="0.3">
      <c r="A3726" s="9">
        <v>6527</v>
      </c>
      <c r="B3726" t="s">
        <v>188</v>
      </c>
      <c r="C3726" s="25">
        <v>44738</v>
      </c>
      <c r="D3726" s="26">
        <v>0.69765046296296296</v>
      </c>
      <c r="E3726" t="s">
        <v>29</v>
      </c>
      <c r="F3726" t="s">
        <v>656</v>
      </c>
      <c r="G3726" t="s">
        <v>495</v>
      </c>
      <c r="H3726" t="s">
        <v>189</v>
      </c>
      <c r="I3726">
        <v>50.04</v>
      </c>
      <c r="J3726" s="38">
        <v>0</v>
      </c>
      <c r="K3726" s="97">
        <v>571</v>
      </c>
      <c r="L3726" s="30">
        <v>571</v>
      </c>
      <c r="M3726" s="61">
        <f t="shared" si="222"/>
        <v>8.7635726795096325</v>
      </c>
    </row>
    <row r="3727" spans="1:13" ht="15.75" hidden="1" customHeight="1" x14ac:dyDescent="0.3">
      <c r="B3727" t="s">
        <v>174</v>
      </c>
      <c r="C3727" s="25">
        <v>44564</v>
      </c>
      <c r="D3727" s="26">
        <v>0.67625000000000002</v>
      </c>
      <c r="E3727" t="s">
        <v>24</v>
      </c>
      <c r="F3727" t="s">
        <v>175</v>
      </c>
      <c r="G3727" t="s">
        <v>172</v>
      </c>
      <c r="H3727" t="s">
        <v>138</v>
      </c>
      <c r="I3727">
        <v>345.95</v>
      </c>
      <c r="J3727" s="31">
        <v>0</v>
      </c>
      <c r="K3727" s="7">
        <f t="shared" ref="K3727:K3759" si="223">+L3727-J3727</f>
        <v>927.27</v>
      </c>
      <c r="L3727" s="11">
        <v>927.27</v>
      </c>
      <c r="M3727" s="10">
        <f t="shared" si="222"/>
        <v>37.308443064048227</v>
      </c>
    </row>
    <row r="3728" spans="1:13" ht="15.75" hidden="1" customHeight="1" x14ac:dyDescent="0.3">
      <c r="B3728" t="s">
        <v>174</v>
      </c>
      <c r="C3728" s="25">
        <v>44565</v>
      </c>
      <c r="D3728" s="26">
        <v>0.90391203703703704</v>
      </c>
      <c r="E3728" t="s">
        <v>24</v>
      </c>
      <c r="F3728" t="s">
        <v>210</v>
      </c>
      <c r="G3728" t="s">
        <v>211</v>
      </c>
      <c r="H3728" t="s">
        <v>138</v>
      </c>
      <c r="I3728">
        <v>361.76</v>
      </c>
      <c r="J3728" s="31">
        <v>0</v>
      </c>
      <c r="K3728" s="7">
        <f t="shared" si="223"/>
        <v>785.33</v>
      </c>
      <c r="L3728" s="28">
        <v>785.33</v>
      </c>
      <c r="M3728" s="10">
        <f t="shared" si="222"/>
        <v>46.064711649879662</v>
      </c>
    </row>
    <row r="3729" spans="1:13" ht="15.75" hidden="1" customHeight="1" x14ac:dyDescent="0.3">
      <c r="B3729" t="s">
        <v>174</v>
      </c>
      <c r="C3729" s="25">
        <v>44567</v>
      </c>
      <c r="D3729" s="26">
        <v>0.29158564814814814</v>
      </c>
      <c r="E3729" t="s">
        <v>24</v>
      </c>
      <c r="F3729" t="s">
        <v>210</v>
      </c>
      <c r="G3729" t="s">
        <v>211</v>
      </c>
      <c r="H3729" t="s">
        <v>138</v>
      </c>
      <c r="I3729">
        <v>418.92</v>
      </c>
      <c r="J3729" s="7">
        <v>0</v>
      </c>
      <c r="K3729" s="7">
        <f t="shared" si="223"/>
        <v>1035.99</v>
      </c>
      <c r="L3729" s="11">
        <v>1035.99</v>
      </c>
      <c r="M3729" s="10">
        <f t="shared" si="222"/>
        <v>40.436683751773664</v>
      </c>
    </row>
    <row r="3730" spans="1:13" ht="15.75" hidden="1" customHeight="1" x14ac:dyDescent="0.3">
      <c r="B3730" t="s">
        <v>174</v>
      </c>
      <c r="C3730" s="25">
        <v>44568</v>
      </c>
      <c r="D3730" s="26">
        <v>0.52041666666666664</v>
      </c>
      <c r="E3730" t="s">
        <v>24</v>
      </c>
      <c r="F3730" t="s">
        <v>175</v>
      </c>
      <c r="G3730" t="s">
        <v>172</v>
      </c>
      <c r="H3730" t="s">
        <v>138</v>
      </c>
      <c r="I3730">
        <v>345.74</v>
      </c>
      <c r="J3730" s="39">
        <v>0</v>
      </c>
      <c r="K3730" s="7">
        <f t="shared" si="223"/>
        <v>917.5</v>
      </c>
      <c r="L3730" s="11">
        <v>917.5</v>
      </c>
      <c r="M3730" s="10">
        <f t="shared" si="222"/>
        <v>37.682833787465938</v>
      </c>
    </row>
    <row r="3731" spans="1:13" ht="15.75" hidden="1" customHeight="1" x14ac:dyDescent="0.3">
      <c r="B3731" t="s">
        <v>174</v>
      </c>
      <c r="C3731" s="25">
        <v>44570</v>
      </c>
      <c r="D3731" s="26">
        <v>0.83942129629629625</v>
      </c>
      <c r="E3731" t="s">
        <v>24</v>
      </c>
      <c r="F3731" t="s">
        <v>210</v>
      </c>
      <c r="G3731" t="s">
        <v>211</v>
      </c>
      <c r="H3731" t="s">
        <v>138</v>
      </c>
      <c r="I3731">
        <v>356.92</v>
      </c>
      <c r="J3731" s="39">
        <v>0</v>
      </c>
      <c r="K3731" s="7">
        <f t="shared" si="223"/>
        <v>788.71</v>
      </c>
      <c r="L3731" s="11">
        <v>788.71</v>
      </c>
      <c r="M3731" s="10">
        <f t="shared" si="222"/>
        <v>45.253642023050297</v>
      </c>
    </row>
    <row r="3732" spans="1:13" ht="15.75" hidden="1" customHeight="1" x14ac:dyDescent="0.3">
      <c r="B3732" t="s">
        <v>174</v>
      </c>
      <c r="C3732" s="25">
        <v>44572</v>
      </c>
      <c r="D3732" s="26">
        <v>0.18285879629629631</v>
      </c>
      <c r="E3732" t="s">
        <v>24</v>
      </c>
      <c r="F3732" t="s">
        <v>210</v>
      </c>
      <c r="G3732" t="s">
        <v>211</v>
      </c>
      <c r="H3732" t="s">
        <v>138</v>
      </c>
      <c r="I3732">
        <v>455.18</v>
      </c>
      <c r="J3732" s="39">
        <v>0</v>
      </c>
      <c r="K3732" s="7">
        <f t="shared" si="223"/>
        <v>1094.67</v>
      </c>
      <c r="L3732" s="11">
        <v>1094.67</v>
      </c>
      <c r="M3732" s="10">
        <f t="shared" si="222"/>
        <v>41.581481176975707</v>
      </c>
    </row>
    <row r="3733" spans="1:13" ht="15.75" hidden="1" customHeight="1" x14ac:dyDescent="0.3">
      <c r="B3733" t="s">
        <v>174</v>
      </c>
      <c r="C3733" s="25">
        <v>44574</v>
      </c>
      <c r="D3733" s="26">
        <v>0.54074074074074074</v>
      </c>
      <c r="E3733" t="s">
        <v>24</v>
      </c>
      <c r="F3733" t="s">
        <v>175</v>
      </c>
      <c r="G3733" t="s">
        <v>172</v>
      </c>
      <c r="H3733" t="s">
        <v>138</v>
      </c>
      <c r="I3733">
        <v>417.56</v>
      </c>
      <c r="J3733" s="39">
        <v>0</v>
      </c>
      <c r="K3733" s="7">
        <f t="shared" si="223"/>
        <v>1327.91</v>
      </c>
      <c r="L3733" s="11">
        <v>1327.91</v>
      </c>
      <c r="M3733" s="10">
        <f t="shared" si="222"/>
        <v>31.444902139452218</v>
      </c>
    </row>
    <row r="3734" spans="1:13" ht="15.75" hidden="1" customHeight="1" x14ac:dyDescent="0.3">
      <c r="B3734" t="s">
        <v>174</v>
      </c>
      <c r="C3734" s="25">
        <v>44576</v>
      </c>
      <c r="D3734" s="26">
        <v>0.41046296296296297</v>
      </c>
      <c r="E3734" t="s">
        <v>24</v>
      </c>
      <c r="F3734" t="s">
        <v>368</v>
      </c>
      <c r="G3734" t="s">
        <v>369</v>
      </c>
      <c r="H3734" t="s">
        <v>138</v>
      </c>
      <c r="I3734">
        <v>397.17</v>
      </c>
      <c r="J3734" s="7">
        <v>0</v>
      </c>
      <c r="K3734" s="11">
        <f t="shared" si="223"/>
        <v>897.85</v>
      </c>
      <c r="L3734" s="30">
        <v>897.85</v>
      </c>
      <c r="M3734" s="10">
        <f t="shared" si="222"/>
        <v>44.235674110374781</v>
      </c>
    </row>
    <row r="3735" spans="1:13" ht="15.75" hidden="1" customHeight="1" x14ac:dyDescent="0.3">
      <c r="B3735" t="s">
        <v>174</v>
      </c>
      <c r="C3735" s="25">
        <v>44584</v>
      </c>
      <c r="D3735" s="26">
        <v>0.41901620370370374</v>
      </c>
      <c r="E3735" t="s">
        <v>24</v>
      </c>
      <c r="F3735" t="s">
        <v>394</v>
      </c>
      <c r="G3735" t="s">
        <v>395</v>
      </c>
      <c r="H3735" t="s">
        <v>138</v>
      </c>
      <c r="I3735">
        <v>602.21</v>
      </c>
      <c r="J3735" s="7">
        <v>0</v>
      </c>
      <c r="K3735" s="11">
        <f t="shared" si="223"/>
        <v>1418.58</v>
      </c>
      <c r="L3735" s="11">
        <v>1418.58</v>
      </c>
      <c r="M3735" s="10">
        <f t="shared" si="222"/>
        <v>42.451606536113587</v>
      </c>
    </row>
    <row r="3736" spans="1:13" ht="15.75" hidden="1" customHeight="1" x14ac:dyDescent="0.3">
      <c r="B3736" t="s">
        <v>174</v>
      </c>
      <c r="C3736" s="25">
        <v>44588</v>
      </c>
      <c r="D3736" s="26">
        <v>0.53254629629629624</v>
      </c>
      <c r="E3736" t="s">
        <v>24</v>
      </c>
      <c r="F3736" t="s">
        <v>166</v>
      </c>
      <c r="G3736" t="s">
        <v>161</v>
      </c>
      <c r="H3736" t="s">
        <v>138</v>
      </c>
      <c r="I3736">
        <v>542.29999999999995</v>
      </c>
      <c r="J3736" s="34">
        <v>0</v>
      </c>
      <c r="K3736" s="7">
        <f t="shared" si="223"/>
        <v>1326.57</v>
      </c>
      <c r="L3736" s="7">
        <v>1326.57</v>
      </c>
      <c r="M3736" s="10">
        <f t="shared" si="222"/>
        <v>40.879863105603171</v>
      </c>
    </row>
    <row r="3737" spans="1:13" ht="15.75" hidden="1" customHeight="1" x14ac:dyDescent="0.3">
      <c r="B3737" t="s">
        <v>174</v>
      </c>
      <c r="C3737" s="25">
        <v>44590</v>
      </c>
      <c r="D3737" s="26">
        <v>0.38474537037037032</v>
      </c>
      <c r="E3737" t="s">
        <v>24</v>
      </c>
      <c r="F3737" t="s">
        <v>210</v>
      </c>
      <c r="G3737" t="s">
        <v>211</v>
      </c>
      <c r="H3737" t="s">
        <v>138</v>
      </c>
      <c r="I3737">
        <v>425.45</v>
      </c>
      <c r="J3737" s="7">
        <v>0</v>
      </c>
      <c r="K3737" s="7">
        <f t="shared" si="223"/>
        <v>1116.4000000000001</v>
      </c>
      <c r="L3737" s="7">
        <v>1116.4000000000001</v>
      </c>
      <c r="M3737" s="10">
        <f t="shared" si="222"/>
        <v>38.109100680759575</v>
      </c>
    </row>
    <row r="3738" spans="1:13" ht="15.75" hidden="1" customHeight="1" x14ac:dyDescent="0.3">
      <c r="B3738" t="s">
        <v>174</v>
      </c>
      <c r="C3738" s="25">
        <v>44592</v>
      </c>
      <c r="D3738" s="26">
        <v>0.69207175925925923</v>
      </c>
      <c r="E3738" t="s">
        <v>24</v>
      </c>
      <c r="F3738" t="s">
        <v>412</v>
      </c>
      <c r="G3738" t="s">
        <v>413</v>
      </c>
      <c r="H3738" t="s">
        <v>138</v>
      </c>
      <c r="I3738">
        <v>451.46</v>
      </c>
      <c r="J3738" s="7">
        <v>0</v>
      </c>
      <c r="K3738" s="7">
        <f t="shared" si="223"/>
        <v>1238.57</v>
      </c>
      <c r="L3738" s="7">
        <v>1238.57</v>
      </c>
      <c r="M3738" s="10">
        <f t="shared" si="222"/>
        <v>36.450099711764373</v>
      </c>
    </row>
    <row r="3739" spans="1:13" ht="15.75" hidden="1" customHeight="1" x14ac:dyDescent="0.3">
      <c r="A3739" s="9">
        <v>1066</v>
      </c>
      <c r="B3739" t="s">
        <v>174</v>
      </c>
      <c r="C3739" s="25">
        <v>44594</v>
      </c>
      <c r="D3739" s="26">
        <v>0.27059027777777778</v>
      </c>
      <c r="E3739" t="s">
        <v>25</v>
      </c>
      <c r="F3739" t="s">
        <v>210</v>
      </c>
      <c r="G3739" t="s">
        <v>211</v>
      </c>
      <c r="H3739" t="s">
        <v>138</v>
      </c>
      <c r="I3739">
        <v>399.18</v>
      </c>
      <c r="J3739" s="7">
        <v>0</v>
      </c>
      <c r="K3739" s="7">
        <f t="shared" si="223"/>
        <v>908.85</v>
      </c>
      <c r="L3739" s="7">
        <v>908.85</v>
      </c>
      <c r="M3739" s="10">
        <f t="shared" si="222"/>
        <v>43.921439181383064</v>
      </c>
    </row>
    <row r="3740" spans="1:13" ht="15.75" hidden="1" customHeight="1" x14ac:dyDescent="0.3">
      <c r="A3740" s="9">
        <v>1067</v>
      </c>
      <c r="B3740" t="s">
        <v>174</v>
      </c>
      <c r="C3740" s="25">
        <v>44596</v>
      </c>
      <c r="D3740" s="26">
        <v>0.32032407407407409</v>
      </c>
      <c r="E3740" t="s">
        <v>25</v>
      </c>
      <c r="F3740" t="s">
        <v>210</v>
      </c>
      <c r="G3740" t="s">
        <v>211</v>
      </c>
      <c r="H3740" t="s">
        <v>138</v>
      </c>
      <c r="I3740">
        <v>444.55</v>
      </c>
      <c r="J3740" s="7">
        <v>0</v>
      </c>
      <c r="K3740" s="34">
        <f t="shared" si="223"/>
        <v>1092.33</v>
      </c>
      <c r="L3740" s="34">
        <v>1092.33</v>
      </c>
      <c r="M3740" s="10">
        <f t="shared" si="222"/>
        <v>40.697408292365864</v>
      </c>
    </row>
    <row r="3741" spans="1:13" ht="15.75" hidden="1" customHeight="1" x14ac:dyDescent="0.3">
      <c r="A3741" s="9">
        <v>1068</v>
      </c>
      <c r="B3741" t="s">
        <v>174</v>
      </c>
      <c r="C3741" s="25">
        <v>44598</v>
      </c>
      <c r="D3741" s="26">
        <v>0.47641203703703705</v>
      </c>
      <c r="E3741" t="s">
        <v>25</v>
      </c>
      <c r="F3741" t="s">
        <v>175</v>
      </c>
      <c r="G3741" t="s">
        <v>172</v>
      </c>
      <c r="H3741" t="s">
        <v>138</v>
      </c>
      <c r="I3741">
        <v>424.66</v>
      </c>
      <c r="J3741" s="7">
        <v>0</v>
      </c>
      <c r="K3741" s="7">
        <f t="shared" si="223"/>
        <v>1108.27</v>
      </c>
      <c r="L3741" s="7">
        <v>1108.27</v>
      </c>
      <c r="M3741" s="10">
        <f t="shared" si="222"/>
        <v>38.317377534355352</v>
      </c>
    </row>
    <row r="3742" spans="1:13" ht="15.75" hidden="1" customHeight="1" x14ac:dyDescent="0.3">
      <c r="A3742" s="9">
        <v>1069</v>
      </c>
      <c r="B3742" t="s">
        <v>174</v>
      </c>
      <c r="C3742" s="25">
        <v>44599</v>
      </c>
      <c r="D3742" s="26">
        <v>0.53099537037037037</v>
      </c>
      <c r="E3742" t="s">
        <v>25</v>
      </c>
      <c r="F3742" t="s">
        <v>210</v>
      </c>
      <c r="G3742" t="s">
        <v>211</v>
      </c>
      <c r="H3742" t="s">
        <v>138</v>
      </c>
      <c r="I3742">
        <v>332.71</v>
      </c>
      <c r="J3742" s="7">
        <v>0</v>
      </c>
      <c r="K3742" s="34">
        <f t="shared" si="223"/>
        <v>759.92</v>
      </c>
      <c r="L3742" s="34">
        <v>759.92</v>
      </c>
      <c r="M3742" s="10">
        <f t="shared" si="222"/>
        <v>43.782240235814299</v>
      </c>
    </row>
    <row r="3743" spans="1:13" ht="15.75" hidden="1" customHeight="1" x14ac:dyDescent="0.3">
      <c r="A3743" s="9">
        <v>1070</v>
      </c>
      <c r="B3743" t="s">
        <v>174</v>
      </c>
      <c r="C3743" s="25">
        <v>44602</v>
      </c>
      <c r="D3743" s="26">
        <v>0.25436342592592592</v>
      </c>
      <c r="E3743" t="s">
        <v>25</v>
      </c>
      <c r="F3743" t="s">
        <v>210</v>
      </c>
      <c r="G3743" t="s">
        <v>211</v>
      </c>
      <c r="H3743" t="s">
        <v>138</v>
      </c>
      <c r="I3743">
        <v>475.43</v>
      </c>
      <c r="J3743" s="7">
        <v>0</v>
      </c>
      <c r="K3743" s="7">
        <f t="shared" si="223"/>
        <v>1076.98</v>
      </c>
      <c r="L3743" s="32">
        <v>1076.98</v>
      </c>
      <c r="M3743" s="36">
        <f t="shared" si="222"/>
        <v>44.144738063845196</v>
      </c>
    </row>
    <row r="3744" spans="1:13" ht="15.75" hidden="1" customHeight="1" x14ac:dyDescent="0.3">
      <c r="A3744" s="9">
        <v>1071</v>
      </c>
      <c r="B3744" t="s">
        <v>174</v>
      </c>
      <c r="C3744" s="25">
        <v>44604</v>
      </c>
      <c r="D3744" s="26">
        <v>0.37559027777777776</v>
      </c>
      <c r="E3744" t="s">
        <v>25</v>
      </c>
      <c r="F3744" t="s">
        <v>175</v>
      </c>
      <c r="G3744" t="s">
        <v>172</v>
      </c>
      <c r="H3744" t="s">
        <v>138</v>
      </c>
      <c r="I3744">
        <v>361.61</v>
      </c>
      <c r="J3744" s="7">
        <v>0</v>
      </c>
      <c r="K3744" s="11">
        <f t="shared" si="223"/>
        <v>964.25</v>
      </c>
      <c r="L3744" s="7">
        <v>964.25</v>
      </c>
      <c r="M3744" s="36">
        <f t="shared" si="222"/>
        <v>37.501685247601763</v>
      </c>
    </row>
    <row r="3745" spans="1:13" ht="15.75" hidden="1" customHeight="1" x14ac:dyDescent="0.3">
      <c r="A3745" s="9">
        <v>1072</v>
      </c>
      <c r="B3745" t="s">
        <v>174</v>
      </c>
      <c r="C3745" s="25">
        <v>44605</v>
      </c>
      <c r="D3745" s="26">
        <v>0.76896990740740734</v>
      </c>
      <c r="E3745" t="s">
        <v>25</v>
      </c>
      <c r="F3745" t="s">
        <v>210</v>
      </c>
      <c r="G3745" t="s">
        <v>211</v>
      </c>
      <c r="H3745" t="s">
        <v>138</v>
      </c>
      <c r="I3745">
        <v>410.98</v>
      </c>
      <c r="J3745" s="7">
        <v>0</v>
      </c>
      <c r="K3745" s="11">
        <f t="shared" si="223"/>
        <v>928.41</v>
      </c>
      <c r="L3745" s="32">
        <v>928.41</v>
      </c>
      <c r="M3745" s="36">
        <f t="shared" si="222"/>
        <v>44.267080277032775</v>
      </c>
    </row>
    <row r="3746" spans="1:13" ht="15.75" hidden="1" customHeight="1" x14ac:dyDescent="0.3">
      <c r="A3746" s="9">
        <v>1073</v>
      </c>
      <c r="B3746" t="s">
        <v>174</v>
      </c>
      <c r="C3746" s="25">
        <v>44607</v>
      </c>
      <c r="D3746" s="26">
        <v>0.50921296296296303</v>
      </c>
      <c r="E3746" t="s">
        <v>25</v>
      </c>
      <c r="F3746" t="s">
        <v>210</v>
      </c>
      <c r="G3746" t="s">
        <v>211</v>
      </c>
      <c r="H3746" t="s">
        <v>138</v>
      </c>
      <c r="I3746">
        <v>418.23</v>
      </c>
      <c r="J3746" s="7">
        <v>0</v>
      </c>
      <c r="K3746" s="11">
        <f t="shared" si="223"/>
        <v>885.84</v>
      </c>
      <c r="L3746" s="7">
        <v>885.84</v>
      </c>
      <c r="M3746" s="36">
        <f t="shared" si="222"/>
        <v>47.212814955296665</v>
      </c>
    </row>
    <row r="3747" spans="1:13" ht="15.75" hidden="1" customHeight="1" x14ac:dyDescent="0.3">
      <c r="A3747" s="9">
        <v>1074</v>
      </c>
      <c r="B3747" t="s">
        <v>174</v>
      </c>
      <c r="C3747" s="25">
        <v>44609</v>
      </c>
      <c r="D3747" s="26">
        <v>0.49694444444444441</v>
      </c>
      <c r="E3747" t="s">
        <v>25</v>
      </c>
      <c r="F3747" t="s">
        <v>175</v>
      </c>
      <c r="G3747" t="s">
        <v>172</v>
      </c>
      <c r="H3747" t="s">
        <v>138</v>
      </c>
      <c r="I3747">
        <v>347.24</v>
      </c>
      <c r="J3747" s="7">
        <v>0</v>
      </c>
      <c r="K3747" s="11">
        <f t="shared" si="223"/>
        <v>952.96</v>
      </c>
      <c r="L3747" s="32">
        <v>952.96</v>
      </c>
      <c r="M3747" s="36">
        <f t="shared" si="222"/>
        <v>36.438045668233713</v>
      </c>
    </row>
    <row r="3748" spans="1:13" ht="15.75" hidden="1" customHeight="1" x14ac:dyDescent="0.3">
      <c r="A3748" s="9">
        <v>2244</v>
      </c>
      <c r="B3748" t="s">
        <v>174</v>
      </c>
      <c r="C3748" s="25">
        <v>44621</v>
      </c>
      <c r="D3748" s="26">
        <v>0.57365740740740734</v>
      </c>
      <c r="E3748" t="s">
        <v>26</v>
      </c>
      <c r="F3748" t="s">
        <v>210</v>
      </c>
      <c r="G3748" t="s">
        <v>211</v>
      </c>
      <c r="H3748" t="s">
        <v>138</v>
      </c>
      <c r="I3748">
        <v>363.53</v>
      </c>
      <c r="J3748" s="7">
        <v>0</v>
      </c>
      <c r="K3748" s="89">
        <f t="shared" si="223"/>
        <v>775.94</v>
      </c>
      <c r="L3748" s="7">
        <v>775.94</v>
      </c>
      <c r="M3748" s="36">
        <f t="shared" si="222"/>
        <v>46.850271928241867</v>
      </c>
    </row>
    <row r="3749" spans="1:13" ht="15.75" hidden="1" customHeight="1" x14ac:dyDescent="0.3">
      <c r="A3749" s="9">
        <v>2245</v>
      </c>
      <c r="B3749" t="s">
        <v>174</v>
      </c>
      <c r="C3749" s="25">
        <v>44623</v>
      </c>
      <c r="D3749" s="26">
        <v>0.85174768518518518</v>
      </c>
      <c r="E3749" t="s">
        <v>26</v>
      </c>
      <c r="F3749" t="s">
        <v>210</v>
      </c>
      <c r="G3749" t="s">
        <v>211</v>
      </c>
      <c r="H3749" t="s">
        <v>138</v>
      </c>
      <c r="I3749">
        <v>491.11</v>
      </c>
      <c r="J3749" s="7">
        <v>0</v>
      </c>
      <c r="K3749" s="89">
        <f t="shared" si="223"/>
        <v>1094.6199999999999</v>
      </c>
      <c r="L3749" s="32">
        <v>1094.6199999999999</v>
      </c>
      <c r="M3749" s="36">
        <f t="shared" si="222"/>
        <v>44.865798176536153</v>
      </c>
    </row>
    <row r="3750" spans="1:13" ht="15.75" hidden="1" customHeight="1" x14ac:dyDescent="0.3">
      <c r="A3750" s="9">
        <v>2246</v>
      </c>
      <c r="B3750" t="s">
        <v>174</v>
      </c>
      <c r="C3750" s="25">
        <v>44627</v>
      </c>
      <c r="D3750" s="26">
        <v>0.35365740740740742</v>
      </c>
      <c r="E3750" t="s">
        <v>26</v>
      </c>
      <c r="F3750" t="s">
        <v>175</v>
      </c>
      <c r="G3750" t="s">
        <v>172</v>
      </c>
      <c r="H3750" t="s">
        <v>138</v>
      </c>
      <c r="I3750">
        <v>333.77</v>
      </c>
      <c r="J3750" s="34">
        <v>0</v>
      </c>
      <c r="K3750" s="89">
        <f t="shared" si="223"/>
        <v>918.58</v>
      </c>
      <c r="L3750" s="30">
        <v>918.58</v>
      </c>
      <c r="M3750" s="10">
        <f t="shared" si="222"/>
        <v>36.335430773585315</v>
      </c>
    </row>
    <row r="3751" spans="1:13" ht="15.75" hidden="1" customHeight="1" x14ac:dyDescent="0.3">
      <c r="A3751" s="9">
        <v>2247</v>
      </c>
      <c r="B3751" t="s">
        <v>174</v>
      </c>
      <c r="C3751" s="25">
        <v>44628</v>
      </c>
      <c r="D3751" s="26">
        <v>0.81369212962962967</v>
      </c>
      <c r="E3751" t="s">
        <v>26</v>
      </c>
      <c r="F3751" t="s">
        <v>166</v>
      </c>
      <c r="G3751" t="s">
        <v>161</v>
      </c>
      <c r="H3751" t="s">
        <v>138</v>
      </c>
      <c r="I3751">
        <v>384.81</v>
      </c>
      <c r="J3751" s="7">
        <v>0</v>
      </c>
      <c r="K3751" s="89">
        <f t="shared" si="223"/>
        <v>896.51</v>
      </c>
      <c r="L3751" s="53">
        <v>896.51</v>
      </c>
      <c r="M3751" s="10">
        <f t="shared" si="222"/>
        <v>42.923112960257001</v>
      </c>
    </row>
    <row r="3752" spans="1:13" ht="15.75" hidden="1" customHeight="1" x14ac:dyDescent="0.3">
      <c r="A3752" s="9">
        <v>2248</v>
      </c>
      <c r="B3752" t="s">
        <v>174</v>
      </c>
      <c r="C3752" s="25">
        <v>44630</v>
      </c>
      <c r="D3752" s="26">
        <v>0.52879629629629632</v>
      </c>
      <c r="E3752" t="s">
        <v>26</v>
      </c>
      <c r="F3752" t="s">
        <v>166</v>
      </c>
      <c r="G3752" t="s">
        <v>161</v>
      </c>
      <c r="H3752" t="s">
        <v>138</v>
      </c>
      <c r="I3752">
        <v>469.51</v>
      </c>
      <c r="J3752" s="7">
        <v>0</v>
      </c>
      <c r="K3752" s="89">
        <f t="shared" si="223"/>
        <v>1044.53</v>
      </c>
      <c r="L3752" s="11">
        <v>1044.53</v>
      </c>
      <c r="M3752" s="10">
        <f t="shared" si="222"/>
        <v>44.949403080811464</v>
      </c>
    </row>
    <row r="3753" spans="1:13" ht="15.75" hidden="1" customHeight="1" x14ac:dyDescent="0.3">
      <c r="A3753" s="9">
        <v>2249</v>
      </c>
      <c r="B3753" t="s">
        <v>174</v>
      </c>
      <c r="C3753" s="25">
        <v>44631</v>
      </c>
      <c r="D3753" s="26">
        <v>0.62517361111111114</v>
      </c>
      <c r="E3753" t="s">
        <v>26</v>
      </c>
      <c r="F3753" t="s">
        <v>175</v>
      </c>
      <c r="G3753" t="s">
        <v>172</v>
      </c>
      <c r="H3753" t="s">
        <v>138</v>
      </c>
      <c r="I3753">
        <v>306.23</v>
      </c>
      <c r="J3753" s="7">
        <v>0</v>
      </c>
      <c r="K3753" s="89">
        <f t="shared" si="223"/>
        <v>839.66</v>
      </c>
      <c r="L3753" s="53">
        <v>839.66</v>
      </c>
      <c r="M3753" s="10">
        <f t="shared" si="222"/>
        <v>36.470714336755357</v>
      </c>
    </row>
    <row r="3754" spans="1:13" ht="15.75" hidden="1" customHeight="1" x14ac:dyDescent="0.3">
      <c r="A3754" s="9">
        <v>2250</v>
      </c>
      <c r="B3754" t="s">
        <v>174</v>
      </c>
      <c r="C3754" s="25">
        <v>44633</v>
      </c>
      <c r="D3754" s="26">
        <v>0.34984953703703708</v>
      </c>
      <c r="E3754" t="s">
        <v>26</v>
      </c>
      <c r="F3754" t="s">
        <v>166</v>
      </c>
      <c r="G3754" t="s">
        <v>161</v>
      </c>
      <c r="H3754" t="s">
        <v>138</v>
      </c>
      <c r="I3754">
        <v>359.87</v>
      </c>
      <c r="J3754" s="7">
        <v>0</v>
      </c>
      <c r="K3754" s="89">
        <f t="shared" si="223"/>
        <v>852.38</v>
      </c>
      <c r="L3754" s="52">
        <v>852.38</v>
      </c>
      <c r="M3754" s="10">
        <f t="shared" si="222"/>
        <v>42.219432647410784</v>
      </c>
    </row>
    <row r="3755" spans="1:13" ht="15.75" hidden="1" customHeight="1" x14ac:dyDescent="0.3">
      <c r="A3755" s="9">
        <v>2251</v>
      </c>
      <c r="B3755" t="s">
        <v>174</v>
      </c>
      <c r="C3755" s="25">
        <v>44634</v>
      </c>
      <c r="D3755" s="26">
        <v>0.54584490740740743</v>
      </c>
      <c r="E3755" t="s">
        <v>26</v>
      </c>
      <c r="F3755" t="s">
        <v>210</v>
      </c>
      <c r="G3755" t="s">
        <v>211</v>
      </c>
      <c r="H3755" t="s">
        <v>138</v>
      </c>
      <c r="I3755">
        <v>383.29</v>
      </c>
      <c r="J3755" s="7">
        <v>0</v>
      </c>
      <c r="K3755" s="89">
        <f t="shared" si="223"/>
        <v>968.84</v>
      </c>
      <c r="L3755" s="52">
        <v>968.84</v>
      </c>
      <c r="M3755" s="10">
        <f t="shared" si="222"/>
        <v>39.561743941208043</v>
      </c>
    </row>
    <row r="3756" spans="1:13" ht="15.75" hidden="1" customHeight="1" x14ac:dyDescent="0.3">
      <c r="A3756" s="9">
        <v>2252</v>
      </c>
      <c r="B3756" t="s">
        <v>174</v>
      </c>
      <c r="C3756" s="25">
        <v>44636</v>
      </c>
      <c r="D3756" s="26">
        <v>0.49266203703703698</v>
      </c>
      <c r="E3756" t="s">
        <v>26</v>
      </c>
      <c r="F3756" t="s">
        <v>485</v>
      </c>
      <c r="G3756" t="s">
        <v>486</v>
      </c>
      <c r="H3756" t="s">
        <v>138</v>
      </c>
      <c r="I3756">
        <v>423.04</v>
      </c>
      <c r="J3756" s="7">
        <v>0</v>
      </c>
      <c r="K3756" s="89">
        <f t="shared" si="223"/>
        <v>1124.57</v>
      </c>
      <c r="L3756" s="52">
        <v>1124.57</v>
      </c>
      <c r="M3756" s="10">
        <f t="shared" si="222"/>
        <v>37.617933965871401</v>
      </c>
    </row>
    <row r="3757" spans="1:13" ht="15.75" hidden="1" customHeight="1" x14ac:dyDescent="0.3">
      <c r="A3757" s="9">
        <v>2253</v>
      </c>
      <c r="B3757" t="s">
        <v>174</v>
      </c>
      <c r="C3757" s="25">
        <v>44637</v>
      </c>
      <c r="D3757" s="26">
        <v>0.47281250000000002</v>
      </c>
      <c r="E3757" t="s">
        <v>26</v>
      </c>
      <c r="F3757" t="s">
        <v>166</v>
      </c>
      <c r="G3757" t="s">
        <v>161</v>
      </c>
      <c r="H3757" t="s">
        <v>138</v>
      </c>
      <c r="I3757">
        <v>265.83999999999997</v>
      </c>
      <c r="J3757" s="7">
        <v>0</v>
      </c>
      <c r="K3757" s="89">
        <f t="shared" si="223"/>
        <v>1234</v>
      </c>
      <c r="L3757" s="53">
        <v>1234</v>
      </c>
      <c r="M3757" s="10">
        <f t="shared" si="222"/>
        <v>21.542949756888166</v>
      </c>
    </row>
    <row r="3758" spans="1:13" ht="15.75" hidden="1" customHeight="1" x14ac:dyDescent="0.3">
      <c r="A3758" s="9">
        <v>2254</v>
      </c>
      <c r="B3758" t="s">
        <v>174</v>
      </c>
      <c r="C3758" s="25">
        <v>44638</v>
      </c>
      <c r="D3758" s="26">
        <v>0.78312500000000007</v>
      </c>
      <c r="E3758" t="s">
        <v>26</v>
      </c>
      <c r="F3758" t="s">
        <v>166</v>
      </c>
      <c r="G3758" t="s">
        <v>161</v>
      </c>
      <c r="H3758" t="s">
        <v>138</v>
      </c>
      <c r="I3758">
        <v>428.18</v>
      </c>
      <c r="J3758" s="7">
        <v>0</v>
      </c>
      <c r="K3758" s="89">
        <f t="shared" si="223"/>
        <v>1046.25</v>
      </c>
      <c r="L3758" s="53">
        <v>1046.25</v>
      </c>
      <c r="M3758" s="10">
        <f t="shared" si="222"/>
        <v>40.925209080047793</v>
      </c>
    </row>
    <row r="3759" spans="1:13" ht="15.75" hidden="1" customHeight="1" x14ac:dyDescent="0.3">
      <c r="A3759" s="9">
        <v>2255</v>
      </c>
      <c r="B3759" t="s">
        <v>174</v>
      </c>
      <c r="C3759" s="25">
        <v>44640</v>
      </c>
      <c r="D3759" s="26">
        <v>0.48761574074074071</v>
      </c>
      <c r="E3759" t="s">
        <v>26</v>
      </c>
      <c r="F3759" t="s">
        <v>428</v>
      </c>
      <c r="G3759" t="s">
        <v>429</v>
      </c>
      <c r="H3759" t="s">
        <v>138</v>
      </c>
      <c r="I3759">
        <f>81.33+250</f>
        <v>331.33</v>
      </c>
      <c r="J3759" s="7">
        <v>0</v>
      </c>
      <c r="K3759" s="89">
        <f t="shared" si="223"/>
        <v>853.46</v>
      </c>
      <c r="L3759" s="53">
        <v>853.46</v>
      </c>
      <c r="M3759" s="10">
        <f t="shared" si="222"/>
        <v>38.821971738570056</v>
      </c>
    </row>
    <row r="3760" spans="1:13" ht="15.75" hidden="1" customHeight="1" x14ac:dyDescent="0.3">
      <c r="A3760" s="9">
        <v>6488</v>
      </c>
      <c r="B3760" t="s">
        <v>597</v>
      </c>
      <c r="C3760" s="25">
        <v>44737</v>
      </c>
      <c r="D3760" s="26">
        <v>0.13415509259259259</v>
      </c>
      <c r="E3760" t="s">
        <v>29</v>
      </c>
      <c r="F3760" t="s">
        <v>734</v>
      </c>
      <c r="G3760" t="s">
        <v>277</v>
      </c>
      <c r="H3760" t="s">
        <v>207</v>
      </c>
      <c r="I3760" s="148">
        <v>270.05</v>
      </c>
      <c r="J3760" s="150">
        <f>270+168+258+353</f>
        <v>1049</v>
      </c>
      <c r="K3760" s="156">
        <v>457</v>
      </c>
      <c r="L3760" s="156">
        <v>2845</v>
      </c>
      <c r="M3760" s="155">
        <f>+J3760/L3760*100</f>
        <v>36.871704745166959</v>
      </c>
    </row>
    <row r="3761" spans="1:13" ht="15.75" hidden="1" customHeight="1" x14ac:dyDescent="0.3">
      <c r="A3761" s="9">
        <v>6648</v>
      </c>
      <c r="B3761" t="s">
        <v>597</v>
      </c>
      <c r="C3761" s="25">
        <v>44740</v>
      </c>
      <c r="D3761" s="26">
        <v>0.39556712962962964</v>
      </c>
      <c r="E3761" t="s">
        <v>29</v>
      </c>
      <c r="F3761" t="s">
        <v>734</v>
      </c>
      <c r="G3761" t="s">
        <v>277</v>
      </c>
      <c r="H3761" t="s">
        <v>207</v>
      </c>
      <c r="I3761" s="148">
        <v>250.56</v>
      </c>
      <c r="J3761" s="150">
        <f>251+156+261+354</f>
        <v>1022</v>
      </c>
      <c r="K3761" s="156">
        <v>762</v>
      </c>
      <c r="L3761" s="167">
        <v>2780</v>
      </c>
      <c r="M3761" s="155">
        <f>+J3761/L3761*100</f>
        <v>36.762589928057551</v>
      </c>
    </row>
    <row r="3762" spans="1:13" ht="15.75" hidden="1" customHeight="1" x14ac:dyDescent="0.3">
      <c r="A3762" s="9">
        <v>6637</v>
      </c>
      <c r="B3762" t="s">
        <v>188</v>
      </c>
      <c r="C3762" s="25">
        <v>44740</v>
      </c>
      <c r="D3762" s="26">
        <v>0.48162037037037037</v>
      </c>
      <c r="E3762" t="s">
        <v>29</v>
      </c>
      <c r="F3762" t="s">
        <v>639</v>
      </c>
      <c r="G3762" t="s">
        <v>44</v>
      </c>
      <c r="H3762" t="s">
        <v>189</v>
      </c>
      <c r="I3762">
        <v>234</v>
      </c>
      <c r="J3762" s="32">
        <v>0</v>
      </c>
      <c r="K3762" s="89">
        <v>589</v>
      </c>
      <c r="L3762" s="7">
        <v>589</v>
      </c>
      <c r="M3762" s="10">
        <f t="shared" ref="M3762:M3793" si="224">I3762/K3762*100</f>
        <v>39.728353140916809</v>
      </c>
    </row>
    <row r="3763" spans="1:13" ht="15.75" hidden="1" customHeight="1" x14ac:dyDescent="0.3">
      <c r="A3763" s="9">
        <v>3920</v>
      </c>
      <c r="B3763" t="s">
        <v>597</v>
      </c>
      <c r="C3763" s="25">
        <v>44687</v>
      </c>
      <c r="D3763" s="26">
        <v>3.3599537037037039E-2</v>
      </c>
      <c r="E3763" t="s">
        <v>28</v>
      </c>
      <c r="F3763" t="s">
        <v>366</v>
      </c>
      <c r="G3763" t="s">
        <v>367</v>
      </c>
      <c r="H3763" t="s">
        <v>207</v>
      </c>
      <c r="I3763">
        <v>100</v>
      </c>
      <c r="J3763" s="7">
        <v>0</v>
      </c>
      <c r="K3763" s="89">
        <f t="shared" ref="K3763:K3769" si="225">+L3763-J3763</f>
        <v>1588</v>
      </c>
      <c r="L3763" s="33">
        <v>1588</v>
      </c>
      <c r="M3763" s="10">
        <f t="shared" si="224"/>
        <v>6.2972292191435768</v>
      </c>
    </row>
    <row r="3764" spans="1:13" ht="15.75" hidden="1" customHeight="1" x14ac:dyDescent="0.3">
      <c r="A3764" s="9">
        <v>3921</v>
      </c>
      <c r="B3764" t="s">
        <v>597</v>
      </c>
      <c r="C3764" s="25">
        <v>44687</v>
      </c>
      <c r="D3764" s="26">
        <v>0.47697916666666668</v>
      </c>
      <c r="E3764" t="s">
        <v>28</v>
      </c>
      <c r="F3764" t="s">
        <v>210</v>
      </c>
      <c r="G3764" t="s">
        <v>211</v>
      </c>
      <c r="H3764" t="s">
        <v>207</v>
      </c>
      <c r="I3764">
        <v>173.7</v>
      </c>
      <c r="J3764" s="7">
        <v>0</v>
      </c>
      <c r="K3764" s="89">
        <f t="shared" si="225"/>
        <v>198</v>
      </c>
      <c r="L3764" s="32">
        <v>198</v>
      </c>
      <c r="M3764" s="10">
        <f t="shared" si="224"/>
        <v>87.72727272727272</v>
      </c>
    </row>
    <row r="3765" spans="1:13" ht="15.75" hidden="1" customHeight="1" x14ac:dyDescent="0.3">
      <c r="A3765" s="9">
        <v>3972</v>
      </c>
      <c r="B3765" t="s">
        <v>597</v>
      </c>
      <c r="C3765" s="25">
        <v>44688</v>
      </c>
      <c r="D3765" s="26">
        <v>8.8414351851851855E-2</v>
      </c>
      <c r="E3765" t="s">
        <v>28</v>
      </c>
      <c r="F3765" t="s">
        <v>210</v>
      </c>
      <c r="G3765" t="s">
        <v>211</v>
      </c>
      <c r="H3765" t="s">
        <v>207</v>
      </c>
      <c r="I3765">
        <v>301.66000000000003</v>
      </c>
      <c r="J3765" s="7">
        <v>0</v>
      </c>
      <c r="K3765" s="89">
        <f t="shared" si="225"/>
        <v>874</v>
      </c>
      <c r="L3765" s="32">
        <v>874</v>
      </c>
      <c r="M3765" s="10">
        <f t="shared" si="224"/>
        <v>34.514874141876433</v>
      </c>
    </row>
    <row r="3766" spans="1:13" ht="15.75" hidden="1" customHeight="1" x14ac:dyDescent="0.3">
      <c r="A3766" s="9">
        <v>4020</v>
      </c>
      <c r="B3766" t="s">
        <v>597</v>
      </c>
      <c r="C3766" s="25">
        <v>44689</v>
      </c>
      <c r="D3766" s="26">
        <v>0.36214120370370373</v>
      </c>
      <c r="E3766" t="s">
        <v>28</v>
      </c>
      <c r="F3766" t="s">
        <v>428</v>
      </c>
      <c r="G3766" t="s">
        <v>429</v>
      </c>
      <c r="H3766" t="s">
        <v>207</v>
      </c>
      <c r="I3766">
        <v>100.01</v>
      </c>
      <c r="J3766" s="7">
        <v>0</v>
      </c>
      <c r="K3766" s="89">
        <f t="shared" si="225"/>
        <v>924</v>
      </c>
      <c r="L3766" s="32">
        <v>924</v>
      </c>
      <c r="M3766" s="10">
        <f t="shared" si="224"/>
        <v>10.823593073593074</v>
      </c>
    </row>
    <row r="3767" spans="1:13" ht="15.75" hidden="1" customHeight="1" x14ac:dyDescent="0.3">
      <c r="A3767" s="9">
        <v>4021</v>
      </c>
      <c r="B3767" t="s">
        <v>597</v>
      </c>
      <c r="C3767" s="25">
        <v>44689</v>
      </c>
      <c r="D3767" s="26">
        <v>0.46515046296296297</v>
      </c>
      <c r="E3767" t="s">
        <v>28</v>
      </c>
      <c r="F3767" t="s">
        <v>175</v>
      </c>
      <c r="G3767" t="s">
        <v>172</v>
      </c>
      <c r="H3767" t="s">
        <v>207</v>
      </c>
      <c r="I3767">
        <v>282.10000000000002</v>
      </c>
      <c r="J3767" s="31">
        <v>0</v>
      </c>
      <c r="K3767" s="89">
        <f t="shared" si="225"/>
        <v>142</v>
      </c>
      <c r="L3767" s="37">
        <v>142</v>
      </c>
      <c r="M3767" s="10">
        <f t="shared" si="224"/>
        <v>198.66197183098592</v>
      </c>
    </row>
    <row r="3768" spans="1:13" ht="15.75" hidden="1" customHeight="1" x14ac:dyDescent="0.3">
      <c r="A3768" s="9">
        <v>4135</v>
      </c>
      <c r="B3768" t="s">
        <v>597</v>
      </c>
      <c r="C3768" s="25">
        <v>44691</v>
      </c>
      <c r="D3768" s="26">
        <v>8.2233796296296291E-2</v>
      </c>
      <c r="E3768" t="s">
        <v>28</v>
      </c>
      <c r="F3768" t="s">
        <v>166</v>
      </c>
      <c r="G3768" t="s">
        <v>161</v>
      </c>
      <c r="H3768" t="s">
        <v>207</v>
      </c>
      <c r="I3768">
        <v>323.70999999999998</v>
      </c>
      <c r="J3768" s="31">
        <v>0</v>
      </c>
      <c r="K3768" s="89">
        <f t="shared" si="225"/>
        <v>824</v>
      </c>
      <c r="L3768" s="32">
        <v>824</v>
      </c>
      <c r="M3768" s="10">
        <f t="shared" si="224"/>
        <v>39.285194174757279</v>
      </c>
    </row>
    <row r="3769" spans="1:13" ht="15.75" hidden="1" customHeight="1" x14ac:dyDescent="0.3">
      <c r="A3769" s="9">
        <v>4160</v>
      </c>
      <c r="B3769" t="s">
        <v>597</v>
      </c>
      <c r="C3769" s="25">
        <v>44692</v>
      </c>
      <c r="D3769" s="26">
        <v>0.81074074074074076</v>
      </c>
      <c r="E3769" t="s">
        <v>28</v>
      </c>
      <c r="F3769" t="s">
        <v>210</v>
      </c>
      <c r="G3769" t="s">
        <v>211</v>
      </c>
      <c r="H3769" t="s">
        <v>207</v>
      </c>
      <c r="I3769">
        <v>417.07</v>
      </c>
      <c r="J3769" s="31">
        <v>0</v>
      </c>
      <c r="K3769" s="89">
        <f t="shared" si="225"/>
        <v>970</v>
      </c>
      <c r="L3769" s="32">
        <v>970</v>
      </c>
      <c r="M3769" s="10">
        <f t="shared" si="224"/>
        <v>42.996907216494847</v>
      </c>
    </row>
    <row r="3770" spans="1:13" ht="15.75" hidden="1" customHeight="1" x14ac:dyDescent="0.3">
      <c r="A3770" s="9">
        <v>4253</v>
      </c>
      <c r="B3770" t="s">
        <v>597</v>
      </c>
      <c r="C3770" s="25">
        <v>44694</v>
      </c>
      <c r="D3770" s="26">
        <v>0.81601851851851848</v>
      </c>
      <c r="E3770" t="s">
        <v>28</v>
      </c>
      <c r="F3770" t="s">
        <v>166</v>
      </c>
      <c r="G3770" t="s">
        <v>161</v>
      </c>
      <c r="H3770" t="s">
        <v>207</v>
      </c>
      <c r="I3770">
        <v>245.12</v>
      </c>
      <c r="J3770" s="31">
        <v>0</v>
      </c>
      <c r="K3770" s="89">
        <f>+L3770-J4042</f>
        <v>615</v>
      </c>
      <c r="L3770" s="33">
        <v>615</v>
      </c>
      <c r="M3770" s="10">
        <f t="shared" si="224"/>
        <v>39.856910569105693</v>
      </c>
    </row>
    <row r="3771" spans="1:13" ht="15.75" hidden="1" customHeight="1" x14ac:dyDescent="0.3">
      <c r="A3771" s="9">
        <v>4267</v>
      </c>
      <c r="B3771" t="s">
        <v>597</v>
      </c>
      <c r="C3771" s="25">
        <v>44694</v>
      </c>
      <c r="D3771" s="26">
        <v>0.36313657407407413</v>
      </c>
      <c r="E3771" t="s">
        <v>28</v>
      </c>
      <c r="F3771" t="s">
        <v>175</v>
      </c>
      <c r="G3771" t="s">
        <v>172</v>
      </c>
      <c r="H3771" t="s">
        <v>207</v>
      </c>
      <c r="I3771">
        <v>445</v>
      </c>
      <c r="J3771" s="7">
        <v>0</v>
      </c>
      <c r="K3771" s="89">
        <f>+L3771-J4043</f>
        <v>1202</v>
      </c>
      <c r="L3771" s="32">
        <v>1202</v>
      </c>
      <c r="M3771" s="10">
        <f t="shared" si="224"/>
        <v>37.021630615640596</v>
      </c>
    </row>
    <row r="3772" spans="1:13" ht="15.75" hidden="1" customHeight="1" x14ac:dyDescent="0.3">
      <c r="A3772" s="9">
        <v>4309</v>
      </c>
      <c r="B3772" t="s">
        <v>597</v>
      </c>
      <c r="C3772" s="25">
        <v>44695</v>
      </c>
      <c r="D3772" s="26">
        <v>0.8149305555555556</v>
      </c>
      <c r="E3772" t="s">
        <v>28</v>
      </c>
      <c r="F3772" t="s">
        <v>165</v>
      </c>
      <c r="G3772" t="s">
        <v>185</v>
      </c>
      <c r="H3772" t="s">
        <v>207</v>
      </c>
      <c r="I3772">
        <v>266.8</v>
      </c>
      <c r="J3772" s="34">
        <v>0</v>
      </c>
      <c r="K3772" s="89">
        <f>+L3772-J4044</f>
        <v>547</v>
      </c>
      <c r="L3772" s="37">
        <v>547</v>
      </c>
      <c r="M3772" s="10">
        <f t="shared" si="224"/>
        <v>48.775137111517367</v>
      </c>
    </row>
    <row r="3773" spans="1:13" ht="15.75" hidden="1" customHeight="1" x14ac:dyDescent="0.3">
      <c r="A3773" s="9">
        <v>4378</v>
      </c>
      <c r="B3773" t="s">
        <v>597</v>
      </c>
      <c r="C3773" s="25">
        <v>44696</v>
      </c>
      <c r="D3773" s="26">
        <v>0.79462962962962969</v>
      </c>
      <c r="E3773" t="s">
        <v>28</v>
      </c>
      <c r="F3773" t="s">
        <v>293</v>
      </c>
      <c r="G3773" t="s">
        <v>196</v>
      </c>
      <c r="H3773" t="s">
        <v>207</v>
      </c>
      <c r="I3773">
        <v>167.6</v>
      </c>
      <c r="J3773" s="7">
        <v>0</v>
      </c>
      <c r="K3773" s="89">
        <f>+L3773-J4045</f>
        <v>375</v>
      </c>
      <c r="L3773" s="32">
        <v>375</v>
      </c>
      <c r="M3773" s="10">
        <f t="shared" si="224"/>
        <v>44.693333333333328</v>
      </c>
    </row>
    <row r="3774" spans="1:13" ht="15.75" hidden="1" customHeight="1" x14ac:dyDescent="0.3">
      <c r="A3774" s="9">
        <v>4403</v>
      </c>
      <c r="B3774" t="s">
        <v>597</v>
      </c>
      <c r="C3774" s="25">
        <v>44696</v>
      </c>
      <c r="D3774" s="26">
        <v>0.50896990740740744</v>
      </c>
      <c r="E3774" t="s">
        <v>28</v>
      </c>
      <c r="F3774" t="s">
        <v>166</v>
      </c>
      <c r="G3774" t="s">
        <v>161</v>
      </c>
      <c r="H3774" t="s">
        <v>207</v>
      </c>
      <c r="I3774">
        <v>100</v>
      </c>
      <c r="J3774" s="34">
        <v>0</v>
      </c>
      <c r="K3774" s="89">
        <f>+L3774-J4046</f>
        <v>513</v>
      </c>
      <c r="L3774" s="38">
        <v>513</v>
      </c>
      <c r="M3774" s="10">
        <f t="shared" si="224"/>
        <v>19.49317738791423</v>
      </c>
    </row>
    <row r="3775" spans="1:13" ht="15.75" hidden="1" customHeight="1" x14ac:dyDescent="0.3">
      <c r="A3775" s="9">
        <v>4496</v>
      </c>
      <c r="B3775" t="s">
        <v>597</v>
      </c>
      <c r="C3775" s="25">
        <v>44698</v>
      </c>
      <c r="D3775" s="26">
        <v>0.75253472222222229</v>
      </c>
      <c r="E3775" t="s">
        <v>28</v>
      </c>
      <c r="F3775" t="s">
        <v>166</v>
      </c>
      <c r="G3775" t="s">
        <v>161</v>
      </c>
      <c r="H3775" t="s">
        <v>207</v>
      </c>
      <c r="I3775">
        <v>322.86</v>
      </c>
      <c r="J3775" s="7">
        <v>0</v>
      </c>
      <c r="K3775" s="89">
        <f t="shared" ref="K3775:K3781" si="226">+L3775-J4044</f>
        <v>233</v>
      </c>
      <c r="L3775" s="32">
        <v>233</v>
      </c>
      <c r="M3775" s="10">
        <f t="shared" si="224"/>
        <v>138.56652360515022</v>
      </c>
    </row>
    <row r="3776" spans="1:13" ht="15.75" hidden="1" customHeight="1" x14ac:dyDescent="0.3">
      <c r="A3776" s="9">
        <v>4502</v>
      </c>
      <c r="B3776" t="s">
        <v>597</v>
      </c>
      <c r="C3776" s="25">
        <v>44698</v>
      </c>
      <c r="D3776" s="26">
        <v>0.42480324074074072</v>
      </c>
      <c r="E3776" t="s">
        <v>28</v>
      </c>
      <c r="F3776" t="s">
        <v>197</v>
      </c>
      <c r="G3776" t="s">
        <v>44</v>
      </c>
      <c r="H3776" t="s">
        <v>207</v>
      </c>
      <c r="I3776">
        <v>102.37</v>
      </c>
      <c r="J3776" s="7">
        <v>0</v>
      </c>
      <c r="K3776" s="89">
        <f t="shared" si="226"/>
        <v>693</v>
      </c>
      <c r="L3776" s="32">
        <v>693</v>
      </c>
      <c r="M3776" s="10">
        <f t="shared" si="224"/>
        <v>14.772005772005773</v>
      </c>
    </row>
    <row r="3777" spans="1:13" ht="15.75" hidden="1" customHeight="1" x14ac:dyDescent="0.3">
      <c r="A3777" s="9">
        <v>4503</v>
      </c>
      <c r="B3777" t="s">
        <v>597</v>
      </c>
      <c r="C3777" s="25">
        <v>44698</v>
      </c>
      <c r="D3777" s="26">
        <v>0.60741898148148155</v>
      </c>
      <c r="E3777" t="s">
        <v>28</v>
      </c>
      <c r="F3777" t="s">
        <v>456</v>
      </c>
      <c r="G3777" t="s">
        <v>457</v>
      </c>
      <c r="H3777" t="s">
        <v>207</v>
      </c>
      <c r="I3777">
        <v>100</v>
      </c>
      <c r="J3777" s="7">
        <v>0</v>
      </c>
      <c r="K3777" s="89">
        <f t="shared" si="226"/>
        <v>274</v>
      </c>
      <c r="L3777" s="37">
        <v>274</v>
      </c>
      <c r="M3777" s="10">
        <f t="shared" si="224"/>
        <v>36.496350364963504</v>
      </c>
    </row>
    <row r="3778" spans="1:13" ht="15.75" hidden="1" customHeight="1" x14ac:dyDescent="0.3">
      <c r="A3778" s="9">
        <v>4545</v>
      </c>
      <c r="B3778" t="s">
        <v>597</v>
      </c>
      <c r="C3778" s="25">
        <v>44699</v>
      </c>
      <c r="D3778" s="26">
        <v>0.63509259259259265</v>
      </c>
      <c r="E3778" t="s">
        <v>28</v>
      </c>
      <c r="F3778" t="s">
        <v>165</v>
      </c>
      <c r="G3778" t="s">
        <v>185</v>
      </c>
      <c r="H3778" t="s">
        <v>207</v>
      </c>
      <c r="I3778">
        <v>280.01</v>
      </c>
      <c r="J3778" s="39">
        <v>0</v>
      </c>
      <c r="K3778" s="89">
        <f t="shared" si="226"/>
        <v>624</v>
      </c>
      <c r="L3778" s="32">
        <v>624</v>
      </c>
      <c r="M3778" s="10">
        <f t="shared" si="224"/>
        <v>44.873397435897431</v>
      </c>
    </row>
    <row r="3779" spans="1:13" ht="15.75" hidden="1" customHeight="1" x14ac:dyDescent="0.3">
      <c r="A3779" s="9">
        <v>4556</v>
      </c>
      <c r="B3779" t="s">
        <v>597</v>
      </c>
      <c r="C3779" s="25">
        <v>44699</v>
      </c>
      <c r="D3779" s="26">
        <v>0.99587962962962961</v>
      </c>
      <c r="E3779" t="s">
        <v>28</v>
      </c>
      <c r="F3779" t="s">
        <v>166</v>
      </c>
      <c r="G3779" t="s">
        <v>161</v>
      </c>
      <c r="H3779" t="s">
        <v>207</v>
      </c>
      <c r="I3779">
        <v>178.81</v>
      </c>
      <c r="J3779" s="39">
        <v>0</v>
      </c>
      <c r="K3779" s="89">
        <f t="shared" si="226"/>
        <v>618</v>
      </c>
      <c r="L3779" s="32">
        <v>618</v>
      </c>
      <c r="M3779" s="10">
        <f t="shared" si="224"/>
        <v>28.933656957928804</v>
      </c>
    </row>
    <row r="3780" spans="1:13" ht="15.75" hidden="1" customHeight="1" x14ac:dyDescent="0.3">
      <c r="A3780" s="9">
        <v>4656</v>
      </c>
      <c r="B3780" t="s">
        <v>597</v>
      </c>
      <c r="C3780" s="25">
        <v>44701</v>
      </c>
      <c r="D3780" s="26">
        <v>0.71247685185185183</v>
      </c>
      <c r="E3780" t="s">
        <v>28</v>
      </c>
      <c r="F3780" t="s">
        <v>262</v>
      </c>
      <c r="G3780" t="s">
        <v>263</v>
      </c>
      <c r="H3780" t="s">
        <v>207</v>
      </c>
      <c r="I3780">
        <v>198.68</v>
      </c>
      <c r="J3780" s="39">
        <v>0</v>
      </c>
      <c r="K3780" s="89">
        <f t="shared" si="226"/>
        <v>1061</v>
      </c>
      <c r="L3780" s="32">
        <v>1061</v>
      </c>
      <c r="M3780" s="10">
        <f t="shared" si="224"/>
        <v>18.725730442978321</v>
      </c>
    </row>
    <row r="3781" spans="1:13" ht="15.75" hidden="1" customHeight="1" x14ac:dyDescent="0.3">
      <c r="A3781" s="9">
        <v>4708</v>
      </c>
      <c r="B3781" t="s">
        <v>597</v>
      </c>
      <c r="C3781" s="25">
        <v>44702</v>
      </c>
      <c r="D3781" s="26">
        <v>0.89656249999999993</v>
      </c>
      <c r="E3781" t="s">
        <v>28</v>
      </c>
      <c r="F3781" t="s">
        <v>165</v>
      </c>
      <c r="G3781" t="s">
        <v>185</v>
      </c>
      <c r="H3781" t="s">
        <v>207</v>
      </c>
      <c r="I3781">
        <v>295.56</v>
      </c>
      <c r="J3781" s="40">
        <v>0</v>
      </c>
      <c r="K3781" s="89">
        <f t="shared" si="226"/>
        <v>619</v>
      </c>
      <c r="L3781" s="32">
        <v>619</v>
      </c>
      <c r="M3781" s="10">
        <f t="shared" si="224"/>
        <v>47.747980613893375</v>
      </c>
    </row>
    <row r="3782" spans="1:13" ht="15.75" hidden="1" customHeight="1" x14ac:dyDescent="0.3">
      <c r="A3782" s="9">
        <v>4715</v>
      </c>
      <c r="B3782" t="s">
        <v>597</v>
      </c>
      <c r="C3782" s="25">
        <v>44702</v>
      </c>
      <c r="D3782" s="26">
        <v>0.27870370370370373</v>
      </c>
      <c r="E3782" t="s">
        <v>28</v>
      </c>
      <c r="F3782" t="s">
        <v>166</v>
      </c>
      <c r="G3782" t="s">
        <v>161</v>
      </c>
      <c r="H3782" t="s">
        <v>207</v>
      </c>
      <c r="I3782">
        <v>200</v>
      </c>
      <c r="J3782" s="40">
        <v>0</v>
      </c>
      <c r="K3782" s="89">
        <f>+L3782-J4050</f>
        <v>546</v>
      </c>
      <c r="L3782" s="32">
        <v>546</v>
      </c>
      <c r="M3782" s="10">
        <f t="shared" si="224"/>
        <v>36.630036630036628</v>
      </c>
    </row>
    <row r="3783" spans="1:13" ht="15.75" hidden="1" customHeight="1" x14ac:dyDescent="0.3">
      <c r="A3783" s="9">
        <v>4783</v>
      </c>
      <c r="B3783" t="s">
        <v>597</v>
      </c>
      <c r="C3783" s="25">
        <v>44703</v>
      </c>
      <c r="D3783" s="26">
        <v>0.66728009259259258</v>
      </c>
      <c r="E3783" t="s">
        <v>28</v>
      </c>
      <c r="F3783" t="s">
        <v>166</v>
      </c>
      <c r="G3783" t="s">
        <v>161</v>
      </c>
      <c r="H3783" t="s">
        <v>207</v>
      </c>
      <c r="I3783">
        <v>170.89</v>
      </c>
      <c r="J3783" s="40">
        <v>0</v>
      </c>
      <c r="K3783" s="89">
        <f>+L3783-J4051</f>
        <v>588</v>
      </c>
      <c r="L3783" s="32">
        <v>588</v>
      </c>
      <c r="M3783" s="10">
        <f t="shared" si="224"/>
        <v>29.062925170068027</v>
      </c>
    </row>
    <row r="3784" spans="1:13" ht="15.75" hidden="1" customHeight="1" x14ac:dyDescent="0.3">
      <c r="A3784" s="9">
        <v>4874</v>
      </c>
      <c r="B3784" t="s">
        <v>597</v>
      </c>
      <c r="C3784" s="25">
        <v>44705</v>
      </c>
      <c r="D3784" s="26">
        <v>0.1089699074074074</v>
      </c>
      <c r="E3784" t="s">
        <v>28</v>
      </c>
      <c r="F3784" t="s">
        <v>262</v>
      </c>
      <c r="G3784" t="s">
        <v>263</v>
      </c>
      <c r="H3784" t="s">
        <v>207</v>
      </c>
      <c r="I3784">
        <v>250</v>
      </c>
      <c r="J3784" s="39">
        <v>0</v>
      </c>
      <c r="K3784" s="89">
        <f>+L3784-J4052</f>
        <v>790</v>
      </c>
      <c r="L3784" s="32">
        <v>790</v>
      </c>
      <c r="M3784" s="36">
        <f t="shared" si="224"/>
        <v>31.645569620253166</v>
      </c>
    </row>
    <row r="3785" spans="1:13" ht="15.75" hidden="1" customHeight="1" x14ac:dyDescent="0.3">
      <c r="A3785" s="9">
        <v>4926</v>
      </c>
      <c r="B3785" t="s">
        <v>597</v>
      </c>
      <c r="C3785" s="25">
        <v>44706</v>
      </c>
      <c r="D3785" s="26">
        <v>0.96305555555555555</v>
      </c>
      <c r="E3785" t="s">
        <v>28</v>
      </c>
      <c r="F3785" t="s">
        <v>165</v>
      </c>
      <c r="G3785" t="s">
        <v>185</v>
      </c>
      <c r="H3785" t="s">
        <v>207</v>
      </c>
      <c r="I3785">
        <v>253.28</v>
      </c>
      <c r="J3785" s="7">
        <v>0</v>
      </c>
      <c r="K3785" s="89">
        <f>+L3785-J4053</f>
        <v>620</v>
      </c>
      <c r="L3785" s="32">
        <v>620</v>
      </c>
      <c r="M3785" s="36">
        <f t="shared" si="224"/>
        <v>40.851612903225806</v>
      </c>
    </row>
    <row r="3786" spans="1:13" ht="15.75" hidden="1" customHeight="1" x14ac:dyDescent="0.3">
      <c r="A3786" s="9">
        <v>4937</v>
      </c>
      <c r="B3786" t="s">
        <v>597</v>
      </c>
      <c r="C3786" s="25">
        <v>44706</v>
      </c>
      <c r="D3786" s="26">
        <v>0.45420138888888889</v>
      </c>
      <c r="E3786" t="s">
        <v>28</v>
      </c>
      <c r="F3786" t="s">
        <v>166</v>
      </c>
      <c r="G3786" t="s">
        <v>161</v>
      </c>
      <c r="H3786" t="s">
        <v>207</v>
      </c>
      <c r="I3786">
        <v>344</v>
      </c>
      <c r="J3786" s="7">
        <v>0</v>
      </c>
      <c r="K3786" s="89">
        <f>+L3786-J4054</f>
        <v>832</v>
      </c>
      <c r="L3786" s="32">
        <v>832</v>
      </c>
      <c r="M3786" s="36">
        <f t="shared" si="224"/>
        <v>41.346153846153847</v>
      </c>
    </row>
    <row r="3787" spans="1:13" ht="15.75" hidden="1" customHeight="1" x14ac:dyDescent="0.3">
      <c r="A3787" s="9">
        <v>4982</v>
      </c>
      <c r="B3787" t="s">
        <v>597</v>
      </c>
      <c r="C3787" s="25">
        <v>44707</v>
      </c>
      <c r="D3787" s="26">
        <v>0.59623842592592591</v>
      </c>
      <c r="E3787" t="s">
        <v>28</v>
      </c>
      <c r="F3787" t="s">
        <v>634</v>
      </c>
      <c r="G3787" t="s">
        <v>211</v>
      </c>
      <c r="H3787" t="s">
        <v>207</v>
      </c>
      <c r="I3787">
        <v>170.29</v>
      </c>
      <c r="J3787" s="7">
        <v>0</v>
      </c>
      <c r="K3787" s="90">
        <f>+L3787-J4054</f>
        <v>1149</v>
      </c>
      <c r="L3787" s="30">
        <v>1149</v>
      </c>
      <c r="M3787" s="10">
        <f t="shared" si="224"/>
        <v>14.820713664055699</v>
      </c>
    </row>
    <row r="3788" spans="1:13" ht="15.75" hidden="1" customHeight="1" x14ac:dyDescent="0.3">
      <c r="A3788" s="9">
        <v>5024</v>
      </c>
      <c r="B3788" t="s">
        <v>597</v>
      </c>
      <c r="C3788" s="25">
        <v>44708</v>
      </c>
      <c r="D3788" s="26">
        <v>0.62520833333333337</v>
      </c>
      <c r="E3788" t="s">
        <v>28</v>
      </c>
      <c r="F3788" t="s">
        <v>638</v>
      </c>
      <c r="G3788" t="s">
        <v>263</v>
      </c>
      <c r="H3788" t="s">
        <v>207</v>
      </c>
      <c r="I3788">
        <v>200</v>
      </c>
      <c r="J3788" s="7">
        <v>0</v>
      </c>
      <c r="K3788" s="90">
        <f>+L3788-J4055</f>
        <v>856</v>
      </c>
      <c r="L3788" s="11">
        <v>856</v>
      </c>
      <c r="M3788" s="10">
        <f t="shared" si="224"/>
        <v>23.364485981308412</v>
      </c>
    </row>
    <row r="3789" spans="1:13" ht="15.75" hidden="1" customHeight="1" x14ac:dyDescent="0.3">
      <c r="A3789" s="9">
        <v>5084</v>
      </c>
      <c r="B3789" t="s">
        <v>597</v>
      </c>
      <c r="C3789" s="25">
        <v>44709</v>
      </c>
      <c r="D3789" s="26">
        <v>0.49317129629629625</v>
      </c>
      <c r="E3789" t="s">
        <v>28</v>
      </c>
      <c r="F3789" t="s">
        <v>639</v>
      </c>
      <c r="G3789" t="s">
        <v>44</v>
      </c>
      <c r="H3789" t="s">
        <v>207</v>
      </c>
      <c r="I3789">
        <v>115.68</v>
      </c>
      <c r="J3789" s="39">
        <v>0</v>
      </c>
      <c r="K3789" s="90">
        <f>+L3789-J4041</f>
        <v>278</v>
      </c>
      <c r="L3789" s="11">
        <v>278</v>
      </c>
      <c r="M3789" s="10">
        <f t="shared" si="224"/>
        <v>41.611510791366904</v>
      </c>
    </row>
    <row r="3790" spans="1:13" ht="15.75" hidden="1" customHeight="1" x14ac:dyDescent="0.3">
      <c r="A3790" s="9">
        <v>5085</v>
      </c>
      <c r="B3790" t="s">
        <v>597</v>
      </c>
      <c r="C3790" s="25">
        <v>44709</v>
      </c>
      <c r="D3790" s="26">
        <v>0.85305555555555557</v>
      </c>
      <c r="E3790" t="s">
        <v>28</v>
      </c>
      <c r="F3790" t="s">
        <v>632</v>
      </c>
      <c r="G3790" t="s">
        <v>161</v>
      </c>
      <c r="H3790" t="s">
        <v>207</v>
      </c>
      <c r="I3790">
        <v>274.29000000000002</v>
      </c>
      <c r="J3790" s="7">
        <v>0</v>
      </c>
      <c r="K3790" s="97">
        <f>+L3790-J4042</f>
        <v>507</v>
      </c>
      <c r="L3790" s="7">
        <v>507</v>
      </c>
      <c r="M3790" s="10">
        <f t="shared" si="224"/>
        <v>54.100591715976329</v>
      </c>
    </row>
    <row r="3791" spans="1:13" ht="15.75" hidden="1" customHeight="1" x14ac:dyDescent="0.3">
      <c r="A3791" s="9">
        <v>5138</v>
      </c>
      <c r="B3791" t="s">
        <v>597</v>
      </c>
      <c r="C3791" s="25">
        <v>44710</v>
      </c>
      <c r="D3791" s="26">
        <v>0.69420138888888883</v>
      </c>
      <c r="E3791" t="s">
        <v>28</v>
      </c>
      <c r="F3791" t="s">
        <v>635</v>
      </c>
      <c r="G3791" t="s">
        <v>185</v>
      </c>
      <c r="H3791" t="s">
        <v>207</v>
      </c>
      <c r="I3791">
        <v>283</v>
      </c>
      <c r="J3791" s="7">
        <v>0</v>
      </c>
      <c r="K3791" s="90">
        <f>+L3791-J4043</f>
        <v>621</v>
      </c>
      <c r="L3791" s="7">
        <v>621</v>
      </c>
      <c r="M3791" s="10">
        <f t="shared" si="224"/>
        <v>45.571658615136876</v>
      </c>
    </row>
    <row r="3792" spans="1:13" ht="15.75" hidden="1" customHeight="1" x14ac:dyDescent="0.3">
      <c r="A3792" s="9">
        <v>5192</v>
      </c>
      <c r="B3792" t="s">
        <v>597</v>
      </c>
      <c r="C3792" s="25">
        <v>44711</v>
      </c>
      <c r="D3792" s="26">
        <v>0.35849537037037038</v>
      </c>
      <c r="E3792" t="s">
        <v>28</v>
      </c>
      <c r="F3792" t="s">
        <v>634</v>
      </c>
      <c r="G3792" t="s">
        <v>211</v>
      </c>
      <c r="H3792" t="s">
        <v>207</v>
      </c>
      <c r="I3792">
        <v>138.16999999999999</v>
      </c>
      <c r="J3792" s="32">
        <v>0</v>
      </c>
      <c r="K3792" s="97">
        <f>+L3792-J4030</f>
        <v>512</v>
      </c>
      <c r="L3792" s="34">
        <v>512</v>
      </c>
      <c r="M3792" s="10">
        <f t="shared" si="224"/>
        <v>26.986328124999996</v>
      </c>
    </row>
    <row r="3793" spans="1:19" ht="15.75" hidden="1" customHeight="1" x14ac:dyDescent="0.3">
      <c r="A3793" s="9">
        <v>5588</v>
      </c>
      <c r="B3793" t="s">
        <v>597</v>
      </c>
      <c r="C3793" s="25">
        <v>44719</v>
      </c>
      <c r="D3793" s="26">
        <v>0.46087962962962964</v>
      </c>
      <c r="E3793" t="s">
        <v>29</v>
      </c>
      <c r="F3793" t="s">
        <v>651</v>
      </c>
      <c r="G3793" t="s">
        <v>172</v>
      </c>
      <c r="H3793" t="s">
        <v>207</v>
      </c>
      <c r="I3793">
        <v>337.94</v>
      </c>
      <c r="J3793" s="7">
        <v>0</v>
      </c>
      <c r="K3793" s="90">
        <f>+L3793-J3351</f>
        <v>929</v>
      </c>
      <c r="L3793" s="7">
        <v>929</v>
      </c>
      <c r="M3793" s="10">
        <f t="shared" si="224"/>
        <v>36.3767491926803</v>
      </c>
    </row>
    <row r="3794" spans="1:19" ht="15.75" hidden="1" customHeight="1" x14ac:dyDescent="0.3">
      <c r="A3794" s="9">
        <v>5649</v>
      </c>
      <c r="B3794" t="s">
        <v>597</v>
      </c>
      <c r="C3794" s="25">
        <v>44720</v>
      </c>
      <c r="D3794" s="26">
        <v>0.33914351851851854</v>
      </c>
      <c r="E3794" t="s">
        <v>29</v>
      </c>
      <c r="F3794" t="s">
        <v>632</v>
      </c>
      <c r="G3794" t="s">
        <v>161</v>
      </c>
      <c r="H3794" t="s">
        <v>207</v>
      </c>
      <c r="I3794">
        <v>287.02</v>
      </c>
      <c r="J3794" s="32">
        <v>0</v>
      </c>
      <c r="K3794" s="90">
        <f t="shared" ref="K3794:K3800" si="227">+L3794-J3353</f>
        <v>931</v>
      </c>
      <c r="L3794" s="28">
        <v>931</v>
      </c>
      <c r="M3794" s="10">
        <f t="shared" ref="M3794:M3817" si="228">I3794/K3794*100</f>
        <v>30.829215896885071</v>
      </c>
    </row>
    <row r="3795" spans="1:19" ht="15.75" hidden="1" customHeight="1" x14ac:dyDescent="0.3">
      <c r="A3795" s="9">
        <v>5650</v>
      </c>
      <c r="B3795" t="s">
        <v>597</v>
      </c>
      <c r="C3795" s="25">
        <v>44720</v>
      </c>
      <c r="D3795" s="26">
        <v>0.9419791666666667</v>
      </c>
      <c r="E3795" t="s">
        <v>29</v>
      </c>
      <c r="F3795" t="s">
        <v>635</v>
      </c>
      <c r="G3795" t="s">
        <v>185</v>
      </c>
      <c r="H3795" t="s">
        <v>207</v>
      </c>
      <c r="I3795">
        <v>258.14</v>
      </c>
      <c r="J3795" s="32">
        <v>0</v>
      </c>
      <c r="K3795" s="90">
        <f t="shared" si="227"/>
        <v>621</v>
      </c>
      <c r="L3795" s="11">
        <v>621</v>
      </c>
      <c r="M3795" s="10">
        <f t="shared" si="228"/>
        <v>41.568438003220606</v>
      </c>
    </row>
    <row r="3796" spans="1:19" ht="15.75" hidden="1" customHeight="1" x14ac:dyDescent="0.3">
      <c r="A3796" s="9">
        <v>5714</v>
      </c>
      <c r="B3796" t="s">
        <v>597</v>
      </c>
      <c r="C3796" s="25">
        <v>44721</v>
      </c>
      <c r="D3796" s="26">
        <v>0.58365740740740735</v>
      </c>
      <c r="E3796" t="s">
        <v>29</v>
      </c>
      <c r="F3796" t="s">
        <v>634</v>
      </c>
      <c r="G3796" t="s">
        <v>211</v>
      </c>
      <c r="H3796" t="s">
        <v>207</v>
      </c>
      <c r="I3796">
        <v>165.03</v>
      </c>
      <c r="J3796" s="37">
        <v>0</v>
      </c>
      <c r="K3796" s="95">
        <f t="shared" si="227"/>
        <v>511</v>
      </c>
      <c r="L3796" s="7">
        <v>511</v>
      </c>
      <c r="M3796" s="36">
        <f t="shared" si="228"/>
        <v>32.295499021526417</v>
      </c>
    </row>
    <row r="3797" spans="1:19" ht="15.75" hidden="1" customHeight="1" x14ac:dyDescent="0.3">
      <c r="A3797" s="9">
        <v>5761</v>
      </c>
      <c r="B3797" t="s">
        <v>597</v>
      </c>
      <c r="C3797" s="25">
        <v>44722</v>
      </c>
      <c r="D3797" s="26">
        <v>0.4314351851851852</v>
      </c>
      <c r="E3797" t="s">
        <v>29</v>
      </c>
      <c r="F3797" t="s">
        <v>734</v>
      </c>
      <c r="G3797" t="s">
        <v>277</v>
      </c>
      <c r="H3797" t="s">
        <v>207</v>
      </c>
      <c r="I3797">
        <v>264.47000000000003</v>
      </c>
      <c r="J3797" s="37">
        <v>0</v>
      </c>
      <c r="K3797" s="97">
        <f t="shared" si="227"/>
        <v>761</v>
      </c>
      <c r="L3797" s="7">
        <v>761</v>
      </c>
      <c r="M3797" s="10">
        <f t="shared" si="228"/>
        <v>34.752956636005258</v>
      </c>
    </row>
    <row r="3798" spans="1:19" ht="15.75" hidden="1" customHeight="1" x14ac:dyDescent="0.3">
      <c r="A3798" s="9">
        <v>5807</v>
      </c>
      <c r="B3798" t="s">
        <v>597</v>
      </c>
      <c r="C3798" s="25">
        <v>44723</v>
      </c>
      <c r="D3798" s="26">
        <v>0.55696759259259265</v>
      </c>
      <c r="E3798" t="s">
        <v>29</v>
      </c>
      <c r="F3798" t="s">
        <v>632</v>
      </c>
      <c r="G3798" t="s">
        <v>161</v>
      </c>
      <c r="H3798" t="s">
        <v>207</v>
      </c>
      <c r="I3798">
        <v>357.09</v>
      </c>
      <c r="J3798" s="37">
        <v>0</v>
      </c>
      <c r="K3798" s="97">
        <f t="shared" si="227"/>
        <v>882</v>
      </c>
      <c r="L3798" s="7">
        <v>882</v>
      </c>
      <c r="M3798" s="10">
        <f t="shared" si="228"/>
        <v>40.486394557823125</v>
      </c>
    </row>
    <row r="3799" spans="1:19" ht="15.75" hidden="1" customHeight="1" x14ac:dyDescent="0.3">
      <c r="A3799" s="9">
        <v>5870</v>
      </c>
      <c r="B3799" t="s">
        <v>597</v>
      </c>
      <c r="C3799" s="25">
        <v>44724</v>
      </c>
      <c r="D3799" s="26">
        <v>2.0983796296296296E-2</v>
      </c>
      <c r="E3799" t="s">
        <v>29</v>
      </c>
      <c r="F3799" t="s">
        <v>635</v>
      </c>
      <c r="G3799" t="s">
        <v>185</v>
      </c>
      <c r="H3799" t="s">
        <v>207</v>
      </c>
      <c r="I3799">
        <v>263.14999999999998</v>
      </c>
      <c r="J3799" s="32">
        <v>0</v>
      </c>
      <c r="K3799" s="97">
        <f t="shared" si="227"/>
        <v>618</v>
      </c>
      <c r="L3799" s="34">
        <v>618</v>
      </c>
      <c r="M3799" s="10">
        <f t="shared" si="228"/>
        <v>42.580906148867307</v>
      </c>
    </row>
    <row r="3800" spans="1:19" ht="15.75" hidden="1" customHeight="1" x14ac:dyDescent="0.3">
      <c r="A3800" s="9">
        <v>5871</v>
      </c>
      <c r="B3800" t="s">
        <v>597</v>
      </c>
      <c r="C3800" s="25">
        <v>44724</v>
      </c>
      <c r="D3800" s="26">
        <v>0.60142361111111109</v>
      </c>
      <c r="E3800" t="s">
        <v>29</v>
      </c>
      <c r="F3800" t="s">
        <v>634</v>
      </c>
      <c r="G3800" t="s">
        <v>211</v>
      </c>
      <c r="H3800" t="s">
        <v>207</v>
      </c>
      <c r="I3800">
        <v>152.25</v>
      </c>
      <c r="J3800" s="32">
        <v>0</v>
      </c>
      <c r="K3800" s="90">
        <f t="shared" si="227"/>
        <v>609</v>
      </c>
      <c r="L3800" s="7">
        <v>609</v>
      </c>
      <c r="M3800" s="10">
        <f t="shared" si="228"/>
        <v>25</v>
      </c>
    </row>
    <row r="3801" spans="1:19" ht="15.75" hidden="1" customHeight="1" x14ac:dyDescent="0.3">
      <c r="A3801" s="9">
        <v>5925</v>
      </c>
      <c r="B3801" t="s">
        <v>597</v>
      </c>
      <c r="C3801" s="25">
        <v>44725</v>
      </c>
      <c r="D3801" s="26">
        <v>0.40115740740740741</v>
      </c>
      <c r="E3801" t="s">
        <v>29</v>
      </c>
      <c r="F3801" t="s">
        <v>734</v>
      </c>
      <c r="G3801" t="s">
        <v>277</v>
      </c>
      <c r="H3801" t="s">
        <v>207</v>
      </c>
      <c r="I3801">
        <v>277.44</v>
      </c>
      <c r="J3801" s="32">
        <v>0</v>
      </c>
      <c r="K3801" s="90">
        <v>770</v>
      </c>
      <c r="L3801" s="7">
        <v>770</v>
      </c>
      <c r="M3801" s="10">
        <f t="shared" si="228"/>
        <v>36.031168831168827</v>
      </c>
      <c r="N3801" s="2"/>
      <c r="O3801" s="2"/>
      <c r="P3801" s="2"/>
      <c r="Q3801" s="2"/>
      <c r="R3801" s="2"/>
      <c r="S3801" s="2"/>
    </row>
    <row r="3802" spans="1:19" ht="15.75" hidden="1" customHeight="1" x14ac:dyDescent="0.3">
      <c r="A3802" s="9">
        <v>5973</v>
      </c>
      <c r="B3802" t="s">
        <v>597</v>
      </c>
      <c r="C3802" s="25">
        <v>44726</v>
      </c>
      <c r="D3802" s="26">
        <v>0.59340277777777783</v>
      </c>
      <c r="E3802" t="s">
        <v>29</v>
      </c>
      <c r="F3802" t="s">
        <v>632</v>
      </c>
      <c r="G3802" t="s">
        <v>161</v>
      </c>
      <c r="H3802" t="s">
        <v>207</v>
      </c>
      <c r="I3802">
        <v>355.05</v>
      </c>
      <c r="J3802" s="32">
        <v>0</v>
      </c>
      <c r="K3802" s="90">
        <v>907</v>
      </c>
      <c r="L3802" s="7">
        <v>907</v>
      </c>
      <c r="M3802" s="10">
        <f t="shared" si="228"/>
        <v>39.145534729878726</v>
      </c>
      <c r="N3802" s="2"/>
      <c r="O3802" s="2"/>
      <c r="P3802" s="2"/>
      <c r="Q3802" s="2"/>
      <c r="R3802" s="2"/>
      <c r="S3802" s="2"/>
    </row>
    <row r="3803" spans="1:19" ht="15.75" hidden="1" customHeight="1" x14ac:dyDescent="0.3">
      <c r="A3803" s="9">
        <v>6035</v>
      </c>
      <c r="B3803" t="s">
        <v>597</v>
      </c>
      <c r="C3803" s="25">
        <v>44727</v>
      </c>
      <c r="D3803" s="26">
        <v>0.11962962962962963</v>
      </c>
      <c r="E3803" t="s">
        <v>29</v>
      </c>
      <c r="F3803" t="s">
        <v>635</v>
      </c>
      <c r="G3803" t="s">
        <v>185</v>
      </c>
      <c r="H3803" t="s">
        <v>207</v>
      </c>
      <c r="I3803">
        <v>269.86</v>
      </c>
      <c r="J3803" s="32">
        <v>0</v>
      </c>
      <c r="K3803" s="90">
        <v>627</v>
      </c>
      <c r="L3803" s="7">
        <v>627</v>
      </c>
      <c r="M3803" s="10">
        <f t="shared" si="228"/>
        <v>43.039872408293462</v>
      </c>
    </row>
    <row r="3804" spans="1:19" ht="15.75" hidden="1" customHeight="1" x14ac:dyDescent="0.3">
      <c r="A3804" s="9">
        <v>6036</v>
      </c>
      <c r="B3804" t="s">
        <v>597</v>
      </c>
      <c r="C3804" s="25">
        <v>44727</v>
      </c>
      <c r="D3804" s="26">
        <v>0.79410879629629638</v>
      </c>
      <c r="E3804" t="s">
        <v>29</v>
      </c>
      <c r="F3804" t="s">
        <v>634</v>
      </c>
      <c r="G3804" t="s">
        <v>211</v>
      </c>
      <c r="H3804" t="s">
        <v>207</v>
      </c>
      <c r="I3804">
        <v>148.05000000000001</v>
      </c>
      <c r="J3804" s="32">
        <v>0</v>
      </c>
      <c r="K3804" s="90">
        <v>511</v>
      </c>
      <c r="L3804" s="7">
        <v>511</v>
      </c>
      <c r="M3804" s="10">
        <f t="shared" si="228"/>
        <v>28.972602739726028</v>
      </c>
    </row>
    <row r="3805" spans="1:19" ht="15.75" hidden="1" customHeight="1" x14ac:dyDescent="0.3">
      <c r="A3805" s="9">
        <v>6095</v>
      </c>
      <c r="B3805" t="s">
        <v>597</v>
      </c>
      <c r="C3805" s="25">
        <v>44728</v>
      </c>
      <c r="D3805" s="26">
        <v>0.53780092592592588</v>
      </c>
      <c r="E3805" t="s">
        <v>29</v>
      </c>
      <c r="F3805" t="s">
        <v>734</v>
      </c>
      <c r="G3805" t="s">
        <v>277</v>
      </c>
      <c r="H3805" t="s">
        <v>207</v>
      </c>
      <c r="I3805">
        <v>266.32</v>
      </c>
      <c r="J3805" s="111">
        <v>0</v>
      </c>
      <c r="K3805" s="90">
        <v>761</v>
      </c>
      <c r="L3805" s="11">
        <v>761</v>
      </c>
      <c r="M3805" s="10">
        <f t="shared" si="228"/>
        <v>34.996057818659658</v>
      </c>
    </row>
    <row r="3806" spans="1:19" ht="15.75" hidden="1" customHeight="1" x14ac:dyDescent="0.3">
      <c r="A3806" s="9">
        <v>6146</v>
      </c>
      <c r="B3806" t="s">
        <v>597</v>
      </c>
      <c r="C3806" s="25">
        <v>44729</v>
      </c>
      <c r="D3806" s="26">
        <v>0.86938657407407405</v>
      </c>
      <c r="E3806" t="s">
        <v>29</v>
      </c>
      <c r="F3806" t="s">
        <v>632</v>
      </c>
      <c r="G3806" t="s">
        <v>161</v>
      </c>
      <c r="H3806" t="s">
        <v>207</v>
      </c>
      <c r="I3806">
        <v>360.4</v>
      </c>
      <c r="J3806" s="32">
        <v>0</v>
      </c>
      <c r="K3806" s="90">
        <v>879</v>
      </c>
      <c r="L3806" s="11">
        <v>879</v>
      </c>
      <c r="M3806" s="10">
        <f t="shared" si="228"/>
        <v>41.001137656427758</v>
      </c>
    </row>
    <row r="3807" spans="1:19" ht="15.75" hidden="1" customHeight="1" x14ac:dyDescent="0.3">
      <c r="A3807" s="9">
        <v>6203</v>
      </c>
      <c r="B3807" t="s">
        <v>597</v>
      </c>
      <c r="C3807" s="25">
        <v>44730</v>
      </c>
      <c r="D3807" s="26">
        <v>0.68495370370370379</v>
      </c>
      <c r="E3807" t="s">
        <v>29</v>
      </c>
      <c r="F3807" t="s">
        <v>635</v>
      </c>
      <c r="G3807" t="s">
        <v>185</v>
      </c>
      <c r="H3807" t="s">
        <v>207</v>
      </c>
      <c r="I3807">
        <v>269.45999999999998</v>
      </c>
      <c r="J3807" s="32">
        <v>0</v>
      </c>
      <c r="K3807" s="90">
        <v>619</v>
      </c>
      <c r="L3807" s="30">
        <v>619</v>
      </c>
      <c r="M3807" s="10">
        <f t="shared" si="228"/>
        <v>43.531502423263326</v>
      </c>
    </row>
    <row r="3808" spans="1:19" ht="15.75" hidden="1" customHeight="1" x14ac:dyDescent="0.3">
      <c r="A3808" s="9">
        <v>6235</v>
      </c>
      <c r="B3808" t="s">
        <v>597</v>
      </c>
      <c r="C3808" s="25">
        <v>44731</v>
      </c>
      <c r="D3808" s="26">
        <v>0.50445601851851851</v>
      </c>
      <c r="E3808" t="s">
        <v>29</v>
      </c>
      <c r="F3808" t="s">
        <v>634</v>
      </c>
      <c r="G3808" t="s">
        <v>211</v>
      </c>
      <c r="H3808" t="s">
        <v>207</v>
      </c>
      <c r="I3808">
        <v>144.9</v>
      </c>
      <c r="J3808" s="32">
        <v>0</v>
      </c>
      <c r="K3808" s="90">
        <v>511</v>
      </c>
      <c r="L3808" s="11">
        <v>511</v>
      </c>
      <c r="M3808" s="10">
        <f t="shared" si="228"/>
        <v>28.356164383561644</v>
      </c>
    </row>
    <row r="3809" spans="1:13" ht="15.75" hidden="1" customHeight="1" x14ac:dyDescent="0.3">
      <c r="A3809" s="9">
        <v>6291</v>
      </c>
      <c r="B3809" t="s">
        <v>597</v>
      </c>
      <c r="C3809" s="25">
        <v>44733</v>
      </c>
      <c r="D3809" s="26">
        <v>0.42138888888888887</v>
      </c>
      <c r="E3809" t="s">
        <v>29</v>
      </c>
      <c r="F3809" t="s">
        <v>734</v>
      </c>
      <c r="G3809" t="s">
        <v>277</v>
      </c>
      <c r="H3809" t="s">
        <v>207</v>
      </c>
      <c r="I3809">
        <v>268.24</v>
      </c>
      <c r="J3809" s="32">
        <v>0</v>
      </c>
      <c r="K3809" s="90">
        <v>764</v>
      </c>
      <c r="L3809" s="11">
        <v>764</v>
      </c>
      <c r="M3809" s="10">
        <f t="shared" si="228"/>
        <v>35.109947643979062</v>
      </c>
    </row>
    <row r="3810" spans="1:13" ht="15.75" hidden="1" customHeight="1" x14ac:dyDescent="0.3">
      <c r="A3810" s="9">
        <v>6378</v>
      </c>
      <c r="B3810" t="s">
        <v>597</v>
      </c>
      <c r="C3810" s="25">
        <v>44735</v>
      </c>
      <c r="D3810" s="26">
        <v>0.29003472222222221</v>
      </c>
      <c r="E3810" t="s">
        <v>29</v>
      </c>
      <c r="F3810" t="s">
        <v>632</v>
      </c>
      <c r="G3810" t="s">
        <v>161</v>
      </c>
      <c r="H3810" t="s">
        <v>207</v>
      </c>
      <c r="I3810" s="148">
        <v>352.43</v>
      </c>
      <c r="J3810" s="32">
        <v>0</v>
      </c>
      <c r="K3810" s="90">
        <v>881</v>
      </c>
      <c r="L3810" s="11">
        <v>881</v>
      </c>
      <c r="M3810" s="10">
        <f t="shared" si="228"/>
        <v>40.003405221339392</v>
      </c>
    </row>
    <row r="3811" spans="1:13" ht="15.75" hidden="1" customHeight="1" x14ac:dyDescent="0.3">
      <c r="A3811" s="9">
        <v>6379</v>
      </c>
      <c r="B3811" t="s">
        <v>597</v>
      </c>
      <c r="C3811" s="25">
        <v>44735</v>
      </c>
      <c r="D3811" s="26">
        <v>0.80680555555555555</v>
      </c>
      <c r="E3811" t="s">
        <v>29</v>
      </c>
      <c r="F3811" t="s">
        <v>635</v>
      </c>
      <c r="G3811" t="s">
        <v>185</v>
      </c>
      <c r="H3811" t="s">
        <v>207</v>
      </c>
      <c r="I3811" s="148">
        <v>258.13</v>
      </c>
      <c r="J3811" s="32">
        <v>0</v>
      </c>
      <c r="K3811" s="90">
        <v>619</v>
      </c>
      <c r="L3811" s="11">
        <v>619</v>
      </c>
      <c r="M3811" s="10">
        <f t="shared" si="228"/>
        <v>41.701130856219706</v>
      </c>
    </row>
    <row r="3812" spans="1:13" ht="15.75" hidden="1" customHeight="1" x14ac:dyDescent="0.3">
      <c r="A3812" s="9">
        <v>6424</v>
      </c>
      <c r="B3812" t="s">
        <v>597</v>
      </c>
      <c r="C3812" s="25">
        <v>44736</v>
      </c>
      <c r="D3812" s="26">
        <v>0.49199074074074073</v>
      </c>
      <c r="E3812" t="s">
        <v>29</v>
      </c>
      <c r="F3812" t="s">
        <v>634</v>
      </c>
      <c r="G3812" t="s">
        <v>211</v>
      </c>
      <c r="H3812" t="s">
        <v>207</v>
      </c>
      <c r="I3812" s="148">
        <v>167.8</v>
      </c>
      <c r="J3812" s="32">
        <v>0</v>
      </c>
      <c r="K3812" s="90">
        <v>586</v>
      </c>
      <c r="L3812" s="11">
        <v>586</v>
      </c>
      <c r="M3812" s="10">
        <f t="shared" si="228"/>
        <v>28.634812286689421</v>
      </c>
    </row>
    <row r="3813" spans="1:13" ht="15.75" hidden="1" customHeight="1" x14ac:dyDescent="0.3">
      <c r="A3813" s="9">
        <v>6537</v>
      </c>
      <c r="B3813" t="s">
        <v>597</v>
      </c>
      <c r="C3813" s="25">
        <v>44738</v>
      </c>
      <c r="D3813" s="26">
        <v>0.36600694444444443</v>
      </c>
      <c r="E3813" t="s">
        <v>29</v>
      </c>
      <c r="F3813" t="s">
        <v>632</v>
      </c>
      <c r="G3813" t="s">
        <v>161</v>
      </c>
      <c r="H3813" t="s">
        <v>207</v>
      </c>
      <c r="I3813" s="148">
        <v>353.15</v>
      </c>
      <c r="J3813" s="32">
        <v>0</v>
      </c>
      <c r="K3813" s="90">
        <v>888</v>
      </c>
      <c r="L3813" s="51">
        <v>888</v>
      </c>
      <c r="M3813" s="10">
        <f t="shared" si="228"/>
        <v>39.769144144144143</v>
      </c>
    </row>
    <row r="3814" spans="1:13" ht="15.75" hidden="1" customHeight="1" x14ac:dyDescent="0.3">
      <c r="A3814" s="9">
        <v>6538</v>
      </c>
      <c r="B3814" t="s">
        <v>597</v>
      </c>
      <c r="C3814" s="25">
        <v>44738</v>
      </c>
      <c r="D3814" s="26">
        <v>0.86243055555555559</v>
      </c>
      <c r="E3814" t="s">
        <v>29</v>
      </c>
      <c r="F3814" t="s">
        <v>635</v>
      </c>
      <c r="G3814" t="s">
        <v>185</v>
      </c>
      <c r="H3814" t="s">
        <v>207</v>
      </c>
      <c r="I3814" s="148">
        <v>261.70999999999998</v>
      </c>
      <c r="J3814" s="32">
        <v>0</v>
      </c>
      <c r="K3814" s="90">
        <v>620</v>
      </c>
      <c r="L3814" s="28">
        <v>620</v>
      </c>
      <c r="M3814" s="10">
        <f t="shared" si="228"/>
        <v>42.211290322580638</v>
      </c>
    </row>
    <row r="3815" spans="1:13" ht="15.75" hidden="1" customHeight="1" x14ac:dyDescent="0.3">
      <c r="A3815" s="9">
        <v>6590</v>
      </c>
      <c r="B3815" t="s">
        <v>597</v>
      </c>
      <c r="C3815" s="25">
        <v>44739</v>
      </c>
      <c r="D3815" s="26">
        <v>0.46172453703703703</v>
      </c>
      <c r="E3815" t="s">
        <v>29</v>
      </c>
      <c r="F3815" t="s">
        <v>634</v>
      </c>
      <c r="G3815" t="s">
        <v>211</v>
      </c>
      <c r="H3815" t="s">
        <v>207</v>
      </c>
      <c r="I3815" s="148">
        <v>155.97999999999999</v>
      </c>
      <c r="J3815" s="33">
        <v>0</v>
      </c>
      <c r="K3815" s="99">
        <v>511</v>
      </c>
      <c r="L3815" s="28">
        <v>511</v>
      </c>
      <c r="M3815" s="131">
        <f t="shared" si="228"/>
        <v>30.524461839530332</v>
      </c>
    </row>
    <row r="3816" spans="1:13" ht="15.75" hidden="1" customHeight="1" x14ac:dyDescent="0.3">
      <c r="A3816" s="9">
        <v>6638</v>
      </c>
      <c r="B3816" t="s">
        <v>188</v>
      </c>
      <c r="C3816" s="25">
        <v>44740</v>
      </c>
      <c r="D3816" s="26">
        <v>0.92523148148148149</v>
      </c>
      <c r="E3816" t="s">
        <v>29</v>
      </c>
      <c r="F3816" t="s">
        <v>632</v>
      </c>
      <c r="G3816" t="s">
        <v>161</v>
      </c>
      <c r="H3816" t="s">
        <v>189</v>
      </c>
      <c r="I3816" s="8">
        <v>385.52</v>
      </c>
      <c r="J3816" s="32">
        <v>0</v>
      </c>
      <c r="K3816" s="90">
        <v>512</v>
      </c>
      <c r="L3816" s="7">
        <v>512</v>
      </c>
      <c r="M3816" s="91">
        <f t="shared" si="228"/>
        <v>75.296875</v>
      </c>
    </row>
    <row r="3817" spans="1:13" ht="15.75" hidden="1" customHeight="1" x14ac:dyDescent="0.3">
      <c r="A3817" s="9">
        <v>6703</v>
      </c>
      <c r="B3817" t="s">
        <v>188</v>
      </c>
      <c r="C3817" s="25">
        <v>44741</v>
      </c>
      <c r="D3817" s="26">
        <v>0.67753472222222222</v>
      </c>
      <c r="E3817" t="s">
        <v>29</v>
      </c>
      <c r="F3817" t="s">
        <v>635</v>
      </c>
      <c r="G3817" t="s">
        <v>185</v>
      </c>
      <c r="H3817" t="s">
        <v>189</v>
      </c>
      <c r="I3817">
        <v>421.89</v>
      </c>
      <c r="J3817" s="112">
        <v>0</v>
      </c>
      <c r="K3817" s="100">
        <v>625</v>
      </c>
      <c r="L3817" s="29">
        <v>625</v>
      </c>
      <c r="M3817" s="239">
        <f t="shared" si="228"/>
        <v>67.502399999999994</v>
      </c>
    </row>
    <row r="3818" spans="1:13" ht="15.75" hidden="1" customHeight="1" x14ac:dyDescent="0.3">
      <c r="B3818" t="s">
        <v>188</v>
      </c>
      <c r="C3818" s="25">
        <v>44743</v>
      </c>
      <c r="D3818" s="26">
        <v>1.5902777777777776E-2</v>
      </c>
      <c r="E3818" t="s">
        <v>30</v>
      </c>
      <c r="F3818" t="s">
        <v>210</v>
      </c>
      <c r="G3818" t="s">
        <v>211</v>
      </c>
      <c r="H3818" t="s">
        <v>189</v>
      </c>
      <c r="I3818" s="160">
        <v>227.7</v>
      </c>
      <c r="J3818" s="8"/>
      <c r="K3818" s="8">
        <v>672748</v>
      </c>
      <c r="L3818" s="8">
        <f>+K3818-J3818</f>
        <v>672748</v>
      </c>
      <c r="M3818" s="254">
        <f>I3818/L3818*100</f>
        <v>3.3846254466754266E-2</v>
      </c>
    </row>
    <row r="3819" spans="1:13" ht="15.75" hidden="1" customHeight="1" x14ac:dyDescent="0.3">
      <c r="B3819" t="s">
        <v>188</v>
      </c>
      <c r="C3819" s="25">
        <v>44743</v>
      </c>
      <c r="D3819" s="26">
        <v>0.98048611111111106</v>
      </c>
      <c r="E3819" t="s">
        <v>30</v>
      </c>
      <c r="F3819" t="s">
        <v>274</v>
      </c>
      <c r="G3819" t="s">
        <v>495</v>
      </c>
      <c r="H3819" t="s">
        <v>189</v>
      </c>
      <c r="I3819" s="173">
        <v>50.12</v>
      </c>
      <c r="J3819" s="8"/>
      <c r="K3819" s="8">
        <v>673330</v>
      </c>
      <c r="L3819" s="8">
        <f>+K3819-J3819</f>
        <v>673330</v>
      </c>
      <c r="M3819" s="254">
        <f>I3819/L3819*100</f>
        <v>7.4436012059465638E-3</v>
      </c>
    </row>
    <row r="3820" spans="1:13" ht="15.75" hidden="1" customHeight="1" x14ac:dyDescent="0.3">
      <c r="B3820" t="s">
        <v>188</v>
      </c>
      <c r="C3820" s="25">
        <v>44744</v>
      </c>
      <c r="D3820" s="26">
        <v>3.7465277777777778E-2</v>
      </c>
      <c r="E3820" t="s">
        <v>30</v>
      </c>
      <c r="F3820" t="s">
        <v>401</v>
      </c>
      <c r="G3820" t="s">
        <v>402</v>
      </c>
      <c r="H3820" t="s">
        <v>189</v>
      </c>
      <c r="I3820" s="173">
        <v>200.01</v>
      </c>
      <c r="J3820" s="8"/>
      <c r="K3820" s="8">
        <v>100000</v>
      </c>
      <c r="L3820" s="8">
        <f>+K3820-J3820</f>
        <v>100000</v>
      </c>
      <c r="M3820" s="254">
        <f>I3820/L3820*100</f>
        <v>0.20000999999999999</v>
      </c>
    </row>
    <row r="3821" spans="1:13" ht="15.75" hidden="1" customHeight="1" x14ac:dyDescent="0.3">
      <c r="B3821" t="s">
        <v>188</v>
      </c>
      <c r="C3821" s="25">
        <v>44744</v>
      </c>
      <c r="D3821" s="26">
        <v>0.63812499999999994</v>
      </c>
      <c r="E3821" t="s">
        <v>30</v>
      </c>
      <c r="F3821" t="s">
        <v>175</v>
      </c>
      <c r="G3821" t="s">
        <v>172</v>
      </c>
      <c r="H3821" t="s">
        <v>189</v>
      </c>
      <c r="I3821" s="173">
        <v>129.91999999999999</v>
      </c>
      <c r="J3821" s="8"/>
      <c r="K3821" s="8">
        <v>673697</v>
      </c>
      <c r="L3821" s="236">
        <f>+K3821-J3821</f>
        <v>673697</v>
      </c>
      <c r="M3821" s="254">
        <f>I3821/L3821*100</f>
        <v>1.9284633893278429E-2</v>
      </c>
    </row>
    <row r="3822" spans="1:13" ht="15.75" hidden="1" customHeight="1" x14ac:dyDescent="0.3">
      <c r="B3822" t="s">
        <v>188</v>
      </c>
      <c r="C3822" s="25">
        <v>44745</v>
      </c>
      <c r="D3822" s="26">
        <v>0.85270833333333329</v>
      </c>
      <c r="E3822" t="s">
        <v>30</v>
      </c>
      <c r="F3822" t="s">
        <v>166</v>
      </c>
      <c r="G3822" t="s">
        <v>161</v>
      </c>
      <c r="H3822" t="s">
        <v>189</v>
      </c>
      <c r="I3822" s="244">
        <v>308.39</v>
      </c>
      <c r="J3822" s="44"/>
      <c r="K3822" s="44">
        <v>674469</v>
      </c>
      <c r="L3822" s="245">
        <f>+K3822-J3822</f>
        <v>674469</v>
      </c>
      <c r="M3822" s="267">
        <f>I3822/L3822*100</f>
        <v>4.5723376463558743E-2</v>
      </c>
    </row>
    <row r="3823" spans="1:13" ht="15.75" hidden="1" customHeight="1" x14ac:dyDescent="0.3">
      <c r="B3823" t="s">
        <v>256</v>
      </c>
      <c r="C3823" s="25">
        <v>44565</v>
      </c>
      <c r="D3823" s="26">
        <v>0.64633101851851849</v>
      </c>
      <c r="E3823" t="s">
        <v>24</v>
      </c>
      <c r="F3823" t="s">
        <v>165</v>
      </c>
      <c r="G3823" t="s">
        <v>185</v>
      </c>
      <c r="H3823" t="s">
        <v>128</v>
      </c>
      <c r="I3823">
        <v>576.69000000000005</v>
      </c>
      <c r="J3823" s="34">
        <v>720135</v>
      </c>
      <c r="K3823" s="34">
        <f t="shared" ref="K3823:K3854" si="229">+L3823-J3823</f>
        <v>1273</v>
      </c>
      <c r="L3823" s="34">
        <v>721408</v>
      </c>
      <c r="M3823" s="132">
        <f t="shared" ref="M3823:M3854" si="230">I3823/K3823*100</f>
        <v>45.30164964650433</v>
      </c>
    </row>
    <row r="3824" spans="1:13" ht="15.75" hidden="1" customHeight="1" x14ac:dyDescent="0.3">
      <c r="B3824" t="s">
        <v>256</v>
      </c>
      <c r="C3824" s="25">
        <v>44567</v>
      </c>
      <c r="D3824" s="26">
        <v>0.91224537037037035</v>
      </c>
      <c r="E3824" t="s">
        <v>24</v>
      </c>
      <c r="F3824" t="s">
        <v>165</v>
      </c>
      <c r="G3824" t="s">
        <v>185</v>
      </c>
      <c r="H3824" t="s">
        <v>128</v>
      </c>
      <c r="I3824">
        <v>585.94000000000005</v>
      </c>
      <c r="J3824" s="7">
        <v>721408</v>
      </c>
      <c r="K3824" s="7">
        <f t="shared" si="229"/>
        <v>1642</v>
      </c>
      <c r="L3824" s="7">
        <v>723050</v>
      </c>
      <c r="M3824" s="91">
        <f t="shared" si="230"/>
        <v>35.684531059683316</v>
      </c>
    </row>
    <row r="3825" spans="1:13" ht="15.75" hidden="1" customHeight="1" x14ac:dyDescent="0.3">
      <c r="B3825" t="s">
        <v>256</v>
      </c>
      <c r="C3825" s="25">
        <v>44569</v>
      </c>
      <c r="D3825" s="26">
        <v>0.49274305555555559</v>
      </c>
      <c r="E3825" t="s">
        <v>24</v>
      </c>
      <c r="F3825" t="s">
        <v>368</v>
      </c>
      <c r="G3825" t="s">
        <v>369</v>
      </c>
      <c r="H3825" t="s">
        <v>128</v>
      </c>
      <c r="I3825">
        <v>618.01</v>
      </c>
      <c r="J3825" s="7">
        <v>723050</v>
      </c>
      <c r="K3825" s="7">
        <f t="shared" si="229"/>
        <v>1645</v>
      </c>
      <c r="L3825" s="7">
        <v>724695</v>
      </c>
      <c r="M3825" s="91">
        <f t="shared" si="230"/>
        <v>37.568996960486324</v>
      </c>
    </row>
    <row r="3826" spans="1:13" ht="15.75" hidden="1" customHeight="1" x14ac:dyDescent="0.3">
      <c r="B3826" t="s">
        <v>256</v>
      </c>
      <c r="C3826" s="25">
        <v>44573</v>
      </c>
      <c r="D3826" s="26">
        <v>0.76920138888888889</v>
      </c>
      <c r="E3826" t="s">
        <v>24</v>
      </c>
      <c r="F3826" t="s">
        <v>278</v>
      </c>
      <c r="G3826" t="s">
        <v>279</v>
      </c>
      <c r="H3826" t="s">
        <v>128</v>
      </c>
      <c r="I3826">
        <v>576.95000000000005</v>
      </c>
      <c r="J3826" s="7">
        <v>724695</v>
      </c>
      <c r="K3826" s="7">
        <f t="shared" si="229"/>
        <v>1437</v>
      </c>
      <c r="L3826" s="7">
        <v>726132</v>
      </c>
      <c r="M3826" s="91">
        <f t="shared" si="230"/>
        <v>40.149617258176761</v>
      </c>
    </row>
    <row r="3827" spans="1:13" ht="15.75" hidden="1" customHeight="1" x14ac:dyDescent="0.3">
      <c r="B3827" t="s">
        <v>256</v>
      </c>
      <c r="C3827" s="25">
        <v>44581</v>
      </c>
      <c r="D3827" s="26">
        <v>0.86723379629629627</v>
      </c>
      <c r="E3827" t="s">
        <v>24</v>
      </c>
      <c r="F3827" t="s">
        <v>175</v>
      </c>
      <c r="G3827" t="s">
        <v>172</v>
      </c>
      <c r="H3827" t="s">
        <v>128</v>
      </c>
      <c r="I3827">
        <v>463</v>
      </c>
      <c r="J3827" s="7">
        <v>726132</v>
      </c>
      <c r="K3827" s="7">
        <f t="shared" si="229"/>
        <v>1298</v>
      </c>
      <c r="L3827" s="7">
        <v>727430</v>
      </c>
      <c r="M3827" s="91">
        <f t="shared" si="230"/>
        <v>35.670261941448381</v>
      </c>
    </row>
    <row r="3828" spans="1:13" ht="15.75" hidden="1" customHeight="1" x14ac:dyDescent="0.3">
      <c r="B3828" t="s">
        <v>256</v>
      </c>
      <c r="C3828" s="25">
        <v>44583</v>
      </c>
      <c r="D3828" s="26">
        <v>0.79156249999999995</v>
      </c>
      <c r="E3828" t="s">
        <v>24</v>
      </c>
      <c r="F3828" t="s">
        <v>165</v>
      </c>
      <c r="G3828" t="s">
        <v>185</v>
      </c>
      <c r="H3828" t="s">
        <v>128</v>
      </c>
      <c r="I3828">
        <v>608.65</v>
      </c>
      <c r="J3828" s="34">
        <v>727430</v>
      </c>
      <c r="K3828" s="30">
        <f t="shared" si="229"/>
        <v>1398</v>
      </c>
      <c r="L3828" s="34">
        <v>728828</v>
      </c>
      <c r="M3828" s="61">
        <f t="shared" si="230"/>
        <v>43.537195994277539</v>
      </c>
    </row>
    <row r="3829" spans="1:13" ht="15.75" hidden="1" customHeight="1" x14ac:dyDescent="0.3">
      <c r="B3829" t="s">
        <v>256</v>
      </c>
      <c r="C3829" s="25">
        <v>44586</v>
      </c>
      <c r="D3829" s="26">
        <v>4.8298611111111112E-2</v>
      </c>
      <c r="E3829" t="s">
        <v>24</v>
      </c>
      <c r="F3829" t="s">
        <v>165</v>
      </c>
      <c r="G3829" t="s">
        <v>185</v>
      </c>
      <c r="H3829" t="s">
        <v>128</v>
      </c>
      <c r="I3829">
        <v>569.24</v>
      </c>
      <c r="J3829" s="7">
        <v>728828</v>
      </c>
      <c r="K3829" s="11">
        <f t="shared" si="229"/>
        <v>1641</v>
      </c>
      <c r="L3829" s="51">
        <v>730469</v>
      </c>
      <c r="M3829" s="10">
        <f t="shared" si="230"/>
        <v>34.688604509445462</v>
      </c>
    </row>
    <row r="3830" spans="1:13" ht="15.75" hidden="1" customHeight="1" x14ac:dyDescent="0.3">
      <c r="B3830" t="s">
        <v>256</v>
      </c>
      <c r="C3830" s="25">
        <v>44588</v>
      </c>
      <c r="D3830" s="26">
        <v>0.35817129629629635</v>
      </c>
      <c r="E3830" t="s">
        <v>24</v>
      </c>
      <c r="F3830" t="s">
        <v>171</v>
      </c>
      <c r="G3830" t="s">
        <v>172</v>
      </c>
      <c r="H3830" t="s">
        <v>128</v>
      </c>
      <c r="I3830">
        <v>599.58000000000004</v>
      </c>
      <c r="J3830" s="7">
        <v>730469</v>
      </c>
      <c r="K3830" s="11">
        <f t="shared" si="229"/>
        <v>1594</v>
      </c>
      <c r="L3830" s="7">
        <v>732063</v>
      </c>
      <c r="M3830" s="10">
        <f t="shared" si="230"/>
        <v>37.614805520702639</v>
      </c>
    </row>
    <row r="3831" spans="1:13" ht="15.75" hidden="1" customHeight="1" x14ac:dyDescent="0.3">
      <c r="B3831" t="s">
        <v>256</v>
      </c>
      <c r="C3831" s="25">
        <v>44589</v>
      </c>
      <c r="D3831" s="26">
        <v>0.43281249999999999</v>
      </c>
      <c r="E3831" t="s">
        <v>24</v>
      </c>
      <c r="F3831" t="s">
        <v>165</v>
      </c>
      <c r="G3831" t="s">
        <v>185</v>
      </c>
      <c r="H3831" t="s">
        <v>128</v>
      </c>
      <c r="I3831">
        <v>538.96</v>
      </c>
      <c r="J3831" s="7">
        <v>732063</v>
      </c>
      <c r="K3831" s="11">
        <f t="shared" si="229"/>
        <v>1256</v>
      </c>
      <c r="L3831" s="11">
        <v>733319</v>
      </c>
      <c r="M3831" s="10">
        <f t="shared" si="230"/>
        <v>42.910828025477713</v>
      </c>
    </row>
    <row r="3832" spans="1:13" ht="15.75" hidden="1" customHeight="1" x14ac:dyDescent="0.3">
      <c r="B3832" t="s">
        <v>256</v>
      </c>
      <c r="C3832" s="25">
        <v>44591</v>
      </c>
      <c r="D3832" s="26">
        <v>0.51483796296296302</v>
      </c>
      <c r="E3832" t="s">
        <v>24</v>
      </c>
      <c r="F3832" t="s">
        <v>278</v>
      </c>
      <c r="G3832" t="s">
        <v>279</v>
      </c>
      <c r="H3832" t="s">
        <v>128</v>
      </c>
      <c r="I3832">
        <v>626.78</v>
      </c>
      <c r="J3832" s="7">
        <v>733319</v>
      </c>
      <c r="K3832" s="11">
        <f t="shared" si="229"/>
        <v>1807</v>
      </c>
      <c r="L3832" s="11">
        <v>735126</v>
      </c>
      <c r="M3832" s="10">
        <f t="shared" si="230"/>
        <v>34.686220254565576</v>
      </c>
    </row>
    <row r="3833" spans="1:13" ht="15.75" hidden="1" customHeight="1" x14ac:dyDescent="0.3">
      <c r="B3833" t="s">
        <v>256</v>
      </c>
      <c r="C3833" s="25">
        <v>44592</v>
      </c>
      <c r="D3833" s="26">
        <v>0.9361342592592593</v>
      </c>
      <c r="E3833" t="s">
        <v>24</v>
      </c>
      <c r="F3833" t="s">
        <v>175</v>
      </c>
      <c r="G3833" t="s">
        <v>172</v>
      </c>
      <c r="H3833" t="s">
        <v>128</v>
      </c>
      <c r="I3833">
        <v>453.42</v>
      </c>
      <c r="J3833" s="7">
        <v>735126</v>
      </c>
      <c r="K3833" s="11">
        <f t="shared" si="229"/>
        <v>1389</v>
      </c>
      <c r="L3833" s="30">
        <v>736515</v>
      </c>
      <c r="M3833" s="10">
        <f t="shared" si="230"/>
        <v>32.643628509719221</v>
      </c>
    </row>
    <row r="3834" spans="1:13" ht="15.75" hidden="1" customHeight="1" x14ac:dyDescent="0.3">
      <c r="A3834" s="9">
        <v>829</v>
      </c>
      <c r="B3834" t="s">
        <v>256</v>
      </c>
      <c r="C3834" s="25">
        <v>44593</v>
      </c>
      <c r="D3834" s="26">
        <v>0.87844907407407413</v>
      </c>
      <c r="E3834" t="s">
        <v>25</v>
      </c>
      <c r="F3834" t="s">
        <v>166</v>
      </c>
      <c r="G3834" t="s">
        <v>161</v>
      </c>
      <c r="H3834" t="s">
        <v>128</v>
      </c>
      <c r="I3834">
        <v>334.76</v>
      </c>
      <c r="J3834" s="7">
        <v>736515</v>
      </c>
      <c r="K3834" s="11">
        <f t="shared" si="229"/>
        <v>799</v>
      </c>
      <c r="L3834" s="30">
        <v>737314</v>
      </c>
      <c r="M3834" s="10">
        <f t="shared" si="230"/>
        <v>41.897371714643306</v>
      </c>
    </row>
    <row r="3835" spans="1:13" ht="15.75" hidden="1" customHeight="1" x14ac:dyDescent="0.3">
      <c r="A3835" s="9">
        <v>830</v>
      </c>
      <c r="B3835" t="s">
        <v>256</v>
      </c>
      <c r="C3835" s="25">
        <v>44594</v>
      </c>
      <c r="D3835" s="26">
        <v>0.86510416666666667</v>
      </c>
      <c r="E3835" t="s">
        <v>25</v>
      </c>
      <c r="F3835" t="s">
        <v>166</v>
      </c>
      <c r="G3835" t="s">
        <v>161</v>
      </c>
      <c r="H3835" t="s">
        <v>128</v>
      </c>
      <c r="I3835">
        <v>460.3</v>
      </c>
      <c r="J3835" s="32">
        <v>737314</v>
      </c>
      <c r="K3835" s="53">
        <f t="shared" si="229"/>
        <v>1240</v>
      </c>
      <c r="L3835" s="7">
        <v>738554</v>
      </c>
      <c r="M3835" s="10">
        <f t="shared" si="230"/>
        <v>37.120967741935488</v>
      </c>
    </row>
    <row r="3836" spans="1:13" ht="15.75" hidden="1" customHeight="1" x14ac:dyDescent="0.3">
      <c r="A3836" s="9">
        <v>831</v>
      </c>
      <c r="B3836" t="s">
        <v>256</v>
      </c>
      <c r="C3836" s="25">
        <v>44597</v>
      </c>
      <c r="D3836" s="26">
        <v>0.73984953703703704</v>
      </c>
      <c r="E3836" t="s">
        <v>25</v>
      </c>
      <c r="F3836" t="s">
        <v>343</v>
      </c>
      <c r="G3836" t="s">
        <v>344</v>
      </c>
      <c r="H3836" t="s">
        <v>128</v>
      </c>
      <c r="I3836">
        <v>561.75</v>
      </c>
      <c r="J3836" s="7">
        <v>738554</v>
      </c>
      <c r="K3836" s="7">
        <f t="shared" si="229"/>
        <v>1406</v>
      </c>
      <c r="L3836" s="7">
        <v>739960</v>
      </c>
      <c r="M3836" s="36">
        <f t="shared" si="230"/>
        <v>39.953769559032715</v>
      </c>
    </row>
    <row r="3837" spans="1:13" ht="15.75" hidden="1" customHeight="1" x14ac:dyDescent="0.3">
      <c r="A3837" s="9">
        <v>832</v>
      </c>
      <c r="B3837" t="s">
        <v>256</v>
      </c>
      <c r="C3837" s="25">
        <v>44599</v>
      </c>
      <c r="D3837" s="26">
        <v>0.38554398148148145</v>
      </c>
      <c r="E3837" t="s">
        <v>25</v>
      </c>
      <c r="F3837" t="s">
        <v>210</v>
      </c>
      <c r="G3837" t="s">
        <v>211</v>
      </c>
      <c r="H3837" t="s">
        <v>128</v>
      </c>
      <c r="I3837">
        <v>646.61</v>
      </c>
      <c r="J3837" s="32">
        <v>739960</v>
      </c>
      <c r="K3837" s="32">
        <f t="shared" si="229"/>
        <v>1591</v>
      </c>
      <c r="L3837" s="7">
        <v>741551</v>
      </c>
      <c r="M3837" s="36">
        <f t="shared" si="230"/>
        <v>40.641734758013833</v>
      </c>
    </row>
    <row r="3838" spans="1:13" ht="15.75" hidden="1" customHeight="1" x14ac:dyDescent="0.3">
      <c r="A3838" s="9">
        <v>833</v>
      </c>
      <c r="B3838" t="s">
        <v>256</v>
      </c>
      <c r="C3838" s="25">
        <v>44601</v>
      </c>
      <c r="D3838" s="26">
        <v>0.33585648148148151</v>
      </c>
      <c r="E3838" t="s">
        <v>25</v>
      </c>
      <c r="F3838" t="s">
        <v>166</v>
      </c>
      <c r="G3838" t="s">
        <v>161</v>
      </c>
      <c r="H3838" t="s">
        <v>128</v>
      </c>
      <c r="I3838">
        <v>664.3</v>
      </c>
      <c r="J3838" s="7">
        <v>741551</v>
      </c>
      <c r="K3838" s="7">
        <f t="shared" si="229"/>
        <v>1723</v>
      </c>
      <c r="L3838" s="32">
        <v>743274</v>
      </c>
      <c r="M3838" s="36">
        <f t="shared" si="230"/>
        <v>38.554846198490999</v>
      </c>
    </row>
    <row r="3839" spans="1:13" ht="15.75" hidden="1" customHeight="1" x14ac:dyDescent="0.3">
      <c r="A3839" s="9">
        <v>834</v>
      </c>
      <c r="B3839" t="s">
        <v>256</v>
      </c>
      <c r="C3839" s="25">
        <v>44602</v>
      </c>
      <c r="D3839" s="26">
        <v>6.9108796296296293E-2</v>
      </c>
      <c r="E3839" t="s">
        <v>25</v>
      </c>
      <c r="F3839" t="s">
        <v>210</v>
      </c>
      <c r="G3839" t="s">
        <v>211</v>
      </c>
      <c r="H3839" t="s">
        <v>128</v>
      </c>
      <c r="I3839">
        <v>430.06</v>
      </c>
      <c r="J3839" s="32">
        <v>743274</v>
      </c>
      <c r="K3839" s="32">
        <f t="shared" si="229"/>
        <v>1156</v>
      </c>
      <c r="L3839" s="32">
        <v>744430</v>
      </c>
      <c r="M3839" s="36">
        <f t="shared" si="230"/>
        <v>37.202422145328718</v>
      </c>
    </row>
    <row r="3840" spans="1:13" ht="15.75" hidden="1" customHeight="1" x14ac:dyDescent="0.3">
      <c r="A3840" s="9">
        <v>835</v>
      </c>
      <c r="B3840" t="s">
        <v>256</v>
      </c>
      <c r="C3840" s="25">
        <v>44605</v>
      </c>
      <c r="D3840" s="26">
        <v>0.36344907407407406</v>
      </c>
      <c r="E3840" t="s">
        <v>25</v>
      </c>
      <c r="F3840" t="s">
        <v>343</v>
      </c>
      <c r="G3840" t="s">
        <v>344</v>
      </c>
      <c r="H3840" t="s">
        <v>128</v>
      </c>
      <c r="I3840">
        <v>690.4</v>
      </c>
      <c r="J3840" s="32">
        <v>744430</v>
      </c>
      <c r="K3840" s="32">
        <f t="shared" si="229"/>
        <v>1674</v>
      </c>
      <c r="L3840" s="32">
        <v>746104</v>
      </c>
      <c r="M3840" s="36">
        <f t="shared" si="230"/>
        <v>41.242532855436082</v>
      </c>
    </row>
    <row r="3841" spans="1:13" ht="15.75" hidden="1" customHeight="1" x14ac:dyDescent="0.3">
      <c r="A3841" s="9">
        <v>836</v>
      </c>
      <c r="B3841" t="s">
        <v>256</v>
      </c>
      <c r="C3841" s="25">
        <v>44606</v>
      </c>
      <c r="D3841" s="26">
        <v>0.5784259259259259</v>
      </c>
      <c r="E3841" t="s">
        <v>25</v>
      </c>
      <c r="F3841" t="s">
        <v>166</v>
      </c>
      <c r="G3841" t="s">
        <v>161</v>
      </c>
      <c r="H3841" t="s">
        <v>128</v>
      </c>
      <c r="I3841">
        <v>632.38</v>
      </c>
      <c r="J3841" s="32">
        <v>746104</v>
      </c>
      <c r="K3841" s="32">
        <f t="shared" si="229"/>
        <v>1674</v>
      </c>
      <c r="L3841" s="32">
        <v>747778</v>
      </c>
      <c r="M3841" s="36">
        <f t="shared" si="230"/>
        <v>37.776583034647551</v>
      </c>
    </row>
    <row r="3842" spans="1:13" ht="15.75" hidden="1" customHeight="1" x14ac:dyDescent="0.3">
      <c r="A3842" s="9">
        <v>837</v>
      </c>
      <c r="B3842" t="s">
        <v>256</v>
      </c>
      <c r="C3842" s="25">
        <v>44608</v>
      </c>
      <c r="D3842" s="26">
        <v>0.52271990740740748</v>
      </c>
      <c r="E3842" t="s">
        <v>25</v>
      </c>
      <c r="F3842" t="s">
        <v>166</v>
      </c>
      <c r="G3842" t="s">
        <v>161</v>
      </c>
      <c r="H3842" t="s">
        <v>128</v>
      </c>
      <c r="I3842">
        <v>657.27</v>
      </c>
      <c r="J3842" s="32">
        <v>747778</v>
      </c>
      <c r="K3842" s="32">
        <f t="shared" si="229"/>
        <v>1602</v>
      </c>
      <c r="L3842" s="32">
        <v>749380</v>
      </c>
      <c r="M3842" s="36">
        <f t="shared" si="230"/>
        <v>41.028089887640448</v>
      </c>
    </row>
    <row r="3843" spans="1:13" ht="15.75" hidden="1" customHeight="1" x14ac:dyDescent="0.3">
      <c r="A3843" s="9">
        <v>838</v>
      </c>
      <c r="B3843" t="s">
        <v>256</v>
      </c>
      <c r="C3843" s="25">
        <v>44609</v>
      </c>
      <c r="D3843" s="26">
        <v>0.27671296296296294</v>
      </c>
      <c r="E3843" t="s">
        <v>25</v>
      </c>
      <c r="F3843" t="s">
        <v>278</v>
      </c>
      <c r="G3843" t="s">
        <v>279</v>
      </c>
      <c r="H3843" t="s">
        <v>128</v>
      </c>
      <c r="I3843">
        <v>351.08</v>
      </c>
      <c r="J3843" s="32">
        <v>749380</v>
      </c>
      <c r="K3843" s="32">
        <f t="shared" si="229"/>
        <v>804</v>
      </c>
      <c r="L3843" s="32">
        <v>750184</v>
      </c>
      <c r="M3843" s="36">
        <f t="shared" si="230"/>
        <v>43.666666666666664</v>
      </c>
    </row>
    <row r="3844" spans="1:13" ht="15.75" hidden="1" customHeight="1" x14ac:dyDescent="0.3">
      <c r="A3844" s="9">
        <v>2167</v>
      </c>
      <c r="B3844" t="s">
        <v>256</v>
      </c>
      <c r="C3844" s="25">
        <v>44631</v>
      </c>
      <c r="D3844" s="26">
        <v>5.1041666666666666E-3</v>
      </c>
      <c r="E3844" t="s">
        <v>26</v>
      </c>
      <c r="F3844" t="s">
        <v>165</v>
      </c>
      <c r="G3844" t="s">
        <v>185</v>
      </c>
      <c r="H3844" t="s">
        <v>114</v>
      </c>
      <c r="I3844">
        <v>501.94</v>
      </c>
      <c r="J3844" s="28">
        <v>0</v>
      </c>
      <c r="K3844" s="89">
        <f t="shared" si="229"/>
        <v>1379.64</v>
      </c>
      <c r="L3844" s="32">
        <v>1379.64</v>
      </c>
      <c r="M3844" s="36">
        <f t="shared" si="230"/>
        <v>36.381954712823635</v>
      </c>
    </row>
    <row r="3845" spans="1:13" ht="15.75" hidden="1" customHeight="1" x14ac:dyDescent="0.3">
      <c r="A3845" s="9">
        <v>2168</v>
      </c>
      <c r="B3845" t="s">
        <v>256</v>
      </c>
      <c r="C3845" s="25">
        <v>44632</v>
      </c>
      <c r="D3845" s="26">
        <v>0.41923611111111114</v>
      </c>
      <c r="E3845" t="s">
        <v>26</v>
      </c>
      <c r="F3845" t="s">
        <v>210</v>
      </c>
      <c r="G3845" t="s">
        <v>211</v>
      </c>
      <c r="H3845" t="s">
        <v>114</v>
      </c>
      <c r="I3845">
        <v>212.56</v>
      </c>
      <c r="J3845" s="7">
        <v>0</v>
      </c>
      <c r="K3845" s="89">
        <f t="shared" si="229"/>
        <v>573.53</v>
      </c>
      <c r="L3845" s="32">
        <v>573.53</v>
      </c>
      <c r="M3845" s="36">
        <f t="shared" si="230"/>
        <v>37.061705577737868</v>
      </c>
    </row>
    <row r="3846" spans="1:13" ht="15.75" hidden="1" customHeight="1" x14ac:dyDescent="0.3">
      <c r="A3846" s="9">
        <v>2169</v>
      </c>
      <c r="B3846" t="s">
        <v>256</v>
      </c>
      <c r="C3846" s="25">
        <v>44635</v>
      </c>
      <c r="D3846" s="26">
        <v>0.5658333333333333</v>
      </c>
      <c r="E3846" t="s">
        <v>26</v>
      </c>
      <c r="F3846" t="s">
        <v>166</v>
      </c>
      <c r="G3846" t="s">
        <v>161</v>
      </c>
      <c r="H3846" t="s">
        <v>114</v>
      </c>
      <c r="I3846">
        <v>555.11</v>
      </c>
      <c r="J3846" s="7">
        <v>0</v>
      </c>
      <c r="K3846" s="89">
        <f t="shared" si="229"/>
        <v>1700</v>
      </c>
      <c r="L3846" s="7">
        <v>1700</v>
      </c>
      <c r="M3846" s="36">
        <f t="shared" si="230"/>
        <v>32.653529411764708</v>
      </c>
    </row>
    <row r="3847" spans="1:13" ht="15.75" hidden="1" customHeight="1" x14ac:dyDescent="0.3">
      <c r="A3847" s="9">
        <v>2170</v>
      </c>
      <c r="B3847" t="s">
        <v>256</v>
      </c>
      <c r="C3847" s="25">
        <v>44636</v>
      </c>
      <c r="D3847" s="26">
        <v>1.4571759259259258E-2</v>
      </c>
      <c r="E3847" t="s">
        <v>26</v>
      </c>
      <c r="F3847" t="s">
        <v>165</v>
      </c>
      <c r="G3847" t="s">
        <v>185</v>
      </c>
      <c r="H3847" t="s">
        <v>114</v>
      </c>
      <c r="I3847">
        <v>229.01</v>
      </c>
      <c r="J3847" s="51">
        <v>0</v>
      </c>
      <c r="K3847" s="88">
        <f t="shared" si="229"/>
        <v>634.26</v>
      </c>
      <c r="L3847" s="51">
        <v>634.26</v>
      </c>
      <c r="M3847" s="10">
        <f t="shared" si="230"/>
        <v>36.106643963043545</v>
      </c>
    </row>
    <row r="3848" spans="1:13" ht="15.75" hidden="1" customHeight="1" x14ac:dyDescent="0.3">
      <c r="A3848" s="9">
        <v>2171</v>
      </c>
      <c r="B3848" t="s">
        <v>256</v>
      </c>
      <c r="C3848" s="25">
        <v>44641</v>
      </c>
      <c r="D3848" s="26">
        <v>0.58108796296296295</v>
      </c>
      <c r="E3848" t="s">
        <v>26</v>
      </c>
      <c r="F3848" t="s">
        <v>262</v>
      </c>
      <c r="G3848" t="s">
        <v>263</v>
      </c>
      <c r="H3848" t="s">
        <v>114</v>
      </c>
      <c r="I3848">
        <v>200</v>
      </c>
      <c r="J3848" s="34">
        <v>0</v>
      </c>
      <c r="K3848" s="97">
        <f t="shared" si="229"/>
        <v>1131</v>
      </c>
      <c r="L3848" s="7">
        <v>1131</v>
      </c>
      <c r="M3848" s="10">
        <f t="shared" si="230"/>
        <v>17.683465959328029</v>
      </c>
    </row>
    <row r="3849" spans="1:13" ht="15.75" hidden="1" customHeight="1" x14ac:dyDescent="0.3">
      <c r="A3849" s="9">
        <v>2172</v>
      </c>
      <c r="B3849" t="s">
        <v>256</v>
      </c>
      <c r="C3849" s="25">
        <v>44641</v>
      </c>
      <c r="D3849" s="26">
        <v>0.61762731481481481</v>
      </c>
      <c r="E3849" t="s">
        <v>26</v>
      </c>
      <c r="F3849" t="s">
        <v>197</v>
      </c>
      <c r="G3849" t="s">
        <v>44</v>
      </c>
      <c r="H3849" t="s">
        <v>114</v>
      </c>
      <c r="I3849">
        <v>150.01</v>
      </c>
      <c r="J3849" s="34">
        <v>0</v>
      </c>
      <c r="K3849" s="100">
        <f t="shared" si="229"/>
        <v>47</v>
      </c>
      <c r="L3849" s="31">
        <v>47</v>
      </c>
      <c r="M3849" s="10">
        <f t="shared" si="230"/>
        <v>319.17021276595744</v>
      </c>
    </row>
    <row r="3850" spans="1:13" ht="15.75" hidden="1" customHeight="1" x14ac:dyDescent="0.3">
      <c r="A3850" s="9">
        <v>2173</v>
      </c>
      <c r="B3850" t="s">
        <v>256</v>
      </c>
      <c r="C3850" s="25">
        <v>44642</v>
      </c>
      <c r="D3850" s="26">
        <v>3.414351851851852E-3</v>
      </c>
      <c r="E3850" t="s">
        <v>26</v>
      </c>
      <c r="F3850" t="s">
        <v>210</v>
      </c>
      <c r="G3850" t="s">
        <v>211</v>
      </c>
      <c r="H3850" t="s">
        <v>114</v>
      </c>
      <c r="I3850">
        <v>543.19000000000005</v>
      </c>
      <c r="J3850" s="40">
        <v>0</v>
      </c>
      <c r="K3850" s="90">
        <f t="shared" si="229"/>
        <v>587.41999999999996</v>
      </c>
      <c r="L3850" s="11">
        <v>587.41999999999996</v>
      </c>
      <c r="M3850" s="10">
        <f t="shared" si="230"/>
        <v>92.470464063191599</v>
      </c>
    </row>
    <row r="3851" spans="1:13" ht="15.75" hidden="1" customHeight="1" x14ac:dyDescent="0.3">
      <c r="A3851" s="9">
        <v>2174</v>
      </c>
      <c r="B3851" t="s">
        <v>256</v>
      </c>
      <c r="C3851" s="25">
        <v>44643</v>
      </c>
      <c r="D3851" s="26">
        <v>0.44556712962962958</v>
      </c>
      <c r="E3851" t="s">
        <v>26</v>
      </c>
      <c r="F3851" t="s">
        <v>166</v>
      </c>
      <c r="G3851" t="s">
        <v>161</v>
      </c>
      <c r="H3851" t="s">
        <v>114</v>
      </c>
      <c r="I3851">
        <v>359.4</v>
      </c>
      <c r="J3851" s="39">
        <v>0</v>
      </c>
      <c r="K3851" s="90">
        <f t="shared" si="229"/>
        <v>1147.48</v>
      </c>
      <c r="L3851" s="11">
        <v>1147.48</v>
      </c>
      <c r="M3851" s="10">
        <f t="shared" si="230"/>
        <v>31.320807334332624</v>
      </c>
    </row>
    <row r="3852" spans="1:13" ht="15.75" hidden="1" customHeight="1" x14ac:dyDescent="0.3">
      <c r="A3852" s="9">
        <v>2175</v>
      </c>
      <c r="B3852" t="s">
        <v>256</v>
      </c>
      <c r="C3852" s="25">
        <v>44645</v>
      </c>
      <c r="D3852" s="26">
        <v>0.56858796296296299</v>
      </c>
      <c r="E3852" t="s">
        <v>26</v>
      </c>
      <c r="F3852" t="s">
        <v>166</v>
      </c>
      <c r="G3852" t="s">
        <v>161</v>
      </c>
      <c r="H3852" t="s">
        <v>114</v>
      </c>
      <c r="I3852">
        <v>623.39</v>
      </c>
      <c r="J3852" s="40">
        <v>0</v>
      </c>
      <c r="K3852" s="90">
        <f t="shared" si="229"/>
        <v>1653.66</v>
      </c>
      <c r="L3852" s="30">
        <v>1653.66</v>
      </c>
      <c r="M3852" s="10">
        <f t="shared" si="230"/>
        <v>37.697592008030668</v>
      </c>
    </row>
    <row r="3853" spans="1:13" ht="15.75" hidden="1" customHeight="1" x14ac:dyDescent="0.3">
      <c r="A3853" s="9">
        <v>2176</v>
      </c>
      <c r="B3853" t="s">
        <v>256</v>
      </c>
      <c r="C3853" s="25">
        <v>44646</v>
      </c>
      <c r="D3853" s="26">
        <v>4.3182870370370365E-2</v>
      </c>
      <c r="E3853" t="s">
        <v>26</v>
      </c>
      <c r="F3853" t="s">
        <v>165</v>
      </c>
      <c r="G3853" t="s">
        <v>185</v>
      </c>
      <c r="H3853" t="s">
        <v>114</v>
      </c>
      <c r="I3853">
        <v>236.05</v>
      </c>
      <c r="J3853" s="40">
        <v>0</v>
      </c>
      <c r="K3853" s="90">
        <f t="shared" si="229"/>
        <v>634.52</v>
      </c>
      <c r="L3853" s="28">
        <v>634.52</v>
      </c>
      <c r="M3853" s="10">
        <f t="shared" si="230"/>
        <v>37.201349051251341</v>
      </c>
    </row>
    <row r="3854" spans="1:13" ht="15.75" hidden="1" customHeight="1" x14ac:dyDescent="0.3">
      <c r="A3854" s="9">
        <v>2177</v>
      </c>
      <c r="B3854" t="s">
        <v>256</v>
      </c>
      <c r="C3854" s="25">
        <v>44646</v>
      </c>
      <c r="D3854" s="26">
        <v>0.87679398148148147</v>
      </c>
      <c r="E3854" t="s">
        <v>26</v>
      </c>
      <c r="F3854" t="s">
        <v>169</v>
      </c>
      <c r="G3854" t="s">
        <v>511</v>
      </c>
      <c r="H3854" t="s">
        <v>114</v>
      </c>
      <c r="I3854">
        <v>150</v>
      </c>
      <c r="J3854" s="39">
        <v>0</v>
      </c>
      <c r="K3854" s="90">
        <f t="shared" si="229"/>
        <v>1020.54</v>
      </c>
      <c r="L3854" s="11">
        <v>1020.54</v>
      </c>
      <c r="M3854" s="10">
        <f t="shared" si="230"/>
        <v>14.698101005350109</v>
      </c>
    </row>
    <row r="3855" spans="1:13" ht="15.75" hidden="1" customHeight="1" x14ac:dyDescent="0.3">
      <c r="A3855" s="9">
        <v>2178</v>
      </c>
      <c r="B3855" t="s">
        <v>256</v>
      </c>
      <c r="C3855" s="25">
        <v>44649</v>
      </c>
      <c r="D3855" s="26">
        <v>0.58869212962962958</v>
      </c>
      <c r="E3855" t="s">
        <v>26</v>
      </c>
      <c r="F3855" t="s">
        <v>210</v>
      </c>
      <c r="G3855" t="s">
        <v>211</v>
      </c>
      <c r="H3855" t="s">
        <v>114</v>
      </c>
      <c r="I3855">
        <v>642.87</v>
      </c>
      <c r="J3855" s="39">
        <v>0</v>
      </c>
      <c r="K3855" s="90">
        <f t="shared" ref="K3855:K3876" si="231">+L3855-J3855</f>
        <v>1283.4000000000001</v>
      </c>
      <c r="L3855" s="30">
        <v>1283.4000000000001</v>
      </c>
      <c r="M3855" s="10">
        <f t="shared" ref="M3855:M3886" si="232">I3855/K3855*100</f>
        <v>50.091164095371667</v>
      </c>
    </row>
    <row r="3856" spans="1:13" ht="15.75" hidden="1" customHeight="1" x14ac:dyDescent="0.3">
      <c r="A3856" s="9">
        <v>2179</v>
      </c>
      <c r="B3856" t="s">
        <v>256</v>
      </c>
      <c r="C3856" s="25">
        <v>44650</v>
      </c>
      <c r="D3856" s="26">
        <v>1.9664351851851853E-2</v>
      </c>
      <c r="E3856" t="s">
        <v>26</v>
      </c>
      <c r="F3856" t="s">
        <v>165</v>
      </c>
      <c r="G3856" t="s">
        <v>185</v>
      </c>
      <c r="H3856" t="s">
        <v>114</v>
      </c>
      <c r="I3856">
        <v>250.3</v>
      </c>
      <c r="J3856" s="40">
        <v>0</v>
      </c>
      <c r="K3856" s="90">
        <f t="shared" si="231"/>
        <v>572.20000000000005</v>
      </c>
      <c r="L3856" s="55">
        <v>572.20000000000005</v>
      </c>
      <c r="M3856" s="10">
        <f t="shared" si="232"/>
        <v>43.743446347430961</v>
      </c>
    </row>
    <row r="3857" spans="1:13" ht="15.75" hidden="1" customHeight="1" x14ac:dyDescent="0.3">
      <c r="A3857" s="9">
        <v>3267</v>
      </c>
      <c r="B3857" t="s">
        <v>256</v>
      </c>
      <c r="C3857" s="25">
        <v>44652</v>
      </c>
      <c r="D3857" s="26">
        <v>0.45178240740740744</v>
      </c>
      <c r="E3857" t="s">
        <v>27</v>
      </c>
      <c r="F3857" t="s">
        <v>171</v>
      </c>
      <c r="G3857" t="s">
        <v>172</v>
      </c>
      <c r="H3857" t="s">
        <v>128</v>
      </c>
      <c r="I3857" s="4">
        <v>629.25</v>
      </c>
      <c r="J3857" s="41">
        <v>750184</v>
      </c>
      <c r="K3857" s="90">
        <f t="shared" si="231"/>
        <v>1619</v>
      </c>
      <c r="L3857" s="32">
        <v>751803</v>
      </c>
      <c r="M3857" s="36">
        <f t="shared" si="232"/>
        <v>38.866584311303278</v>
      </c>
    </row>
    <row r="3858" spans="1:13" ht="15.75" hidden="1" customHeight="1" x14ac:dyDescent="0.3">
      <c r="A3858" s="9">
        <v>3268</v>
      </c>
      <c r="B3858" t="s">
        <v>256</v>
      </c>
      <c r="C3858" s="25">
        <v>44653</v>
      </c>
      <c r="D3858" s="26">
        <v>0.5001620370370371</v>
      </c>
      <c r="E3858" t="s">
        <v>27</v>
      </c>
      <c r="F3858" t="s">
        <v>166</v>
      </c>
      <c r="G3858" t="s">
        <v>161</v>
      </c>
      <c r="H3858" t="s">
        <v>128</v>
      </c>
      <c r="I3858" s="4">
        <v>150</v>
      </c>
      <c r="J3858" s="71">
        <v>751803</v>
      </c>
      <c r="K3858" s="90">
        <f t="shared" si="231"/>
        <v>616</v>
      </c>
      <c r="L3858" s="32">
        <v>752419</v>
      </c>
      <c r="M3858" s="36">
        <f t="shared" si="232"/>
        <v>24.350649350649352</v>
      </c>
    </row>
    <row r="3859" spans="1:13" ht="15.75" hidden="1" customHeight="1" x14ac:dyDescent="0.3">
      <c r="A3859" s="9">
        <v>3269</v>
      </c>
      <c r="B3859" t="s">
        <v>256</v>
      </c>
      <c r="C3859" s="25">
        <v>44654</v>
      </c>
      <c r="D3859" s="26">
        <v>0.35402777777777777</v>
      </c>
      <c r="E3859" t="s">
        <v>27</v>
      </c>
      <c r="F3859" t="s">
        <v>278</v>
      </c>
      <c r="G3859" t="s">
        <v>279</v>
      </c>
      <c r="H3859" t="s">
        <v>128</v>
      </c>
      <c r="I3859" s="4">
        <v>434.22</v>
      </c>
      <c r="J3859" s="71">
        <v>752419</v>
      </c>
      <c r="K3859" s="90">
        <f t="shared" si="231"/>
        <v>813</v>
      </c>
      <c r="L3859" s="32">
        <v>753232</v>
      </c>
      <c r="M3859" s="36">
        <f t="shared" si="232"/>
        <v>53.40959409594096</v>
      </c>
    </row>
    <row r="3860" spans="1:13" ht="15.75" hidden="1" customHeight="1" x14ac:dyDescent="0.3">
      <c r="A3860" s="9">
        <v>3270</v>
      </c>
      <c r="B3860" t="s">
        <v>256</v>
      </c>
      <c r="C3860" s="25">
        <v>44656</v>
      </c>
      <c r="D3860" s="26">
        <v>0.46790509259259255</v>
      </c>
      <c r="E3860" t="s">
        <v>27</v>
      </c>
      <c r="F3860" t="s">
        <v>171</v>
      </c>
      <c r="G3860" t="s">
        <v>172</v>
      </c>
      <c r="H3860" t="s">
        <v>128</v>
      </c>
      <c r="I3860" s="4">
        <v>518.73</v>
      </c>
      <c r="J3860" s="71">
        <v>753232</v>
      </c>
      <c r="K3860" s="90">
        <f t="shared" si="231"/>
        <v>1665</v>
      </c>
      <c r="L3860" s="32">
        <v>754897</v>
      </c>
      <c r="M3860" s="36">
        <f t="shared" si="232"/>
        <v>31.154954954954956</v>
      </c>
    </row>
    <row r="3861" spans="1:13" ht="15.75" hidden="1" customHeight="1" x14ac:dyDescent="0.3">
      <c r="A3861" s="9">
        <v>3271</v>
      </c>
      <c r="B3861" t="s">
        <v>256</v>
      </c>
      <c r="C3861" s="25">
        <v>44656</v>
      </c>
      <c r="D3861" s="26">
        <v>0.8846180555555555</v>
      </c>
      <c r="E3861" t="s">
        <v>27</v>
      </c>
      <c r="F3861" t="s">
        <v>166</v>
      </c>
      <c r="G3861" t="s">
        <v>161</v>
      </c>
      <c r="H3861" t="s">
        <v>128</v>
      </c>
      <c r="I3861" s="4">
        <v>239.99</v>
      </c>
      <c r="J3861" s="32">
        <v>754897</v>
      </c>
      <c r="K3861" s="90">
        <f t="shared" si="231"/>
        <v>554</v>
      </c>
      <c r="L3861" s="32">
        <v>755451</v>
      </c>
      <c r="M3861" s="36">
        <f t="shared" si="232"/>
        <v>43.31949458483755</v>
      </c>
    </row>
    <row r="3862" spans="1:13" ht="15.75" hidden="1" customHeight="1" x14ac:dyDescent="0.3">
      <c r="A3862" s="9">
        <v>3272</v>
      </c>
      <c r="B3862" t="s">
        <v>256</v>
      </c>
      <c r="C3862" s="25">
        <v>44660</v>
      </c>
      <c r="D3862" s="26">
        <v>0.1320138888888889</v>
      </c>
      <c r="E3862" t="s">
        <v>27</v>
      </c>
      <c r="F3862" t="s">
        <v>278</v>
      </c>
      <c r="G3862" t="s">
        <v>279</v>
      </c>
      <c r="H3862" t="s">
        <v>128</v>
      </c>
      <c r="I3862" s="4">
        <v>355.47</v>
      </c>
      <c r="J3862" s="32">
        <v>755451</v>
      </c>
      <c r="K3862" s="90">
        <f t="shared" si="231"/>
        <v>2830</v>
      </c>
      <c r="L3862" s="32">
        <v>758281</v>
      </c>
      <c r="M3862" s="36">
        <f t="shared" si="232"/>
        <v>12.56077738515901</v>
      </c>
    </row>
    <row r="3863" spans="1:13" ht="15.75" hidden="1" customHeight="1" x14ac:dyDescent="0.3">
      <c r="A3863" s="9">
        <v>3273</v>
      </c>
      <c r="B3863" t="s">
        <v>256</v>
      </c>
      <c r="C3863" s="25">
        <v>44671</v>
      </c>
      <c r="D3863" s="26">
        <v>0.61611111111111116</v>
      </c>
      <c r="E3863" t="s">
        <v>27</v>
      </c>
      <c r="F3863" t="s">
        <v>339</v>
      </c>
      <c r="G3863" t="s">
        <v>392</v>
      </c>
      <c r="H3863" t="s">
        <v>128</v>
      </c>
      <c r="I3863" s="4">
        <v>314.49</v>
      </c>
      <c r="J3863" s="32">
        <v>758281</v>
      </c>
      <c r="K3863" s="89">
        <f t="shared" si="231"/>
        <v>95</v>
      </c>
      <c r="L3863" s="32">
        <v>758376</v>
      </c>
      <c r="M3863" s="36">
        <f t="shared" si="232"/>
        <v>331.04210526315791</v>
      </c>
    </row>
    <row r="3864" spans="1:13" ht="15.75" hidden="1" customHeight="1" x14ac:dyDescent="0.3">
      <c r="A3864" s="9">
        <v>3274</v>
      </c>
      <c r="B3864" t="s">
        <v>256</v>
      </c>
      <c r="C3864" s="25">
        <v>44671</v>
      </c>
      <c r="D3864" s="26">
        <v>0.62488425925925928</v>
      </c>
      <c r="E3864" t="s">
        <v>27</v>
      </c>
      <c r="F3864" t="s">
        <v>339</v>
      </c>
      <c r="G3864" t="s">
        <v>392</v>
      </c>
      <c r="H3864" t="s">
        <v>128</v>
      </c>
      <c r="I3864" s="4">
        <v>344.29</v>
      </c>
      <c r="J3864" s="32">
        <v>758376</v>
      </c>
      <c r="K3864" s="89">
        <f t="shared" si="231"/>
        <v>1</v>
      </c>
      <c r="L3864" s="32">
        <v>758377</v>
      </c>
      <c r="M3864" s="36">
        <f t="shared" si="232"/>
        <v>34429</v>
      </c>
    </row>
    <row r="3865" spans="1:13" ht="15.75" hidden="1" customHeight="1" x14ac:dyDescent="0.3">
      <c r="A3865" s="9">
        <v>3275</v>
      </c>
      <c r="B3865" t="s">
        <v>256</v>
      </c>
      <c r="C3865" s="25">
        <v>44674</v>
      </c>
      <c r="D3865" s="26">
        <v>0.81674768518518526</v>
      </c>
      <c r="E3865" t="s">
        <v>27</v>
      </c>
      <c r="F3865" t="s">
        <v>210</v>
      </c>
      <c r="G3865" t="s">
        <v>211</v>
      </c>
      <c r="H3865" t="s">
        <v>128</v>
      </c>
      <c r="I3865" s="4">
        <v>445.07</v>
      </c>
      <c r="J3865" s="32">
        <v>0</v>
      </c>
      <c r="K3865" s="89">
        <f t="shared" si="231"/>
        <v>1143</v>
      </c>
      <c r="L3865" s="32">
        <v>1143</v>
      </c>
      <c r="M3865" s="36">
        <f t="shared" si="232"/>
        <v>38.938757655293088</v>
      </c>
    </row>
    <row r="3866" spans="1:13" ht="15.75" hidden="1" customHeight="1" x14ac:dyDescent="0.3">
      <c r="A3866" s="9">
        <v>3276</v>
      </c>
      <c r="B3866" t="s">
        <v>256</v>
      </c>
      <c r="C3866" s="25">
        <v>44677</v>
      </c>
      <c r="D3866" s="26">
        <v>3.1921296296296302E-2</v>
      </c>
      <c r="E3866" t="s">
        <v>27</v>
      </c>
      <c r="F3866" t="s">
        <v>210</v>
      </c>
      <c r="G3866" t="s">
        <v>211</v>
      </c>
      <c r="H3866" t="s">
        <v>128</v>
      </c>
      <c r="I3866">
        <v>473.03</v>
      </c>
      <c r="J3866" s="32">
        <v>0</v>
      </c>
      <c r="K3866" s="88">
        <f t="shared" si="231"/>
        <v>1121</v>
      </c>
      <c r="L3866" s="52">
        <v>1121</v>
      </c>
      <c r="M3866" s="10">
        <f t="shared" si="232"/>
        <v>42.197145405887596</v>
      </c>
    </row>
    <row r="3867" spans="1:13" ht="15.75" hidden="1" customHeight="1" x14ac:dyDescent="0.3">
      <c r="A3867" s="9">
        <v>3277</v>
      </c>
      <c r="B3867" t="s">
        <v>256</v>
      </c>
      <c r="C3867" s="25">
        <v>44679</v>
      </c>
      <c r="D3867" s="26">
        <v>0.5612152777777778</v>
      </c>
      <c r="E3867" t="s">
        <v>27</v>
      </c>
      <c r="F3867" t="s">
        <v>311</v>
      </c>
      <c r="G3867" t="s">
        <v>303</v>
      </c>
      <c r="H3867" t="s">
        <v>128</v>
      </c>
      <c r="I3867">
        <v>200.04</v>
      </c>
      <c r="J3867" s="7">
        <v>0</v>
      </c>
      <c r="K3867" s="92">
        <f t="shared" si="231"/>
        <v>1418</v>
      </c>
      <c r="L3867" s="7">
        <v>1418</v>
      </c>
      <c r="M3867" s="10">
        <f t="shared" si="232"/>
        <v>14.107193229901268</v>
      </c>
    </row>
    <row r="3868" spans="1:13" ht="15.75" hidden="1" customHeight="1" x14ac:dyDescent="0.3">
      <c r="A3868" s="9">
        <v>3278</v>
      </c>
      <c r="B3868" t="s">
        <v>256</v>
      </c>
      <c r="C3868" s="25">
        <v>44679</v>
      </c>
      <c r="D3868" s="26">
        <v>0.78673611111111119</v>
      </c>
      <c r="E3868" t="s">
        <v>27</v>
      </c>
      <c r="F3868" t="s">
        <v>166</v>
      </c>
      <c r="G3868" t="s">
        <v>161</v>
      </c>
      <c r="H3868" t="s">
        <v>128</v>
      </c>
      <c r="I3868">
        <v>483.13</v>
      </c>
      <c r="J3868" s="7">
        <v>0</v>
      </c>
      <c r="K3868" s="88">
        <f t="shared" si="231"/>
        <v>354</v>
      </c>
      <c r="L3868" s="51">
        <v>354</v>
      </c>
      <c r="M3868" s="10">
        <f t="shared" si="232"/>
        <v>136.4774011299435</v>
      </c>
    </row>
    <row r="3869" spans="1:13" ht="15.75" hidden="1" customHeight="1" x14ac:dyDescent="0.3">
      <c r="A3869" s="9">
        <v>3736</v>
      </c>
      <c r="B3869" t="s">
        <v>256</v>
      </c>
      <c r="C3869" s="25">
        <v>44683</v>
      </c>
      <c r="D3869" s="26">
        <v>0.87384259259259256</v>
      </c>
      <c r="E3869" t="s">
        <v>28</v>
      </c>
      <c r="F3869" t="s">
        <v>512</v>
      </c>
      <c r="G3869" t="s">
        <v>513</v>
      </c>
      <c r="H3869" t="s">
        <v>128</v>
      </c>
      <c r="I3869">
        <v>300</v>
      </c>
      <c r="J3869" s="7">
        <v>0</v>
      </c>
      <c r="K3869" s="89">
        <f t="shared" si="231"/>
        <v>2428</v>
      </c>
      <c r="L3869" s="52">
        <v>2428</v>
      </c>
      <c r="M3869" s="10">
        <f t="shared" si="232"/>
        <v>12.355848434925864</v>
      </c>
    </row>
    <row r="3870" spans="1:13" ht="15.75" hidden="1" customHeight="1" x14ac:dyDescent="0.3">
      <c r="A3870" s="9">
        <v>3754</v>
      </c>
      <c r="B3870" t="s">
        <v>256</v>
      </c>
      <c r="C3870" s="25">
        <v>44684</v>
      </c>
      <c r="D3870" s="26">
        <v>0.51622685185185191</v>
      </c>
      <c r="E3870" t="s">
        <v>28</v>
      </c>
      <c r="F3870" t="s">
        <v>166</v>
      </c>
      <c r="G3870" t="s">
        <v>161</v>
      </c>
      <c r="H3870" t="s">
        <v>128</v>
      </c>
      <c r="I3870">
        <v>429.01</v>
      </c>
      <c r="J3870" s="7">
        <v>0</v>
      </c>
      <c r="K3870" s="89">
        <f t="shared" si="231"/>
        <v>508</v>
      </c>
      <c r="L3870" s="52">
        <v>508</v>
      </c>
      <c r="M3870" s="10">
        <f t="shared" si="232"/>
        <v>84.4507874015748</v>
      </c>
    </row>
    <row r="3871" spans="1:13" ht="15.75" hidden="1" customHeight="1" x14ac:dyDescent="0.3">
      <c r="A3871" s="9">
        <v>3841</v>
      </c>
      <c r="B3871" t="s">
        <v>256</v>
      </c>
      <c r="C3871" s="25">
        <v>44685</v>
      </c>
      <c r="D3871" s="26">
        <v>0.77921296296296294</v>
      </c>
      <c r="E3871" t="s">
        <v>28</v>
      </c>
      <c r="F3871" t="s">
        <v>210</v>
      </c>
      <c r="G3871" t="s">
        <v>211</v>
      </c>
      <c r="H3871" t="s">
        <v>128</v>
      </c>
      <c r="I3871">
        <v>475.84</v>
      </c>
      <c r="J3871" s="7">
        <v>0</v>
      </c>
      <c r="K3871" s="89">
        <f t="shared" si="231"/>
        <v>1203</v>
      </c>
      <c r="L3871" s="52">
        <v>1203</v>
      </c>
      <c r="M3871" s="10">
        <f t="shared" si="232"/>
        <v>39.554447215295092</v>
      </c>
    </row>
    <row r="3872" spans="1:13" ht="15.75" hidden="1" customHeight="1" x14ac:dyDescent="0.3">
      <c r="A3872" s="9">
        <v>3897</v>
      </c>
      <c r="B3872" t="s">
        <v>256</v>
      </c>
      <c r="C3872" s="25">
        <v>44686</v>
      </c>
      <c r="D3872" s="26">
        <v>0.71680555555555558</v>
      </c>
      <c r="E3872" t="s">
        <v>28</v>
      </c>
      <c r="F3872" t="s">
        <v>428</v>
      </c>
      <c r="G3872" t="s">
        <v>429</v>
      </c>
      <c r="H3872" t="s">
        <v>128</v>
      </c>
      <c r="I3872">
        <v>250</v>
      </c>
      <c r="J3872" s="7">
        <v>0</v>
      </c>
      <c r="K3872" s="89">
        <f t="shared" si="231"/>
        <v>934</v>
      </c>
      <c r="L3872" s="52">
        <v>934</v>
      </c>
      <c r="M3872" s="10">
        <f t="shared" si="232"/>
        <v>26.76659528907923</v>
      </c>
    </row>
    <row r="3873" spans="1:13" ht="15.75" hidden="1" customHeight="1" x14ac:dyDescent="0.3">
      <c r="A3873" s="9">
        <v>4044</v>
      </c>
      <c r="B3873" t="s">
        <v>256</v>
      </c>
      <c r="C3873" s="25">
        <v>44689</v>
      </c>
      <c r="D3873" s="26">
        <v>0.64652777777777781</v>
      </c>
      <c r="E3873" t="s">
        <v>28</v>
      </c>
      <c r="F3873" t="s">
        <v>166</v>
      </c>
      <c r="G3873" t="s">
        <v>161</v>
      </c>
      <c r="H3873" t="s">
        <v>128</v>
      </c>
      <c r="I3873">
        <v>397.19</v>
      </c>
      <c r="J3873" s="7">
        <v>0</v>
      </c>
      <c r="K3873" s="89">
        <f t="shared" si="231"/>
        <v>752</v>
      </c>
      <c r="L3873" s="32">
        <v>752</v>
      </c>
      <c r="M3873" s="36">
        <f t="shared" si="232"/>
        <v>52.817819148936174</v>
      </c>
    </row>
    <row r="3874" spans="1:13" ht="15.75" hidden="1" customHeight="1" x14ac:dyDescent="0.3">
      <c r="A3874" s="9">
        <v>4090</v>
      </c>
      <c r="B3874" t="s">
        <v>256</v>
      </c>
      <c r="C3874" s="25">
        <v>44690</v>
      </c>
      <c r="D3874" s="26">
        <v>0.60689814814814813</v>
      </c>
      <c r="E3874" t="s">
        <v>28</v>
      </c>
      <c r="F3874" t="s">
        <v>210</v>
      </c>
      <c r="G3874" t="s">
        <v>211</v>
      </c>
      <c r="H3874" t="s">
        <v>128</v>
      </c>
      <c r="I3874">
        <v>409.11</v>
      </c>
      <c r="J3874" s="7">
        <v>0</v>
      </c>
      <c r="K3874" s="89">
        <f t="shared" si="231"/>
        <v>1146</v>
      </c>
      <c r="L3874" s="32">
        <v>1146</v>
      </c>
      <c r="M3874" s="36">
        <f t="shared" si="232"/>
        <v>35.698952879581149</v>
      </c>
    </row>
    <row r="3875" spans="1:13" ht="15.75" hidden="1" customHeight="1" x14ac:dyDescent="0.3">
      <c r="A3875" s="9">
        <v>4187</v>
      </c>
      <c r="B3875" t="s">
        <v>256</v>
      </c>
      <c r="C3875" s="25">
        <v>44692</v>
      </c>
      <c r="D3875" s="26">
        <v>0.55429398148148146</v>
      </c>
      <c r="E3875" t="s">
        <v>28</v>
      </c>
      <c r="F3875" t="s">
        <v>166</v>
      </c>
      <c r="G3875" t="s">
        <v>161</v>
      </c>
      <c r="H3875" t="s">
        <v>128</v>
      </c>
      <c r="I3875">
        <f>61.74+534.81</f>
        <v>596.54999999999995</v>
      </c>
      <c r="J3875" s="7">
        <v>0</v>
      </c>
      <c r="K3875" s="89">
        <f t="shared" si="231"/>
        <v>1619</v>
      </c>
      <c r="L3875" s="32">
        <v>1619</v>
      </c>
      <c r="M3875" s="36">
        <f t="shared" si="232"/>
        <v>36.846819024088937</v>
      </c>
    </row>
    <row r="3876" spans="1:13" ht="15.75" hidden="1" customHeight="1" x14ac:dyDescent="0.3">
      <c r="A3876" s="9">
        <v>4224</v>
      </c>
      <c r="B3876" t="s">
        <v>256</v>
      </c>
      <c r="C3876" s="25">
        <v>44693</v>
      </c>
      <c r="D3876" s="26">
        <v>7.8032407407407411E-2</v>
      </c>
      <c r="E3876" t="s">
        <v>28</v>
      </c>
      <c r="F3876" t="s">
        <v>165</v>
      </c>
      <c r="G3876" t="s">
        <v>185</v>
      </c>
      <c r="H3876" t="s">
        <v>128</v>
      </c>
      <c r="I3876">
        <v>264.01</v>
      </c>
      <c r="J3876" s="39">
        <v>0</v>
      </c>
      <c r="K3876" s="89">
        <f t="shared" si="231"/>
        <v>633</v>
      </c>
      <c r="L3876" s="37">
        <v>633</v>
      </c>
      <c r="M3876" s="10">
        <f t="shared" si="232"/>
        <v>41.707740916271717</v>
      </c>
    </row>
    <row r="3877" spans="1:13" ht="15.75" hidden="1" customHeight="1" x14ac:dyDescent="0.3">
      <c r="A3877" s="9">
        <v>4268</v>
      </c>
      <c r="B3877" t="s">
        <v>256</v>
      </c>
      <c r="C3877" s="25">
        <v>44694</v>
      </c>
      <c r="D3877" s="26">
        <v>0.23592592592592596</v>
      </c>
      <c r="E3877" t="s">
        <v>28</v>
      </c>
      <c r="F3877" t="s">
        <v>166</v>
      </c>
      <c r="G3877" t="s">
        <v>161</v>
      </c>
      <c r="H3877" t="s">
        <v>128</v>
      </c>
      <c r="I3877">
        <v>160.19999999999999</v>
      </c>
      <c r="J3877" s="39">
        <v>0</v>
      </c>
      <c r="K3877" s="89">
        <f t="shared" ref="K3877:K3882" si="233">+L3877-J4148</f>
        <v>655</v>
      </c>
      <c r="L3877" s="32">
        <v>655</v>
      </c>
      <c r="M3877" s="10">
        <f t="shared" si="232"/>
        <v>24.458015267175568</v>
      </c>
    </row>
    <row r="3878" spans="1:13" ht="15.75" hidden="1" customHeight="1" x14ac:dyDescent="0.3">
      <c r="A3878" s="9">
        <v>4283</v>
      </c>
      <c r="B3878" t="s">
        <v>256</v>
      </c>
      <c r="C3878" s="25">
        <v>44694</v>
      </c>
      <c r="D3878" s="26">
        <v>0.52214120370370376</v>
      </c>
      <c r="E3878" t="s">
        <v>28</v>
      </c>
      <c r="F3878" t="s">
        <v>169</v>
      </c>
      <c r="G3878" t="s">
        <v>196</v>
      </c>
      <c r="H3878" t="s">
        <v>128</v>
      </c>
      <c r="I3878">
        <v>300</v>
      </c>
      <c r="J3878" s="7">
        <v>0</v>
      </c>
      <c r="K3878" s="89">
        <f t="shared" si="233"/>
        <v>412</v>
      </c>
      <c r="L3878" s="32">
        <v>412</v>
      </c>
      <c r="M3878" s="10">
        <f t="shared" si="232"/>
        <v>72.815533980582529</v>
      </c>
    </row>
    <row r="3879" spans="1:13" ht="15.75" hidden="1" customHeight="1" x14ac:dyDescent="0.3">
      <c r="A3879" s="9">
        <v>4409</v>
      </c>
      <c r="B3879" t="s">
        <v>256</v>
      </c>
      <c r="C3879" s="25">
        <v>44696</v>
      </c>
      <c r="D3879" s="26">
        <v>0.75075231481481486</v>
      </c>
      <c r="E3879" t="s">
        <v>28</v>
      </c>
      <c r="F3879" t="s">
        <v>210</v>
      </c>
      <c r="G3879" t="s">
        <v>211</v>
      </c>
      <c r="H3879" t="s">
        <v>128</v>
      </c>
      <c r="I3879">
        <v>537.54</v>
      </c>
      <c r="J3879" s="7">
        <v>0</v>
      </c>
      <c r="K3879" s="89">
        <f t="shared" si="233"/>
        <v>76</v>
      </c>
      <c r="L3879" s="37">
        <v>76</v>
      </c>
      <c r="M3879" s="10">
        <f t="shared" si="232"/>
        <v>707.28947368421041</v>
      </c>
    </row>
    <row r="3880" spans="1:13" ht="15.75" hidden="1" customHeight="1" x14ac:dyDescent="0.3">
      <c r="A3880" s="9">
        <v>4417</v>
      </c>
      <c r="B3880" t="s">
        <v>256</v>
      </c>
      <c r="C3880" s="25">
        <v>44696</v>
      </c>
      <c r="D3880" s="26">
        <v>0.69217592592592592</v>
      </c>
      <c r="E3880" t="s">
        <v>28</v>
      </c>
      <c r="F3880" t="s">
        <v>166</v>
      </c>
      <c r="G3880" t="s">
        <v>161</v>
      </c>
      <c r="H3880" t="s">
        <v>128</v>
      </c>
      <c r="I3880">
        <v>100</v>
      </c>
      <c r="J3880" s="34">
        <v>0</v>
      </c>
      <c r="K3880" s="89">
        <f t="shared" si="233"/>
        <v>1216</v>
      </c>
      <c r="L3880" s="32">
        <v>1216</v>
      </c>
      <c r="M3880" s="10">
        <f t="shared" si="232"/>
        <v>8.2236842105263168</v>
      </c>
    </row>
    <row r="3881" spans="1:13" ht="15.75" hidden="1" customHeight="1" x14ac:dyDescent="0.3">
      <c r="A3881" s="9">
        <v>4468</v>
      </c>
      <c r="B3881" t="s">
        <v>256</v>
      </c>
      <c r="C3881" s="25">
        <v>44697</v>
      </c>
      <c r="D3881" s="26">
        <v>0.74930555555555556</v>
      </c>
      <c r="E3881" t="s">
        <v>28</v>
      </c>
      <c r="F3881" t="s">
        <v>210</v>
      </c>
      <c r="G3881" t="s">
        <v>211</v>
      </c>
      <c r="H3881" t="s">
        <v>128</v>
      </c>
      <c r="I3881">
        <v>391.77</v>
      </c>
      <c r="J3881" s="7">
        <v>0</v>
      </c>
      <c r="K3881" s="89">
        <f t="shared" si="233"/>
        <v>1065</v>
      </c>
      <c r="L3881" s="32">
        <v>1065</v>
      </c>
      <c r="M3881" s="10">
        <f t="shared" si="232"/>
        <v>36.785915492957741</v>
      </c>
    </row>
    <row r="3882" spans="1:13" ht="15.75" hidden="1" customHeight="1" x14ac:dyDescent="0.3">
      <c r="A3882" s="9">
        <v>4999</v>
      </c>
      <c r="B3882" t="s">
        <v>256</v>
      </c>
      <c r="C3882" s="25">
        <v>44707</v>
      </c>
      <c r="D3882" s="26">
        <v>0.82473379629629628</v>
      </c>
      <c r="E3882" t="s">
        <v>28</v>
      </c>
      <c r="F3882" t="s">
        <v>644</v>
      </c>
      <c r="G3882" t="s">
        <v>303</v>
      </c>
      <c r="H3882" t="s">
        <v>128</v>
      </c>
      <c r="I3882">
        <v>527</v>
      </c>
      <c r="J3882" s="34">
        <v>0</v>
      </c>
      <c r="K3882" s="89">
        <f t="shared" si="233"/>
        <v>2547</v>
      </c>
      <c r="L3882" s="7">
        <v>2547</v>
      </c>
      <c r="M3882" s="10">
        <f t="shared" si="232"/>
        <v>20.691009030231644</v>
      </c>
    </row>
    <row r="3883" spans="1:13" ht="15.75" hidden="1" customHeight="1" x14ac:dyDescent="0.3">
      <c r="A3883" s="9">
        <v>5051</v>
      </c>
      <c r="B3883" t="s">
        <v>256</v>
      </c>
      <c r="C3883" s="25">
        <v>44708</v>
      </c>
      <c r="D3883" s="26">
        <v>0.87741898148148145</v>
      </c>
      <c r="E3883" t="s">
        <v>28</v>
      </c>
      <c r="F3883" t="s">
        <v>640</v>
      </c>
      <c r="G3883" t="s">
        <v>185</v>
      </c>
      <c r="H3883" t="s">
        <v>128</v>
      </c>
      <c r="I3883">
        <v>432.18</v>
      </c>
      <c r="J3883" s="7">
        <v>0</v>
      </c>
      <c r="K3883" s="89">
        <f>+L3883-J4153</f>
        <v>1002</v>
      </c>
      <c r="L3883" s="34">
        <v>1002</v>
      </c>
      <c r="M3883" s="10">
        <f t="shared" si="232"/>
        <v>43.131736526946106</v>
      </c>
    </row>
    <row r="3884" spans="1:13" ht="15.75" hidden="1" customHeight="1" x14ac:dyDescent="0.3">
      <c r="A3884" s="9">
        <v>5102</v>
      </c>
      <c r="B3884" t="s">
        <v>256</v>
      </c>
      <c r="C3884" s="25">
        <v>44709</v>
      </c>
      <c r="D3884" s="26">
        <v>0.92944444444444441</v>
      </c>
      <c r="E3884" t="s">
        <v>28</v>
      </c>
      <c r="F3884" t="s">
        <v>634</v>
      </c>
      <c r="G3884" t="s">
        <v>211</v>
      </c>
      <c r="H3884" t="s">
        <v>128</v>
      </c>
      <c r="I3884">
        <v>227.54</v>
      </c>
      <c r="J3884" s="7">
        <v>0</v>
      </c>
      <c r="K3884" s="89">
        <f>+L3884-J4152</f>
        <v>572</v>
      </c>
      <c r="L3884" s="34">
        <v>572</v>
      </c>
      <c r="M3884" s="10">
        <f t="shared" si="232"/>
        <v>39.77972027972028</v>
      </c>
    </row>
    <row r="3885" spans="1:13" ht="15.75" hidden="1" customHeight="1" x14ac:dyDescent="0.3">
      <c r="A3885" s="9">
        <v>5165</v>
      </c>
      <c r="B3885" t="s">
        <v>256</v>
      </c>
      <c r="C3885" s="25">
        <v>44710</v>
      </c>
      <c r="D3885" s="26">
        <v>0.5926851851851852</v>
      </c>
      <c r="E3885" t="s">
        <v>28</v>
      </c>
      <c r="F3885" t="s">
        <v>643</v>
      </c>
      <c r="G3885" t="s">
        <v>203</v>
      </c>
      <c r="H3885" t="s">
        <v>128</v>
      </c>
      <c r="I3885">
        <v>160.69</v>
      </c>
      <c r="J3885" s="7">
        <v>0</v>
      </c>
      <c r="K3885" s="89">
        <f>+L3885-J4153</f>
        <v>561</v>
      </c>
      <c r="L3885" s="7">
        <v>561</v>
      </c>
      <c r="M3885" s="10">
        <f t="shared" si="232"/>
        <v>28.643493761140821</v>
      </c>
    </row>
    <row r="3886" spans="1:13" ht="15.75" hidden="1" customHeight="1" x14ac:dyDescent="0.3">
      <c r="A3886" s="9">
        <v>5247</v>
      </c>
      <c r="B3886" t="s">
        <v>256</v>
      </c>
      <c r="C3886" s="25">
        <v>44712</v>
      </c>
      <c r="D3886" s="26">
        <v>2.1516203703703704E-2</v>
      </c>
      <c r="E3886" t="s">
        <v>28</v>
      </c>
      <c r="F3886" t="s">
        <v>640</v>
      </c>
      <c r="G3886" t="s">
        <v>185</v>
      </c>
      <c r="H3886" t="s">
        <v>128</v>
      </c>
      <c r="I3886">
        <v>447.82</v>
      </c>
      <c r="J3886" s="7">
        <v>0</v>
      </c>
      <c r="K3886" s="89">
        <f>+L3886-J4145</f>
        <v>1089</v>
      </c>
      <c r="L3886" s="7">
        <v>1089</v>
      </c>
      <c r="M3886" s="10">
        <f t="shared" si="232"/>
        <v>41.122130394857663</v>
      </c>
    </row>
    <row r="3887" spans="1:13" ht="15.75" hidden="1" customHeight="1" x14ac:dyDescent="0.3">
      <c r="A3887" s="9">
        <v>5248</v>
      </c>
      <c r="B3887" t="s">
        <v>256</v>
      </c>
      <c r="C3887" s="25">
        <v>44712</v>
      </c>
      <c r="D3887" s="26">
        <v>0.91142361111111114</v>
      </c>
      <c r="E3887" t="s">
        <v>28</v>
      </c>
      <c r="F3887" t="s">
        <v>637</v>
      </c>
      <c r="G3887" t="s">
        <v>196</v>
      </c>
      <c r="H3887" t="s">
        <v>128</v>
      </c>
      <c r="I3887">
        <v>289</v>
      </c>
      <c r="J3887" s="7">
        <v>0</v>
      </c>
      <c r="K3887" s="89">
        <f>+L3887-J4146</f>
        <v>988</v>
      </c>
      <c r="L3887" s="7">
        <v>988</v>
      </c>
      <c r="M3887" s="10">
        <f t="shared" ref="M3887:M3905" si="234">I3887/K3887*100</f>
        <v>29.251012145748987</v>
      </c>
    </row>
    <row r="3888" spans="1:13" ht="15.75" hidden="1" customHeight="1" x14ac:dyDescent="0.3">
      <c r="A3888" s="9">
        <v>5364</v>
      </c>
      <c r="B3888" t="s">
        <v>256</v>
      </c>
      <c r="C3888" s="25">
        <v>44714</v>
      </c>
      <c r="D3888" s="26">
        <v>0.45689814814814816</v>
      </c>
      <c r="E3888" t="s">
        <v>29</v>
      </c>
      <c r="F3888" t="s">
        <v>694</v>
      </c>
      <c r="G3888" t="s">
        <v>489</v>
      </c>
      <c r="H3888" t="s">
        <v>128</v>
      </c>
      <c r="I3888">
        <v>432.34</v>
      </c>
      <c r="J3888" s="7">
        <v>0</v>
      </c>
      <c r="K3888" s="89">
        <f>+L3888-J4145</f>
        <v>1047</v>
      </c>
      <c r="L3888" s="34">
        <v>1047</v>
      </c>
      <c r="M3888" s="10">
        <f t="shared" si="234"/>
        <v>41.293218720152815</v>
      </c>
    </row>
    <row r="3889" spans="1:13" ht="15.75" hidden="1" customHeight="1" x14ac:dyDescent="0.3">
      <c r="A3889" s="9">
        <v>5422</v>
      </c>
      <c r="B3889" t="s">
        <v>256</v>
      </c>
      <c r="C3889" s="25">
        <v>44715</v>
      </c>
      <c r="D3889" s="26">
        <v>0.4001736111111111</v>
      </c>
      <c r="E3889" t="s">
        <v>29</v>
      </c>
      <c r="F3889" t="s">
        <v>640</v>
      </c>
      <c r="G3889" t="s">
        <v>185</v>
      </c>
      <c r="H3889" t="s">
        <v>128</v>
      </c>
      <c r="I3889">
        <v>347.63</v>
      </c>
      <c r="J3889" s="7">
        <v>0</v>
      </c>
      <c r="K3889" s="89">
        <f>+L3889-J4139</f>
        <v>795</v>
      </c>
      <c r="L3889" s="31">
        <v>795</v>
      </c>
      <c r="M3889" s="10">
        <f t="shared" si="234"/>
        <v>43.727044025157227</v>
      </c>
    </row>
    <row r="3890" spans="1:13" ht="15.75" hidden="1" customHeight="1" x14ac:dyDescent="0.3">
      <c r="A3890" s="9">
        <v>5423</v>
      </c>
      <c r="B3890" t="s">
        <v>256</v>
      </c>
      <c r="C3890" s="25">
        <v>44715</v>
      </c>
      <c r="D3890" s="26">
        <v>0.80052083333333324</v>
      </c>
      <c r="E3890" t="s">
        <v>29</v>
      </c>
      <c r="F3890" t="s">
        <v>642</v>
      </c>
      <c r="G3890" t="s">
        <v>203</v>
      </c>
      <c r="H3890" t="s">
        <v>128</v>
      </c>
      <c r="I3890">
        <v>154.22999999999999</v>
      </c>
      <c r="J3890" s="7">
        <v>0</v>
      </c>
      <c r="K3890" s="89">
        <f>+L3890-J4140</f>
        <v>521</v>
      </c>
      <c r="L3890" s="7">
        <v>521</v>
      </c>
      <c r="M3890" s="10">
        <f t="shared" si="234"/>
        <v>29.602687140115165</v>
      </c>
    </row>
    <row r="3891" spans="1:13" ht="15.75" hidden="1" customHeight="1" x14ac:dyDescent="0.3">
      <c r="A3891" s="9">
        <v>5521</v>
      </c>
      <c r="B3891" t="s">
        <v>256</v>
      </c>
      <c r="C3891" s="25">
        <v>44717</v>
      </c>
      <c r="D3891" s="26">
        <v>0.48791666666666672</v>
      </c>
      <c r="E3891" t="s">
        <v>29</v>
      </c>
      <c r="F3891" t="s">
        <v>635</v>
      </c>
      <c r="G3891" t="s">
        <v>185</v>
      </c>
      <c r="H3891" t="s">
        <v>128</v>
      </c>
      <c r="I3891">
        <v>428.78</v>
      </c>
      <c r="J3891" s="28">
        <v>0</v>
      </c>
      <c r="K3891" s="89">
        <f>+L3891-J4140</f>
        <v>1086</v>
      </c>
      <c r="L3891" s="34">
        <v>1086</v>
      </c>
      <c r="M3891" s="10">
        <f t="shared" si="234"/>
        <v>39.482504604051563</v>
      </c>
    </row>
    <row r="3892" spans="1:13" ht="15.75" hidden="1" customHeight="1" x14ac:dyDescent="0.3">
      <c r="A3892" s="9">
        <v>5522</v>
      </c>
      <c r="B3892" t="s">
        <v>256</v>
      </c>
      <c r="C3892" s="25">
        <v>44717</v>
      </c>
      <c r="D3892" s="26">
        <v>0.92958333333333332</v>
      </c>
      <c r="E3892" t="s">
        <v>29</v>
      </c>
      <c r="F3892" t="s">
        <v>632</v>
      </c>
      <c r="G3892" t="s">
        <v>161</v>
      </c>
      <c r="H3892" t="s">
        <v>128</v>
      </c>
      <c r="I3892">
        <v>184.61</v>
      </c>
      <c r="J3892" s="31">
        <v>0</v>
      </c>
      <c r="K3892" s="89">
        <f>+L3892-J4141</f>
        <v>597</v>
      </c>
      <c r="L3892" s="7">
        <v>597</v>
      </c>
      <c r="M3892" s="10">
        <f t="shared" si="234"/>
        <v>30.922948073701846</v>
      </c>
    </row>
    <row r="3893" spans="1:13" ht="15.75" hidden="1" customHeight="1" x14ac:dyDescent="0.3">
      <c r="A3893" s="9">
        <v>5675</v>
      </c>
      <c r="B3893" t="s">
        <v>256</v>
      </c>
      <c r="C3893" s="25">
        <v>44720</v>
      </c>
      <c r="D3893" s="26">
        <v>0.56137731481481479</v>
      </c>
      <c r="E3893" t="s">
        <v>29</v>
      </c>
      <c r="F3893" t="s">
        <v>662</v>
      </c>
      <c r="G3893" t="s">
        <v>542</v>
      </c>
      <c r="H3893" t="s">
        <v>128</v>
      </c>
      <c r="I3893">
        <v>200.43</v>
      </c>
      <c r="J3893" s="33">
        <v>0</v>
      </c>
      <c r="K3893" s="89">
        <f>+L3893-J4139</f>
        <v>1184</v>
      </c>
      <c r="L3893" s="7">
        <v>1184</v>
      </c>
      <c r="M3893" s="10">
        <f t="shared" si="234"/>
        <v>16.92820945945946</v>
      </c>
    </row>
    <row r="3894" spans="1:13" ht="15.75" hidden="1" customHeight="1" x14ac:dyDescent="0.3">
      <c r="A3894" s="9">
        <v>5676</v>
      </c>
      <c r="B3894" t="s">
        <v>256</v>
      </c>
      <c r="C3894" s="25">
        <v>44720</v>
      </c>
      <c r="D3894" s="26">
        <v>0.93011574074074066</v>
      </c>
      <c r="E3894" t="s">
        <v>29</v>
      </c>
      <c r="F3894" t="s">
        <v>634</v>
      </c>
      <c r="G3894" t="s">
        <v>211</v>
      </c>
      <c r="H3894" t="s">
        <v>128</v>
      </c>
      <c r="I3894">
        <v>442.5</v>
      </c>
      <c r="J3894" s="33">
        <v>0</v>
      </c>
      <c r="K3894" s="96">
        <f>+L3894-J4140</f>
        <v>524</v>
      </c>
      <c r="L3894" s="35">
        <v>524</v>
      </c>
      <c r="M3894" s="10">
        <f t="shared" si="234"/>
        <v>84.446564885496173</v>
      </c>
    </row>
    <row r="3895" spans="1:13" ht="15.75" hidden="1" customHeight="1" x14ac:dyDescent="0.3">
      <c r="A3895" s="9">
        <v>5731</v>
      </c>
      <c r="B3895" t="s">
        <v>256</v>
      </c>
      <c r="C3895" s="25">
        <v>44721</v>
      </c>
      <c r="D3895" s="26">
        <v>0.63736111111111116</v>
      </c>
      <c r="E3895" t="s">
        <v>29</v>
      </c>
      <c r="F3895" t="s">
        <v>640</v>
      </c>
      <c r="G3895" t="s">
        <v>185</v>
      </c>
      <c r="H3895" t="s">
        <v>128</v>
      </c>
      <c r="I3895" s="122">
        <v>254.95</v>
      </c>
      <c r="J3895" s="32">
        <v>0</v>
      </c>
      <c r="K3895" s="90">
        <f>+L3895-J4138</f>
        <v>550</v>
      </c>
      <c r="L3895" s="7">
        <v>550</v>
      </c>
      <c r="M3895" s="36">
        <f t="shared" si="234"/>
        <v>46.354545454545452</v>
      </c>
    </row>
    <row r="3896" spans="1:13" ht="15.75" hidden="1" customHeight="1" x14ac:dyDescent="0.3">
      <c r="A3896" s="9">
        <v>5732</v>
      </c>
      <c r="B3896" t="s">
        <v>256</v>
      </c>
      <c r="C3896" s="25">
        <v>44721</v>
      </c>
      <c r="D3896" s="26">
        <v>0.96663194444444445</v>
      </c>
      <c r="E3896" t="s">
        <v>29</v>
      </c>
      <c r="F3896" t="s">
        <v>643</v>
      </c>
      <c r="G3896" t="s">
        <v>203</v>
      </c>
      <c r="H3896" t="s">
        <v>128</v>
      </c>
      <c r="I3896" s="122">
        <v>161.22</v>
      </c>
      <c r="J3896" s="32">
        <v>0</v>
      </c>
      <c r="K3896" s="90">
        <f>+L3896-J4139</f>
        <v>536</v>
      </c>
      <c r="L3896" s="7">
        <v>536</v>
      </c>
      <c r="M3896" s="36">
        <f t="shared" si="234"/>
        <v>30.078358208955226</v>
      </c>
    </row>
    <row r="3897" spans="1:13" ht="15.75" hidden="1" customHeight="1" x14ac:dyDescent="0.3">
      <c r="A3897" s="9">
        <v>5832</v>
      </c>
      <c r="B3897" t="s">
        <v>256</v>
      </c>
      <c r="C3897" s="25">
        <v>44723</v>
      </c>
      <c r="D3897" s="26">
        <v>1.8298611111111113E-2</v>
      </c>
      <c r="E3897" t="s">
        <v>29</v>
      </c>
      <c r="F3897" t="s">
        <v>635</v>
      </c>
      <c r="G3897" t="s">
        <v>185</v>
      </c>
      <c r="H3897" t="s">
        <v>128</v>
      </c>
      <c r="I3897" s="122">
        <v>412.16</v>
      </c>
      <c r="J3897" s="32">
        <v>0</v>
      </c>
      <c r="K3897" s="90">
        <f>+L3897-J4140</f>
        <v>1089</v>
      </c>
      <c r="L3897" s="7">
        <v>1089</v>
      </c>
      <c r="M3897" s="36">
        <f t="shared" si="234"/>
        <v>37.847566574839306</v>
      </c>
    </row>
    <row r="3898" spans="1:13" ht="15.75" hidden="1" customHeight="1" x14ac:dyDescent="0.3">
      <c r="A3898" s="9">
        <v>5833</v>
      </c>
      <c r="B3898" t="s">
        <v>256</v>
      </c>
      <c r="C3898" s="25">
        <v>44723</v>
      </c>
      <c r="D3898" s="26">
        <v>0.71240740740740749</v>
      </c>
      <c r="E3898" t="s">
        <v>29</v>
      </c>
      <c r="F3898" t="s">
        <v>740</v>
      </c>
      <c r="G3898" t="s">
        <v>511</v>
      </c>
      <c r="H3898" t="s">
        <v>128</v>
      </c>
      <c r="I3898" s="122">
        <v>251.04</v>
      </c>
      <c r="J3898" s="32">
        <v>0</v>
      </c>
      <c r="K3898" s="90">
        <f>+L3898-J4141</f>
        <v>995</v>
      </c>
      <c r="L3898" s="7">
        <v>995</v>
      </c>
      <c r="M3898" s="36">
        <f t="shared" si="234"/>
        <v>25.230150753768843</v>
      </c>
    </row>
    <row r="3899" spans="1:13" ht="15.75" hidden="1" customHeight="1" x14ac:dyDescent="0.3">
      <c r="A3899" s="9">
        <v>5834</v>
      </c>
      <c r="B3899" t="s">
        <v>256</v>
      </c>
      <c r="C3899" s="25">
        <v>44723</v>
      </c>
      <c r="D3899" s="26">
        <v>0.8590740740740741</v>
      </c>
      <c r="E3899" t="s">
        <v>29</v>
      </c>
      <c r="F3899" t="s">
        <v>705</v>
      </c>
      <c r="G3899" t="s">
        <v>303</v>
      </c>
      <c r="H3899" t="s">
        <v>128</v>
      </c>
      <c r="I3899" s="122">
        <v>150.07</v>
      </c>
      <c r="J3899" s="32">
        <v>0</v>
      </c>
      <c r="K3899" s="90">
        <f>+L3899-J4142</f>
        <v>221</v>
      </c>
      <c r="L3899" s="7">
        <v>221</v>
      </c>
      <c r="M3899" s="36">
        <f t="shared" si="234"/>
        <v>67.904977375565608</v>
      </c>
    </row>
    <row r="3900" spans="1:13" ht="15.75" hidden="1" customHeight="1" x14ac:dyDescent="0.3">
      <c r="A3900" s="9">
        <v>5995</v>
      </c>
      <c r="B3900" t="s">
        <v>256</v>
      </c>
      <c r="C3900" s="25">
        <v>44726</v>
      </c>
      <c r="D3900" s="26">
        <v>0.54247685185185179</v>
      </c>
      <c r="E3900" t="s">
        <v>29</v>
      </c>
      <c r="F3900" t="s">
        <v>634</v>
      </c>
      <c r="G3900" t="s">
        <v>211</v>
      </c>
      <c r="H3900" t="s">
        <v>128</v>
      </c>
      <c r="I3900" s="125">
        <v>506.75</v>
      </c>
      <c r="J3900" s="32">
        <v>0</v>
      </c>
      <c r="K3900" s="90">
        <v>1235</v>
      </c>
      <c r="L3900" s="7">
        <v>1215</v>
      </c>
      <c r="M3900" s="36">
        <f t="shared" si="234"/>
        <v>41.032388663967609</v>
      </c>
    </row>
    <row r="3901" spans="1:13" ht="15.75" hidden="1" customHeight="1" x14ac:dyDescent="0.3">
      <c r="A3901" s="9">
        <v>6059</v>
      </c>
      <c r="B3901" t="s">
        <v>256</v>
      </c>
      <c r="C3901" s="25">
        <v>44727</v>
      </c>
      <c r="D3901" s="26">
        <v>0.91364583333333327</v>
      </c>
      <c r="E3901" t="s">
        <v>29</v>
      </c>
      <c r="F3901" t="s">
        <v>740</v>
      </c>
      <c r="G3901" t="s">
        <v>511</v>
      </c>
      <c r="H3901" t="s">
        <v>128</v>
      </c>
      <c r="I3901" s="125">
        <v>388.55</v>
      </c>
      <c r="J3901" s="37">
        <v>0</v>
      </c>
      <c r="K3901" s="97">
        <v>1393</v>
      </c>
      <c r="L3901" s="34">
        <v>1393</v>
      </c>
      <c r="M3901" s="10">
        <f t="shared" si="234"/>
        <v>27.893036611629579</v>
      </c>
    </row>
    <row r="3902" spans="1:13" ht="15.75" hidden="1" customHeight="1" x14ac:dyDescent="0.3">
      <c r="A3902" s="9">
        <v>6440</v>
      </c>
      <c r="B3902" t="s">
        <v>256</v>
      </c>
      <c r="C3902" s="25">
        <v>44736</v>
      </c>
      <c r="D3902" s="26">
        <v>7.0358796296296308E-2</v>
      </c>
      <c r="E3902" t="s">
        <v>29</v>
      </c>
      <c r="F3902" t="s">
        <v>638</v>
      </c>
      <c r="G3902" t="s">
        <v>263</v>
      </c>
      <c r="H3902" t="s">
        <v>748</v>
      </c>
      <c r="I3902">
        <v>200.1</v>
      </c>
      <c r="J3902" s="197">
        <v>0</v>
      </c>
      <c r="K3902" s="144">
        <v>224</v>
      </c>
      <c r="L3902" s="123">
        <v>224</v>
      </c>
      <c r="M3902" s="143">
        <f t="shared" si="234"/>
        <v>89.330357142857139</v>
      </c>
    </row>
    <row r="3903" spans="1:13" ht="15.75" hidden="1" customHeight="1" x14ac:dyDescent="0.3">
      <c r="A3903" s="9">
        <v>6441</v>
      </c>
      <c r="B3903" t="s">
        <v>256</v>
      </c>
      <c r="C3903" s="25">
        <v>44736</v>
      </c>
      <c r="D3903" s="26">
        <v>0.38358796296296299</v>
      </c>
      <c r="E3903" t="s">
        <v>29</v>
      </c>
      <c r="F3903" t="s">
        <v>654</v>
      </c>
      <c r="G3903" t="s">
        <v>303</v>
      </c>
      <c r="H3903" t="s">
        <v>748</v>
      </c>
      <c r="I3903" s="148">
        <v>609</v>
      </c>
      <c r="J3903" s="72">
        <v>0</v>
      </c>
      <c r="K3903" s="146">
        <v>203</v>
      </c>
      <c r="L3903" s="123">
        <v>203</v>
      </c>
      <c r="M3903" s="143">
        <f t="shared" si="234"/>
        <v>300</v>
      </c>
    </row>
    <row r="3904" spans="1:13" ht="15.75" hidden="1" customHeight="1" x14ac:dyDescent="0.3">
      <c r="A3904" s="9">
        <v>6500</v>
      </c>
      <c r="B3904" t="s">
        <v>256</v>
      </c>
      <c r="C3904" s="25">
        <v>44737</v>
      </c>
      <c r="D3904" s="26">
        <v>8.3437499999999998E-2</v>
      </c>
      <c r="E3904" t="s">
        <v>29</v>
      </c>
      <c r="F3904" t="s">
        <v>645</v>
      </c>
      <c r="G3904" t="s">
        <v>279</v>
      </c>
      <c r="H3904" t="s">
        <v>748</v>
      </c>
      <c r="I3904" s="148">
        <v>413.01</v>
      </c>
      <c r="J3904" s="72">
        <v>0</v>
      </c>
      <c r="K3904" s="208">
        <v>987</v>
      </c>
      <c r="L3904" s="215">
        <v>987</v>
      </c>
      <c r="M3904" s="143">
        <f t="shared" si="234"/>
        <v>41.844984802431611</v>
      </c>
    </row>
    <row r="3905" spans="1:13" ht="15.75" hidden="1" customHeight="1" x14ac:dyDescent="0.3">
      <c r="A3905" s="9">
        <v>6599</v>
      </c>
      <c r="B3905" t="s">
        <v>256</v>
      </c>
      <c r="C3905" s="25">
        <v>44739</v>
      </c>
      <c r="D3905" s="26">
        <v>0.44487268518518519</v>
      </c>
      <c r="E3905" t="s">
        <v>29</v>
      </c>
      <c r="F3905" t="s">
        <v>634</v>
      </c>
      <c r="G3905" t="s">
        <v>211</v>
      </c>
      <c r="H3905" t="s">
        <v>748</v>
      </c>
      <c r="I3905" s="148">
        <v>658</v>
      </c>
      <c r="J3905" s="33">
        <v>0</v>
      </c>
      <c r="K3905" s="204">
        <v>1979</v>
      </c>
      <c r="L3905" s="142">
        <v>1979</v>
      </c>
      <c r="M3905" s="131">
        <f t="shared" si="234"/>
        <v>33.249115715007584</v>
      </c>
    </row>
    <row r="3906" spans="1:13" ht="15.75" hidden="1" customHeight="1" x14ac:dyDescent="0.3">
      <c r="B3906" t="s">
        <v>188</v>
      </c>
      <c r="C3906" s="25">
        <v>44746</v>
      </c>
      <c r="D3906" s="26">
        <v>0.70407407407407396</v>
      </c>
      <c r="E3906" t="s">
        <v>30</v>
      </c>
      <c r="F3906" t="s">
        <v>165</v>
      </c>
      <c r="G3906" t="s">
        <v>185</v>
      </c>
      <c r="H3906" t="s">
        <v>189</v>
      </c>
      <c r="I3906" s="173">
        <v>273.24</v>
      </c>
      <c r="J3906" s="8"/>
      <c r="K3906" s="8">
        <v>675107</v>
      </c>
      <c r="L3906" s="236">
        <f>+K3906-J3906</f>
        <v>675107</v>
      </c>
      <c r="M3906" s="254">
        <f>I3906/L3906*100</f>
        <v>4.0473584187395481E-2</v>
      </c>
    </row>
    <row r="3907" spans="1:13" ht="15.75" hidden="1" customHeight="1" x14ac:dyDescent="0.3">
      <c r="B3907" t="s">
        <v>188</v>
      </c>
      <c r="C3907" s="25">
        <v>44747</v>
      </c>
      <c r="D3907" s="26">
        <v>0.87097222222222215</v>
      </c>
      <c r="E3907" t="s">
        <v>30</v>
      </c>
      <c r="F3907" t="s">
        <v>340</v>
      </c>
      <c r="G3907" t="s">
        <v>337</v>
      </c>
      <c r="H3907" t="s">
        <v>189</v>
      </c>
      <c r="I3907" s="173">
        <v>266.86</v>
      </c>
      <c r="J3907" s="160">
        <f>228+50+200+129+1+309+274+267</f>
        <v>1458</v>
      </c>
      <c r="K3907" s="160">
        <v>675948</v>
      </c>
      <c r="L3907" s="173">
        <v>3722</v>
      </c>
      <c r="M3907" s="272">
        <f>+J3907/L3907*100</f>
        <v>39.172487909725959</v>
      </c>
    </row>
    <row r="3908" spans="1:13" ht="15.75" hidden="1" customHeight="1" x14ac:dyDescent="0.3">
      <c r="B3908" t="s">
        <v>188</v>
      </c>
      <c r="C3908" s="25">
        <v>44748</v>
      </c>
      <c r="D3908" s="26">
        <v>0.15255787037037036</v>
      </c>
      <c r="E3908" t="s">
        <v>30</v>
      </c>
      <c r="F3908" t="s">
        <v>202</v>
      </c>
      <c r="G3908" t="s">
        <v>203</v>
      </c>
      <c r="H3908" t="s">
        <v>189</v>
      </c>
      <c r="I3908" s="173">
        <v>111.23</v>
      </c>
      <c r="J3908" s="8"/>
      <c r="K3908" s="8">
        <v>676181</v>
      </c>
      <c r="L3908" s="293">
        <f>+K3908-J3908</f>
        <v>676181</v>
      </c>
      <c r="M3908" s="254">
        <f>I3908/K3908*100</f>
        <v>1.6449737570265948E-2</v>
      </c>
    </row>
    <row r="3909" spans="1:13" ht="15.75" hidden="1" customHeight="1" x14ac:dyDescent="0.3">
      <c r="B3909" t="s">
        <v>188</v>
      </c>
      <c r="C3909" s="25">
        <v>44748</v>
      </c>
      <c r="D3909" s="26">
        <v>0.78899305555555566</v>
      </c>
      <c r="E3909" t="s">
        <v>30</v>
      </c>
      <c r="F3909" t="s">
        <v>165</v>
      </c>
      <c r="G3909" t="s">
        <v>185</v>
      </c>
      <c r="H3909" t="s">
        <v>189</v>
      </c>
      <c r="I3909" s="173">
        <v>258.63</v>
      </c>
      <c r="J3909" s="8"/>
      <c r="K3909" s="8">
        <v>676767</v>
      </c>
      <c r="L3909" s="236">
        <f>+K3909-J3909</f>
        <v>676767</v>
      </c>
      <c r="M3909" s="254">
        <f>I3909/K3909*100</f>
        <v>3.821551582745613E-2</v>
      </c>
    </row>
    <row r="3910" spans="1:13" ht="15.75" hidden="1" customHeight="1" x14ac:dyDescent="0.3">
      <c r="B3910" t="s">
        <v>190</v>
      </c>
      <c r="C3910" s="25">
        <v>44743</v>
      </c>
      <c r="D3910" s="26">
        <v>0.85821759259259256</v>
      </c>
      <c r="E3910" t="s">
        <v>30</v>
      </c>
      <c r="F3910" t="s">
        <v>262</v>
      </c>
      <c r="G3910" t="s">
        <v>263</v>
      </c>
      <c r="H3910" t="s">
        <v>191</v>
      </c>
      <c r="I3910" s="173">
        <v>200</v>
      </c>
      <c r="J3910" s="236"/>
      <c r="K3910" s="236">
        <v>123455</v>
      </c>
      <c r="L3910" s="236">
        <f>+K3910-J3910</f>
        <v>123455</v>
      </c>
      <c r="M3910" s="91">
        <f>I3910/L3910*100</f>
        <v>0.16200234903406099</v>
      </c>
    </row>
    <row r="3911" spans="1:13" ht="15.75" hidden="1" customHeight="1" x14ac:dyDescent="0.3">
      <c r="B3911" t="s">
        <v>190</v>
      </c>
      <c r="C3911" s="25">
        <v>44745</v>
      </c>
      <c r="D3911" s="26">
        <v>0.2953587962962963</v>
      </c>
      <c r="E3911" t="s">
        <v>30</v>
      </c>
      <c r="F3911" t="s">
        <v>311</v>
      </c>
      <c r="G3911" t="s">
        <v>303</v>
      </c>
      <c r="H3911" t="s">
        <v>191</v>
      </c>
      <c r="I3911" s="173">
        <v>150</v>
      </c>
      <c r="J3911" s="236"/>
      <c r="K3911" s="236">
        <v>140000</v>
      </c>
      <c r="L3911" s="236">
        <f>+K3911-J3911</f>
        <v>140000</v>
      </c>
      <c r="M3911" s="91">
        <f>I3911/L3911*100</f>
        <v>0.10714285714285715</v>
      </c>
    </row>
    <row r="3912" spans="1:13" ht="15.75" hidden="1" customHeight="1" x14ac:dyDescent="0.3">
      <c r="B3912" t="s">
        <v>190</v>
      </c>
      <c r="C3912" s="25">
        <v>44745</v>
      </c>
      <c r="D3912" s="26">
        <v>0.50910879629629624</v>
      </c>
      <c r="E3912" t="s">
        <v>30</v>
      </c>
      <c r="F3912" t="s">
        <v>166</v>
      </c>
      <c r="G3912" t="s">
        <v>161</v>
      </c>
      <c r="H3912" t="s">
        <v>191</v>
      </c>
      <c r="I3912" s="159">
        <v>303.13</v>
      </c>
      <c r="J3912" s="128"/>
      <c r="K3912" s="128">
        <v>1234</v>
      </c>
      <c r="L3912" s="128">
        <f>+K3912-J3912</f>
        <v>1234</v>
      </c>
      <c r="M3912" s="61">
        <f>I3912/L3912*100</f>
        <v>24.564829821717989</v>
      </c>
    </row>
    <row r="3913" spans="1:13" ht="15.75" hidden="1" customHeight="1" x14ac:dyDescent="0.3">
      <c r="A3913" s="2" t="s">
        <v>345</v>
      </c>
      <c r="B3913" t="s">
        <v>190</v>
      </c>
      <c r="C3913" s="25">
        <v>44746</v>
      </c>
      <c r="D3913" s="26">
        <v>0.56291666666666662</v>
      </c>
      <c r="E3913" t="s">
        <v>30</v>
      </c>
      <c r="F3913" t="s">
        <v>210</v>
      </c>
      <c r="G3913" t="s">
        <v>211</v>
      </c>
      <c r="H3913" t="s">
        <v>191</v>
      </c>
      <c r="I3913" s="159">
        <v>433.22</v>
      </c>
      <c r="J3913" s="173">
        <f>368+350+303+433</f>
        <v>1454</v>
      </c>
      <c r="K3913" s="173">
        <v>1211</v>
      </c>
      <c r="L3913" s="173">
        <v>3710</v>
      </c>
      <c r="M3913" s="155">
        <f>+J3913/L3913*100</f>
        <v>39.191374663072779</v>
      </c>
    </row>
    <row r="3914" spans="1:13" ht="15.75" hidden="1" customHeight="1" x14ac:dyDescent="0.3">
      <c r="B3914" t="s">
        <v>190</v>
      </c>
      <c r="C3914" s="25">
        <v>44755</v>
      </c>
      <c r="D3914" s="26">
        <v>0.85003472222222232</v>
      </c>
      <c r="E3914" t="s">
        <v>30</v>
      </c>
      <c r="F3914" t="s">
        <v>772</v>
      </c>
      <c r="G3914" t="s">
        <v>44</v>
      </c>
      <c r="H3914" t="s">
        <v>191</v>
      </c>
      <c r="I3914" s="159">
        <v>306.02</v>
      </c>
      <c r="J3914" s="233"/>
      <c r="K3914" s="260"/>
      <c r="L3914" s="233"/>
      <c r="M3914" s="269"/>
    </row>
    <row r="3915" spans="1:13" ht="15.75" hidden="1" customHeight="1" x14ac:dyDescent="0.3">
      <c r="B3915" t="s">
        <v>190</v>
      </c>
      <c r="C3915" s="25">
        <v>44756</v>
      </c>
      <c r="D3915" s="26">
        <v>0.60268518518518521</v>
      </c>
      <c r="E3915" t="s">
        <v>30</v>
      </c>
      <c r="F3915" t="s">
        <v>210</v>
      </c>
      <c r="G3915" t="s">
        <v>211</v>
      </c>
      <c r="H3915" t="s">
        <v>191</v>
      </c>
      <c r="I3915" s="159">
        <v>380.21</v>
      </c>
      <c r="J3915" s="233"/>
      <c r="K3915" s="260"/>
      <c r="L3915" s="233"/>
      <c r="M3915" s="272"/>
    </row>
    <row r="3916" spans="1:13" ht="15.75" hidden="1" customHeight="1" x14ac:dyDescent="0.3">
      <c r="B3916" t="s">
        <v>190</v>
      </c>
      <c r="C3916" s="25">
        <v>44757</v>
      </c>
      <c r="D3916" s="26">
        <v>0.6169675925925926</v>
      </c>
      <c r="E3916" t="s">
        <v>30</v>
      </c>
      <c r="F3916" t="s">
        <v>774</v>
      </c>
      <c r="G3916" t="s">
        <v>161</v>
      </c>
      <c r="H3916" t="s">
        <v>191</v>
      </c>
      <c r="I3916" s="159">
        <v>454.65</v>
      </c>
      <c r="J3916" s="268"/>
      <c r="K3916" s="278" t="s">
        <v>1074</v>
      </c>
      <c r="L3916" s="276"/>
      <c r="M3916" s="150"/>
    </row>
    <row r="3917" spans="1:13" ht="15.75" hidden="1" customHeight="1" x14ac:dyDescent="0.3">
      <c r="B3917" t="s">
        <v>208</v>
      </c>
      <c r="C3917" s="25">
        <v>44566</v>
      </c>
      <c r="D3917" s="26">
        <v>0.54678240740740736</v>
      </c>
      <c r="E3917" t="s">
        <v>24</v>
      </c>
      <c r="F3917" t="s">
        <v>210</v>
      </c>
      <c r="G3917" t="s">
        <v>211</v>
      </c>
      <c r="H3917" t="s">
        <v>209</v>
      </c>
      <c r="I3917">
        <v>380.01</v>
      </c>
      <c r="J3917" s="34">
        <v>492429</v>
      </c>
      <c r="K3917" s="34">
        <f t="shared" ref="K3917:K3948" si="235">+L3917-J3917</f>
        <v>874</v>
      </c>
      <c r="L3917" s="34">
        <v>493303</v>
      </c>
      <c r="M3917" s="61">
        <f t="shared" ref="M3917:M3948" si="236">I3917/K3917*100</f>
        <v>43.479405034324941</v>
      </c>
    </row>
    <row r="3918" spans="1:13" ht="15.75" hidden="1" customHeight="1" x14ac:dyDescent="0.3">
      <c r="B3918" t="s">
        <v>208</v>
      </c>
      <c r="C3918" s="25">
        <v>44568</v>
      </c>
      <c r="D3918" s="26">
        <v>0.47092592592592591</v>
      </c>
      <c r="E3918" t="s">
        <v>24</v>
      </c>
      <c r="F3918" t="s">
        <v>210</v>
      </c>
      <c r="G3918" t="s">
        <v>211</v>
      </c>
      <c r="H3918" t="s">
        <v>209</v>
      </c>
      <c r="I3918">
        <v>410.15</v>
      </c>
      <c r="J3918" s="7">
        <v>493303</v>
      </c>
      <c r="K3918" s="7">
        <f t="shared" si="235"/>
        <v>1074</v>
      </c>
      <c r="L3918" s="7">
        <v>494377</v>
      </c>
      <c r="M3918" s="10">
        <f t="shared" si="236"/>
        <v>38.189013035381748</v>
      </c>
    </row>
    <row r="3919" spans="1:13" ht="15.75" hidden="1" customHeight="1" x14ac:dyDescent="0.3">
      <c r="B3919" t="s">
        <v>208</v>
      </c>
      <c r="C3919" s="25">
        <v>44570</v>
      </c>
      <c r="D3919" s="26">
        <v>0.94119212962962961</v>
      </c>
      <c r="E3919" t="s">
        <v>24</v>
      </c>
      <c r="F3919" t="s">
        <v>205</v>
      </c>
      <c r="G3919" t="s">
        <v>206</v>
      </c>
      <c r="H3919" t="s">
        <v>209</v>
      </c>
      <c r="I3919">
        <v>354.06</v>
      </c>
      <c r="J3919" s="7">
        <v>494377</v>
      </c>
      <c r="K3919" s="7">
        <f t="shared" si="235"/>
        <v>992</v>
      </c>
      <c r="L3919" s="7">
        <v>495369</v>
      </c>
      <c r="M3919" s="10">
        <f t="shared" si="236"/>
        <v>35.69153225806452</v>
      </c>
    </row>
    <row r="3920" spans="1:13" ht="15.75" hidden="1" customHeight="1" x14ac:dyDescent="0.3">
      <c r="B3920" t="s">
        <v>208</v>
      </c>
      <c r="C3920" s="25">
        <v>44572</v>
      </c>
      <c r="D3920" s="26">
        <v>0.13560185185185183</v>
      </c>
      <c r="E3920" t="s">
        <v>24</v>
      </c>
      <c r="F3920" t="s">
        <v>210</v>
      </c>
      <c r="G3920" t="s">
        <v>211</v>
      </c>
      <c r="H3920" t="s">
        <v>209</v>
      </c>
      <c r="I3920">
        <v>294.12</v>
      </c>
      <c r="J3920" s="34">
        <v>495369</v>
      </c>
      <c r="K3920" s="34">
        <f t="shared" si="235"/>
        <v>731</v>
      </c>
      <c r="L3920" s="7">
        <v>496100</v>
      </c>
      <c r="M3920" s="10">
        <f t="shared" si="236"/>
        <v>40.235294117647058</v>
      </c>
    </row>
    <row r="3921" spans="1:13" ht="15.75" hidden="1" customHeight="1" x14ac:dyDescent="0.3">
      <c r="B3921" t="s">
        <v>208</v>
      </c>
      <c r="C3921" s="25">
        <v>44574</v>
      </c>
      <c r="D3921" s="26">
        <v>6.1342592592592594E-2</v>
      </c>
      <c r="E3921" t="s">
        <v>24</v>
      </c>
      <c r="F3921" t="s">
        <v>210</v>
      </c>
      <c r="G3921" t="s">
        <v>211</v>
      </c>
      <c r="H3921" t="s">
        <v>209</v>
      </c>
      <c r="I3921">
        <v>460.03</v>
      </c>
      <c r="J3921" s="7">
        <v>496100</v>
      </c>
      <c r="K3921" s="7">
        <f t="shared" si="235"/>
        <v>1138</v>
      </c>
      <c r="L3921" s="7">
        <v>497238</v>
      </c>
      <c r="M3921" s="10">
        <f t="shared" si="236"/>
        <v>40.424428822495607</v>
      </c>
    </row>
    <row r="3922" spans="1:13" ht="15.75" hidden="1" customHeight="1" x14ac:dyDescent="0.3">
      <c r="B3922" t="s">
        <v>208</v>
      </c>
      <c r="C3922" s="25">
        <v>44575</v>
      </c>
      <c r="D3922" s="26">
        <v>0.50659722222222225</v>
      </c>
      <c r="E3922" t="s">
        <v>24</v>
      </c>
      <c r="F3922" t="s">
        <v>205</v>
      </c>
      <c r="G3922" t="s">
        <v>206</v>
      </c>
      <c r="H3922" t="s">
        <v>209</v>
      </c>
      <c r="I3922">
        <v>380.01</v>
      </c>
      <c r="J3922" s="7">
        <v>497238</v>
      </c>
      <c r="K3922" s="11">
        <f t="shared" si="235"/>
        <v>989</v>
      </c>
      <c r="L3922" s="7">
        <v>498227</v>
      </c>
      <c r="M3922" s="10">
        <f t="shared" si="236"/>
        <v>38.423660262891808</v>
      </c>
    </row>
    <row r="3923" spans="1:13" ht="15.75" hidden="1" customHeight="1" x14ac:dyDescent="0.3">
      <c r="B3923" t="s">
        <v>208</v>
      </c>
      <c r="C3923" s="25">
        <v>44576</v>
      </c>
      <c r="D3923" s="26">
        <v>0.5189583333333333</v>
      </c>
      <c r="E3923" t="s">
        <v>24</v>
      </c>
      <c r="F3923" t="s">
        <v>210</v>
      </c>
      <c r="G3923" t="s">
        <v>211</v>
      </c>
      <c r="H3923" t="s">
        <v>209</v>
      </c>
      <c r="I3923">
        <v>322.08</v>
      </c>
      <c r="J3923" s="7">
        <v>498227</v>
      </c>
      <c r="K3923" s="11">
        <f t="shared" si="235"/>
        <v>764</v>
      </c>
      <c r="L3923" s="35">
        <v>498991</v>
      </c>
      <c r="M3923" s="10">
        <f t="shared" si="236"/>
        <v>42.157068062827221</v>
      </c>
    </row>
    <row r="3924" spans="1:13" ht="15.75" hidden="1" customHeight="1" x14ac:dyDescent="0.3">
      <c r="B3924" t="s">
        <v>208</v>
      </c>
      <c r="C3924" s="25">
        <v>44578</v>
      </c>
      <c r="D3924" s="26">
        <v>2.2777777777777775E-2</v>
      </c>
      <c r="E3924" t="s">
        <v>24</v>
      </c>
      <c r="F3924" t="s">
        <v>210</v>
      </c>
      <c r="G3924" t="s">
        <v>211</v>
      </c>
      <c r="H3924" t="s">
        <v>209</v>
      </c>
      <c r="I3924">
        <v>393.98</v>
      </c>
      <c r="J3924" s="7">
        <v>498991</v>
      </c>
      <c r="K3924" s="11">
        <f t="shared" si="235"/>
        <v>1076</v>
      </c>
      <c r="L3924" s="31">
        <v>500067</v>
      </c>
      <c r="M3924" s="10">
        <f t="shared" si="236"/>
        <v>36.615241635687731</v>
      </c>
    </row>
    <row r="3925" spans="1:13" ht="15.75" hidden="1" customHeight="1" x14ac:dyDescent="0.3">
      <c r="B3925" t="s">
        <v>208</v>
      </c>
      <c r="C3925" s="25">
        <v>44579</v>
      </c>
      <c r="D3925" s="26">
        <v>0.61777777777777776</v>
      </c>
      <c r="E3925" t="s">
        <v>24</v>
      </c>
      <c r="F3925" t="s">
        <v>175</v>
      </c>
      <c r="G3925" t="s">
        <v>172</v>
      </c>
      <c r="H3925" t="s">
        <v>209</v>
      </c>
      <c r="I3925">
        <v>382</v>
      </c>
      <c r="J3925" s="7">
        <v>500067</v>
      </c>
      <c r="K3925" s="11">
        <f t="shared" si="235"/>
        <v>988</v>
      </c>
      <c r="L3925" s="7">
        <v>501055</v>
      </c>
      <c r="M3925" s="10">
        <f t="shared" si="236"/>
        <v>38.663967611336034</v>
      </c>
    </row>
    <row r="3926" spans="1:13" ht="15.75" hidden="1" customHeight="1" x14ac:dyDescent="0.3">
      <c r="B3926" t="s">
        <v>208</v>
      </c>
      <c r="C3926" s="25">
        <v>44580</v>
      </c>
      <c r="D3926" s="26">
        <v>0.92163194444444452</v>
      </c>
      <c r="E3926" t="s">
        <v>24</v>
      </c>
      <c r="F3926" t="s">
        <v>210</v>
      </c>
      <c r="G3926" t="s">
        <v>211</v>
      </c>
      <c r="H3926" t="s">
        <v>209</v>
      </c>
      <c r="I3926">
        <v>342.46</v>
      </c>
      <c r="J3926" s="7">
        <v>501055</v>
      </c>
      <c r="K3926" s="11">
        <f t="shared" si="235"/>
        <v>835</v>
      </c>
      <c r="L3926" s="7">
        <v>501890</v>
      </c>
      <c r="M3926" s="10">
        <f t="shared" si="236"/>
        <v>41.013173652694604</v>
      </c>
    </row>
    <row r="3927" spans="1:13" ht="15.75" hidden="1" customHeight="1" x14ac:dyDescent="0.3">
      <c r="B3927" t="s">
        <v>208</v>
      </c>
      <c r="C3927" s="25">
        <v>44582</v>
      </c>
      <c r="D3927" s="26">
        <v>0.78350694444444446</v>
      </c>
      <c r="E3927" t="s">
        <v>24</v>
      </c>
      <c r="F3927" t="s">
        <v>210</v>
      </c>
      <c r="G3927" t="s">
        <v>211</v>
      </c>
      <c r="H3927" t="s">
        <v>209</v>
      </c>
      <c r="I3927">
        <v>400.02</v>
      </c>
      <c r="J3927" s="7">
        <v>501890</v>
      </c>
      <c r="K3927" s="11">
        <f t="shared" si="235"/>
        <v>1073</v>
      </c>
      <c r="L3927" s="7">
        <v>502963</v>
      </c>
      <c r="M3927" s="10">
        <f t="shared" si="236"/>
        <v>37.280521901211557</v>
      </c>
    </row>
    <row r="3928" spans="1:13" ht="15.75" hidden="1" customHeight="1" x14ac:dyDescent="0.3">
      <c r="B3928" t="s">
        <v>208</v>
      </c>
      <c r="C3928" s="25">
        <v>44585</v>
      </c>
      <c r="D3928" s="26">
        <v>0.46792824074074074</v>
      </c>
      <c r="E3928" t="s">
        <v>24</v>
      </c>
      <c r="F3928" t="s">
        <v>175</v>
      </c>
      <c r="G3928" t="s">
        <v>172</v>
      </c>
      <c r="H3928" t="s">
        <v>209</v>
      </c>
      <c r="I3928">
        <v>340.37</v>
      </c>
      <c r="J3928" s="7">
        <v>502963</v>
      </c>
      <c r="K3928" s="11">
        <f t="shared" si="235"/>
        <v>972</v>
      </c>
      <c r="L3928" s="35">
        <v>503935</v>
      </c>
      <c r="M3928" s="10">
        <f t="shared" si="236"/>
        <v>35.017489711934161</v>
      </c>
    </row>
    <row r="3929" spans="1:13" ht="15.75" hidden="1" customHeight="1" x14ac:dyDescent="0.3">
      <c r="A3929" s="9">
        <v>480</v>
      </c>
      <c r="B3929" t="s">
        <v>208</v>
      </c>
      <c r="C3929" s="25">
        <v>44594</v>
      </c>
      <c r="D3929" s="26">
        <v>9.8379629629629642E-4</v>
      </c>
      <c r="E3929" t="s">
        <v>25</v>
      </c>
      <c r="F3929" t="s">
        <v>210</v>
      </c>
      <c r="G3929" t="s">
        <v>211</v>
      </c>
      <c r="H3929" t="s">
        <v>209</v>
      </c>
      <c r="I3929">
        <v>375.04</v>
      </c>
      <c r="J3929" s="7">
        <v>503935</v>
      </c>
      <c r="K3929" s="11">
        <f t="shared" si="235"/>
        <v>855</v>
      </c>
      <c r="L3929" s="7">
        <v>504790</v>
      </c>
      <c r="M3929" s="10">
        <f t="shared" si="236"/>
        <v>43.864327485380116</v>
      </c>
    </row>
    <row r="3930" spans="1:13" ht="15.75" hidden="1" customHeight="1" x14ac:dyDescent="0.3">
      <c r="A3930" s="9">
        <v>481</v>
      </c>
      <c r="B3930" t="s">
        <v>208</v>
      </c>
      <c r="C3930" s="25">
        <v>44595</v>
      </c>
      <c r="D3930" s="26">
        <v>0.88616898148148149</v>
      </c>
      <c r="E3930" t="s">
        <v>25</v>
      </c>
      <c r="F3930" t="s">
        <v>210</v>
      </c>
      <c r="G3930" t="s">
        <v>211</v>
      </c>
      <c r="H3930" t="s">
        <v>209</v>
      </c>
      <c r="I3930">
        <v>397.74</v>
      </c>
      <c r="J3930" s="69">
        <v>504790</v>
      </c>
      <c r="K3930" s="53">
        <f t="shared" si="235"/>
        <v>1082</v>
      </c>
      <c r="L3930" s="7">
        <v>505872</v>
      </c>
      <c r="M3930" s="10">
        <f t="shared" si="236"/>
        <v>36.759704251386324</v>
      </c>
    </row>
    <row r="3931" spans="1:13" ht="15.75" hidden="1" customHeight="1" x14ac:dyDescent="0.3">
      <c r="A3931" s="9">
        <v>482</v>
      </c>
      <c r="B3931" t="s">
        <v>208</v>
      </c>
      <c r="C3931" s="25">
        <v>44596</v>
      </c>
      <c r="D3931" s="26">
        <v>0.88748842592592592</v>
      </c>
      <c r="E3931" t="s">
        <v>25</v>
      </c>
      <c r="F3931" t="s">
        <v>175</v>
      </c>
      <c r="G3931" t="s">
        <v>172</v>
      </c>
      <c r="H3931" t="s">
        <v>209</v>
      </c>
      <c r="I3931">
        <v>317.23</v>
      </c>
      <c r="J3931" s="111">
        <v>505872</v>
      </c>
      <c r="K3931" s="53">
        <f t="shared" si="235"/>
        <v>930</v>
      </c>
      <c r="L3931" s="7">
        <v>506802</v>
      </c>
      <c r="M3931" s="10">
        <f t="shared" si="236"/>
        <v>34.110752688172049</v>
      </c>
    </row>
    <row r="3932" spans="1:13" ht="15.75" hidden="1" customHeight="1" x14ac:dyDescent="0.3">
      <c r="A3932" s="9">
        <v>483</v>
      </c>
      <c r="B3932" t="s">
        <v>208</v>
      </c>
      <c r="C3932" s="25">
        <v>44598</v>
      </c>
      <c r="D3932" s="26">
        <v>0.34884259259259259</v>
      </c>
      <c r="E3932" t="s">
        <v>25</v>
      </c>
      <c r="F3932" t="s">
        <v>210</v>
      </c>
      <c r="G3932" t="s">
        <v>211</v>
      </c>
      <c r="H3932" t="s">
        <v>209</v>
      </c>
      <c r="I3932">
        <v>366.85</v>
      </c>
      <c r="J3932" s="32">
        <v>506802</v>
      </c>
      <c r="K3932" s="53">
        <f t="shared" si="235"/>
        <v>840</v>
      </c>
      <c r="L3932" s="7">
        <v>507642</v>
      </c>
      <c r="M3932" s="10">
        <f t="shared" si="236"/>
        <v>43.672619047619051</v>
      </c>
    </row>
    <row r="3933" spans="1:13" ht="15.75" hidden="1" customHeight="1" x14ac:dyDescent="0.3">
      <c r="A3933" s="9">
        <v>484</v>
      </c>
      <c r="B3933" t="s">
        <v>208</v>
      </c>
      <c r="C3933" s="25">
        <v>44599</v>
      </c>
      <c r="D3933" s="26">
        <v>0.70733796296296303</v>
      </c>
      <c r="E3933" t="s">
        <v>25</v>
      </c>
      <c r="F3933" t="s">
        <v>210</v>
      </c>
      <c r="G3933" t="s">
        <v>211</v>
      </c>
      <c r="H3933" t="s">
        <v>209</v>
      </c>
      <c r="I3933">
        <v>410.01</v>
      </c>
      <c r="J3933" s="7">
        <v>507642</v>
      </c>
      <c r="K3933" s="11">
        <f t="shared" si="235"/>
        <v>1077</v>
      </c>
      <c r="L3933" s="7">
        <v>508719</v>
      </c>
      <c r="M3933" s="10">
        <f t="shared" si="236"/>
        <v>38.069637883008355</v>
      </c>
    </row>
    <row r="3934" spans="1:13" ht="15.75" hidden="1" customHeight="1" x14ac:dyDescent="0.3">
      <c r="A3934" s="9">
        <v>485</v>
      </c>
      <c r="B3934" t="s">
        <v>208</v>
      </c>
      <c r="C3934" s="25">
        <v>44600</v>
      </c>
      <c r="D3934" s="26">
        <v>0.83160879629629625</v>
      </c>
      <c r="E3934" t="s">
        <v>25</v>
      </c>
      <c r="F3934" t="s">
        <v>175</v>
      </c>
      <c r="G3934" t="s">
        <v>172</v>
      </c>
      <c r="H3934" t="s">
        <v>209</v>
      </c>
      <c r="I3934">
        <v>330.16</v>
      </c>
      <c r="J3934" s="32">
        <v>508719</v>
      </c>
      <c r="K3934" s="53">
        <f t="shared" si="235"/>
        <v>938</v>
      </c>
      <c r="L3934" s="7">
        <v>509657</v>
      </c>
      <c r="M3934" s="10">
        <f t="shared" si="236"/>
        <v>35.198294243070364</v>
      </c>
    </row>
    <row r="3935" spans="1:13" ht="15.75" hidden="1" customHeight="1" x14ac:dyDescent="0.3">
      <c r="A3935" s="9">
        <v>486</v>
      </c>
      <c r="B3935" t="s">
        <v>208</v>
      </c>
      <c r="C3935" s="25">
        <v>44601</v>
      </c>
      <c r="D3935" s="26">
        <v>0.70937499999999998</v>
      </c>
      <c r="E3935" t="s">
        <v>25</v>
      </c>
      <c r="F3935" t="s">
        <v>210</v>
      </c>
      <c r="G3935" t="s">
        <v>211</v>
      </c>
      <c r="H3935" t="s">
        <v>209</v>
      </c>
      <c r="I3935">
        <v>342.71</v>
      </c>
      <c r="J3935" s="7">
        <v>509657</v>
      </c>
      <c r="K3935" s="11">
        <f t="shared" si="235"/>
        <v>839</v>
      </c>
      <c r="L3935" s="32">
        <v>510496</v>
      </c>
      <c r="M3935" s="10">
        <f t="shared" si="236"/>
        <v>40.847437425506556</v>
      </c>
    </row>
    <row r="3936" spans="1:13" ht="15.75" hidden="1" customHeight="1" x14ac:dyDescent="0.3">
      <c r="A3936" s="9">
        <v>487</v>
      </c>
      <c r="B3936" t="s">
        <v>208</v>
      </c>
      <c r="C3936" s="25">
        <v>44602</v>
      </c>
      <c r="D3936" s="26">
        <v>0.71241898148148142</v>
      </c>
      <c r="E3936" t="s">
        <v>25</v>
      </c>
      <c r="F3936" t="s">
        <v>210</v>
      </c>
      <c r="G3936" t="s">
        <v>211</v>
      </c>
      <c r="H3936" t="s">
        <v>209</v>
      </c>
      <c r="I3936">
        <v>396.97</v>
      </c>
      <c r="J3936" s="32">
        <v>510496</v>
      </c>
      <c r="K3936" s="53">
        <f t="shared" si="235"/>
        <v>1076</v>
      </c>
      <c r="L3936" s="32">
        <v>511572</v>
      </c>
      <c r="M3936" s="10">
        <f t="shared" si="236"/>
        <v>36.893122676579928</v>
      </c>
    </row>
    <row r="3937" spans="1:13" ht="15.75" hidden="1" customHeight="1" x14ac:dyDescent="0.3">
      <c r="A3937" s="9">
        <v>488</v>
      </c>
      <c r="B3937" t="s">
        <v>208</v>
      </c>
      <c r="C3937" s="25">
        <v>44604</v>
      </c>
      <c r="D3937" s="26">
        <v>0.41534722222222226</v>
      </c>
      <c r="E3937" t="s">
        <v>25</v>
      </c>
      <c r="F3937" t="s">
        <v>175</v>
      </c>
      <c r="G3937" t="s">
        <v>172</v>
      </c>
      <c r="H3937" t="s">
        <v>209</v>
      </c>
      <c r="I3937">
        <v>380.7</v>
      </c>
      <c r="J3937" s="32">
        <v>511572</v>
      </c>
      <c r="K3937" s="53">
        <f t="shared" si="235"/>
        <v>1004</v>
      </c>
      <c r="L3937" s="32">
        <v>512576</v>
      </c>
      <c r="M3937" s="10">
        <f t="shared" si="236"/>
        <v>37.918326693227087</v>
      </c>
    </row>
    <row r="3938" spans="1:13" ht="15.75" hidden="1" customHeight="1" x14ac:dyDescent="0.3">
      <c r="A3938" s="9">
        <v>489</v>
      </c>
      <c r="B3938" t="s">
        <v>208</v>
      </c>
      <c r="C3938" s="25">
        <v>44605</v>
      </c>
      <c r="D3938" s="26">
        <v>0.63358796296296294</v>
      </c>
      <c r="E3938" t="s">
        <v>25</v>
      </c>
      <c r="F3938" t="s">
        <v>210</v>
      </c>
      <c r="G3938" t="s">
        <v>211</v>
      </c>
      <c r="H3938" t="s">
        <v>209</v>
      </c>
      <c r="I3938">
        <v>359.57</v>
      </c>
      <c r="J3938" s="32">
        <v>512576</v>
      </c>
      <c r="K3938" s="53">
        <f t="shared" si="235"/>
        <v>840</v>
      </c>
      <c r="L3938" s="32">
        <v>513416</v>
      </c>
      <c r="M3938" s="10">
        <f t="shared" si="236"/>
        <v>42.805952380952377</v>
      </c>
    </row>
    <row r="3939" spans="1:13" ht="15.75" hidden="1" customHeight="1" x14ac:dyDescent="0.3">
      <c r="A3939" s="9">
        <v>490</v>
      </c>
      <c r="B3939" t="s">
        <v>208</v>
      </c>
      <c r="C3939" s="25">
        <v>44606</v>
      </c>
      <c r="D3939" s="26">
        <v>0.78760416666666666</v>
      </c>
      <c r="E3939" t="s">
        <v>25</v>
      </c>
      <c r="F3939" t="s">
        <v>210</v>
      </c>
      <c r="G3939" t="s">
        <v>211</v>
      </c>
      <c r="H3939" t="s">
        <v>209</v>
      </c>
      <c r="I3939">
        <v>365.6</v>
      </c>
      <c r="J3939" s="32">
        <v>513416</v>
      </c>
      <c r="K3939" s="53">
        <f t="shared" si="235"/>
        <v>1075</v>
      </c>
      <c r="L3939" s="32">
        <v>514491</v>
      </c>
      <c r="M3939" s="10">
        <f t="shared" si="236"/>
        <v>34.009302325581395</v>
      </c>
    </row>
    <row r="3940" spans="1:13" ht="15.75" hidden="1" customHeight="1" x14ac:dyDescent="0.3">
      <c r="A3940" s="9">
        <v>491</v>
      </c>
      <c r="B3940" t="s">
        <v>208</v>
      </c>
      <c r="C3940" s="25">
        <v>44607</v>
      </c>
      <c r="D3940" s="26">
        <v>0.83038194444444446</v>
      </c>
      <c r="E3940" t="s">
        <v>25</v>
      </c>
      <c r="F3940" t="s">
        <v>175</v>
      </c>
      <c r="G3940" t="s">
        <v>172</v>
      </c>
      <c r="H3940" t="s">
        <v>209</v>
      </c>
      <c r="I3940">
        <v>313.45</v>
      </c>
      <c r="J3940" s="32">
        <v>514491</v>
      </c>
      <c r="K3940" s="53">
        <f t="shared" si="235"/>
        <v>938</v>
      </c>
      <c r="L3940" s="32">
        <v>515429</v>
      </c>
      <c r="M3940" s="10">
        <f t="shared" si="236"/>
        <v>33.416844349680169</v>
      </c>
    </row>
    <row r="3941" spans="1:13" ht="15.75" hidden="1" customHeight="1" x14ac:dyDescent="0.3">
      <c r="A3941" s="9">
        <v>492</v>
      </c>
      <c r="B3941" t="s">
        <v>208</v>
      </c>
      <c r="C3941" s="25">
        <v>44609</v>
      </c>
      <c r="D3941" s="26">
        <v>0.62800925925925932</v>
      </c>
      <c r="E3941" t="s">
        <v>25</v>
      </c>
      <c r="F3941" t="s">
        <v>210</v>
      </c>
      <c r="G3941" t="s">
        <v>211</v>
      </c>
      <c r="H3941" t="s">
        <v>209</v>
      </c>
      <c r="I3941">
        <v>360.02</v>
      </c>
      <c r="J3941" s="32">
        <v>515429</v>
      </c>
      <c r="K3941" s="53">
        <f t="shared" si="235"/>
        <v>879</v>
      </c>
      <c r="L3941" s="32">
        <v>516308</v>
      </c>
      <c r="M3941" s="10">
        <f t="shared" si="236"/>
        <v>40.957906712172921</v>
      </c>
    </row>
    <row r="3942" spans="1:13" ht="15.75" hidden="1" customHeight="1" x14ac:dyDescent="0.3">
      <c r="A3942" s="9">
        <v>493</v>
      </c>
      <c r="B3942" t="s">
        <v>208</v>
      </c>
      <c r="C3942" s="25">
        <v>44610</v>
      </c>
      <c r="D3942" s="26">
        <v>0.81895833333333334</v>
      </c>
      <c r="E3942" t="s">
        <v>25</v>
      </c>
      <c r="F3942" t="s">
        <v>210</v>
      </c>
      <c r="G3942" t="s">
        <v>211</v>
      </c>
      <c r="H3942" t="s">
        <v>209</v>
      </c>
      <c r="I3942">
        <v>390.13</v>
      </c>
      <c r="J3942" s="32">
        <v>516308</v>
      </c>
      <c r="K3942" s="53">
        <f t="shared" si="235"/>
        <v>1076</v>
      </c>
      <c r="L3942" s="32">
        <v>517384</v>
      </c>
      <c r="M3942" s="10">
        <f t="shared" si="236"/>
        <v>36.257434944237914</v>
      </c>
    </row>
    <row r="3943" spans="1:13" ht="15.75" hidden="1" customHeight="1" x14ac:dyDescent="0.3">
      <c r="A3943" s="9">
        <v>494</v>
      </c>
      <c r="B3943" t="s">
        <v>208</v>
      </c>
      <c r="C3943" s="25">
        <v>44611</v>
      </c>
      <c r="D3943" s="26">
        <v>0.72815972222222225</v>
      </c>
      <c r="E3943" t="s">
        <v>25</v>
      </c>
      <c r="F3943" t="s">
        <v>175</v>
      </c>
      <c r="G3943" t="s">
        <v>172</v>
      </c>
      <c r="H3943" t="s">
        <v>209</v>
      </c>
      <c r="I3943">
        <v>324.77999999999997</v>
      </c>
      <c r="J3943" s="32">
        <v>517384</v>
      </c>
      <c r="K3943" s="53">
        <f t="shared" si="235"/>
        <v>927</v>
      </c>
      <c r="L3943" s="32">
        <v>518311</v>
      </c>
      <c r="M3943" s="10">
        <f t="shared" si="236"/>
        <v>35.035598705501613</v>
      </c>
    </row>
    <row r="3944" spans="1:13" ht="15.75" hidden="1" customHeight="1" x14ac:dyDescent="0.3">
      <c r="A3944" s="9">
        <v>495</v>
      </c>
      <c r="B3944" t="s">
        <v>208</v>
      </c>
      <c r="C3944" s="25">
        <v>44612</v>
      </c>
      <c r="D3944" s="26">
        <v>0.73960648148148145</v>
      </c>
      <c r="E3944" t="s">
        <v>25</v>
      </c>
      <c r="F3944" t="s">
        <v>210</v>
      </c>
      <c r="G3944" t="s">
        <v>211</v>
      </c>
      <c r="H3944" t="s">
        <v>209</v>
      </c>
      <c r="I3944">
        <v>345.04</v>
      </c>
      <c r="J3944" s="32">
        <v>518311</v>
      </c>
      <c r="K3944" s="53">
        <f t="shared" si="235"/>
        <v>841</v>
      </c>
      <c r="L3944" s="32">
        <v>519152</v>
      </c>
      <c r="M3944" s="10">
        <f t="shared" si="236"/>
        <v>41.02734839476814</v>
      </c>
    </row>
    <row r="3945" spans="1:13" ht="2.25" hidden="1" customHeight="1" x14ac:dyDescent="0.3">
      <c r="A3945" s="9">
        <v>496</v>
      </c>
      <c r="B3945" t="s">
        <v>208</v>
      </c>
      <c r="C3945" s="25">
        <v>44614</v>
      </c>
      <c r="D3945" s="26">
        <v>0.80056712962962961</v>
      </c>
      <c r="E3945" t="s">
        <v>25</v>
      </c>
      <c r="F3945" t="s">
        <v>210</v>
      </c>
      <c r="G3945" t="s">
        <v>211</v>
      </c>
      <c r="H3945" t="s">
        <v>209</v>
      </c>
      <c r="I3945">
        <v>437</v>
      </c>
      <c r="J3945" s="32">
        <v>519152</v>
      </c>
      <c r="K3945" s="53">
        <f t="shared" si="235"/>
        <v>1077</v>
      </c>
      <c r="L3945" s="32">
        <v>520229</v>
      </c>
      <c r="M3945" s="10">
        <f t="shared" si="236"/>
        <v>40.575673166202414</v>
      </c>
    </row>
    <row r="3946" spans="1:13" ht="15.75" hidden="1" customHeight="1" x14ac:dyDescent="0.3">
      <c r="A3946" s="9">
        <v>497</v>
      </c>
      <c r="B3946" t="s">
        <v>208</v>
      </c>
      <c r="C3946" s="25">
        <v>44616</v>
      </c>
      <c r="D3946" s="26">
        <v>0.91765046296296304</v>
      </c>
      <c r="E3946" t="s">
        <v>25</v>
      </c>
      <c r="F3946" t="s">
        <v>175</v>
      </c>
      <c r="G3946" t="s">
        <v>172</v>
      </c>
      <c r="H3946" t="s">
        <v>209</v>
      </c>
      <c r="I3946">
        <v>313.89999999999998</v>
      </c>
      <c r="J3946" s="37">
        <v>520229</v>
      </c>
      <c r="K3946" s="53">
        <f t="shared" si="235"/>
        <v>945</v>
      </c>
      <c r="L3946" s="32">
        <v>521174</v>
      </c>
      <c r="M3946" s="10">
        <f t="shared" si="236"/>
        <v>33.216931216931215</v>
      </c>
    </row>
    <row r="3947" spans="1:13" ht="15.75" hidden="1" customHeight="1" x14ac:dyDescent="0.3">
      <c r="A3947" s="9">
        <v>498</v>
      </c>
      <c r="B3947" t="s">
        <v>208</v>
      </c>
      <c r="C3947" s="25">
        <v>44617</v>
      </c>
      <c r="D3947" s="26">
        <v>0.79655092592592591</v>
      </c>
      <c r="E3947" t="s">
        <v>25</v>
      </c>
      <c r="F3947" t="s">
        <v>210</v>
      </c>
      <c r="G3947" t="s">
        <v>211</v>
      </c>
      <c r="H3947" t="s">
        <v>209</v>
      </c>
      <c r="I3947">
        <v>356.25</v>
      </c>
      <c r="J3947" s="32">
        <v>521174</v>
      </c>
      <c r="K3947" s="53">
        <f t="shared" si="235"/>
        <v>1341</v>
      </c>
      <c r="L3947" s="32">
        <v>522515</v>
      </c>
      <c r="M3947" s="10">
        <f t="shared" si="236"/>
        <v>26.565995525727072</v>
      </c>
    </row>
    <row r="3948" spans="1:13" ht="15.75" hidden="1" customHeight="1" x14ac:dyDescent="0.3">
      <c r="A3948" s="9">
        <v>499</v>
      </c>
      <c r="B3948" t="s">
        <v>208</v>
      </c>
      <c r="C3948" s="25">
        <v>44619</v>
      </c>
      <c r="D3948" s="26">
        <v>0.22163194444444445</v>
      </c>
      <c r="E3948" t="s">
        <v>25</v>
      </c>
      <c r="F3948" t="s">
        <v>202</v>
      </c>
      <c r="G3948" t="s">
        <v>203</v>
      </c>
      <c r="H3948" t="s">
        <v>209</v>
      </c>
      <c r="I3948">
        <v>384.39</v>
      </c>
      <c r="J3948" s="32">
        <v>522515</v>
      </c>
      <c r="K3948" s="53">
        <f t="shared" si="235"/>
        <v>602</v>
      </c>
      <c r="L3948" s="32">
        <v>523117</v>
      </c>
      <c r="M3948" s="10">
        <f t="shared" si="236"/>
        <v>63.852159468438543</v>
      </c>
    </row>
    <row r="3949" spans="1:13" ht="15.75" hidden="1" customHeight="1" x14ac:dyDescent="0.3">
      <c r="A3949" s="9">
        <v>1527</v>
      </c>
      <c r="B3949" t="s">
        <v>208</v>
      </c>
      <c r="C3949" s="25">
        <v>44622</v>
      </c>
      <c r="D3949" s="26">
        <v>0.46121527777777777</v>
      </c>
      <c r="E3949" t="s">
        <v>26</v>
      </c>
      <c r="F3949" t="s">
        <v>210</v>
      </c>
      <c r="G3949" t="s">
        <v>211</v>
      </c>
      <c r="H3949" t="s">
        <v>209</v>
      </c>
      <c r="I3949">
        <v>570.98</v>
      </c>
      <c r="J3949" s="32">
        <v>523117</v>
      </c>
      <c r="K3949" s="89">
        <f t="shared" ref="K3949:K3980" si="237">+L3949-J3949</f>
        <v>1626</v>
      </c>
      <c r="L3949" s="32">
        <v>524743</v>
      </c>
      <c r="M3949" s="10">
        <f t="shared" ref="M3949:M3980" si="238">I3949/K3949*100</f>
        <v>35.11562115621156</v>
      </c>
    </row>
    <row r="3950" spans="1:13" ht="15.75" hidden="1" customHeight="1" x14ac:dyDescent="0.3">
      <c r="A3950" s="9">
        <v>1528</v>
      </c>
      <c r="B3950" t="s">
        <v>208</v>
      </c>
      <c r="C3950" s="25">
        <v>44623</v>
      </c>
      <c r="D3950" s="26">
        <v>0.80136574074074074</v>
      </c>
      <c r="E3950" t="s">
        <v>26</v>
      </c>
      <c r="F3950" t="s">
        <v>205</v>
      </c>
      <c r="G3950" t="s">
        <v>206</v>
      </c>
      <c r="H3950" t="s">
        <v>209</v>
      </c>
      <c r="I3950">
        <v>370.03</v>
      </c>
      <c r="J3950" s="34">
        <v>524743</v>
      </c>
      <c r="K3950" s="89">
        <f t="shared" si="237"/>
        <v>1000</v>
      </c>
      <c r="L3950" s="34">
        <v>525743</v>
      </c>
      <c r="M3950" s="10">
        <f t="shared" si="238"/>
        <v>37.003</v>
      </c>
    </row>
    <row r="3951" spans="1:13" ht="15.75" hidden="1" customHeight="1" x14ac:dyDescent="0.3">
      <c r="A3951" s="9">
        <v>1529</v>
      </c>
      <c r="B3951" t="s">
        <v>208</v>
      </c>
      <c r="C3951" s="25">
        <v>44624</v>
      </c>
      <c r="D3951" s="26">
        <v>0.79026620370370371</v>
      </c>
      <c r="E3951" t="s">
        <v>26</v>
      </c>
      <c r="F3951" t="s">
        <v>210</v>
      </c>
      <c r="G3951" t="s">
        <v>211</v>
      </c>
      <c r="H3951" t="s">
        <v>209</v>
      </c>
      <c r="I3951">
        <v>302.39</v>
      </c>
      <c r="J3951" s="34">
        <v>0</v>
      </c>
      <c r="K3951" s="89">
        <f t="shared" si="237"/>
        <v>736.71</v>
      </c>
      <c r="L3951" s="32">
        <v>736.71</v>
      </c>
      <c r="M3951" s="10">
        <f t="shared" si="238"/>
        <v>41.046001818897523</v>
      </c>
    </row>
    <row r="3952" spans="1:13" ht="15.75" hidden="1" customHeight="1" x14ac:dyDescent="0.3">
      <c r="A3952" s="9">
        <v>1530</v>
      </c>
      <c r="B3952" t="s">
        <v>208</v>
      </c>
      <c r="C3952" s="25">
        <v>44626</v>
      </c>
      <c r="D3952" s="26">
        <v>4.1990740740740745E-2</v>
      </c>
      <c r="E3952" t="s">
        <v>26</v>
      </c>
      <c r="F3952" t="s">
        <v>210</v>
      </c>
      <c r="G3952" t="s">
        <v>211</v>
      </c>
      <c r="H3952" t="s">
        <v>209</v>
      </c>
      <c r="I3952">
        <v>385.91</v>
      </c>
      <c r="J3952" s="37">
        <v>0</v>
      </c>
      <c r="K3952" s="89">
        <f t="shared" si="237"/>
        <v>1063.97</v>
      </c>
      <c r="L3952" s="32">
        <v>1063.97</v>
      </c>
      <c r="M3952" s="10">
        <f t="shared" si="238"/>
        <v>36.270759513896074</v>
      </c>
    </row>
    <row r="3953" spans="1:13" ht="15.75" hidden="1" customHeight="1" x14ac:dyDescent="0.3">
      <c r="A3953" s="9">
        <v>1531</v>
      </c>
      <c r="B3953" t="s">
        <v>208</v>
      </c>
      <c r="C3953" s="25">
        <v>44627</v>
      </c>
      <c r="D3953" s="26">
        <v>0.83910879629629631</v>
      </c>
      <c r="E3953" t="s">
        <v>26</v>
      </c>
      <c r="F3953" t="s">
        <v>175</v>
      </c>
      <c r="G3953" t="s">
        <v>172</v>
      </c>
      <c r="H3953" t="s">
        <v>209</v>
      </c>
      <c r="I3953">
        <v>338.61</v>
      </c>
      <c r="J3953" s="37">
        <v>0</v>
      </c>
      <c r="K3953" s="89">
        <f t="shared" si="237"/>
        <v>949.49</v>
      </c>
      <c r="L3953" s="32">
        <v>949.49</v>
      </c>
      <c r="M3953" s="10">
        <f t="shared" si="238"/>
        <v>35.662302920515224</v>
      </c>
    </row>
    <row r="3954" spans="1:13" ht="15.75" hidden="1" customHeight="1" x14ac:dyDescent="0.3">
      <c r="A3954" s="9">
        <v>1532</v>
      </c>
      <c r="B3954" t="s">
        <v>208</v>
      </c>
      <c r="C3954" s="25">
        <v>44628</v>
      </c>
      <c r="D3954" s="26">
        <v>0.74056712962962967</v>
      </c>
      <c r="E3954" t="s">
        <v>26</v>
      </c>
      <c r="F3954" t="s">
        <v>175</v>
      </c>
      <c r="G3954" t="s">
        <v>172</v>
      </c>
      <c r="H3954" t="s">
        <v>209</v>
      </c>
      <c r="I3954">
        <v>147.99</v>
      </c>
      <c r="J3954" s="37">
        <v>0</v>
      </c>
      <c r="K3954" s="89">
        <f t="shared" si="237"/>
        <v>413.83</v>
      </c>
      <c r="L3954" s="33">
        <v>413.83</v>
      </c>
      <c r="M3954" s="10">
        <f t="shared" si="238"/>
        <v>35.761061305366944</v>
      </c>
    </row>
    <row r="3955" spans="1:13" ht="15.75" hidden="1" customHeight="1" x14ac:dyDescent="0.3">
      <c r="A3955" s="9">
        <v>1533</v>
      </c>
      <c r="B3955" t="s">
        <v>208</v>
      </c>
      <c r="C3955" s="25">
        <v>44637</v>
      </c>
      <c r="D3955" s="26">
        <v>0.85256944444444438</v>
      </c>
      <c r="E3955" t="s">
        <v>26</v>
      </c>
      <c r="F3955" t="s">
        <v>175</v>
      </c>
      <c r="G3955" t="s">
        <v>172</v>
      </c>
      <c r="H3955" t="s">
        <v>209</v>
      </c>
      <c r="I3955">
        <v>186</v>
      </c>
      <c r="J3955" s="32">
        <v>0</v>
      </c>
      <c r="K3955" s="89">
        <f t="shared" si="237"/>
        <v>440.82</v>
      </c>
      <c r="L3955" s="32">
        <v>440.82</v>
      </c>
      <c r="M3955" s="36">
        <f t="shared" si="238"/>
        <v>42.194092827004219</v>
      </c>
    </row>
    <row r="3956" spans="1:13" ht="15.75" hidden="1" customHeight="1" x14ac:dyDescent="0.3">
      <c r="A3956" s="9">
        <v>1534</v>
      </c>
      <c r="B3956" t="s">
        <v>208</v>
      </c>
      <c r="C3956" s="25">
        <v>44638</v>
      </c>
      <c r="D3956" s="26">
        <v>0.91818287037037039</v>
      </c>
      <c r="E3956" t="s">
        <v>26</v>
      </c>
      <c r="F3956" t="s">
        <v>210</v>
      </c>
      <c r="G3956" t="s">
        <v>211</v>
      </c>
      <c r="H3956" t="s">
        <v>209</v>
      </c>
      <c r="I3956">
        <v>356</v>
      </c>
      <c r="J3956" s="32">
        <v>0</v>
      </c>
      <c r="K3956" s="89">
        <f t="shared" si="237"/>
        <v>831.95</v>
      </c>
      <c r="L3956" s="32">
        <v>831.95</v>
      </c>
      <c r="M3956" s="36">
        <f t="shared" si="238"/>
        <v>42.791033114970851</v>
      </c>
    </row>
    <row r="3957" spans="1:13" ht="15.75" hidden="1" customHeight="1" x14ac:dyDescent="0.3">
      <c r="A3957" s="9">
        <v>1535</v>
      </c>
      <c r="B3957" t="s">
        <v>208</v>
      </c>
      <c r="C3957" s="25">
        <v>44640</v>
      </c>
      <c r="D3957" s="26">
        <v>0.49877314814814816</v>
      </c>
      <c r="E3957" t="s">
        <v>26</v>
      </c>
      <c r="F3957" t="s">
        <v>210</v>
      </c>
      <c r="G3957" t="s">
        <v>211</v>
      </c>
      <c r="H3957" t="s">
        <v>209</v>
      </c>
      <c r="I3957">
        <v>420.08</v>
      </c>
      <c r="J3957" s="32">
        <v>0</v>
      </c>
      <c r="K3957" s="89">
        <f t="shared" si="237"/>
        <v>1064.22</v>
      </c>
      <c r="L3957" s="32">
        <v>1064.22</v>
      </c>
      <c r="M3957" s="36">
        <f t="shared" si="238"/>
        <v>39.473041288455391</v>
      </c>
    </row>
    <row r="3958" spans="1:13" ht="15.75" hidden="1" customHeight="1" x14ac:dyDescent="0.3">
      <c r="A3958" s="9">
        <v>1536</v>
      </c>
      <c r="B3958" t="s">
        <v>208</v>
      </c>
      <c r="C3958" s="25">
        <v>44642</v>
      </c>
      <c r="D3958" s="26">
        <v>0.43777777777777777</v>
      </c>
      <c r="E3958" t="s">
        <v>26</v>
      </c>
      <c r="F3958" t="s">
        <v>205</v>
      </c>
      <c r="G3958" t="s">
        <v>206</v>
      </c>
      <c r="H3958" t="s">
        <v>209</v>
      </c>
      <c r="I3958">
        <v>400</v>
      </c>
      <c r="J3958" s="32">
        <v>0</v>
      </c>
      <c r="K3958" s="89">
        <f t="shared" si="237"/>
        <v>1022.45</v>
      </c>
      <c r="L3958" s="32">
        <v>1022.45</v>
      </c>
      <c r="M3958" s="36">
        <f t="shared" si="238"/>
        <v>39.121717443395767</v>
      </c>
    </row>
    <row r="3959" spans="1:13" ht="15.75" hidden="1" customHeight="1" x14ac:dyDescent="0.3">
      <c r="A3959" s="9">
        <v>1537</v>
      </c>
      <c r="B3959" t="s">
        <v>208</v>
      </c>
      <c r="C3959" s="25">
        <v>44643</v>
      </c>
      <c r="D3959" s="26">
        <v>0.46128472222222222</v>
      </c>
      <c r="E3959" t="s">
        <v>26</v>
      </c>
      <c r="F3959" t="s">
        <v>210</v>
      </c>
      <c r="G3959" t="s">
        <v>211</v>
      </c>
      <c r="H3959" t="s">
        <v>209</v>
      </c>
      <c r="I3959">
        <v>300.14</v>
      </c>
      <c r="J3959" s="32">
        <v>0</v>
      </c>
      <c r="K3959" s="89">
        <f t="shared" si="237"/>
        <v>742.69</v>
      </c>
      <c r="L3959" s="32">
        <v>742.69</v>
      </c>
      <c r="M3959" s="36">
        <f t="shared" si="238"/>
        <v>40.412554363193252</v>
      </c>
    </row>
    <row r="3960" spans="1:13" ht="15.75" hidden="1" customHeight="1" x14ac:dyDescent="0.3">
      <c r="A3960" s="9">
        <v>1538</v>
      </c>
      <c r="B3960" t="s">
        <v>208</v>
      </c>
      <c r="C3960" s="25">
        <v>44644</v>
      </c>
      <c r="D3960" s="26">
        <v>0.73636574074074079</v>
      </c>
      <c r="E3960" t="s">
        <v>26</v>
      </c>
      <c r="F3960" t="s">
        <v>210</v>
      </c>
      <c r="G3960" t="s">
        <v>211</v>
      </c>
      <c r="H3960" t="s">
        <v>209</v>
      </c>
      <c r="I3960">
        <v>415.01</v>
      </c>
      <c r="J3960" s="32">
        <v>0</v>
      </c>
      <c r="K3960" s="89">
        <f t="shared" si="237"/>
        <v>1063.68</v>
      </c>
      <c r="L3960" s="32">
        <v>1063.68</v>
      </c>
      <c r="M3960" s="36">
        <f t="shared" si="238"/>
        <v>39.016433513838741</v>
      </c>
    </row>
    <row r="3961" spans="1:13" ht="15.75" hidden="1" customHeight="1" x14ac:dyDescent="0.3">
      <c r="A3961" s="9">
        <v>1539</v>
      </c>
      <c r="B3961" t="s">
        <v>208</v>
      </c>
      <c r="C3961" s="25">
        <v>44646</v>
      </c>
      <c r="D3961" s="26">
        <v>0.33614583333333337</v>
      </c>
      <c r="E3961" t="s">
        <v>26</v>
      </c>
      <c r="F3961" t="s">
        <v>428</v>
      </c>
      <c r="G3961" t="s">
        <v>429</v>
      </c>
      <c r="H3961" t="s">
        <v>209</v>
      </c>
      <c r="I3961">
        <v>378.89</v>
      </c>
      <c r="J3961" s="32">
        <v>0</v>
      </c>
      <c r="K3961" s="97">
        <f t="shared" si="237"/>
        <v>975.66</v>
      </c>
      <c r="L3961" s="37">
        <v>975.66</v>
      </c>
      <c r="M3961" s="10">
        <f t="shared" si="238"/>
        <v>38.834225037410576</v>
      </c>
    </row>
    <row r="3962" spans="1:13" ht="15.75" hidden="1" customHeight="1" x14ac:dyDescent="0.3">
      <c r="A3962" s="9">
        <v>1540</v>
      </c>
      <c r="B3962" t="s">
        <v>208</v>
      </c>
      <c r="C3962" s="25">
        <v>44648</v>
      </c>
      <c r="D3962" s="26">
        <v>0.19056712962962963</v>
      </c>
      <c r="E3962" t="s">
        <v>26</v>
      </c>
      <c r="F3962" t="s">
        <v>210</v>
      </c>
      <c r="G3962" t="s">
        <v>211</v>
      </c>
      <c r="H3962" t="s">
        <v>209</v>
      </c>
      <c r="I3962">
        <v>387.93</v>
      </c>
      <c r="J3962" s="32">
        <v>0</v>
      </c>
      <c r="K3962" s="99">
        <f t="shared" si="237"/>
        <v>1004.85</v>
      </c>
      <c r="L3962" s="33">
        <v>1004.85</v>
      </c>
      <c r="M3962" s="10">
        <f t="shared" si="238"/>
        <v>38.605762054037918</v>
      </c>
    </row>
    <row r="3963" spans="1:13" ht="15.75" hidden="1" customHeight="1" x14ac:dyDescent="0.3">
      <c r="A3963" s="9">
        <v>1541</v>
      </c>
      <c r="B3963" t="s">
        <v>208</v>
      </c>
      <c r="C3963" s="25">
        <v>44649</v>
      </c>
      <c r="D3963" s="26">
        <v>0.20917824074074073</v>
      </c>
      <c r="E3963" t="s">
        <v>26</v>
      </c>
      <c r="F3963" t="s">
        <v>202</v>
      </c>
      <c r="G3963" t="s">
        <v>203</v>
      </c>
      <c r="H3963" t="s">
        <v>209</v>
      </c>
      <c r="I3963">
        <v>150</v>
      </c>
      <c r="J3963" s="32">
        <v>0</v>
      </c>
      <c r="K3963" s="90">
        <f t="shared" si="237"/>
        <v>1088.7</v>
      </c>
      <c r="L3963" s="53">
        <v>1088.7</v>
      </c>
      <c r="M3963" s="10">
        <f t="shared" si="238"/>
        <v>13.777900248002203</v>
      </c>
    </row>
    <row r="3964" spans="1:13" ht="15.75" hidden="1" customHeight="1" x14ac:dyDescent="0.3">
      <c r="A3964" s="9">
        <v>1542</v>
      </c>
      <c r="B3964" t="s">
        <v>208</v>
      </c>
      <c r="C3964" s="25">
        <v>44649</v>
      </c>
      <c r="D3964" s="26">
        <v>0.43746527777777783</v>
      </c>
      <c r="E3964" t="s">
        <v>26</v>
      </c>
      <c r="F3964" t="s">
        <v>340</v>
      </c>
      <c r="G3964" t="s">
        <v>337</v>
      </c>
      <c r="H3964" t="s">
        <v>209</v>
      </c>
      <c r="I3964">
        <v>311.67</v>
      </c>
      <c r="J3964" s="32">
        <v>0</v>
      </c>
      <c r="K3964" s="90">
        <f t="shared" si="237"/>
        <v>282.43</v>
      </c>
      <c r="L3964" s="53">
        <v>282.43</v>
      </c>
      <c r="M3964" s="10">
        <f t="shared" si="238"/>
        <v>110.35300782494777</v>
      </c>
    </row>
    <row r="3965" spans="1:13" ht="15.75" hidden="1" customHeight="1" x14ac:dyDescent="0.3">
      <c r="A3965" s="9">
        <v>1543</v>
      </c>
      <c r="B3965" t="s">
        <v>208</v>
      </c>
      <c r="C3965" s="25">
        <v>44650</v>
      </c>
      <c r="D3965" s="26">
        <v>0.5034953703703704</v>
      </c>
      <c r="E3965" t="s">
        <v>26</v>
      </c>
      <c r="F3965" t="s">
        <v>165</v>
      </c>
      <c r="G3965" t="s">
        <v>185</v>
      </c>
      <c r="H3965" t="s">
        <v>209</v>
      </c>
      <c r="I3965">
        <v>200</v>
      </c>
      <c r="J3965" s="37">
        <v>0</v>
      </c>
      <c r="K3965" s="100">
        <f t="shared" si="237"/>
        <v>1035.8900000000001</v>
      </c>
      <c r="L3965" s="37">
        <v>1035.8900000000001</v>
      </c>
      <c r="M3965" s="10">
        <f t="shared" si="238"/>
        <v>19.307069283418123</v>
      </c>
    </row>
    <row r="3966" spans="1:13" ht="15.75" hidden="1" customHeight="1" x14ac:dyDescent="0.3">
      <c r="A3966" s="9">
        <v>1544</v>
      </c>
      <c r="B3966" t="s">
        <v>208</v>
      </c>
      <c r="C3966" s="25">
        <v>44651</v>
      </c>
      <c r="D3966" s="26">
        <v>2.7430555555555555E-2</v>
      </c>
      <c r="E3966" t="s">
        <v>26</v>
      </c>
      <c r="F3966" t="s">
        <v>210</v>
      </c>
      <c r="G3966" t="s">
        <v>211</v>
      </c>
      <c r="H3966" t="s">
        <v>209</v>
      </c>
      <c r="I3966">
        <v>306.89999999999998</v>
      </c>
      <c r="J3966" s="37">
        <v>0</v>
      </c>
      <c r="K3966" s="90">
        <f t="shared" si="237"/>
        <v>228.28</v>
      </c>
      <c r="L3966" s="53">
        <v>228.28</v>
      </c>
      <c r="M3966" s="10">
        <f t="shared" si="238"/>
        <v>134.44016120553707</v>
      </c>
    </row>
    <row r="3967" spans="1:13" ht="15.75" hidden="1" customHeight="1" x14ac:dyDescent="0.3">
      <c r="A3967" s="9">
        <v>2730</v>
      </c>
      <c r="B3967" t="s">
        <v>208</v>
      </c>
      <c r="C3967" s="25">
        <v>44653</v>
      </c>
      <c r="D3967" s="26">
        <v>0.15932870370370369</v>
      </c>
      <c r="E3967" t="s">
        <v>27</v>
      </c>
      <c r="F3967" t="s">
        <v>197</v>
      </c>
      <c r="G3967" t="s">
        <v>44</v>
      </c>
      <c r="H3967" t="s">
        <v>209</v>
      </c>
      <c r="I3967" s="4">
        <v>150.18</v>
      </c>
      <c r="J3967" s="37">
        <v>0</v>
      </c>
      <c r="K3967" s="90">
        <f t="shared" si="237"/>
        <v>1280.26</v>
      </c>
      <c r="L3967" s="53">
        <v>1280.26</v>
      </c>
      <c r="M3967" s="10">
        <f t="shared" si="238"/>
        <v>11.73042975645572</v>
      </c>
    </row>
    <row r="3968" spans="1:13" ht="15.75" hidden="1" customHeight="1" x14ac:dyDescent="0.3">
      <c r="A3968" s="9">
        <v>2731</v>
      </c>
      <c r="B3968" t="s">
        <v>208</v>
      </c>
      <c r="C3968" s="25">
        <v>44653</v>
      </c>
      <c r="D3968" s="26">
        <v>0.96994212962962967</v>
      </c>
      <c r="E3968" t="s">
        <v>27</v>
      </c>
      <c r="F3968" t="s">
        <v>210</v>
      </c>
      <c r="G3968" t="s">
        <v>211</v>
      </c>
      <c r="H3968" t="s">
        <v>209</v>
      </c>
      <c r="I3968" s="4">
        <v>529</v>
      </c>
      <c r="J3968" s="32">
        <v>0</v>
      </c>
      <c r="K3968" s="90">
        <f t="shared" si="237"/>
        <v>1866.77</v>
      </c>
      <c r="L3968" s="53">
        <v>1866.77</v>
      </c>
      <c r="M3968" s="10">
        <f t="shared" si="238"/>
        <v>28.337717019236436</v>
      </c>
    </row>
    <row r="3969" spans="1:13" ht="15.75" hidden="1" customHeight="1" x14ac:dyDescent="0.3">
      <c r="A3969" s="9">
        <v>2732</v>
      </c>
      <c r="B3969" t="s">
        <v>208</v>
      </c>
      <c r="C3969" s="25">
        <v>44655</v>
      </c>
      <c r="D3969" s="26">
        <v>0.55467592592592596</v>
      </c>
      <c r="E3969" t="s">
        <v>27</v>
      </c>
      <c r="F3969" t="s">
        <v>210</v>
      </c>
      <c r="G3969" t="s">
        <v>211</v>
      </c>
      <c r="H3969" t="s">
        <v>209</v>
      </c>
      <c r="I3969" s="4">
        <v>425.19</v>
      </c>
      <c r="J3969" s="32">
        <v>0</v>
      </c>
      <c r="K3969" s="90">
        <f t="shared" si="237"/>
        <v>1063.42</v>
      </c>
      <c r="L3969" s="53">
        <v>1063.42</v>
      </c>
      <c r="M3969" s="10">
        <f t="shared" si="238"/>
        <v>39.983261552349965</v>
      </c>
    </row>
    <row r="3970" spans="1:13" ht="15.75" hidden="1" customHeight="1" x14ac:dyDescent="0.3">
      <c r="A3970" s="9">
        <v>2733</v>
      </c>
      <c r="B3970" t="s">
        <v>208</v>
      </c>
      <c r="C3970" s="25">
        <v>44656</v>
      </c>
      <c r="D3970" s="26">
        <v>0.2664583333333333</v>
      </c>
      <c r="E3970" t="s">
        <v>27</v>
      </c>
      <c r="F3970" t="s">
        <v>169</v>
      </c>
      <c r="G3970" t="s">
        <v>196</v>
      </c>
      <c r="H3970" t="s">
        <v>209</v>
      </c>
      <c r="I3970" s="4">
        <v>140.16999999999999</v>
      </c>
      <c r="J3970" s="32">
        <v>0</v>
      </c>
      <c r="K3970" s="90">
        <f t="shared" si="237"/>
        <v>490.67</v>
      </c>
      <c r="L3970" s="32">
        <v>490.67</v>
      </c>
      <c r="M3970" s="10">
        <f t="shared" si="238"/>
        <v>28.567061365072245</v>
      </c>
    </row>
    <row r="3971" spans="1:13" ht="15.75" hidden="1" customHeight="1" x14ac:dyDescent="0.3">
      <c r="A3971" s="9">
        <v>2734</v>
      </c>
      <c r="B3971" t="s">
        <v>208</v>
      </c>
      <c r="C3971" s="25">
        <v>44658</v>
      </c>
      <c r="D3971" s="26">
        <v>0.68395833333333333</v>
      </c>
      <c r="E3971" t="s">
        <v>27</v>
      </c>
      <c r="F3971" t="s">
        <v>197</v>
      </c>
      <c r="G3971" t="s">
        <v>44</v>
      </c>
      <c r="H3971" t="s">
        <v>209</v>
      </c>
      <c r="I3971" s="4">
        <v>150.55000000000001</v>
      </c>
      <c r="J3971" s="32">
        <v>0</v>
      </c>
      <c r="K3971" s="97">
        <f t="shared" si="237"/>
        <v>734.94</v>
      </c>
      <c r="L3971" s="37">
        <v>734.94</v>
      </c>
      <c r="M3971" s="10">
        <f t="shared" si="238"/>
        <v>20.484665414863798</v>
      </c>
    </row>
    <row r="3972" spans="1:13" ht="15.75" hidden="1" customHeight="1" x14ac:dyDescent="0.3">
      <c r="A3972" s="9">
        <v>2735</v>
      </c>
      <c r="B3972" t="s">
        <v>208</v>
      </c>
      <c r="C3972" s="25">
        <v>44659</v>
      </c>
      <c r="D3972" s="26">
        <v>8.2141203703703702E-2</v>
      </c>
      <c r="E3972" t="s">
        <v>27</v>
      </c>
      <c r="F3972" t="s">
        <v>210</v>
      </c>
      <c r="G3972" t="s">
        <v>211</v>
      </c>
      <c r="H3972" t="s">
        <v>209</v>
      </c>
      <c r="I3972" s="4">
        <v>372.34</v>
      </c>
      <c r="J3972" s="32">
        <v>0</v>
      </c>
      <c r="K3972" s="99">
        <f t="shared" si="237"/>
        <v>587.4</v>
      </c>
      <c r="L3972" s="33">
        <v>587.4</v>
      </c>
      <c r="M3972" s="10">
        <f t="shared" si="238"/>
        <v>63.387810691181478</v>
      </c>
    </row>
    <row r="3973" spans="1:13" ht="15.75" hidden="1" customHeight="1" x14ac:dyDescent="0.3">
      <c r="A3973" s="9">
        <v>2736</v>
      </c>
      <c r="B3973" t="s">
        <v>208</v>
      </c>
      <c r="C3973" s="25">
        <v>44659</v>
      </c>
      <c r="D3973" s="26">
        <v>0.99630787037037039</v>
      </c>
      <c r="E3973" t="s">
        <v>27</v>
      </c>
      <c r="F3973" t="s">
        <v>210</v>
      </c>
      <c r="G3973" t="s">
        <v>211</v>
      </c>
      <c r="H3973" t="s">
        <v>209</v>
      </c>
      <c r="I3973" s="4">
        <v>310.52</v>
      </c>
      <c r="J3973" s="33">
        <v>0</v>
      </c>
      <c r="K3973" s="99">
        <f t="shared" si="237"/>
        <v>885.46</v>
      </c>
      <c r="L3973" s="32">
        <v>885.46</v>
      </c>
      <c r="M3973" s="10">
        <f t="shared" si="238"/>
        <v>35.068777810403631</v>
      </c>
    </row>
    <row r="3974" spans="1:13" ht="15.75" hidden="1" customHeight="1" x14ac:dyDescent="0.3">
      <c r="A3974" s="9">
        <v>2737</v>
      </c>
      <c r="B3974" t="s">
        <v>208</v>
      </c>
      <c r="C3974" s="25">
        <v>44660</v>
      </c>
      <c r="D3974" s="26">
        <v>0.74576388888888889</v>
      </c>
      <c r="E3974" t="s">
        <v>27</v>
      </c>
      <c r="F3974" t="s">
        <v>169</v>
      </c>
      <c r="G3974" t="s">
        <v>196</v>
      </c>
      <c r="H3974" t="s">
        <v>209</v>
      </c>
      <c r="I3974" s="4">
        <v>167.28</v>
      </c>
      <c r="J3974" s="37">
        <v>0</v>
      </c>
      <c r="K3974" s="97">
        <f t="shared" si="237"/>
        <v>490.38</v>
      </c>
      <c r="L3974" s="37">
        <v>490.38</v>
      </c>
      <c r="M3974" s="10">
        <f t="shared" si="238"/>
        <v>34.112321057139361</v>
      </c>
    </row>
    <row r="3975" spans="1:13" ht="15.75" hidden="1" customHeight="1" x14ac:dyDescent="0.3">
      <c r="A3975" s="9">
        <v>2738</v>
      </c>
      <c r="B3975" t="s">
        <v>208</v>
      </c>
      <c r="C3975" s="25">
        <v>44661</v>
      </c>
      <c r="D3975" s="26">
        <v>0.31449074074074074</v>
      </c>
      <c r="E3975" t="s">
        <v>27</v>
      </c>
      <c r="F3975" t="s">
        <v>428</v>
      </c>
      <c r="G3975" t="s">
        <v>429</v>
      </c>
      <c r="H3975" t="s">
        <v>209</v>
      </c>
      <c r="I3975" s="4">
        <v>100.03</v>
      </c>
      <c r="J3975" s="37">
        <v>0</v>
      </c>
      <c r="K3975" s="97">
        <f t="shared" si="237"/>
        <v>446.31</v>
      </c>
      <c r="L3975" s="32">
        <v>446.31</v>
      </c>
      <c r="M3975" s="10">
        <f t="shared" si="238"/>
        <v>22.412672805897245</v>
      </c>
    </row>
    <row r="3976" spans="1:13" ht="15.75" hidden="1" customHeight="1" x14ac:dyDescent="0.3">
      <c r="A3976" s="9">
        <v>2739</v>
      </c>
      <c r="B3976" t="s">
        <v>208</v>
      </c>
      <c r="C3976" s="25">
        <v>44661</v>
      </c>
      <c r="D3976" s="26">
        <v>0.42303240740740744</v>
      </c>
      <c r="E3976" t="s">
        <v>27</v>
      </c>
      <c r="F3976" t="s">
        <v>175</v>
      </c>
      <c r="G3976" t="s">
        <v>172</v>
      </c>
      <c r="H3976" t="s">
        <v>209</v>
      </c>
      <c r="I3976" s="4">
        <v>99.99</v>
      </c>
      <c r="J3976" s="37">
        <v>0</v>
      </c>
      <c r="K3976" s="97">
        <f t="shared" si="237"/>
        <v>585.85</v>
      </c>
      <c r="L3976" s="32">
        <v>585.85</v>
      </c>
      <c r="M3976" s="10">
        <f t="shared" si="238"/>
        <v>17.067508747973029</v>
      </c>
    </row>
    <row r="3977" spans="1:13" ht="15.75" hidden="1" customHeight="1" x14ac:dyDescent="0.3">
      <c r="A3977" s="9">
        <v>2740</v>
      </c>
      <c r="B3977" t="s">
        <v>208</v>
      </c>
      <c r="C3977" s="25">
        <v>44671</v>
      </c>
      <c r="D3977" s="26">
        <v>0.60914351851851845</v>
      </c>
      <c r="E3977" t="s">
        <v>27</v>
      </c>
      <c r="F3977" t="s">
        <v>210</v>
      </c>
      <c r="G3977" t="s">
        <v>211</v>
      </c>
      <c r="H3977" t="s">
        <v>209</v>
      </c>
      <c r="I3977" s="4">
        <v>384.4</v>
      </c>
      <c r="J3977" s="37">
        <v>0</v>
      </c>
      <c r="K3977" s="97">
        <f t="shared" si="237"/>
        <v>1059.33</v>
      </c>
      <c r="L3977" s="32">
        <v>1059.33</v>
      </c>
      <c r="M3977" s="10">
        <f t="shared" si="238"/>
        <v>36.287087121104847</v>
      </c>
    </row>
    <row r="3978" spans="1:13" ht="15.75" hidden="1" customHeight="1" x14ac:dyDescent="0.3">
      <c r="A3978" s="9">
        <v>2741</v>
      </c>
      <c r="B3978" t="s">
        <v>208</v>
      </c>
      <c r="C3978" s="25">
        <v>44672</v>
      </c>
      <c r="D3978" s="26">
        <v>0.92310185185185178</v>
      </c>
      <c r="E3978" t="s">
        <v>27</v>
      </c>
      <c r="F3978" t="s">
        <v>210</v>
      </c>
      <c r="G3978" t="s">
        <v>211</v>
      </c>
      <c r="H3978" t="s">
        <v>209</v>
      </c>
      <c r="I3978" s="4">
        <v>395.02</v>
      </c>
      <c r="J3978" s="37">
        <v>0</v>
      </c>
      <c r="K3978" s="100">
        <f t="shared" si="237"/>
        <v>911</v>
      </c>
      <c r="L3978" s="37">
        <v>911</v>
      </c>
      <c r="M3978" s="10">
        <f t="shared" si="238"/>
        <v>43.361141602634468</v>
      </c>
    </row>
    <row r="3979" spans="1:13" ht="15.75" hidden="1" customHeight="1" x14ac:dyDescent="0.3">
      <c r="A3979" s="9">
        <v>2742</v>
      </c>
      <c r="B3979" t="s">
        <v>208</v>
      </c>
      <c r="C3979" s="25">
        <v>44673</v>
      </c>
      <c r="D3979" s="26">
        <v>0.35185185185185186</v>
      </c>
      <c r="E3979" t="s">
        <v>27</v>
      </c>
      <c r="F3979" t="s">
        <v>169</v>
      </c>
      <c r="G3979" t="s">
        <v>196</v>
      </c>
      <c r="H3979" t="s">
        <v>209</v>
      </c>
      <c r="I3979" s="4">
        <v>100</v>
      </c>
      <c r="J3979" s="37">
        <v>0</v>
      </c>
      <c r="K3979" s="90">
        <f t="shared" si="237"/>
        <v>490.8</v>
      </c>
      <c r="L3979" s="53">
        <v>490.8</v>
      </c>
      <c r="M3979" s="10">
        <f t="shared" si="238"/>
        <v>20.374898125509372</v>
      </c>
    </row>
    <row r="3980" spans="1:13" ht="15.75" hidden="1" customHeight="1" x14ac:dyDescent="0.3">
      <c r="A3980" s="9">
        <v>2743</v>
      </c>
      <c r="B3980" t="s">
        <v>208</v>
      </c>
      <c r="C3980" s="25">
        <v>44673</v>
      </c>
      <c r="D3980" s="26">
        <v>0.72512731481481485</v>
      </c>
      <c r="E3980" t="s">
        <v>27</v>
      </c>
      <c r="F3980" t="s">
        <v>428</v>
      </c>
      <c r="G3980" t="s">
        <v>429</v>
      </c>
      <c r="H3980" t="s">
        <v>209</v>
      </c>
      <c r="I3980" s="4">
        <v>220.02</v>
      </c>
      <c r="J3980" s="37">
        <v>0</v>
      </c>
      <c r="K3980" s="90">
        <f t="shared" si="237"/>
        <v>902</v>
      </c>
      <c r="L3980" s="55">
        <v>902</v>
      </c>
      <c r="M3980" s="10">
        <f t="shared" si="238"/>
        <v>24.392461197339248</v>
      </c>
    </row>
    <row r="3981" spans="1:13" ht="15.75" hidden="1" customHeight="1" x14ac:dyDescent="0.3">
      <c r="A3981" s="9">
        <v>2744</v>
      </c>
      <c r="B3981" t="s">
        <v>208</v>
      </c>
      <c r="C3981" s="25">
        <v>44674</v>
      </c>
      <c r="D3981" s="26">
        <v>0.97212962962962957</v>
      </c>
      <c r="E3981" t="s">
        <v>27</v>
      </c>
      <c r="F3981" t="s">
        <v>210</v>
      </c>
      <c r="G3981" t="s">
        <v>211</v>
      </c>
      <c r="H3981" t="s">
        <v>209</v>
      </c>
      <c r="I3981" s="4">
        <v>405.01</v>
      </c>
      <c r="J3981" s="33">
        <v>0</v>
      </c>
      <c r="K3981" s="90">
        <f t="shared" ref="K3981:K3996" si="239">+L3981-J3981</f>
        <v>1389.73</v>
      </c>
      <c r="L3981" s="53">
        <v>1389.73</v>
      </c>
      <c r="M3981" s="10">
        <f t="shared" ref="M3981:M4010" si="240">I3981/K3981*100</f>
        <v>29.143070956228907</v>
      </c>
    </row>
    <row r="3982" spans="1:13" ht="15.75" hidden="1" customHeight="1" x14ac:dyDescent="0.3">
      <c r="A3982" s="9">
        <v>2745</v>
      </c>
      <c r="B3982" t="s">
        <v>208</v>
      </c>
      <c r="C3982" s="25">
        <v>44676</v>
      </c>
      <c r="D3982" s="26">
        <v>0.5708333333333333</v>
      </c>
      <c r="E3982" t="s">
        <v>27</v>
      </c>
      <c r="F3982" t="s">
        <v>210</v>
      </c>
      <c r="G3982" t="s">
        <v>211</v>
      </c>
      <c r="H3982" t="s">
        <v>209</v>
      </c>
      <c r="I3982">
        <v>400</v>
      </c>
      <c r="J3982" s="33">
        <v>0</v>
      </c>
      <c r="K3982" s="90">
        <f t="shared" si="239"/>
        <v>1064.49</v>
      </c>
      <c r="L3982" s="11">
        <v>1064.49</v>
      </c>
      <c r="M3982" s="10">
        <f t="shared" si="240"/>
        <v>37.576679912446338</v>
      </c>
    </row>
    <row r="3983" spans="1:13" ht="15.75" hidden="1" customHeight="1" x14ac:dyDescent="0.3">
      <c r="A3983" s="9">
        <v>2746</v>
      </c>
      <c r="B3983" t="s">
        <v>208</v>
      </c>
      <c r="C3983" s="25">
        <v>44677</v>
      </c>
      <c r="D3983" s="26">
        <v>0.64120370370370372</v>
      </c>
      <c r="E3983" t="s">
        <v>27</v>
      </c>
      <c r="F3983" t="s">
        <v>169</v>
      </c>
      <c r="G3983" t="s">
        <v>196</v>
      </c>
      <c r="H3983" t="s">
        <v>209</v>
      </c>
      <c r="I3983">
        <v>150.34</v>
      </c>
      <c r="J3983" s="37">
        <v>0</v>
      </c>
      <c r="K3983" s="90">
        <f t="shared" si="239"/>
        <v>493.79</v>
      </c>
      <c r="L3983" s="30">
        <v>493.79</v>
      </c>
      <c r="M3983" s="10">
        <f t="shared" si="240"/>
        <v>30.44614107211568</v>
      </c>
    </row>
    <row r="3984" spans="1:13" ht="15.75" hidden="1" customHeight="1" x14ac:dyDescent="0.3">
      <c r="A3984" s="9">
        <v>2747</v>
      </c>
      <c r="B3984" t="s">
        <v>208</v>
      </c>
      <c r="C3984" s="25">
        <v>44678</v>
      </c>
      <c r="D3984" s="26">
        <v>0.38540509259259265</v>
      </c>
      <c r="E3984" t="s">
        <v>27</v>
      </c>
      <c r="F3984" t="s">
        <v>428</v>
      </c>
      <c r="G3984" t="s">
        <v>429</v>
      </c>
      <c r="H3984" t="s">
        <v>209</v>
      </c>
      <c r="I3984">
        <v>150.56</v>
      </c>
      <c r="J3984" s="37">
        <v>0</v>
      </c>
      <c r="K3984" s="97">
        <f t="shared" si="239"/>
        <v>411.22</v>
      </c>
      <c r="L3984" s="7">
        <v>411.22</v>
      </c>
      <c r="M3984" s="10">
        <f t="shared" si="240"/>
        <v>36.61300520402704</v>
      </c>
    </row>
    <row r="3985" spans="1:13" ht="15.75" hidden="1" customHeight="1" x14ac:dyDescent="0.3">
      <c r="A3985" s="9">
        <v>2748</v>
      </c>
      <c r="B3985" t="s">
        <v>208</v>
      </c>
      <c r="C3985" s="25">
        <v>44679</v>
      </c>
      <c r="D3985" s="26">
        <v>9.8888888888888873E-2</v>
      </c>
      <c r="E3985" t="s">
        <v>27</v>
      </c>
      <c r="F3985" t="s">
        <v>210</v>
      </c>
      <c r="G3985" t="s">
        <v>211</v>
      </c>
      <c r="H3985" t="s">
        <v>209</v>
      </c>
      <c r="I3985">
        <v>356.29</v>
      </c>
      <c r="J3985" s="37">
        <v>0</v>
      </c>
      <c r="K3985" s="97">
        <f t="shared" si="239"/>
        <v>427.49</v>
      </c>
      <c r="L3985" s="7">
        <v>427.49</v>
      </c>
      <c r="M3985" s="10">
        <f t="shared" si="240"/>
        <v>83.344639640693359</v>
      </c>
    </row>
    <row r="3986" spans="1:13" ht="15.75" hidden="1" customHeight="1" x14ac:dyDescent="0.3">
      <c r="A3986" s="9">
        <v>2954</v>
      </c>
      <c r="B3986" t="s">
        <v>208</v>
      </c>
      <c r="C3986" s="25">
        <v>44657</v>
      </c>
      <c r="D3986" s="26">
        <v>0.7299768518518519</v>
      </c>
      <c r="E3986" t="s">
        <v>27</v>
      </c>
      <c r="F3986" t="s">
        <v>538</v>
      </c>
      <c r="G3986" t="s">
        <v>539</v>
      </c>
      <c r="H3986" t="s">
        <v>540</v>
      </c>
      <c r="I3986" s="4">
        <v>100</v>
      </c>
      <c r="J3986" s="37">
        <v>0</v>
      </c>
      <c r="K3986" s="97">
        <f t="shared" si="239"/>
        <v>121212</v>
      </c>
      <c r="L3986" s="32">
        <v>121212</v>
      </c>
      <c r="M3986" s="10">
        <f t="shared" si="240"/>
        <v>8.2500082500082506E-2</v>
      </c>
    </row>
    <row r="3987" spans="1:13" ht="15.75" hidden="1" customHeight="1" x14ac:dyDescent="0.3">
      <c r="A3987" s="9">
        <v>3721</v>
      </c>
      <c r="B3987" t="s">
        <v>208</v>
      </c>
      <c r="C3987" s="25">
        <v>44683</v>
      </c>
      <c r="D3987" s="26">
        <v>0.88450231481481489</v>
      </c>
      <c r="E3987" t="s">
        <v>28</v>
      </c>
      <c r="F3987" t="s">
        <v>197</v>
      </c>
      <c r="G3987" t="s">
        <v>44</v>
      </c>
      <c r="H3987" t="s">
        <v>209</v>
      </c>
      <c r="I3987">
        <v>200.18</v>
      </c>
      <c r="J3987" s="37">
        <v>0</v>
      </c>
      <c r="K3987" s="97">
        <f t="shared" si="239"/>
        <v>405.76</v>
      </c>
      <c r="L3987" s="32">
        <v>405.76</v>
      </c>
      <c r="M3987" s="10">
        <f t="shared" si="240"/>
        <v>49.334582018927449</v>
      </c>
    </row>
    <row r="3988" spans="1:13" ht="15.75" hidden="1" customHeight="1" x14ac:dyDescent="0.3">
      <c r="A3988" s="9">
        <v>3761</v>
      </c>
      <c r="B3988" t="s">
        <v>208</v>
      </c>
      <c r="C3988" s="25">
        <v>44684</v>
      </c>
      <c r="D3988" s="26">
        <v>0.72795138888888899</v>
      </c>
      <c r="E3988" t="s">
        <v>28</v>
      </c>
      <c r="F3988" t="s">
        <v>210</v>
      </c>
      <c r="G3988" t="s">
        <v>211</v>
      </c>
      <c r="H3988" t="s">
        <v>209</v>
      </c>
      <c r="I3988">
        <v>294.06</v>
      </c>
      <c r="J3988" s="37">
        <v>0</v>
      </c>
      <c r="K3988" s="97">
        <f t="shared" si="239"/>
        <v>588</v>
      </c>
      <c r="L3988" s="32">
        <v>588</v>
      </c>
      <c r="M3988" s="10">
        <f t="shared" si="240"/>
        <v>50.010204081632658</v>
      </c>
    </row>
    <row r="3989" spans="1:13" ht="15.75" hidden="1" customHeight="1" x14ac:dyDescent="0.3">
      <c r="A3989" s="9">
        <v>3804</v>
      </c>
      <c r="B3989" t="s">
        <v>208</v>
      </c>
      <c r="C3989" s="25">
        <v>44685</v>
      </c>
      <c r="D3989" s="26">
        <v>0.31686342592592592</v>
      </c>
      <c r="E3989" t="s">
        <v>28</v>
      </c>
      <c r="F3989" t="s">
        <v>165</v>
      </c>
      <c r="G3989" t="s">
        <v>185</v>
      </c>
      <c r="H3989" t="s">
        <v>209</v>
      </c>
      <c r="I3989">
        <v>239.48</v>
      </c>
      <c r="J3989" s="32">
        <v>0</v>
      </c>
      <c r="K3989" s="97">
        <f t="shared" si="239"/>
        <v>548</v>
      </c>
      <c r="L3989" s="34">
        <v>548</v>
      </c>
      <c r="M3989" s="10">
        <f t="shared" si="240"/>
        <v>43.700729927007295</v>
      </c>
    </row>
    <row r="3990" spans="1:13" ht="15.75" hidden="1" customHeight="1" x14ac:dyDescent="0.3">
      <c r="A3990" s="9">
        <v>3869</v>
      </c>
      <c r="B3990" t="s">
        <v>208</v>
      </c>
      <c r="C3990" s="25">
        <v>44686</v>
      </c>
      <c r="D3990" s="26">
        <v>1.0995370370370371E-3</v>
      </c>
      <c r="E3990" t="s">
        <v>28</v>
      </c>
      <c r="F3990" t="s">
        <v>165</v>
      </c>
      <c r="G3990" t="s">
        <v>185</v>
      </c>
      <c r="H3990" t="s">
        <v>209</v>
      </c>
      <c r="I3990">
        <v>170.85</v>
      </c>
      <c r="J3990" s="32">
        <v>0</v>
      </c>
      <c r="K3990" s="90">
        <f t="shared" si="239"/>
        <v>439.74</v>
      </c>
      <c r="L3990" s="7">
        <v>439.74</v>
      </c>
      <c r="M3990" s="10">
        <f t="shared" si="240"/>
        <v>38.852503752217217</v>
      </c>
    </row>
    <row r="3991" spans="1:13" ht="15.75" hidden="1" customHeight="1" x14ac:dyDescent="0.3">
      <c r="A3991" s="9">
        <v>3923</v>
      </c>
      <c r="B3991" t="s">
        <v>208</v>
      </c>
      <c r="C3991" s="25">
        <v>44687</v>
      </c>
      <c r="D3991" s="26">
        <v>0.17550925925925928</v>
      </c>
      <c r="E3991" t="s">
        <v>28</v>
      </c>
      <c r="F3991" t="s">
        <v>165</v>
      </c>
      <c r="G3991" t="s">
        <v>185</v>
      </c>
      <c r="H3991" t="s">
        <v>209</v>
      </c>
      <c r="I3991">
        <v>187.92</v>
      </c>
      <c r="J3991" s="32">
        <v>0</v>
      </c>
      <c r="K3991" s="90">
        <f t="shared" si="239"/>
        <v>441</v>
      </c>
      <c r="L3991" s="32">
        <v>441</v>
      </c>
      <c r="M3991" s="10">
        <f t="shared" si="240"/>
        <v>42.612244897959179</v>
      </c>
    </row>
    <row r="3992" spans="1:13" ht="15.75" hidden="1" customHeight="1" x14ac:dyDescent="0.3">
      <c r="A3992" s="9">
        <v>3924</v>
      </c>
      <c r="B3992" t="s">
        <v>208</v>
      </c>
      <c r="C3992" s="25">
        <v>44687</v>
      </c>
      <c r="D3992" s="26">
        <v>0.77761574074074069</v>
      </c>
      <c r="E3992" t="s">
        <v>28</v>
      </c>
      <c r="F3992" t="s">
        <v>165</v>
      </c>
      <c r="G3992" t="s">
        <v>185</v>
      </c>
      <c r="H3992" t="s">
        <v>209</v>
      </c>
      <c r="I3992">
        <v>179.46</v>
      </c>
      <c r="J3992" s="32">
        <v>0</v>
      </c>
      <c r="K3992" s="90">
        <f t="shared" si="239"/>
        <v>440</v>
      </c>
      <c r="L3992" s="32">
        <v>440</v>
      </c>
      <c r="M3992" s="10">
        <f t="shared" si="240"/>
        <v>40.786363636363639</v>
      </c>
    </row>
    <row r="3993" spans="1:13" ht="15.75" hidden="1" customHeight="1" x14ac:dyDescent="0.3">
      <c r="A3993" s="9">
        <v>3974</v>
      </c>
      <c r="B3993" t="s">
        <v>208</v>
      </c>
      <c r="C3993" s="25">
        <v>44688</v>
      </c>
      <c r="D3993" s="26">
        <v>0.94119212962962961</v>
      </c>
      <c r="E3993" t="s">
        <v>28</v>
      </c>
      <c r="F3993" t="s">
        <v>165</v>
      </c>
      <c r="G3993" t="s">
        <v>185</v>
      </c>
      <c r="H3993" t="s">
        <v>209</v>
      </c>
      <c r="I3993">
        <v>191.89</v>
      </c>
      <c r="J3993" s="32">
        <v>0</v>
      </c>
      <c r="K3993" s="90">
        <f t="shared" si="239"/>
        <v>442</v>
      </c>
      <c r="L3993" s="32">
        <v>442</v>
      </c>
      <c r="M3993" s="10">
        <f t="shared" si="240"/>
        <v>43.414027149321264</v>
      </c>
    </row>
    <row r="3994" spans="1:13" ht="15.75" hidden="1" customHeight="1" x14ac:dyDescent="0.3">
      <c r="A3994" s="9">
        <v>4074</v>
      </c>
      <c r="B3994" t="s">
        <v>208</v>
      </c>
      <c r="C3994" s="25">
        <v>44690</v>
      </c>
      <c r="D3994" s="26">
        <v>0.48390046296296302</v>
      </c>
      <c r="E3994" t="s">
        <v>28</v>
      </c>
      <c r="F3994" t="s">
        <v>340</v>
      </c>
      <c r="G3994" t="s">
        <v>337</v>
      </c>
      <c r="H3994" t="s">
        <v>209</v>
      </c>
      <c r="I3994">
        <v>246.93</v>
      </c>
      <c r="J3994" s="32">
        <v>0</v>
      </c>
      <c r="K3994" s="90">
        <f t="shared" si="239"/>
        <v>827</v>
      </c>
      <c r="L3994" s="32">
        <v>827</v>
      </c>
      <c r="M3994" s="10">
        <f t="shared" si="240"/>
        <v>29.858524788391776</v>
      </c>
    </row>
    <row r="3995" spans="1:13" ht="15.75" hidden="1" customHeight="1" x14ac:dyDescent="0.3">
      <c r="A3995" s="9">
        <v>4111</v>
      </c>
      <c r="B3995" t="s">
        <v>208</v>
      </c>
      <c r="C3995" s="25">
        <v>44691</v>
      </c>
      <c r="D3995" s="26">
        <v>0.89178240740740744</v>
      </c>
      <c r="E3995" t="s">
        <v>28</v>
      </c>
      <c r="F3995" t="s">
        <v>210</v>
      </c>
      <c r="G3995" t="s">
        <v>211</v>
      </c>
      <c r="H3995" t="s">
        <v>209</v>
      </c>
      <c r="I3995">
        <v>450.04</v>
      </c>
      <c r="J3995" s="37">
        <v>0</v>
      </c>
      <c r="K3995" s="97">
        <f t="shared" si="239"/>
        <v>1317</v>
      </c>
      <c r="L3995" s="32">
        <v>1317</v>
      </c>
      <c r="M3995" s="10">
        <f t="shared" si="240"/>
        <v>34.171602126044043</v>
      </c>
    </row>
    <row r="3996" spans="1:13" ht="15.75" hidden="1" customHeight="1" x14ac:dyDescent="0.3">
      <c r="A3996" s="9">
        <v>4162</v>
      </c>
      <c r="B3996" t="s">
        <v>208</v>
      </c>
      <c r="C3996" s="25">
        <v>44692</v>
      </c>
      <c r="D3996" s="26">
        <v>0.45202546296296298</v>
      </c>
      <c r="E3996" t="s">
        <v>28</v>
      </c>
      <c r="F3996" t="s">
        <v>169</v>
      </c>
      <c r="G3996" t="s">
        <v>196</v>
      </c>
      <c r="H3996" t="s">
        <v>209</v>
      </c>
      <c r="I3996">
        <v>156.44999999999999</v>
      </c>
      <c r="J3996" s="32">
        <v>0</v>
      </c>
      <c r="K3996" s="90">
        <f t="shared" si="239"/>
        <v>480</v>
      </c>
      <c r="L3996" s="32">
        <v>480</v>
      </c>
      <c r="M3996" s="10">
        <f t="shared" si="240"/>
        <v>32.59375</v>
      </c>
    </row>
    <row r="3997" spans="1:13" ht="15.75" hidden="1" customHeight="1" x14ac:dyDescent="0.3">
      <c r="A3997" s="9">
        <v>4711</v>
      </c>
      <c r="B3997" t="s">
        <v>208</v>
      </c>
      <c r="C3997" s="25">
        <v>44702</v>
      </c>
      <c r="D3997" s="26">
        <v>0.34059027777777778</v>
      </c>
      <c r="E3997" t="s">
        <v>28</v>
      </c>
      <c r="F3997" t="s">
        <v>197</v>
      </c>
      <c r="G3997" t="s">
        <v>44</v>
      </c>
      <c r="H3997" t="s">
        <v>209</v>
      </c>
      <c r="I3997">
        <v>118.11</v>
      </c>
      <c r="J3997" s="32">
        <v>0</v>
      </c>
      <c r="K3997" s="97">
        <f t="shared" ref="K3997:K4003" si="241">+L3997-J4265</f>
        <v>820</v>
      </c>
      <c r="L3997" s="37">
        <v>820</v>
      </c>
      <c r="M3997" s="10">
        <f t="shared" si="240"/>
        <v>14.403658536585365</v>
      </c>
    </row>
    <row r="3998" spans="1:13" ht="15.75" hidden="1" customHeight="1" x14ac:dyDescent="0.3">
      <c r="A3998" s="9">
        <v>4712</v>
      </c>
      <c r="B3998" t="s">
        <v>208</v>
      </c>
      <c r="C3998" s="25">
        <v>44702</v>
      </c>
      <c r="D3998" s="26">
        <v>0.88297453703703699</v>
      </c>
      <c r="E3998" t="s">
        <v>28</v>
      </c>
      <c r="F3998" t="s">
        <v>210</v>
      </c>
      <c r="G3998" t="s">
        <v>211</v>
      </c>
      <c r="H3998" t="s">
        <v>209</v>
      </c>
      <c r="I3998">
        <v>434.85</v>
      </c>
      <c r="J3998" s="32">
        <v>0</v>
      </c>
      <c r="K3998" s="90">
        <f t="shared" si="241"/>
        <v>587</v>
      </c>
      <c r="L3998" s="32">
        <v>587</v>
      </c>
      <c r="M3998" s="10">
        <f t="shared" si="240"/>
        <v>74.080068143100519</v>
      </c>
    </row>
    <row r="3999" spans="1:13" ht="15.75" hidden="1" customHeight="1" x14ac:dyDescent="0.3">
      <c r="A3999" s="9">
        <v>4766</v>
      </c>
      <c r="B3999" t="s">
        <v>208</v>
      </c>
      <c r="C3999" s="25">
        <v>44703</v>
      </c>
      <c r="D3999" s="26">
        <v>0.59052083333333327</v>
      </c>
      <c r="E3999" t="s">
        <v>28</v>
      </c>
      <c r="F3999" t="s">
        <v>165</v>
      </c>
      <c r="G3999" t="s">
        <v>185</v>
      </c>
      <c r="H3999" t="s">
        <v>209</v>
      </c>
      <c r="I3999">
        <v>230.24</v>
      </c>
      <c r="J3999" s="32">
        <v>0</v>
      </c>
      <c r="K3999" s="90">
        <f t="shared" si="241"/>
        <v>514</v>
      </c>
      <c r="L3999" s="32">
        <v>514</v>
      </c>
      <c r="M3999" s="10">
        <f t="shared" si="240"/>
        <v>44.793774319066145</v>
      </c>
    </row>
    <row r="4000" spans="1:13" ht="15.75" hidden="1" customHeight="1" x14ac:dyDescent="0.3">
      <c r="A4000" s="9">
        <v>4876</v>
      </c>
      <c r="B4000" t="s">
        <v>208</v>
      </c>
      <c r="C4000" s="25">
        <v>44705</v>
      </c>
      <c r="D4000" s="26">
        <v>0.73625000000000007</v>
      </c>
      <c r="E4000" t="s">
        <v>28</v>
      </c>
      <c r="F4000" t="s">
        <v>165</v>
      </c>
      <c r="G4000" t="s">
        <v>185</v>
      </c>
      <c r="H4000" t="s">
        <v>209</v>
      </c>
      <c r="I4000">
        <v>382.85</v>
      </c>
      <c r="J4000" s="41">
        <v>0</v>
      </c>
      <c r="K4000" s="90">
        <f t="shared" si="241"/>
        <v>918</v>
      </c>
      <c r="L4000" s="53">
        <v>918</v>
      </c>
      <c r="M4000" s="10">
        <f t="shared" si="240"/>
        <v>41.704793028322442</v>
      </c>
    </row>
    <row r="4001" spans="1:13" ht="15.75" hidden="1" customHeight="1" x14ac:dyDescent="0.3">
      <c r="A4001" s="9">
        <v>4928</v>
      </c>
      <c r="B4001" t="s">
        <v>208</v>
      </c>
      <c r="C4001" s="25">
        <v>44706</v>
      </c>
      <c r="D4001" s="26">
        <v>0.73748842592592589</v>
      </c>
      <c r="E4001" t="s">
        <v>28</v>
      </c>
      <c r="F4001" t="s">
        <v>165</v>
      </c>
      <c r="G4001" t="s">
        <v>185</v>
      </c>
      <c r="H4001" t="s">
        <v>209</v>
      </c>
      <c r="I4001">
        <v>178.86</v>
      </c>
      <c r="J4001" s="41">
        <v>0</v>
      </c>
      <c r="K4001" s="90">
        <f t="shared" si="241"/>
        <v>439</v>
      </c>
      <c r="L4001" s="67">
        <v>439</v>
      </c>
      <c r="M4001" s="10">
        <f t="shared" si="240"/>
        <v>40.742596810933946</v>
      </c>
    </row>
    <row r="4002" spans="1:13" ht="15.75" hidden="1" customHeight="1" x14ac:dyDescent="0.3">
      <c r="A4002" s="9">
        <v>4984</v>
      </c>
      <c r="B4002" t="s">
        <v>208</v>
      </c>
      <c r="C4002" s="25">
        <v>44707</v>
      </c>
      <c r="D4002" s="26">
        <v>0.26133101851851853</v>
      </c>
      <c r="E4002" t="s">
        <v>28</v>
      </c>
      <c r="F4002" t="s">
        <v>642</v>
      </c>
      <c r="G4002" t="s">
        <v>203</v>
      </c>
      <c r="H4002" t="s">
        <v>209</v>
      </c>
      <c r="I4002">
        <v>100</v>
      </c>
      <c r="J4002" s="32">
        <v>0</v>
      </c>
      <c r="K4002" s="89">
        <f t="shared" si="241"/>
        <v>541</v>
      </c>
      <c r="L4002" s="7">
        <v>541</v>
      </c>
      <c r="M4002" s="10">
        <f t="shared" si="240"/>
        <v>18.484288354898336</v>
      </c>
    </row>
    <row r="4003" spans="1:13" ht="15.75" hidden="1" customHeight="1" x14ac:dyDescent="0.3">
      <c r="A4003" s="9">
        <v>5026</v>
      </c>
      <c r="B4003" t="s">
        <v>208</v>
      </c>
      <c r="C4003" s="25">
        <v>44708</v>
      </c>
      <c r="D4003" s="26">
        <v>0.60378472222222224</v>
      </c>
      <c r="E4003" t="s">
        <v>28</v>
      </c>
      <c r="F4003" t="s">
        <v>635</v>
      </c>
      <c r="G4003" t="s">
        <v>185</v>
      </c>
      <c r="H4003" t="s">
        <v>209</v>
      </c>
      <c r="I4003">
        <v>474.71</v>
      </c>
      <c r="J4003" s="32">
        <v>0</v>
      </c>
      <c r="K4003" s="89">
        <f t="shared" si="241"/>
        <v>1086</v>
      </c>
      <c r="L4003" s="7">
        <v>1086</v>
      </c>
      <c r="M4003" s="10">
        <f t="shared" si="240"/>
        <v>43.711786372007367</v>
      </c>
    </row>
    <row r="4004" spans="1:13" ht="15.75" hidden="1" customHeight="1" x14ac:dyDescent="0.3">
      <c r="A4004" s="9">
        <v>5233</v>
      </c>
      <c r="B4004" t="s">
        <v>208</v>
      </c>
      <c r="C4004" s="25">
        <v>44712</v>
      </c>
      <c r="D4004" s="26">
        <v>0.92848379629629629</v>
      </c>
      <c r="E4004" t="s">
        <v>28</v>
      </c>
      <c r="F4004" t="s">
        <v>634</v>
      </c>
      <c r="G4004" t="s">
        <v>211</v>
      </c>
      <c r="H4004" t="s">
        <v>209</v>
      </c>
      <c r="I4004">
        <v>187.71</v>
      </c>
      <c r="J4004" s="32">
        <v>0</v>
      </c>
      <c r="K4004" s="89">
        <f>+L4004-J4270</f>
        <v>540</v>
      </c>
      <c r="L4004" s="7">
        <v>540</v>
      </c>
      <c r="M4004" s="10">
        <f t="shared" si="240"/>
        <v>34.761111111111113</v>
      </c>
    </row>
    <row r="4005" spans="1:13" ht="15.75" hidden="1" customHeight="1" x14ac:dyDescent="0.3">
      <c r="A4005" s="9">
        <v>5334</v>
      </c>
      <c r="B4005" t="s">
        <v>208</v>
      </c>
      <c r="C4005" s="25">
        <v>44714</v>
      </c>
      <c r="D4005" s="26">
        <v>0.90075231481481488</v>
      </c>
      <c r="E4005" t="s">
        <v>29</v>
      </c>
      <c r="F4005" t="s">
        <v>639</v>
      </c>
      <c r="G4005" t="s">
        <v>44</v>
      </c>
      <c r="H4005" t="s">
        <v>209</v>
      </c>
      <c r="I4005">
        <v>115.68</v>
      </c>
      <c r="J4005" s="32">
        <v>0</v>
      </c>
      <c r="K4005" s="89">
        <f>+L4005-J4270</f>
        <v>1153</v>
      </c>
      <c r="L4005" s="7">
        <v>1153</v>
      </c>
      <c r="M4005" s="10">
        <f t="shared" si="240"/>
        <v>10.032957502168257</v>
      </c>
    </row>
    <row r="4006" spans="1:13" ht="15.75" hidden="1" customHeight="1" x14ac:dyDescent="0.3">
      <c r="A4006" s="9">
        <v>5400</v>
      </c>
      <c r="B4006" t="s">
        <v>208</v>
      </c>
      <c r="C4006" s="25">
        <v>44715</v>
      </c>
      <c r="D4006" s="26">
        <v>0.33771990740740737</v>
      </c>
      <c r="E4006" t="s">
        <v>29</v>
      </c>
      <c r="F4006" t="s">
        <v>634</v>
      </c>
      <c r="G4006" t="s">
        <v>211</v>
      </c>
      <c r="H4006" t="s">
        <v>209</v>
      </c>
      <c r="I4006">
        <v>500</v>
      </c>
      <c r="J4006" s="32">
        <v>0</v>
      </c>
      <c r="K4006" s="89">
        <v>587</v>
      </c>
      <c r="L4006" s="7">
        <v>587</v>
      </c>
      <c r="M4006" s="10">
        <f t="shared" si="240"/>
        <v>85.178875638841561</v>
      </c>
    </row>
    <row r="4007" spans="1:13" ht="15.75" hidden="1" customHeight="1" x14ac:dyDescent="0.3">
      <c r="A4007" s="9">
        <v>5453</v>
      </c>
      <c r="B4007" t="s">
        <v>208</v>
      </c>
      <c r="C4007" s="25">
        <v>44716</v>
      </c>
      <c r="D4007" s="26">
        <v>7.829861111111111E-2</v>
      </c>
      <c r="E4007" t="s">
        <v>29</v>
      </c>
      <c r="F4007" t="s">
        <v>635</v>
      </c>
      <c r="G4007" t="s">
        <v>185</v>
      </c>
      <c r="H4007" t="s">
        <v>209</v>
      </c>
      <c r="I4007">
        <v>274.14999999999998</v>
      </c>
      <c r="J4007" s="32">
        <v>0</v>
      </c>
      <c r="K4007" s="89">
        <f>+L4007-J4266</f>
        <v>541</v>
      </c>
      <c r="L4007" s="34">
        <v>541</v>
      </c>
      <c r="M4007" s="10">
        <f t="shared" si="240"/>
        <v>50.674676524953789</v>
      </c>
    </row>
    <row r="4008" spans="1:13" ht="15.75" hidden="1" customHeight="1" x14ac:dyDescent="0.3">
      <c r="A4008" s="9">
        <v>5550</v>
      </c>
      <c r="B4008" t="s">
        <v>208</v>
      </c>
      <c r="C4008" s="25">
        <v>44718</v>
      </c>
      <c r="D4008" s="26">
        <v>0.58270833333333327</v>
      </c>
      <c r="E4008" t="s">
        <v>29</v>
      </c>
      <c r="F4008" t="s">
        <v>642</v>
      </c>
      <c r="G4008" t="s">
        <v>203</v>
      </c>
      <c r="H4008" t="s">
        <v>209</v>
      </c>
      <c r="I4008">
        <v>150</v>
      </c>
      <c r="J4008" s="32">
        <v>0</v>
      </c>
      <c r="K4008" s="89">
        <f>+L4008-J3573</f>
        <v>1054</v>
      </c>
      <c r="L4008" s="7">
        <v>1054</v>
      </c>
      <c r="M4008" s="10">
        <f t="shared" si="240"/>
        <v>14.231499051233396</v>
      </c>
    </row>
    <row r="4009" spans="1:13" ht="15.75" hidden="1" customHeight="1" x14ac:dyDescent="0.3">
      <c r="A4009" s="9">
        <v>5592</v>
      </c>
      <c r="B4009" t="s">
        <v>208</v>
      </c>
      <c r="C4009" s="25">
        <v>44719</v>
      </c>
      <c r="D4009" s="26">
        <v>5.2141203703703703E-2</v>
      </c>
      <c r="E4009" t="s">
        <v>29</v>
      </c>
      <c r="F4009" t="s">
        <v>635</v>
      </c>
      <c r="G4009" t="s">
        <v>185</v>
      </c>
      <c r="H4009" t="s">
        <v>209</v>
      </c>
      <c r="I4009">
        <v>392.03</v>
      </c>
      <c r="J4009" s="7">
        <v>0</v>
      </c>
      <c r="K4009" s="89">
        <f>+L4009-J3567</f>
        <v>541</v>
      </c>
      <c r="L4009" s="7">
        <v>541</v>
      </c>
      <c r="M4009" s="10">
        <f t="shared" si="240"/>
        <v>72.46395563770794</v>
      </c>
    </row>
    <row r="4010" spans="1:13" ht="15.75" hidden="1" customHeight="1" x14ac:dyDescent="0.3">
      <c r="A4010" s="9">
        <v>5593</v>
      </c>
      <c r="B4010" t="s">
        <v>208</v>
      </c>
      <c r="C4010" s="25">
        <v>44719</v>
      </c>
      <c r="D4010" s="26">
        <v>0.87649305555555557</v>
      </c>
      <c r="E4010" t="s">
        <v>29</v>
      </c>
      <c r="F4010" t="s">
        <v>634</v>
      </c>
      <c r="G4010" t="s">
        <v>211</v>
      </c>
      <c r="H4010" t="s">
        <v>209</v>
      </c>
      <c r="I4010">
        <v>154.72</v>
      </c>
      <c r="J4010" s="7">
        <v>0</v>
      </c>
      <c r="K4010" s="89">
        <f>+L4010-J3568</f>
        <v>548</v>
      </c>
      <c r="L4010" s="7">
        <v>548</v>
      </c>
      <c r="M4010" s="10">
        <f t="shared" si="240"/>
        <v>28.233576642335766</v>
      </c>
    </row>
    <row r="4011" spans="1:13" ht="15.75" hidden="1" customHeight="1" x14ac:dyDescent="0.3">
      <c r="A4011" s="9">
        <v>6165</v>
      </c>
      <c r="B4011" t="s">
        <v>208</v>
      </c>
      <c r="C4011" s="25">
        <v>44729</v>
      </c>
      <c r="D4011" s="26">
        <v>0.63731481481481478</v>
      </c>
      <c r="E4011" t="s">
        <v>29</v>
      </c>
      <c r="F4011" t="s">
        <v>639</v>
      </c>
      <c r="G4011" t="s">
        <v>44</v>
      </c>
      <c r="H4011" t="s">
        <v>754</v>
      </c>
      <c r="I4011">
        <v>284</v>
      </c>
      <c r="J4011" s="192">
        <v>0</v>
      </c>
      <c r="K4011" s="146"/>
      <c r="L4011" s="209"/>
      <c r="M4011" s="220"/>
    </row>
    <row r="4012" spans="1:13" ht="15.75" hidden="1" customHeight="1" x14ac:dyDescent="0.3">
      <c r="A4012" s="9">
        <v>6166</v>
      </c>
      <c r="B4012" t="s">
        <v>208</v>
      </c>
      <c r="C4012" s="25">
        <v>44729</v>
      </c>
      <c r="D4012" s="26">
        <v>0.97226851851851848</v>
      </c>
      <c r="E4012" t="s">
        <v>29</v>
      </c>
      <c r="F4012" t="s">
        <v>632</v>
      </c>
      <c r="G4012" t="s">
        <v>161</v>
      </c>
      <c r="H4012" t="s">
        <v>754</v>
      </c>
      <c r="I4012">
        <v>373.94</v>
      </c>
      <c r="J4012" s="192">
        <v>0</v>
      </c>
      <c r="K4012" s="146">
        <v>511</v>
      </c>
      <c r="L4012" s="180">
        <v>511</v>
      </c>
      <c r="M4012" s="143">
        <f t="shared" ref="M4012:M4018" si="242">+I4012/K4012*100</f>
        <v>73.178082191780831</v>
      </c>
    </row>
    <row r="4013" spans="1:13" ht="15.75" hidden="1" customHeight="1" x14ac:dyDescent="0.3">
      <c r="A4013" s="9">
        <v>6242</v>
      </c>
      <c r="B4013" t="s">
        <v>208</v>
      </c>
      <c r="C4013" s="25">
        <v>44731</v>
      </c>
      <c r="D4013" s="26">
        <v>1.9375E-2</v>
      </c>
      <c r="E4013" t="s">
        <v>29</v>
      </c>
      <c r="F4013" t="s">
        <v>645</v>
      </c>
      <c r="G4013" t="s">
        <v>279</v>
      </c>
      <c r="H4013" t="s">
        <v>754</v>
      </c>
      <c r="I4013">
        <v>277.02999999999997</v>
      </c>
      <c r="J4013" s="192">
        <v>0</v>
      </c>
      <c r="K4013" s="146">
        <v>645</v>
      </c>
      <c r="L4013" s="180">
        <v>645</v>
      </c>
      <c r="M4013" s="143">
        <f t="shared" si="242"/>
        <v>42.950387596899219</v>
      </c>
    </row>
    <row r="4014" spans="1:13" ht="15.75" hidden="1" customHeight="1" x14ac:dyDescent="0.3">
      <c r="A4014" s="9">
        <v>6243</v>
      </c>
      <c r="B4014" t="s">
        <v>208</v>
      </c>
      <c r="C4014" s="25">
        <v>44731</v>
      </c>
      <c r="D4014" s="26">
        <v>0.62767361111111108</v>
      </c>
      <c r="E4014" t="s">
        <v>29</v>
      </c>
      <c r="F4014" t="s">
        <v>642</v>
      </c>
      <c r="G4014" t="s">
        <v>203</v>
      </c>
      <c r="H4014" t="s">
        <v>754</v>
      </c>
      <c r="I4014">
        <v>105.02</v>
      </c>
      <c r="J4014" s="72">
        <v>0</v>
      </c>
      <c r="K4014" s="146">
        <v>377</v>
      </c>
      <c r="L4014" s="217">
        <v>377</v>
      </c>
      <c r="M4014" s="143">
        <f t="shared" si="242"/>
        <v>27.856763925729446</v>
      </c>
    </row>
    <row r="4015" spans="1:13" ht="15.75" hidden="1" customHeight="1" x14ac:dyDescent="0.3">
      <c r="A4015" s="9">
        <v>6300</v>
      </c>
      <c r="B4015" t="s">
        <v>208</v>
      </c>
      <c r="C4015" s="25">
        <v>44733</v>
      </c>
      <c r="D4015" s="26">
        <v>0.90634259259259264</v>
      </c>
      <c r="E4015" t="s">
        <v>29</v>
      </c>
      <c r="F4015" t="s">
        <v>645</v>
      </c>
      <c r="G4015" t="s">
        <v>279</v>
      </c>
      <c r="H4015" t="s">
        <v>754</v>
      </c>
      <c r="I4015">
        <v>354.01</v>
      </c>
      <c r="J4015" s="72">
        <v>0</v>
      </c>
      <c r="K4015" s="146">
        <v>895</v>
      </c>
      <c r="L4015" s="123">
        <v>895</v>
      </c>
      <c r="M4015" s="143">
        <f t="shared" si="242"/>
        <v>39.55418994413408</v>
      </c>
    </row>
    <row r="4016" spans="1:13" ht="15.75" hidden="1" customHeight="1" x14ac:dyDescent="0.3">
      <c r="A4016" s="9">
        <v>6501</v>
      </c>
      <c r="B4016" t="s">
        <v>208</v>
      </c>
      <c r="C4016" s="25">
        <v>44737</v>
      </c>
      <c r="D4016" s="26">
        <v>9.6157407407407414E-2</v>
      </c>
      <c r="E4016" t="s">
        <v>29</v>
      </c>
      <c r="F4016" t="s">
        <v>634</v>
      </c>
      <c r="G4016" t="s">
        <v>211</v>
      </c>
      <c r="H4016" t="s">
        <v>754</v>
      </c>
      <c r="I4016">
        <v>283.5</v>
      </c>
      <c r="J4016" s="32">
        <v>0</v>
      </c>
      <c r="K4016" s="146">
        <v>727</v>
      </c>
      <c r="L4016" s="123">
        <v>727</v>
      </c>
      <c r="M4016" s="143">
        <f t="shared" si="242"/>
        <v>38.995873452544707</v>
      </c>
    </row>
    <row r="4017" spans="1:13" ht="15.75" hidden="1" customHeight="1" x14ac:dyDescent="0.3">
      <c r="A4017" s="9">
        <v>6659</v>
      </c>
      <c r="B4017" t="s">
        <v>208</v>
      </c>
      <c r="C4017" s="25">
        <v>44740</v>
      </c>
      <c r="D4017" s="26">
        <v>0.33189814814814816</v>
      </c>
      <c r="E4017" t="s">
        <v>29</v>
      </c>
      <c r="F4017" t="s">
        <v>639</v>
      </c>
      <c r="G4017" t="s">
        <v>44</v>
      </c>
      <c r="H4017" t="s">
        <v>754</v>
      </c>
      <c r="I4017">
        <v>99.36</v>
      </c>
      <c r="J4017" s="32">
        <v>0</v>
      </c>
      <c r="K4017" s="89">
        <v>1167</v>
      </c>
      <c r="L4017" s="7">
        <v>1167</v>
      </c>
      <c r="M4017" s="143">
        <f t="shared" si="242"/>
        <v>8.5141388174807187</v>
      </c>
    </row>
    <row r="4018" spans="1:13" ht="15.75" hidden="1" customHeight="1" x14ac:dyDescent="0.3">
      <c r="A4018" s="9">
        <v>6660</v>
      </c>
      <c r="B4018" t="s">
        <v>208</v>
      </c>
      <c r="C4018" s="25">
        <v>44740</v>
      </c>
      <c r="D4018" s="26">
        <v>0.84008101851851846</v>
      </c>
      <c r="E4018" t="s">
        <v>29</v>
      </c>
      <c r="F4018" t="s">
        <v>632</v>
      </c>
      <c r="G4018" t="s">
        <v>161</v>
      </c>
      <c r="H4018" t="s">
        <v>754</v>
      </c>
      <c r="I4018">
        <v>420.86</v>
      </c>
      <c r="J4018" s="32">
        <v>0</v>
      </c>
      <c r="K4018" s="89">
        <v>511</v>
      </c>
      <c r="L4018" s="7">
        <v>511</v>
      </c>
      <c r="M4018" s="143">
        <f t="shared" si="242"/>
        <v>82.360078277886501</v>
      </c>
    </row>
    <row r="4019" spans="1:13" ht="15.75" hidden="1" customHeight="1" x14ac:dyDescent="0.3">
      <c r="A4019" s="9">
        <v>6751</v>
      </c>
      <c r="B4019" t="s">
        <v>208</v>
      </c>
      <c r="C4019" s="25">
        <v>44742</v>
      </c>
      <c r="D4019" s="26">
        <v>0.77599537037037036</v>
      </c>
      <c r="E4019" t="s">
        <v>29</v>
      </c>
      <c r="F4019" t="s">
        <v>210</v>
      </c>
      <c r="G4019" t="s">
        <v>211</v>
      </c>
      <c r="H4019" t="s">
        <v>754</v>
      </c>
      <c r="I4019" s="148">
        <v>450.03</v>
      </c>
      <c r="J4019" s="54"/>
      <c r="K4019" s="56">
        <v>7538</v>
      </c>
      <c r="L4019" s="54">
        <f>+K4019-J4019</f>
        <v>7538</v>
      </c>
      <c r="M4019" s="131">
        <f>I4019/L4019*100</f>
        <v>5.9701512337490046</v>
      </c>
    </row>
    <row r="4020" spans="1:13" ht="15.75" hidden="1" customHeight="1" x14ac:dyDescent="0.3">
      <c r="B4020" t="s">
        <v>190</v>
      </c>
      <c r="C4020" s="25">
        <v>44758</v>
      </c>
      <c r="D4020" s="26">
        <v>0.49107638888888888</v>
      </c>
      <c r="E4020" t="s">
        <v>30</v>
      </c>
      <c r="F4020" t="s">
        <v>428</v>
      </c>
      <c r="G4020" t="s">
        <v>429</v>
      </c>
      <c r="H4020" t="s">
        <v>191</v>
      </c>
      <c r="I4020" s="173">
        <v>200</v>
      </c>
      <c r="J4020" s="233"/>
      <c r="K4020" s="260" t="s">
        <v>1074</v>
      </c>
      <c r="L4020" s="233"/>
      <c r="M4020" s="254"/>
    </row>
    <row r="4021" spans="1:13" ht="15.75" hidden="1" customHeight="1" x14ac:dyDescent="0.3">
      <c r="B4021" t="s">
        <v>190</v>
      </c>
      <c r="C4021" s="25">
        <v>44758</v>
      </c>
      <c r="D4021" s="26">
        <v>0.80453703703703694</v>
      </c>
      <c r="E4021" t="s">
        <v>30</v>
      </c>
      <c r="F4021" t="s">
        <v>772</v>
      </c>
      <c r="G4021" t="s">
        <v>44</v>
      </c>
      <c r="H4021" t="s">
        <v>191</v>
      </c>
      <c r="I4021" s="244">
        <v>134.77000000000001</v>
      </c>
      <c r="J4021" s="274"/>
      <c r="K4021" s="278" t="s">
        <v>1074</v>
      </c>
      <c r="L4021" s="274"/>
      <c r="M4021" s="267"/>
    </row>
    <row r="4022" spans="1:13" ht="15.75" hidden="1" customHeight="1" x14ac:dyDescent="0.3">
      <c r="B4022" t="s">
        <v>190</v>
      </c>
      <c r="C4022" s="25">
        <v>44759</v>
      </c>
      <c r="D4022" s="26">
        <v>0.52523148148148147</v>
      </c>
      <c r="E4022" t="s">
        <v>30</v>
      </c>
      <c r="F4022" t="s">
        <v>774</v>
      </c>
      <c r="G4022" t="s">
        <v>161</v>
      </c>
      <c r="H4022" t="s">
        <v>191</v>
      </c>
      <c r="I4022" s="159">
        <v>341.9</v>
      </c>
      <c r="J4022" s="288"/>
      <c r="K4022" s="290" t="s">
        <v>1074</v>
      </c>
      <c r="L4022" s="288"/>
      <c r="M4022" s="298"/>
    </row>
    <row r="4023" spans="1:13" ht="15.75" hidden="1" customHeight="1" x14ac:dyDescent="0.3">
      <c r="B4023" t="s">
        <v>190</v>
      </c>
      <c r="C4023" s="25">
        <v>44760</v>
      </c>
      <c r="D4023" s="26">
        <v>0.72666666666666668</v>
      </c>
      <c r="E4023" t="s">
        <v>30</v>
      </c>
      <c r="F4023" t="s">
        <v>210</v>
      </c>
      <c r="G4023" t="s">
        <v>211</v>
      </c>
      <c r="H4023" t="s">
        <v>191</v>
      </c>
      <c r="I4023" s="8">
        <v>461.36</v>
      </c>
      <c r="J4023" s="8"/>
      <c r="K4023" s="260" t="s">
        <v>1074</v>
      </c>
      <c r="L4023" s="8" t="e">
        <f t="shared" ref="L4023:L4029" si="243">+K4023-J4023</f>
        <v>#VALUE!</v>
      </c>
      <c r="M4023" s="254" t="e">
        <f t="shared" ref="M4023:M4029" si="244">+J4023/L4023*100</f>
        <v>#VALUE!</v>
      </c>
    </row>
    <row r="4024" spans="1:13" ht="15.75" hidden="1" customHeight="1" x14ac:dyDescent="0.3">
      <c r="B4024" t="s">
        <v>190</v>
      </c>
      <c r="C4024" s="25">
        <v>44762</v>
      </c>
      <c r="D4024" s="26">
        <v>0.48621527777777779</v>
      </c>
      <c r="E4024" t="s">
        <v>30</v>
      </c>
      <c r="F4024" t="s">
        <v>492</v>
      </c>
      <c r="G4024" t="s">
        <v>44</v>
      </c>
      <c r="H4024" t="s">
        <v>191</v>
      </c>
      <c r="I4024" s="8">
        <v>433.97</v>
      </c>
      <c r="J4024" s="8"/>
      <c r="K4024" s="260" t="s">
        <v>1074</v>
      </c>
      <c r="L4024" s="8" t="e">
        <f t="shared" si="243"/>
        <v>#VALUE!</v>
      </c>
      <c r="M4024" s="254" t="e">
        <f t="shared" si="244"/>
        <v>#VALUE!</v>
      </c>
    </row>
    <row r="4025" spans="1:13" hidden="1" x14ac:dyDescent="0.3">
      <c r="B4025" t="s">
        <v>190</v>
      </c>
      <c r="C4025" s="25">
        <v>44763</v>
      </c>
      <c r="D4025" s="26">
        <v>0.36311342592592594</v>
      </c>
      <c r="E4025" t="s">
        <v>30</v>
      </c>
      <c r="F4025" t="s">
        <v>166</v>
      </c>
      <c r="G4025" t="s">
        <v>161</v>
      </c>
      <c r="H4025" t="s">
        <v>191</v>
      </c>
      <c r="I4025" s="8">
        <v>222.02</v>
      </c>
      <c r="J4025" s="8"/>
      <c r="K4025" s="260" t="s">
        <v>1074</v>
      </c>
      <c r="L4025" s="8" t="e">
        <f t="shared" si="243"/>
        <v>#VALUE!</v>
      </c>
      <c r="M4025" s="254" t="e">
        <f t="shared" si="244"/>
        <v>#VALUE!</v>
      </c>
    </row>
    <row r="4026" spans="1:13" ht="15.75" hidden="1" customHeight="1" x14ac:dyDescent="0.3">
      <c r="B4026" t="s">
        <v>190</v>
      </c>
      <c r="C4026" s="25">
        <v>44764</v>
      </c>
      <c r="D4026" s="26">
        <v>0.46427083333333335</v>
      </c>
      <c r="E4026" t="s">
        <v>30</v>
      </c>
      <c r="F4026" t="s">
        <v>210</v>
      </c>
      <c r="G4026" t="s">
        <v>211</v>
      </c>
      <c r="H4026" t="s">
        <v>191</v>
      </c>
      <c r="I4026" s="8">
        <v>427.22</v>
      </c>
      <c r="J4026" s="8"/>
      <c r="K4026" s="260" t="s">
        <v>1074</v>
      </c>
      <c r="L4026" s="8" t="e">
        <f t="shared" si="243"/>
        <v>#VALUE!</v>
      </c>
      <c r="M4026" s="254" t="e">
        <f t="shared" si="244"/>
        <v>#VALUE!</v>
      </c>
    </row>
    <row r="4027" spans="1:13" ht="15.75" hidden="1" customHeight="1" x14ac:dyDescent="0.3">
      <c r="B4027" t="s">
        <v>190</v>
      </c>
      <c r="C4027" s="25">
        <v>44765</v>
      </c>
      <c r="D4027" s="26">
        <v>0.85153935185185192</v>
      </c>
      <c r="E4027" t="s">
        <v>30</v>
      </c>
      <c r="F4027" t="s">
        <v>492</v>
      </c>
      <c r="G4027" t="s">
        <v>44</v>
      </c>
      <c r="H4027" t="s">
        <v>191</v>
      </c>
      <c r="I4027" s="8">
        <v>326.51</v>
      </c>
      <c r="J4027" s="8"/>
      <c r="K4027" s="260" t="s">
        <v>1074</v>
      </c>
      <c r="L4027" s="8" t="e">
        <f t="shared" si="243"/>
        <v>#VALUE!</v>
      </c>
      <c r="M4027" s="254" t="e">
        <f t="shared" si="244"/>
        <v>#VALUE!</v>
      </c>
    </row>
    <row r="4028" spans="1:13" ht="15.75" hidden="1" customHeight="1" x14ac:dyDescent="0.3">
      <c r="B4028" t="s">
        <v>190</v>
      </c>
      <c r="C4028" s="25">
        <v>44766</v>
      </c>
      <c r="D4028" s="26">
        <v>0.56468750000000001</v>
      </c>
      <c r="E4028" t="s">
        <v>30</v>
      </c>
      <c r="F4028" t="s">
        <v>210</v>
      </c>
      <c r="G4028" t="s">
        <v>211</v>
      </c>
      <c r="H4028" t="s">
        <v>191</v>
      </c>
      <c r="I4028" s="8">
        <v>359.85</v>
      </c>
      <c r="J4028" s="8"/>
      <c r="K4028" s="260" t="s">
        <v>1074</v>
      </c>
      <c r="L4028" s="8" t="e">
        <f t="shared" si="243"/>
        <v>#VALUE!</v>
      </c>
      <c r="M4028" s="254" t="e">
        <f t="shared" si="244"/>
        <v>#VALUE!</v>
      </c>
    </row>
    <row r="4029" spans="1:13" ht="15.75" hidden="1" customHeight="1" x14ac:dyDescent="0.3">
      <c r="B4029" t="s">
        <v>190</v>
      </c>
      <c r="C4029" s="25">
        <v>44767</v>
      </c>
      <c r="D4029" s="26">
        <v>0.65539351851851857</v>
      </c>
      <c r="E4029" t="s">
        <v>30</v>
      </c>
      <c r="F4029" t="s">
        <v>210</v>
      </c>
      <c r="G4029" t="s">
        <v>211</v>
      </c>
      <c r="H4029" t="s">
        <v>191</v>
      </c>
      <c r="I4029" s="8">
        <v>400.39</v>
      </c>
      <c r="J4029" s="8"/>
      <c r="K4029" s="260" t="s">
        <v>1074</v>
      </c>
      <c r="L4029" s="8" t="e">
        <f t="shared" si="243"/>
        <v>#VALUE!</v>
      </c>
      <c r="M4029" s="254" t="e">
        <f t="shared" si="244"/>
        <v>#VALUE!</v>
      </c>
    </row>
    <row r="4030" spans="1:13" ht="15.75" hidden="1" customHeight="1" x14ac:dyDescent="0.3">
      <c r="B4030" t="s">
        <v>223</v>
      </c>
      <c r="C4030" s="25">
        <v>44565</v>
      </c>
      <c r="D4030" s="26">
        <v>8.5694444444444448E-2</v>
      </c>
      <c r="E4030" t="s">
        <v>24</v>
      </c>
      <c r="F4030" t="s">
        <v>294</v>
      </c>
      <c r="G4030" t="s">
        <v>295</v>
      </c>
      <c r="H4030" t="s">
        <v>224</v>
      </c>
      <c r="I4030">
        <v>256.19</v>
      </c>
      <c r="J4030" s="34">
        <v>0</v>
      </c>
      <c r="K4030" s="30">
        <f t="shared" ref="K4030:K4070" si="245">+L4030-J4030</f>
        <v>572.47</v>
      </c>
      <c r="L4030" s="34">
        <v>572.47</v>
      </c>
      <c r="M4030" s="118">
        <f t="shared" ref="M4030:M4076" si="246">I4030/K4030*100</f>
        <v>44.751690044893181</v>
      </c>
    </row>
    <row r="4031" spans="1:13" ht="15.75" hidden="1" customHeight="1" x14ac:dyDescent="0.3">
      <c r="B4031" t="s">
        <v>223</v>
      </c>
      <c r="C4031" s="25">
        <v>44566</v>
      </c>
      <c r="D4031" s="26">
        <v>0.70773148148148157</v>
      </c>
      <c r="E4031" t="s">
        <v>24</v>
      </c>
      <c r="F4031" t="s">
        <v>378</v>
      </c>
      <c r="G4031" t="s">
        <v>379</v>
      </c>
      <c r="H4031" t="s">
        <v>224</v>
      </c>
      <c r="I4031">
        <v>374.48</v>
      </c>
      <c r="J4031" s="7">
        <v>0</v>
      </c>
      <c r="K4031" s="11">
        <f t="shared" si="245"/>
        <v>926.12</v>
      </c>
      <c r="L4031" s="7">
        <v>926.12</v>
      </c>
      <c r="M4031" s="36">
        <f t="shared" si="246"/>
        <v>40.43536474754891</v>
      </c>
    </row>
    <row r="4032" spans="1:13" ht="15.75" hidden="1" customHeight="1" x14ac:dyDescent="0.3">
      <c r="B4032" t="s">
        <v>223</v>
      </c>
      <c r="C4032" s="25">
        <v>44567</v>
      </c>
      <c r="D4032" s="26">
        <v>0.43725694444444446</v>
      </c>
      <c r="E4032" t="s">
        <v>24</v>
      </c>
      <c r="F4032" t="s">
        <v>234</v>
      </c>
      <c r="G4032" t="s">
        <v>235</v>
      </c>
      <c r="H4032" t="s">
        <v>224</v>
      </c>
      <c r="I4032">
        <v>246.98</v>
      </c>
      <c r="J4032" s="7">
        <v>0</v>
      </c>
      <c r="K4032" s="11">
        <f t="shared" si="245"/>
        <v>617.16999999999996</v>
      </c>
      <c r="L4032" s="7">
        <v>617.16999999999996</v>
      </c>
      <c r="M4032" s="36">
        <f t="shared" si="246"/>
        <v>40.01814735000081</v>
      </c>
    </row>
    <row r="4033" spans="1:13" ht="15.75" hidden="1" customHeight="1" x14ac:dyDescent="0.3">
      <c r="B4033" t="s">
        <v>223</v>
      </c>
      <c r="C4033" s="25">
        <v>44568</v>
      </c>
      <c r="D4033" s="26">
        <v>0.94387731481481474</v>
      </c>
      <c r="E4033" t="s">
        <v>24</v>
      </c>
      <c r="F4033" t="s">
        <v>234</v>
      </c>
      <c r="G4033" t="s">
        <v>235</v>
      </c>
      <c r="H4033" t="s">
        <v>224</v>
      </c>
      <c r="I4033">
        <v>316.08999999999997</v>
      </c>
      <c r="J4033" s="7">
        <v>0</v>
      </c>
      <c r="K4033" s="11">
        <f t="shared" si="245"/>
        <v>812.22</v>
      </c>
      <c r="L4033" s="7">
        <v>812.22</v>
      </c>
      <c r="M4033" s="36">
        <f t="shared" si="246"/>
        <v>38.916795941986159</v>
      </c>
    </row>
    <row r="4034" spans="1:13" ht="15.75" hidden="1" customHeight="1" x14ac:dyDescent="0.3">
      <c r="B4034" t="s">
        <v>223</v>
      </c>
      <c r="C4034" s="25">
        <v>44571</v>
      </c>
      <c r="D4034" s="26">
        <v>0.41622685185185188</v>
      </c>
      <c r="E4034" t="s">
        <v>24</v>
      </c>
      <c r="F4034" t="s">
        <v>371</v>
      </c>
      <c r="G4034" t="s">
        <v>372</v>
      </c>
      <c r="H4034" t="s">
        <v>224</v>
      </c>
      <c r="I4034">
        <v>286.02</v>
      </c>
      <c r="J4034" s="39">
        <v>0</v>
      </c>
      <c r="K4034" s="7">
        <f t="shared" si="245"/>
        <v>683.54</v>
      </c>
      <c r="L4034" s="30">
        <v>683.54</v>
      </c>
      <c r="M4034" s="10">
        <f t="shared" si="246"/>
        <v>41.84393012844896</v>
      </c>
    </row>
    <row r="4035" spans="1:13" ht="15.75" hidden="1" customHeight="1" x14ac:dyDescent="0.3">
      <c r="B4035" t="s">
        <v>223</v>
      </c>
      <c r="C4035" s="25">
        <v>44572</v>
      </c>
      <c r="D4035" s="26">
        <v>0.84993055555555552</v>
      </c>
      <c r="E4035" t="s">
        <v>24</v>
      </c>
      <c r="F4035" t="s">
        <v>368</v>
      </c>
      <c r="G4035" t="s">
        <v>369</v>
      </c>
      <c r="H4035" t="s">
        <v>224</v>
      </c>
      <c r="I4035">
        <v>342.76</v>
      </c>
      <c r="J4035" s="39">
        <v>0</v>
      </c>
      <c r="K4035" s="7">
        <f t="shared" si="245"/>
        <v>1042.27</v>
      </c>
      <c r="L4035" s="11">
        <v>1042.27</v>
      </c>
      <c r="M4035" s="10">
        <f t="shared" si="246"/>
        <v>32.885912479491878</v>
      </c>
    </row>
    <row r="4036" spans="1:13" ht="15.75" hidden="1" customHeight="1" x14ac:dyDescent="0.3">
      <c r="B4036" t="s">
        <v>223</v>
      </c>
      <c r="C4036" s="25">
        <v>44574</v>
      </c>
      <c r="D4036" s="26">
        <v>0.87011574074074083</v>
      </c>
      <c r="E4036" t="s">
        <v>24</v>
      </c>
      <c r="F4036" t="s">
        <v>241</v>
      </c>
      <c r="G4036" t="s">
        <v>242</v>
      </c>
      <c r="H4036" t="s">
        <v>224</v>
      </c>
      <c r="I4036">
        <v>100</v>
      </c>
      <c r="J4036" s="39">
        <v>0</v>
      </c>
      <c r="K4036" s="7">
        <f t="shared" si="245"/>
        <v>632.82000000000005</v>
      </c>
      <c r="L4036" s="11">
        <v>632.82000000000005</v>
      </c>
      <c r="M4036" s="10">
        <f t="shared" si="246"/>
        <v>15.802281849499067</v>
      </c>
    </row>
    <row r="4037" spans="1:13" ht="15.75" hidden="1" customHeight="1" x14ac:dyDescent="0.3">
      <c r="B4037" t="s">
        <v>223</v>
      </c>
      <c r="C4037" s="25">
        <v>44575</v>
      </c>
      <c r="D4037" s="26">
        <v>0.23590277777777779</v>
      </c>
      <c r="E4037" t="s">
        <v>24</v>
      </c>
      <c r="F4037" t="s">
        <v>331</v>
      </c>
      <c r="G4037" t="s">
        <v>277</v>
      </c>
      <c r="H4037" t="s">
        <v>224</v>
      </c>
      <c r="I4037">
        <v>315.48</v>
      </c>
      <c r="J4037" s="39">
        <v>0</v>
      </c>
      <c r="K4037" s="7">
        <f t="shared" si="245"/>
        <v>423.38</v>
      </c>
      <c r="L4037" s="11">
        <v>423.38</v>
      </c>
      <c r="M4037" s="10">
        <f t="shared" si="246"/>
        <v>74.51462043554254</v>
      </c>
    </row>
    <row r="4038" spans="1:13" ht="15.75" hidden="1" customHeight="1" x14ac:dyDescent="0.3">
      <c r="B4038" t="s">
        <v>223</v>
      </c>
      <c r="C4038" s="25">
        <v>44578</v>
      </c>
      <c r="D4038" s="26">
        <v>0.6775578703703703</v>
      </c>
      <c r="E4038" t="s">
        <v>24</v>
      </c>
      <c r="F4038" t="s">
        <v>326</v>
      </c>
      <c r="G4038" t="s">
        <v>327</v>
      </c>
      <c r="H4038" t="s">
        <v>224</v>
      </c>
      <c r="I4038">
        <v>195.48</v>
      </c>
      <c r="J4038" s="39">
        <v>0</v>
      </c>
      <c r="K4038" s="7">
        <f t="shared" si="245"/>
        <v>504.1</v>
      </c>
      <c r="L4038" s="11">
        <v>504.1</v>
      </c>
      <c r="M4038" s="10">
        <f t="shared" si="246"/>
        <v>38.778020234080536</v>
      </c>
    </row>
    <row r="4039" spans="1:13" ht="15.75" hidden="1" customHeight="1" x14ac:dyDescent="0.3">
      <c r="B4039" t="s">
        <v>223</v>
      </c>
      <c r="C4039" s="25">
        <v>44580</v>
      </c>
      <c r="D4039" s="26">
        <v>0.61668981481481489</v>
      </c>
      <c r="E4039" t="s">
        <v>24</v>
      </c>
      <c r="F4039" t="s">
        <v>385</v>
      </c>
      <c r="G4039" t="s">
        <v>386</v>
      </c>
      <c r="H4039" t="s">
        <v>224</v>
      </c>
      <c r="I4039">
        <v>334.66</v>
      </c>
      <c r="J4039" s="39">
        <v>0</v>
      </c>
      <c r="K4039" s="7">
        <f t="shared" si="245"/>
        <v>921.43</v>
      </c>
      <c r="L4039" s="11">
        <v>921.43</v>
      </c>
      <c r="M4039" s="10">
        <f t="shared" si="246"/>
        <v>36.319633612971145</v>
      </c>
    </row>
    <row r="4040" spans="1:13" ht="15.75" hidden="1" customHeight="1" x14ac:dyDescent="0.3">
      <c r="B4040" t="s">
        <v>223</v>
      </c>
      <c r="C4040" s="25">
        <v>44581</v>
      </c>
      <c r="D4040" s="26">
        <v>0.20527777777777778</v>
      </c>
      <c r="E4040" t="s">
        <v>24</v>
      </c>
      <c r="F4040" t="s">
        <v>291</v>
      </c>
      <c r="G4040" t="s">
        <v>347</v>
      </c>
      <c r="H4040" t="s">
        <v>224</v>
      </c>
      <c r="I4040">
        <v>323.17</v>
      </c>
      <c r="J4040" s="7">
        <v>0</v>
      </c>
      <c r="K4040" s="34">
        <f t="shared" si="245"/>
        <v>906.6</v>
      </c>
      <c r="L4040" s="34">
        <v>906.6</v>
      </c>
      <c r="M4040" s="10">
        <f t="shared" si="246"/>
        <v>35.646371056695344</v>
      </c>
    </row>
    <row r="4041" spans="1:13" ht="15.75" hidden="1" customHeight="1" x14ac:dyDescent="0.3">
      <c r="B4041" t="s">
        <v>223</v>
      </c>
      <c r="C4041" s="25">
        <v>44582</v>
      </c>
      <c r="D4041" s="26">
        <v>0.63817129629629632</v>
      </c>
      <c r="E4041" t="s">
        <v>24</v>
      </c>
      <c r="F4041" t="s">
        <v>385</v>
      </c>
      <c r="G4041" t="s">
        <v>386</v>
      </c>
      <c r="H4041" t="s">
        <v>224</v>
      </c>
      <c r="I4041">
        <v>342.58</v>
      </c>
      <c r="J4041" s="7">
        <v>0</v>
      </c>
      <c r="K4041" s="31">
        <f t="shared" si="245"/>
        <v>1026.99</v>
      </c>
      <c r="L4041" s="31">
        <v>1026.99</v>
      </c>
      <c r="M4041" s="10">
        <f t="shared" si="246"/>
        <v>33.357676316225081</v>
      </c>
    </row>
    <row r="4042" spans="1:13" ht="15.75" hidden="1" customHeight="1" x14ac:dyDescent="0.3">
      <c r="B4042" t="s">
        <v>223</v>
      </c>
      <c r="C4042" s="25">
        <v>44587</v>
      </c>
      <c r="D4042" s="26">
        <v>3.1493055555555559E-2</v>
      </c>
      <c r="E4042" t="s">
        <v>24</v>
      </c>
      <c r="F4042" t="s">
        <v>241</v>
      </c>
      <c r="G4042" t="s">
        <v>242</v>
      </c>
      <c r="H4042" t="s">
        <v>224</v>
      </c>
      <c r="I4042">
        <v>229.94</v>
      </c>
      <c r="J4042" s="7">
        <v>0</v>
      </c>
      <c r="K4042" s="7">
        <f t="shared" si="245"/>
        <v>509.36</v>
      </c>
      <c r="L4042" s="32">
        <v>509.36</v>
      </c>
      <c r="M4042" s="10">
        <f t="shared" si="246"/>
        <v>45.142924454217052</v>
      </c>
    </row>
    <row r="4043" spans="1:13" ht="15.75" hidden="1" customHeight="1" x14ac:dyDescent="0.3">
      <c r="B4043" t="s">
        <v>223</v>
      </c>
      <c r="C4043" s="25">
        <v>44587</v>
      </c>
      <c r="D4043" s="26">
        <v>0.85707175925925927</v>
      </c>
      <c r="E4043" t="s">
        <v>24</v>
      </c>
      <c r="F4043" t="s">
        <v>326</v>
      </c>
      <c r="G4043" t="s">
        <v>327</v>
      </c>
      <c r="H4043" t="s">
        <v>224</v>
      </c>
      <c r="I4043">
        <v>358.83</v>
      </c>
      <c r="J4043" s="7">
        <v>0</v>
      </c>
      <c r="K4043" s="7">
        <f t="shared" si="245"/>
        <v>775.71</v>
      </c>
      <c r="L4043" s="32">
        <v>775.71</v>
      </c>
      <c r="M4043" s="10">
        <f t="shared" si="246"/>
        <v>46.258266620257565</v>
      </c>
    </row>
    <row r="4044" spans="1:13" ht="15.75" hidden="1" customHeight="1" x14ac:dyDescent="0.3">
      <c r="B4044" t="s">
        <v>223</v>
      </c>
      <c r="C4044" s="25">
        <v>44589</v>
      </c>
      <c r="D4044" s="26">
        <v>0.64788194444444447</v>
      </c>
      <c r="E4044" t="s">
        <v>24</v>
      </c>
      <c r="F4044" t="s">
        <v>326</v>
      </c>
      <c r="G4044" t="s">
        <v>327</v>
      </c>
      <c r="H4044" t="s">
        <v>224</v>
      </c>
      <c r="I4044">
        <v>391</v>
      </c>
      <c r="J4044" s="7">
        <v>0</v>
      </c>
      <c r="K4044" s="7">
        <f t="shared" si="245"/>
        <v>943.22</v>
      </c>
      <c r="L4044" s="7">
        <v>943.22</v>
      </c>
      <c r="M4044" s="10">
        <f t="shared" si="246"/>
        <v>41.453743559296875</v>
      </c>
    </row>
    <row r="4045" spans="1:13" ht="15.75" hidden="1" customHeight="1" x14ac:dyDescent="0.3">
      <c r="B4045" t="s">
        <v>223</v>
      </c>
      <c r="C4045" s="25">
        <v>44591</v>
      </c>
      <c r="D4045" s="26">
        <v>0.28733796296296293</v>
      </c>
      <c r="E4045" t="s">
        <v>24</v>
      </c>
      <c r="F4045" t="s">
        <v>368</v>
      </c>
      <c r="G4045" t="s">
        <v>369</v>
      </c>
      <c r="H4045" t="s">
        <v>224</v>
      </c>
      <c r="I4045">
        <v>272.16000000000003</v>
      </c>
      <c r="J4045" s="7">
        <v>0</v>
      </c>
      <c r="K4045" s="7">
        <f t="shared" si="245"/>
        <v>716.97</v>
      </c>
      <c r="L4045" s="7">
        <v>716.97</v>
      </c>
      <c r="M4045" s="10">
        <f t="shared" si="246"/>
        <v>37.959747269760243</v>
      </c>
    </row>
    <row r="4046" spans="1:13" ht="15.75" hidden="1" customHeight="1" x14ac:dyDescent="0.3">
      <c r="A4046" s="9">
        <v>662</v>
      </c>
      <c r="B4046" t="s">
        <v>223</v>
      </c>
      <c r="C4046" s="25">
        <v>44594</v>
      </c>
      <c r="D4046" s="26">
        <v>0.81365740740740744</v>
      </c>
      <c r="E4046" t="s">
        <v>25</v>
      </c>
      <c r="F4046" t="s">
        <v>237</v>
      </c>
      <c r="G4046" t="s">
        <v>238</v>
      </c>
      <c r="H4046" t="s">
        <v>224</v>
      </c>
      <c r="I4046">
        <v>348.2</v>
      </c>
      <c r="J4046" s="7">
        <v>0</v>
      </c>
      <c r="K4046" s="7">
        <f t="shared" si="245"/>
        <v>805.12</v>
      </c>
      <c r="L4046" s="7">
        <v>805.12</v>
      </c>
      <c r="M4046" s="10">
        <f t="shared" si="246"/>
        <v>43.248211446740861</v>
      </c>
    </row>
    <row r="4047" spans="1:13" ht="15.75" hidden="1" customHeight="1" x14ac:dyDescent="0.3">
      <c r="A4047" s="9">
        <v>1743</v>
      </c>
      <c r="B4047" t="s">
        <v>223</v>
      </c>
      <c r="C4047" s="25">
        <v>44623</v>
      </c>
      <c r="D4047" s="26">
        <v>0.80752314814814818</v>
      </c>
      <c r="E4047" t="s">
        <v>26</v>
      </c>
      <c r="F4047" t="s">
        <v>234</v>
      </c>
      <c r="G4047" t="s">
        <v>235</v>
      </c>
      <c r="H4047" t="s">
        <v>224</v>
      </c>
      <c r="I4047">
        <v>377.25</v>
      </c>
      <c r="J4047" s="7">
        <v>0</v>
      </c>
      <c r="K4047" s="92">
        <f t="shared" si="245"/>
        <v>99998</v>
      </c>
      <c r="L4047" s="7">
        <v>99998</v>
      </c>
      <c r="M4047" s="10">
        <f t="shared" si="246"/>
        <v>0.37725754515090298</v>
      </c>
    </row>
    <row r="4048" spans="1:13" ht="15.75" hidden="1" customHeight="1" x14ac:dyDescent="0.3">
      <c r="A4048" s="9">
        <v>1744</v>
      </c>
      <c r="B4048" t="s">
        <v>223</v>
      </c>
      <c r="C4048" s="25">
        <v>44625</v>
      </c>
      <c r="D4048" s="26">
        <v>0.51908564814814817</v>
      </c>
      <c r="E4048" t="s">
        <v>26</v>
      </c>
      <c r="F4048" t="s">
        <v>234</v>
      </c>
      <c r="G4048" t="s">
        <v>235</v>
      </c>
      <c r="H4048" t="s">
        <v>224</v>
      </c>
      <c r="I4048">
        <v>304.74</v>
      </c>
      <c r="J4048" s="7">
        <v>0</v>
      </c>
      <c r="K4048" s="89">
        <f t="shared" si="245"/>
        <v>999998</v>
      </c>
      <c r="L4048" s="8">
        <v>999998</v>
      </c>
      <c r="M4048" s="10">
        <f t="shared" si="246"/>
        <v>3.0474060948121898E-2</v>
      </c>
    </row>
    <row r="4049" spans="1:13" ht="15.75" hidden="1" customHeight="1" x14ac:dyDescent="0.3">
      <c r="A4049" s="9">
        <v>1745</v>
      </c>
      <c r="B4049" t="s">
        <v>223</v>
      </c>
      <c r="C4049" s="25">
        <v>44627</v>
      </c>
      <c r="D4049" s="26">
        <v>0.80337962962962972</v>
      </c>
      <c r="E4049" t="s">
        <v>26</v>
      </c>
      <c r="F4049" t="s">
        <v>234</v>
      </c>
      <c r="G4049" t="s">
        <v>235</v>
      </c>
      <c r="H4049" t="s">
        <v>224</v>
      </c>
      <c r="I4049">
        <v>305.02999999999997</v>
      </c>
      <c r="J4049" s="7">
        <v>0</v>
      </c>
      <c r="K4049" s="89">
        <f t="shared" si="245"/>
        <v>592339</v>
      </c>
      <c r="L4049" s="8">
        <v>592339</v>
      </c>
      <c r="M4049" s="10">
        <f t="shared" si="246"/>
        <v>5.1495849505097585E-2</v>
      </c>
    </row>
    <row r="4050" spans="1:13" ht="15.75" hidden="1" customHeight="1" x14ac:dyDescent="0.3">
      <c r="A4050" s="9">
        <v>1746</v>
      </c>
      <c r="B4050" t="s">
        <v>223</v>
      </c>
      <c r="C4050" s="25">
        <v>44628</v>
      </c>
      <c r="D4050" s="26">
        <v>0.93293981481481481</v>
      </c>
      <c r="E4050" t="s">
        <v>26</v>
      </c>
      <c r="F4050" t="s">
        <v>234</v>
      </c>
      <c r="G4050" t="s">
        <v>235</v>
      </c>
      <c r="H4050" t="s">
        <v>224</v>
      </c>
      <c r="I4050">
        <v>293.54000000000002</v>
      </c>
      <c r="J4050" s="7">
        <v>0</v>
      </c>
      <c r="K4050" s="89">
        <f t="shared" si="245"/>
        <v>1030</v>
      </c>
      <c r="L4050" s="8">
        <v>1030</v>
      </c>
      <c r="M4050" s="10">
        <f t="shared" si="246"/>
        <v>28.499029126213593</v>
      </c>
    </row>
    <row r="4051" spans="1:13" ht="15.75" hidden="1" customHeight="1" x14ac:dyDescent="0.3">
      <c r="A4051" s="9">
        <v>1747</v>
      </c>
      <c r="B4051" t="s">
        <v>223</v>
      </c>
      <c r="C4051" s="25">
        <v>44630</v>
      </c>
      <c r="D4051" s="26">
        <v>0.64631944444444445</v>
      </c>
      <c r="E4051" t="s">
        <v>26</v>
      </c>
      <c r="F4051" t="s">
        <v>294</v>
      </c>
      <c r="G4051" t="s">
        <v>295</v>
      </c>
      <c r="H4051" t="s">
        <v>224</v>
      </c>
      <c r="I4051">
        <v>100.59</v>
      </c>
      <c r="J4051" s="7">
        <v>0</v>
      </c>
      <c r="K4051" s="101">
        <f t="shared" si="245"/>
        <v>1234</v>
      </c>
      <c r="L4051" s="44">
        <v>1234</v>
      </c>
      <c r="M4051" s="10">
        <f t="shared" si="246"/>
        <v>8.151539708265803</v>
      </c>
    </row>
    <row r="4052" spans="1:13" ht="15.75" hidden="1" customHeight="1" x14ac:dyDescent="0.3">
      <c r="A4052" s="9">
        <v>1748</v>
      </c>
      <c r="B4052" t="s">
        <v>223</v>
      </c>
      <c r="C4052" s="25">
        <v>44630</v>
      </c>
      <c r="D4052" s="26">
        <v>0.70202546296296298</v>
      </c>
      <c r="E4052" t="s">
        <v>26</v>
      </c>
      <c r="F4052" t="s">
        <v>475</v>
      </c>
      <c r="G4052" t="s">
        <v>476</v>
      </c>
      <c r="H4052" t="s">
        <v>224</v>
      </c>
      <c r="I4052">
        <v>100</v>
      </c>
      <c r="J4052" s="7">
        <v>0</v>
      </c>
      <c r="K4052" s="101">
        <f t="shared" si="245"/>
        <v>120000</v>
      </c>
      <c r="L4052" s="8">
        <v>120000</v>
      </c>
      <c r="M4052" s="10">
        <f t="shared" si="246"/>
        <v>8.3333333333333343E-2</v>
      </c>
    </row>
    <row r="4053" spans="1:13" ht="15.75" hidden="1" customHeight="1" x14ac:dyDescent="0.3">
      <c r="A4053" s="9">
        <v>1749</v>
      </c>
      <c r="B4053" t="s">
        <v>223</v>
      </c>
      <c r="C4053" s="25">
        <v>44631</v>
      </c>
      <c r="D4053" s="26">
        <v>0.83878472222222211</v>
      </c>
      <c r="E4053" t="s">
        <v>26</v>
      </c>
      <c r="F4053" t="s">
        <v>472</v>
      </c>
      <c r="G4053" t="s">
        <v>473</v>
      </c>
      <c r="H4053" t="s">
        <v>224</v>
      </c>
      <c r="I4053">
        <v>220.65</v>
      </c>
      <c r="J4053" s="7">
        <v>0</v>
      </c>
      <c r="K4053" s="101">
        <f t="shared" si="245"/>
        <v>50000</v>
      </c>
      <c r="L4053" s="8">
        <v>50000</v>
      </c>
      <c r="M4053" s="10">
        <f t="shared" si="246"/>
        <v>0.44130000000000003</v>
      </c>
    </row>
    <row r="4054" spans="1:13" ht="15.75" hidden="1" customHeight="1" x14ac:dyDescent="0.3">
      <c r="A4054" s="9">
        <v>1750</v>
      </c>
      <c r="B4054" t="s">
        <v>223</v>
      </c>
      <c r="C4054" s="25">
        <v>44634</v>
      </c>
      <c r="D4054" s="26">
        <v>0.2714699074074074</v>
      </c>
      <c r="E4054" t="s">
        <v>26</v>
      </c>
      <c r="F4054" t="s">
        <v>387</v>
      </c>
      <c r="G4054" t="s">
        <v>388</v>
      </c>
      <c r="H4054" t="s">
        <v>224</v>
      </c>
      <c r="I4054">
        <v>393.31</v>
      </c>
      <c r="J4054" s="7">
        <v>0</v>
      </c>
      <c r="K4054" s="89">
        <f t="shared" si="245"/>
        <v>100000</v>
      </c>
      <c r="L4054" s="8">
        <v>100000</v>
      </c>
      <c r="M4054" s="10">
        <f t="shared" si="246"/>
        <v>0.39330999999999999</v>
      </c>
    </row>
    <row r="4055" spans="1:13" ht="15.75" hidden="1" customHeight="1" x14ac:dyDescent="0.3">
      <c r="A4055" s="9">
        <v>1751</v>
      </c>
      <c r="B4055" t="s">
        <v>223</v>
      </c>
      <c r="C4055" s="25">
        <v>44638</v>
      </c>
      <c r="D4055" s="26">
        <v>0.55891203703703707</v>
      </c>
      <c r="E4055" t="s">
        <v>26</v>
      </c>
      <c r="F4055" t="s">
        <v>226</v>
      </c>
      <c r="G4055" t="s">
        <v>227</v>
      </c>
      <c r="H4055" t="s">
        <v>224</v>
      </c>
      <c r="I4055">
        <v>307.95</v>
      </c>
      <c r="J4055" s="7">
        <v>0</v>
      </c>
      <c r="K4055" s="99">
        <f t="shared" si="245"/>
        <v>10000</v>
      </c>
      <c r="L4055" s="54">
        <v>10000</v>
      </c>
      <c r="M4055" s="10">
        <f t="shared" si="246"/>
        <v>3.0794999999999999</v>
      </c>
    </row>
    <row r="4056" spans="1:13" ht="15.75" hidden="1" customHeight="1" x14ac:dyDescent="0.3">
      <c r="A4056" s="9">
        <v>1752</v>
      </c>
      <c r="B4056" t="s">
        <v>223</v>
      </c>
      <c r="C4056" s="25">
        <v>44644</v>
      </c>
      <c r="D4056" s="26">
        <v>0.86703703703703694</v>
      </c>
      <c r="E4056" t="s">
        <v>26</v>
      </c>
      <c r="F4056" t="s">
        <v>226</v>
      </c>
      <c r="G4056" t="s">
        <v>227</v>
      </c>
      <c r="H4056" t="s">
        <v>224</v>
      </c>
      <c r="I4056">
        <v>300</v>
      </c>
      <c r="J4056" s="7">
        <v>0</v>
      </c>
      <c r="K4056" s="90">
        <f t="shared" si="245"/>
        <v>9998</v>
      </c>
      <c r="L4056" s="8">
        <v>9998</v>
      </c>
      <c r="M4056" s="10">
        <f t="shared" si="246"/>
        <v>3.0006001200240049</v>
      </c>
    </row>
    <row r="4057" spans="1:13" ht="15.75" hidden="1" customHeight="1" x14ac:dyDescent="0.3">
      <c r="A4057" s="9">
        <v>1829</v>
      </c>
      <c r="B4057" t="s">
        <v>223</v>
      </c>
      <c r="C4057" s="25">
        <v>44642</v>
      </c>
      <c r="D4057" s="26">
        <v>0.66723379629629631</v>
      </c>
      <c r="E4057" t="s">
        <v>26</v>
      </c>
      <c r="F4057" t="s">
        <v>387</v>
      </c>
      <c r="G4057" t="s">
        <v>388</v>
      </c>
      <c r="H4057" t="s">
        <v>498</v>
      </c>
      <c r="I4057">
        <v>60</v>
      </c>
      <c r="J4057" s="8"/>
      <c r="K4057" s="90">
        <f t="shared" si="245"/>
        <v>155552</v>
      </c>
      <c r="L4057" s="8">
        <v>155552</v>
      </c>
      <c r="M4057" s="10">
        <f t="shared" si="246"/>
        <v>3.85723102242337E-2</v>
      </c>
    </row>
    <row r="4058" spans="1:13" ht="15.75" hidden="1" customHeight="1" x14ac:dyDescent="0.3">
      <c r="A4058" s="9">
        <v>3017</v>
      </c>
      <c r="B4058" t="s">
        <v>223</v>
      </c>
      <c r="C4058" s="25">
        <v>44671</v>
      </c>
      <c r="D4058" s="26">
        <v>0.12215277777777778</v>
      </c>
      <c r="E4058" t="s">
        <v>27</v>
      </c>
      <c r="F4058" t="s">
        <v>226</v>
      </c>
      <c r="G4058" t="s">
        <v>227</v>
      </c>
      <c r="H4058" t="s">
        <v>224</v>
      </c>
      <c r="I4058" s="4">
        <v>200.03</v>
      </c>
      <c r="J4058" s="8"/>
      <c r="K4058" s="97">
        <f t="shared" si="245"/>
        <v>10000</v>
      </c>
      <c r="L4058" s="48">
        <v>10000</v>
      </c>
      <c r="M4058" s="10">
        <f t="shared" si="246"/>
        <v>2.0003000000000002</v>
      </c>
    </row>
    <row r="4059" spans="1:13" ht="15.75" hidden="1" customHeight="1" x14ac:dyDescent="0.3">
      <c r="A4059" s="9">
        <v>3018</v>
      </c>
      <c r="B4059" t="s">
        <v>223</v>
      </c>
      <c r="C4059" s="25">
        <v>44673</v>
      </c>
      <c r="D4059" s="26">
        <v>0.93377314814814805</v>
      </c>
      <c r="E4059" t="s">
        <v>27</v>
      </c>
      <c r="F4059" t="s">
        <v>523</v>
      </c>
      <c r="G4059" t="s">
        <v>388</v>
      </c>
      <c r="H4059" t="s">
        <v>224</v>
      </c>
      <c r="I4059" s="4">
        <v>200</v>
      </c>
      <c r="J4059" s="8"/>
      <c r="K4059" s="90">
        <f t="shared" si="245"/>
        <v>33666</v>
      </c>
      <c r="L4059" s="19">
        <v>33666</v>
      </c>
      <c r="M4059" s="10">
        <f t="shared" si="246"/>
        <v>0.59407116972613316</v>
      </c>
    </row>
    <row r="4060" spans="1:13" ht="15.75" hidden="1" customHeight="1" x14ac:dyDescent="0.3">
      <c r="A4060" s="9">
        <v>3019</v>
      </c>
      <c r="B4060" t="s">
        <v>223</v>
      </c>
      <c r="C4060" s="25">
        <v>44673</v>
      </c>
      <c r="D4060" s="26">
        <v>0.94656250000000008</v>
      </c>
      <c r="E4060" t="s">
        <v>27</v>
      </c>
      <c r="F4060" t="s">
        <v>387</v>
      </c>
      <c r="G4060" t="s">
        <v>388</v>
      </c>
      <c r="H4060" t="s">
        <v>224</v>
      </c>
      <c r="I4060" s="4">
        <v>153</v>
      </c>
      <c r="J4060" s="8"/>
      <c r="K4060" s="97">
        <f t="shared" si="245"/>
        <v>145000</v>
      </c>
      <c r="L4060" s="48">
        <v>145000</v>
      </c>
      <c r="M4060" s="10">
        <f t="shared" si="246"/>
        <v>0.10551724137931033</v>
      </c>
    </row>
    <row r="4061" spans="1:13" ht="15.75" hidden="1" customHeight="1" x14ac:dyDescent="0.3">
      <c r="A4061" s="9">
        <v>3020</v>
      </c>
      <c r="B4061" t="s">
        <v>223</v>
      </c>
      <c r="C4061" s="25">
        <v>44679</v>
      </c>
      <c r="D4061" s="26">
        <v>0.78222222222222226</v>
      </c>
      <c r="E4061" t="s">
        <v>27</v>
      </c>
      <c r="F4061" t="s">
        <v>226</v>
      </c>
      <c r="G4061" t="s">
        <v>227</v>
      </c>
      <c r="H4061" t="s">
        <v>224</v>
      </c>
      <c r="I4061">
        <v>200</v>
      </c>
      <c r="J4061" s="8"/>
      <c r="K4061" s="90">
        <f t="shared" si="245"/>
        <v>0</v>
      </c>
      <c r="L4061" s="7"/>
      <c r="M4061" s="10" t="e">
        <f t="shared" si="246"/>
        <v>#DIV/0!</v>
      </c>
    </row>
    <row r="4062" spans="1:13" ht="15.75" hidden="1" customHeight="1" x14ac:dyDescent="0.3">
      <c r="A4062" s="9">
        <v>3021</v>
      </c>
      <c r="B4062" t="s">
        <v>223</v>
      </c>
      <c r="C4062" s="25">
        <v>44679</v>
      </c>
      <c r="D4062" s="26">
        <v>0.96841435185185187</v>
      </c>
      <c r="E4062" t="s">
        <v>27</v>
      </c>
      <c r="F4062" t="s">
        <v>523</v>
      </c>
      <c r="G4062" t="s">
        <v>388</v>
      </c>
      <c r="H4062" t="s">
        <v>224</v>
      </c>
      <c r="I4062">
        <v>118.03</v>
      </c>
      <c r="J4062" s="8"/>
      <c r="K4062" s="90">
        <f t="shared" si="245"/>
        <v>0</v>
      </c>
      <c r="L4062" s="7"/>
      <c r="M4062" s="10" t="e">
        <f t="shared" si="246"/>
        <v>#DIV/0!</v>
      </c>
    </row>
    <row r="4063" spans="1:13" ht="15.75" hidden="1" customHeight="1" x14ac:dyDescent="0.3">
      <c r="A4063" s="9">
        <v>3050</v>
      </c>
      <c r="B4063" t="s">
        <v>223</v>
      </c>
      <c r="C4063" s="25">
        <v>44652</v>
      </c>
      <c r="D4063" s="26">
        <v>0.81998842592592591</v>
      </c>
      <c r="E4063" t="s">
        <v>27</v>
      </c>
      <c r="F4063" t="s">
        <v>368</v>
      </c>
      <c r="G4063" t="s">
        <v>369</v>
      </c>
      <c r="H4063" t="s">
        <v>233</v>
      </c>
      <c r="I4063" s="4">
        <v>300</v>
      </c>
      <c r="J4063" s="23"/>
      <c r="K4063" s="97">
        <f t="shared" si="245"/>
        <v>3356</v>
      </c>
      <c r="L4063" s="48">
        <v>3356</v>
      </c>
      <c r="M4063" s="10">
        <f t="shared" si="246"/>
        <v>8.9392133492252679</v>
      </c>
    </row>
    <row r="4064" spans="1:13" ht="15.75" hidden="1" customHeight="1" x14ac:dyDescent="0.3">
      <c r="A4064" s="9">
        <v>3051</v>
      </c>
      <c r="B4064" t="s">
        <v>223</v>
      </c>
      <c r="C4064" s="25">
        <v>44653</v>
      </c>
      <c r="D4064" s="26">
        <v>0.39157407407407407</v>
      </c>
      <c r="E4064" t="s">
        <v>27</v>
      </c>
      <c r="F4064" t="s">
        <v>531</v>
      </c>
      <c r="G4064" t="s">
        <v>514</v>
      </c>
      <c r="H4064" t="s">
        <v>233</v>
      </c>
      <c r="I4064" s="4">
        <v>60</v>
      </c>
      <c r="J4064" s="23"/>
      <c r="K4064" s="90">
        <f t="shared" si="245"/>
        <v>73343</v>
      </c>
      <c r="L4064" s="19">
        <v>73343</v>
      </c>
      <c r="M4064" s="10">
        <f t="shared" si="246"/>
        <v>8.1807398115702937E-2</v>
      </c>
    </row>
    <row r="4065" spans="1:13" ht="15.75" hidden="1" customHeight="1" x14ac:dyDescent="0.3">
      <c r="A4065" s="9">
        <v>3052</v>
      </c>
      <c r="B4065" t="s">
        <v>223</v>
      </c>
      <c r="C4065" s="25">
        <v>44656</v>
      </c>
      <c r="D4065" s="26">
        <v>0.64979166666666666</v>
      </c>
      <c r="E4065" t="s">
        <v>27</v>
      </c>
      <c r="F4065" t="s">
        <v>234</v>
      </c>
      <c r="G4065" t="s">
        <v>235</v>
      </c>
      <c r="H4065" t="s">
        <v>233</v>
      </c>
      <c r="I4065" s="4">
        <v>215</v>
      </c>
      <c r="J4065" s="8"/>
      <c r="K4065" s="97">
        <f t="shared" si="245"/>
        <v>1030</v>
      </c>
      <c r="L4065" s="48">
        <v>1030</v>
      </c>
      <c r="M4065" s="10">
        <f t="shared" si="246"/>
        <v>20.873786407766989</v>
      </c>
    </row>
    <row r="4066" spans="1:13" ht="15.75" hidden="1" customHeight="1" x14ac:dyDescent="0.3">
      <c r="A4066" s="9">
        <v>3053</v>
      </c>
      <c r="B4066" t="s">
        <v>223</v>
      </c>
      <c r="C4066" s="25">
        <v>44658</v>
      </c>
      <c r="D4066" s="26">
        <v>0.43207175925925928</v>
      </c>
      <c r="E4066" t="s">
        <v>27</v>
      </c>
      <c r="F4066" t="s">
        <v>391</v>
      </c>
      <c r="G4066" t="s">
        <v>392</v>
      </c>
      <c r="H4066" t="s">
        <v>233</v>
      </c>
      <c r="I4066" s="4">
        <v>434.93</v>
      </c>
      <c r="J4066" s="8"/>
      <c r="K4066" s="90">
        <f t="shared" si="245"/>
        <v>100000</v>
      </c>
      <c r="L4066" s="19">
        <v>100000</v>
      </c>
      <c r="M4066" s="10">
        <f t="shared" si="246"/>
        <v>0.43493000000000004</v>
      </c>
    </row>
    <row r="4067" spans="1:13" ht="15.75" hidden="1" customHeight="1" x14ac:dyDescent="0.3">
      <c r="A4067" s="9">
        <v>3054</v>
      </c>
      <c r="B4067" t="s">
        <v>223</v>
      </c>
      <c r="C4067" s="25">
        <v>44660</v>
      </c>
      <c r="D4067" s="26">
        <v>0.55560185185185185</v>
      </c>
      <c r="E4067" t="s">
        <v>27</v>
      </c>
      <c r="F4067" t="s">
        <v>547</v>
      </c>
      <c r="G4067" t="s">
        <v>548</v>
      </c>
      <c r="H4067" t="s">
        <v>233</v>
      </c>
      <c r="I4067" s="4">
        <v>347.97</v>
      </c>
      <c r="J4067" s="8"/>
      <c r="K4067" s="89">
        <f t="shared" si="245"/>
        <v>258741</v>
      </c>
      <c r="L4067" s="19">
        <v>258741</v>
      </c>
      <c r="M4067" s="10">
        <f t="shared" si="246"/>
        <v>0.1344858371885399</v>
      </c>
    </row>
    <row r="4068" spans="1:13" ht="15.75" hidden="1" customHeight="1" x14ac:dyDescent="0.3">
      <c r="A4068" s="9">
        <v>3055</v>
      </c>
      <c r="B4068" t="s">
        <v>223</v>
      </c>
      <c r="C4068" s="25">
        <v>44663</v>
      </c>
      <c r="D4068" s="26">
        <v>0.6650462962962963</v>
      </c>
      <c r="E4068" t="s">
        <v>27</v>
      </c>
      <c r="F4068" t="s">
        <v>385</v>
      </c>
      <c r="G4068" t="s">
        <v>386</v>
      </c>
      <c r="H4068" t="s">
        <v>233</v>
      </c>
      <c r="I4068" s="4">
        <v>230.97</v>
      </c>
      <c r="J4068" s="8"/>
      <c r="K4068" s="89">
        <f t="shared" si="245"/>
        <v>100000</v>
      </c>
      <c r="L4068" s="19">
        <v>100000</v>
      </c>
      <c r="M4068" s="10">
        <f t="shared" si="246"/>
        <v>0.23097000000000001</v>
      </c>
    </row>
    <row r="4069" spans="1:13" ht="15.75" hidden="1" customHeight="1" x14ac:dyDescent="0.3">
      <c r="A4069" s="9">
        <v>3056</v>
      </c>
      <c r="B4069" t="s">
        <v>223</v>
      </c>
      <c r="C4069" s="25">
        <v>44665</v>
      </c>
      <c r="D4069" s="26">
        <v>0.52429398148148143</v>
      </c>
      <c r="E4069" t="s">
        <v>27</v>
      </c>
      <c r="F4069" t="s">
        <v>291</v>
      </c>
      <c r="G4069" t="s">
        <v>408</v>
      </c>
      <c r="H4069" t="s">
        <v>233</v>
      </c>
      <c r="I4069" s="4">
        <v>316.93</v>
      </c>
      <c r="J4069" s="8"/>
      <c r="K4069" s="89">
        <f t="shared" si="245"/>
        <v>150000</v>
      </c>
      <c r="L4069" s="19">
        <v>150000</v>
      </c>
      <c r="M4069" s="10">
        <f t="shared" si="246"/>
        <v>0.21128666666666668</v>
      </c>
    </row>
    <row r="4070" spans="1:13" ht="15.75" hidden="1" customHeight="1" x14ac:dyDescent="0.3">
      <c r="A4070" s="9">
        <v>3057</v>
      </c>
      <c r="B4070" t="s">
        <v>223</v>
      </c>
      <c r="C4070" s="25">
        <v>44666</v>
      </c>
      <c r="D4070" s="26">
        <v>0.60461805555555559</v>
      </c>
      <c r="E4070" t="s">
        <v>27</v>
      </c>
      <c r="F4070" t="s">
        <v>319</v>
      </c>
      <c r="G4070" t="s">
        <v>320</v>
      </c>
      <c r="H4070" t="s">
        <v>233</v>
      </c>
      <c r="I4070" s="4">
        <v>250.64</v>
      </c>
      <c r="J4070" s="8"/>
      <c r="K4070" s="89">
        <f t="shared" si="245"/>
        <v>1234</v>
      </c>
      <c r="L4070" s="80">
        <v>1234</v>
      </c>
      <c r="M4070" s="10">
        <f t="shared" si="246"/>
        <v>20.311183144246353</v>
      </c>
    </row>
    <row r="4071" spans="1:13" ht="15.75" hidden="1" customHeight="1" x14ac:dyDescent="0.3">
      <c r="A4071" s="9">
        <v>3768</v>
      </c>
      <c r="B4071" t="s">
        <v>223</v>
      </c>
      <c r="C4071" s="25">
        <v>44684</v>
      </c>
      <c r="D4071" s="26">
        <v>0.46224537037037039</v>
      </c>
      <c r="E4071" t="s">
        <v>28</v>
      </c>
      <c r="F4071" t="s">
        <v>406</v>
      </c>
      <c r="G4071" t="s">
        <v>409</v>
      </c>
      <c r="H4071" t="s">
        <v>224</v>
      </c>
      <c r="I4071">
        <v>100</v>
      </c>
      <c r="J4071" s="7">
        <v>0</v>
      </c>
      <c r="K4071" s="82"/>
      <c r="L4071" s="82">
        <v>225689</v>
      </c>
      <c r="M4071" s="10" t="e">
        <f t="shared" si="246"/>
        <v>#DIV/0!</v>
      </c>
    </row>
    <row r="4072" spans="1:13" ht="15.75" hidden="1" customHeight="1" x14ac:dyDescent="0.3">
      <c r="A4072" s="9">
        <v>3769</v>
      </c>
      <c r="B4072" t="s">
        <v>223</v>
      </c>
      <c r="C4072" s="25">
        <v>44684</v>
      </c>
      <c r="D4072" s="26">
        <v>0.75423611111111111</v>
      </c>
      <c r="E4072" t="s">
        <v>28</v>
      </c>
      <c r="F4072" t="s">
        <v>443</v>
      </c>
      <c r="G4072" t="s">
        <v>444</v>
      </c>
      <c r="H4072" t="s">
        <v>224</v>
      </c>
      <c r="I4072">
        <v>200</v>
      </c>
      <c r="J4072" s="7">
        <v>0</v>
      </c>
      <c r="K4072" s="82"/>
      <c r="L4072" s="82">
        <v>10000</v>
      </c>
      <c r="M4072" s="10" t="e">
        <f t="shared" si="246"/>
        <v>#DIV/0!</v>
      </c>
    </row>
    <row r="4073" spans="1:13" ht="15.75" hidden="1" customHeight="1" x14ac:dyDescent="0.3">
      <c r="A4073" s="9">
        <v>3824</v>
      </c>
      <c r="B4073" t="s">
        <v>223</v>
      </c>
      <c r="C4073" s="25">
        <v>44685</v>
      </c>
      <c r="D4073" s="26">
        <v>0.27128472222222222</v>
      </c>
      <c r="E4073" t="s">
        <v>28</v>
      </c>
      <c r="F4073" t="s">
        <v>387</v>
      </c>
      <c r="G4073" t="s">
        <v>388</v>
      </c>
      <c r="H4073" t="s">
        <v>224</v>
      </c>
      <c r="I4073">
        <v>151.91999999999999</v>
      </c>
      <c r="J4073" s="8"/>
      <c r="K4073" s="82"/>
      <c r="L4073" s="44">
        <v>145000</v>
      </c>
      <c r="M4073" s="10" t="e">
        <f t="shared" si="246"/>
        <v>#DIV/0!</v>
      </c>
    </row>
    <row r="4074" spans="1:13" ht="15.75" hidden="1" customHeight="1" x14ac:dyDescent="0.3">
      <c r="A4074" s="9">
        <v>3825</v>
      </c>
      <c r="B4074" t="s">
        <v>223</v>
      </c>
      <c r="C4074" s="25">
        <v>44685</v>
      </c>
      <c r="D4074" s="26">
        <v>0.62531250000000005</v>
      </c>
      <c r="E4074" t="s">
        <v>28</v>
      </c>
      <c r="F4074" t="s">
        <v>520</v>
      </c>
      <c r="G4074" t="s">
        <v>521</v>
      </c>
      <c r="H4074" t="s">
        <v>224</v>
      </c>
      <c r="I4074">
        <v>50</v>
      </c>
      <c r="J4074" s="8"/>
      <c r="K4074" s="82"/>
      <c r="L4074" s="8">
        <v>8000</v>
      </c>
      <c r="M4074" s="10" t="e">
        <f t="shared" si="246"/>
        <v>#DIV/0!</v>
      </c>
    </row>
    <row r="4075" spans="1:13" ht="15.75" hidden="1" customHeight="1" x14ac:dyDescent="0.3">
      <c r="A4075" s="9">
        <v>3940</v>
      </c>
      <c r="B4075" t="s">
        <v>223</v>
      </c>
      <c r="C4075" s="25">
        <v>44687</v>
      </c>
      <c r="D4075" s="26">
        <v>0.39671296296296293</v>
      </c>
      <c r="E4075" t="s">
        <v>28</v>
      </c>
      <c r="F4075" t="s">
        <v>262</v>
      </c>
      <c r="G4075" t="s">
        <v>263</v>
      </c>
      <c r="H4075" t="s">
        <v>224</v>
      </c>
      <c r="I4075">
        <v>178.83</v>
      </c>
      <c r="J4075" s="8"/>
      <c r="K4075" s="89">
        <f>+L4075-J4206</f>
        <v>1234</v>
      </c>
      <c r="L4075" s="8">
        <v>1234</v>
      </c>
      <c r="M4075" s="10">
        <f t="shared" si="246"/>
        <v>14.491896272285251</v>
      </c>
    </row>
    <row r="4076" spans="1:13" ht="15.75" hidden="1" customHeight="1" x14ac:dyDescent="0.3">
      <c r="A4076" s="9">
        <v>4855</v>
      </c>
      <c r="B4076" t="s">
        <v>223</v>
      </c>
      <c r="C4076" s="25">
        <v>44704</v>
      </c>
      <c r="D4076" s="26">
        <v>0.6694444444444444</v>
      </c>
      <c r="E4076" t="s">
        <v>28</v>
      </c>
      <c r="F4076" t="s">
        <v>523</v>
      </c>
      <c r="G4076" t="s">
        <v>388</v>
      </c>
      <c r="H4076" t="s">
        <v>458</v>
      </c>
      <c r="I4076">
        <v>164.68</v>
      </c>
      <c r="J4076" s="8"/>
      <c r="K4076" s="89" t="e">
        <f>+L4076-#REF!</f>
        <v>#REF!</v>
      </c>
      <c r="L4076" s="8">
        <v>100000</v>
      </c>
      <c r="M4076" s="10" t="e">
        <f t="shared" si="246"/>
        <v>#REF!</v>
      </c>
    </row>
    <row r="4077" spans="1:13" ht="15.75" hidden="1" customHeight="1" x14ac:dyDescent="0.3">
      <c r="A4077" s="9">
        <v>6399</v>
      </c>
      <c r="B4077" t="s">
        <v>267</v>
      </c>
      <c r="C4077" s="25">
        <v>44735</v>
      </c>
      <c r="D4077" s="26">
        <v>0.36017361111111112</v>
      </c>
      <c r="E4077" t="s">
        <v>29</v>
      </c>
      <c r="F4077" t="s">
        <v>651</v>
      </c>
      <c r="G4077" t="s">
        <v>172</v>
      </c>
      <c r="H4077" t="s">
        <v>129</v>
      </c>
      <c r="I4077" s="148">
        <v>419.56</v>
      </c>
      <c r="J4077" s="198">
        <f>419+439+125+421+200+437+305</f>
        <v>2346</v>
      </c>
      <c r="K4077" s="228">
        <v>2124</v>
      </c>
      <c r="L4077" s="154">
        <v>5544</v>
      </c>
      <c r="M4077" s="229">
        <f>+J4077/L4077*100</f>
        <v>42.316017316017316</v>
      </c>
    </row>
    <row r="4078" spans="1:13" ht="15.75" hidden="1" customHeight="1" x14ac:dyDescent="0.3">
      <c r="B4078" t="s">
        <v>190</v>
      </c>
      <c r="C4078" s="25">
        <v>44768</v>
      </c>
      <c r="D4078" s="26">
        <v>0.65366898148148145</v>
      </c>
      <c r="E4078" t="s">
        <v>30</v>
      </c>
      <c r="F4078" t="s">
        <v>428</v>
      </c>
      <c r="G4078" t="s">
        <v>429</v>
      </c>
      <c r="H4078" t="s">
        <v>191</v>
      </c>
      <c r="I4078" s="8">
        <v>100.02</v>
      </c>
      <c r="J4078" s="8"/>
      <c r="K4078" s="260" t="s">
        <v>1074</v>
      </c>
      <c r="L4078" s="8" t="e">
        <f>+K4078-J4078</f>
        <v>#VALUE!</v>
      </c>
      <c r="M4078" s="272" t="e">
        <f>+J4078/L4078*100</f>
        <v>#VALUE!</v>
      </c>
    </row>
    <row r="4079" spans="1:13" ht="15.75" hidden="1" customHeight="1" x14ac:dyDescent="0.3">
      <c r="B4079" t="s">
        <v>190</v>
      </c>
      <c r="C4079" s="25">
        <v>44768</v>
      </c>
      <c r="D4079" s="26">
        <v>0.65581018518518519</v>
      </c>
      <c r="E4079" t="s">
        <v>30</v>
      </c>
      <c r="F4079" t="s">
        <v>428</v>
      </c>
      <c r="G4079" t="s">
        <v>429</v>
      </c>
      <c r="H4079" t="s">
        <v>191</v>
      </c>
      <c r="I4079" s="8">
        <v>200.48</v>
      </c>
      <c r="J4079" s="8"/>
      <c r="K4079" s="260" t="s">
        <v>1074</v>
      </c>
      <c r="L4079" s="24" t="e">
        <f>+K4079-J4079</f>
        <v>#VALUE!</v>
      </c>
      <c r="M4079" s="254" t="e">
        <f>+J4079/L4079*100</f>
        <v>#VALUE!</v>
      </c>
    </row>
    <row r="4080" spans="1:13" ht="15.75" hidden="1" customHeight="1" x14ac:dyDescent="0.3">
      <c r="B4080" t="s">
        <v>190</v>
      </c>
      <c r="C4080" s="25">
        <v>44769</v>
      </c>
      <c r="D4080" s="26">
        <v>0.83292824074074068</v>
      </c>
      <c r="E4080" t="s">
        <v>30</v>
      </c>
      <c r="F4080" t="s">
        <v>210</v>
      </c>
      <c r="G4080" t="s">
        <v>211</v>
      </c>
      <c r="H4080" t="s">
        <v>191</v>
      </c>
      <c r="I4080" s="8">
        <v>447.09</v>
      </c>
      <c r="J4080" s="8"/>
      <c r="K4080" s="260" t="s">
        <v>1074</v>
      </c>
      <c r="L4080" s="8" t="e">
        <f>+K4080-J4080</f>
        <v>#VALUE!</v>
      </c>
      <c r="M4080" s="267" t="e">
        <f>+J4080/L4080*100</f>
        <v>#VALUE!</v>
      </c>
    </row>
    <row r="4081" spans="2:13" ht="15.75" hidden="1" customHeight="1" x14ac:dyDescent="0.3">
      <c r="B4081" t="s">
        <v>190</v>
      </c>
      <c r="C4081" s="25">
        <v>44771</v>
      </c>
      <c r="D4081" s="26">
        <v>0.41373842592592597</v>
      </c>
      <c r="E4081" t="s">
        <v>30</v>
      </c>
      <c r="F4081" t="s">
        <v>210</v>
      </c>
      <c r="G4081" t="s">
        <v>211</v>
      </c>
      <c r="H4081" t="s">
        <v>191</v>
      </c>
      <c r="I4081" s="8">
        <v>60.53</v>
      </c>
      <c r="J4081" s="8"/>
      <c r="K4081" s="260" t="s">
        <v>1074</v>
      </c>
      <c r="L4081" s="8" t="e">
        <f>+K4081-J4081</f>
        <v>#VALUE!</v>
      </c>
      <c r="M4081" s="254" t="e">
        <f>+J4081/L4081*100</f>
        <v>#VALUE!</v>
      </c>
    </row>
    <row r="4082" spans="2:13" ht="15.75" hidden="1" customHeight="1" x14ac:dyDescent="0.3">
      <c r="B4082" t="s">
        <v>267</v>
      </c>
      <c r="C4082" s="25">
        <v>44566</v>
      </c>
      <c r="D4082" s="26">
        <v>0.27394675925925926</v>
      </c>
      <c r="E4082" t="s">
        <v>24</v>
      </c>
      <c r="F4082" t="s">
        <v>210</v>
      </c>
      <c r="G4082" t="s">
        <v>211</v>
      </c>
      <c r="H4082" t="s">
        <v>129</v>
      </c>
      <c r="I4082">
        <v>432.89</v>
      </c>
      <c r="J4082" s="34">
        <v>769800</v>
      </c>
      <c r="K4082" s="30">
        <f t="shared" ref="K4082:K4113" si="247">+L4082-J4082</f>
        <v>878</v>
      </c>
      <c r="L4082" s="34">
        <v>770678</v>
      </c>
      <c r="M4082" s="61">
        <f t="shared" ref="M4082:M4113" si="248">I4082/K4082*100</f>
        <v>49.304100227790428</v>
      </c>
    </row>
    <row r="4083" spans="2:13" ht="15.75" hidden="1" customHeight="1" x14ac:dyDescent="0.3">
      <c r="B4083" t="s">
        <v>267</v>
      </c>
      <c r="C4083" s="25">
        <v>44567</v>
      </c>
      <c r="D4083" s="26">
        <v>0.58126157407407408</v>
      </c>
      <c r="E4083" t="s">
        <v>24</v>
      </c>
      <c r="F4083" t="s">
        <v>165</v>
      </c>
      <c r="G4083" t="s">
        <v>185</v>
      </c>
      <c r="H4083" t="s">
        <v>129</v>
      </c>
      <c r="I4083">
        <v>200</v>
      </c>
      <c r="J4083" s="7">
        <v>770678</v>
      </c>
      <c r="K4083" s="11">
        <f t="shared" si="247"/>
        <v>573</v>
      </c>
      <c r="L4083" s="7">
        <v>771251</v>
      </c>
      <c r="M4083" s="10">
        <f t="shared" si="248"/>
        <v>34.904013961605585</v>
      </c>
    </row>
    <row r="4084" spans="2:13" ht="15.75" hidden="1" customHeight="1" x14ac:dyDescent="0.3">
      <c r="B4084" t="s">
        <v>267</v>
      </c>
      <c r="C4084" s="25">
        <v>44568</v>
      </c>
      <c r="D4084" s="26">
        <v>0.53006944444444437</v>
      </c>
      <c r="E4084" t="s">
        <v>24</v>
      </c>
      <c r="F4084" t="s">
        <v>210</v>
      </c>
      <c r="G4084" t="s">
        <v>211</v>
      </c>
      <c r="H4084" t="s">
        <v>129</v>
      </c>
      <c r="I4084">
        <v>247.5</v>
      </c>
      <c r="J4084" s="35">
        <v>771251</v>
      </c>
      <c r="K4084" s="11">
        <f t="shared" si="247"/>
        <v>518</v>
      </c>
      <c r="L4084" s="34">
        <v>771769</v>
      </c>
      <c r="M4084" s="10">
        <f t="shared" si="248"/>
        <v>47.779922779922778</v>
      </c>
    </row>
    <row r="4085" spans="2:13" ht="15.75" hidden="1" customHeight="1" x14ac:dyDescent="0.3">
      <c r="B4085" t="s">
        <v>267</v>
      </c>
      <c r="C4085" s="25">
        <v>44571</v>
      </c>
      <c r="D4085" s="26">
        <v>0.44282407407407409</v>
      </c>
      <c r="E4085" t="s">
        <v>24</v>
      </c>
      <c r="F4085" t="s">
        <v>175</v>
      </c>
      <c r="G4085" t="s">
        <v>172</v>
      </c>
      <c r="H4085" t="s">
        <v>129</v>
      </c>
      <c r="I4085">
        <v>350.86</v>
      </c>
      <c r="J4085" s="31">
        <v>771769</v>
      </c>
      <c r="K4085" s="11">
        <f t="shared" si="247"/>
        <v>928</v>
      </c>
      <c r="L4085" s="7">
        <v>772697</v>
      </c>
      <c r="M4085" s="10">
        <f t="shared" si="248"/>
        <v>37.808189655172413</v>
      </c>
    </row>
    <row r="4086" spans="2:13" ht="15.75" hidden="1" customHeight="1" x14ac:dyDescent="0.3">
      <c r="B4086" t="s">
        <v>267</v>
      </c>
      <c r="C4086" s="25">
        <v>44573</v>
      </c>
      <c r="D4086" s="26">
        <v>0.43519675925925921</v>
      </c>
      <c r="E4086" t="s">
        <v>24</v>
      </c>
      <c r="F4086" t="s">
        <v>166</v>
      </c>
      <c r="G4086" t="s">
        <v>161</v>
      </c>
      <c r="H4086" t="s">
        <v>129</v>
      </c>
      <c r="I4086">
        <v>200.01</v>
      </c>
      <c r="J4086" s="31">
        <v>772697</v>
      </c>
      <c r="K4086" s="11">
        <f t="shared" si="247"/>
        <v>1227</v>
      </c>
      <c r="L4086" s="7">
        <v>773924</v>
      </c>
      <c r="M4086" s="10">
        <f t="shared" si="248"/>
        <v>16.300733496332516</v>
      </c>
    </row>
    <row r="4087" spans="2:13" ht="15.75" hidden="1" customHeight="1" x14ac:dyDescent="0.3">
      <c r="B4087" t="s">
        <v>267</v>
      </c>
      <c r="C4087" s="25">
        <v>44573</v>
      </c>
      <c r="D4087" s="26">
        <v>0.51711805555555557</v>
      </c>
      <c r="E4087" t="s">
        <v>24</v>
      </c>
      <c r="F4087" t="s">
        <v>210</v>
      </c>
      <c r="G4087" t="s">
        <v>211</v>
      </c>
      <c r="H4087" t="s">
        <v>129</v>
      </c>
      <c r="I4087">
        <v>343.72</v>
      </c>
      <c r="J4087" s="31">
        <v>773924</v>
      </c>
      <c r="K4087" s="11">
        <f t="shared" si="247"/>
        <v>77</v>
      </c>
      <c r="L4087" s="7">
        <v>774001</v>
      </c>
      <c r="M4087" s="10">
        <f t="shared" si="248"/>
        <v>446.38961038961043</v>
      </c>
    </row>
    <row r="4088" spans="2:13" ht="15.75" hidden="1" customHeight="1" x14ac:dyDescent="0.3">
      <c r="B4088" t="s">
        <v>267</v>
      </c>
      <c r="C4088" s="25">
        <v>44574</v>
      </c>
      <c r="D4088" s="26">
        <v>0.84607638888888881</v>
      </c>
      <c r="E4088" t="s">
        <v>24</v>
      </c>
      <c r="F4088" t="s">
        <v>210</v>
      </c>
      <c r="G4088" t="s">
        <v>211</v>
      </c>
      <c r="H4088" t="s">
        <v>129</v>
      </c>
      <c r="I4088">
        <v>425.07</v>
      </c>
      <c r="J4088" s="31">
        <v>774001</v>
      </c>
      <c r="K4088" s="11">
        <f t="shared" si="247"/>
        <v>1071</v>
      </c>
      <c r="L4088" s="7">
        <v>775072</v>
      </c>
      <c r="M4088" s="10">
        <f t="shared" si="248"/>
        <v>39.689075630252105</v>
      </c>
    </row>
    <row r="4089" spans="2:13" ht="15.75" hidden="1" customHeight="1" x14ac:dyDescent="0.3">
      <c r="B4089" t="s">
        <v>267</v>
      </c>
      <c r="C4089" s="25">
        <v>44576</v>
      </c>
      <c r="D4089" s="26">
        <v>0.59635416666666663</v>
      </c>
      <c r="E4089" t="s">
        <v>24</v>
      </c>
      <c r="F4089" t="s">
        <v>175</v>
      </c>
      <c r="G4089" t="s">
        <v>172</v>
      </c>
      <c r="H4089" t="s">
        <v>129</v>
      </c>
      <c r="I4089">
        <v>344.46</v>
      </c>
      <c r="J4089" s="31">
        <v>775072</v>
      </c>
      <c r="K4089" s="11">
        <f t="shared" si="247"/>
        <v>926</v>
      </c>
      <c r="L4089" s="7">
        <v>775998</v>
      </c>
      <c r="M4089" s="10">
        <f t="shared" si="248"/>
        <v>37.198704103671702</v>
      </c>
    </row>
    <row r="4090" spans="2:13" ht="15.75" hidden="1" customHeight="1" x14ac:dyDescent="0.3">
      <c r="B4090" t="s">
        <v>267</v>
      </c>
      <c r="C4090" s="25">
        <v>44583</v>
      </c>
      <c r="D4090" s="26">
        <v>0.52840277777777778</v>
      </c>
      <c r="E4090" t="s">
        <v>24</v>
      </c>
      <c r="F4090" t="s">
        <v>210</v>
      </c>
      <c r="G4090" t="s">
        <v>211</v>
      </c>
      <c r="H4090" t="s">
        <v>129</v>
      </c>
      <c r="I4090">
        <v>385.27</v>
      </c>
      <c r="J4090" s="7">
        <v>775998</v>
      </c>
      <c r="K4090" s="11">
        <f t="shared" si="247"/>
        <v>853</v>
      </c>
      <c r="L4090" s="29">
        <v>776851</v>
      </c>
      <c r="M4090" s="10">
        <f t="shared" si="248"/>
        <v>45.166471277842909</v>
      </c>
    </row>
    <row r="4091" spans="2:13" ht="15.75" hidden="1" customHeight="1" x14ac:dyDescent="0.3">
      <c r="B4091" t="s">
        <v>267</v>
      </c>
      <c r="C4091" s="25">
        <v>44584</v>
      </c>
      <c r="D4091" s="26">
        <v>3.6782407407407409E-2</v>
      </c>
      <c r="E4091" t="s">
        <v>24</v>
      </c>
      <c r="F4091" t="s">
        <v>165</v>
      </c>
      <c r="G4091" t="s">
        <v>185</v>
      </c>
      <c r="H4091" t="s">
        <v>129</v>
      </c>
      <c r="I4091">
        <v>267.00200000000001</v>
      </c>
      <c r="J4091" s="7">
        <v>0</v>
      </c>
      <c r="K4091" s="11">
        <f t="shared" si="247"/>
        <v>548.22</v>
      </c>
      <c r="L4091" s="11">
        <v>548.22</v>
      </c>
      <c r="M4091" s="10">
        <f t="shared" si="248"/>
        <v>48.703440224727302</v>
      </c>
    </row>
    <row r="4092" spans="2:13" ht="15.75" hidden="1" customHeight="1" x14ac:dyDescent="0.3">
      <c r="B4092" t="s">
        <v>267</v>
      </c>
      <c r="C4092" s="25">
        <v>44584</v>
      </c>
      <c r="D4092" s="26">
        <v>0.78293981481481489</v>
      </c>
      <c r="E4092" t="s">
        <v>24</v>
      </c>
      <c r="F4092" t="s">
        <v>210</v>
      </c>
      <c r="G4092" t="s">
        <v>211</v>
      </c>
      <c r="H4092" t="s">
        <v>129</v>
      </c>
      <c r="I4092">
        <v>157.19999999999999</v>
      </c>
      <c r="J4092" s="7">
        <v>0</v>
      </c>
      <c r="K4092" s="11">
        <f t="shared" si="247"/>
        <v>538.17999999999995</v>
      </c>
      <c r="L4092" s="11">
        <v>538.17999999999995</v>
      </c>
      <c r="M4092" s="10">
        <f t="shared" si="248"/>
        <v>29.209558140399121</v>
      </c>
    </row>
    <row r="4093" spans="2:13" ht="15.75" hidden="1" customHeight="1" x14ac:dyDescent="0.3">
      <c r="B4093" t="s">
        <v>267</v>
      </c>
      <c r="C4093" s="25">
        <v>44586</v>
      </c>
      <c r="D4093" s="26">
        <v>0.45951388888888894</v>
      </c>
      <c r="E4093" t="s">
        <v>24</v>
      </c>
      <c r="F4093" t="s">
        <v>175</v>
      </c>
      <c r="G4093" t="s">
        <v>172</v>
      </c>
      <c r="H4093" t="s">
        <v>129</v>
      </c>
      <c r="I4093">
        <v>364.55</v>
      </c>
      <c r="J4093" s="7">
        <v>0</v>
      </c>
      <c r="K4093" s="73">
        <f t="shared" si="247"/>
        <v>1032.57</v>
      </c>
      <c r="L4093" s="7">
        <v>1032.57</v>
      </c>
      <c r="M4093" s="36">
        <f t="shared" si="248"/>
        <v>35.305112486320546</v>
      </c>
    </row>
    <row r="4094" spans="2:13" ht="15.75" hidden="1" customHeight="1" x14ac:dyDescent="0.3">
      <c r="B4094" t="s">
        <v>267</v>
      </c>
      <c r="C4094" s="25">
        <v>44587</v>
      </c>
      <c r="D4094" s="26">
        <v>0.54927083333333326</v>
      </c>
      <c r="E4094" t="s">
        <v>24</v>
      </c>
      <c r="F4094" t="s">
        <v>210</v>
      </c>
      <c r="G4094" t="s">
        <v>211</v>
      </c>
      <c r="H4094" t="s">
        <v>129</v>
      </c>
      <c r="I4094">
        <v>347.2</v>
      </c>
      <c r="J4094" s="7">
        <v>0</v>
      </c>
      <c r="K4094" s="73">
        <f t="shared" si="247"/>
        <v>822.58</v>
      </c>
      <c r="L4094" s="7">
        <v>822.58</v>
      </c>
      <c r="M4094" s="36">
        <f t="shared" si="248"/>
        <v>42.208660555812202</v>
      </c>
    </row>
    <row r="4095" spans="2:13" ht="15.75" hidden="1" customHeight="1" x14ac:dyDescent="0.3">
      <c r="B4095" t="s">
        <v>267</v>
      </c>
      <c r="C4095" s="25">
        <v>44588</v>
      </c>
      <c r="D4095" s="26">
        <v>0.92393518518518514</v>
      </c>
      <c r="E4095" t="s">
        <v>24</v>
      </c>
      <c r="F4095" t="s">
        <v>210</v>
      </c>
      <c r="G4095" t="s">
        <v>211</v>
      </c>
      <c r="H4095" t="s">
        <v>129</v>
      </c>
      <c r="I4095">
        <v>426.73</v>
      </c>
      <c r="J4095" s="7">
        <v>0</v>
      </c>
      <c r="K4095" s="73">
        <f t="shared" si="247"/>
        <v>1063.21</v>
      </c>
      <c r="L4095" s="7">
        <v>1063.21</v>
      </c>
      <c r="M4095" s="36">
        <f t="shared" si="248"/>
        <v>40.136003235484999</v>
      </c>
    </row>
    <row r="4096" spans="2:13" ht="15.75" hidden="1" customHeight="1" x14ac:dyDescent="0.3">
      <c r="B4096" t="s">
        <v>267</v>
      </c>
      <c r="C4096" s="25">
        <v>44590</v>
      </c>
      <c r="D4096" s="26">
        <v>0.43373842592592587</v>
      </c>
      <c r="E4096" t="s">
        <v>24</v>
      </c>
      <c r="F4096" t="s">
        <v>175</v>
      </c>
      <c r="G4096" t="s">
        <v>172</v>
      </c>
      <c r="H4096" t="s">
        <v>129</v>
      </c>
      <c r="I4096">
        <v>343.13</v>
      </c>
      <c r="J4096" s="7">
        <v>0</v>
      </c>
      <c r="K4096" s="73">
        <f t="shared" si="247"/>
        <v>988.46</v>
      </c>
      <c r="L4096" s="7">
        <v>988.46</v>
      </c>
      <c r="M4096" s="36">
        <f t="shared" si="248"/>
        <v>34.713594884972579</v>
      </c>
    </row>
    <row r="4097" spans="1:13" ht="15.75" hidden="1" customHeight="1" x14ac:dyDescent="0.3">
      <c r="B4097" t="s">
        <v>267</v>
      </c>
      <c r="C4097" s="25">
        <v>44591</v>
      </c>
      <c r="D4097" s="26">
        <v>0.42032407407407407</v>
      </c>
      <c r="E4097" t="s">
        <v>24</v>
      </c>
      <c r="F4097" t="s">
        <v>210</v>
      </c>
      <c r="G4097" t="s">
        <v>211</v>
      </c>
      <c r="H4097" t="s">
        <v>129</v>
      </c>
      <c r="I4097">
        <v>384.32</v>
      </c>
      <c r="J4097" s="7">
        <v>0</v>
      </c>
      <c r="K4097" s="73">
        <f t="shared" si="247"/>
        <v>830.98</v>
      </c>
      <c r="L4097" s="7">
        <v>830.98</v>
      </c>
      <c r="M4097" s="36">
        <f t="shared" si="248"/>
        <v>46.24900719632241</v>
      </c>
    </row>
    <row r="4098" spans="1:13" ht="15.75" hidden="1" customHeight="1" x14ac:dyDescent="0.3">
      <c r="B4098" t="s">
        <v>267</v>
      </c>
      <c r="C4098" s="25">
        <v>44592</v>
      </c>
      <c r="D4098" s="26">
        <v>0.58629629629629632</v>
      </c>
      <c r="E4098" t="s">
        <v>24</v>
      </c>
      <c r="F4098" t="s">
        <v>210</v>
      </c>
      <c r="G4098" t="s">
        <v>211</v>
      </c>
      <c r="H4098" t="s">
        <v>129</v>
      </c>
      <c r="I4098">
        <v>440.65</v>
      </c>
      <c r="J4098" s="7">
        <v>0</v>
      </c>
      <c r="K4098" s="7">
        <f t="shared" si="247"/>
        <v>1063.3499999999999</v>
      </c>
      <c r="L4098" s="29">
        <v>1063.3499999999999</v>
      </c>
      <c r="M4098" s="10">
        <f t="shared" si="248"/>
        <v>41.439789344994594</v>
      </c>
    </row>
    <row r="4099" spans="1:13" ht="15.75" hidden="1" customHeight="1" x14ac:dyDescent="0.3">
      <c r="A4099" s="9">
        <v>919</v>
      </c>
      <c r="B4099" t="s">
        <v>267</v>
      </c>
      <c r="C4099" s="25">
        <v>44593</v>
      </c>
      <c r="D4099" s="26">
        <v>0.6260648148148148</v>
      </c>
      <c r="E4099" t="s">
        <v>25</v>
      </c>
      <c r="F4099" t="s">
        <v>391</v>
      </c>
      <c r="G4099" t="s">
        <v>392</v>
      </c>
      <c r="H4099" t="s">
        <v>129</v>
      </c>
      <c r="I4099">
        <v>323.79000000000002</v>
      </c>
      <c r="J4099" s="7">
        <v>0</v>
      </c>
      <c r="K4099" s="7">
        <f t="shared" si="247"/>
        <v>926.91</v>
      </c>
      <c r="L4099" s="11">
        <v>926.91</v>
      </c>
      <c r="M4099" s="10">
        <f t="shared" si="248"/>
        <v>34.932194064148625</v>
      </c>
    </row>
    <row r="4100" spans="1:13" ht="15.75" hidden="1" customHeight="1" x14ac:dyDescent="0.3">
      <c r="A4100" s="9">
        <v>920</v>
      </c>
      <c r="B4100" t="s">
        <v>267</v>
      </c>
      <c r="C4100" s="25">
        <v>44598</v>
      </c>
      <c r="D4100" s="26">
        <v>0.63730324074074074</v>
      </c>
      <c r="E4100" t="s">
        <v>25</v>
      </c>
      <c r="F4100" t="s">
        <v>210</v>
      </c>
      <c r="G4100" t="s">
        <v>211</v>
      </c>
      <c r="H4100" t="s">
        <v>129</v>
      </c>
      <c r="I4100">
        <v>415.89</v>
      </c>
      <c r="J4100" s="7">
        <v>0</v>
      </c>
      <c r="K4100" s="7">
        <f t="shared" si="247"/>
        <v>842.44</v>
      </c>
      <c r="L4100" s="51">
        <v>842.44</v>
      </c>
      <c r="M4100" s="10">
        <f t="shared" si="248"/>
        <v>49.367313992687897</v>
      </c>
    </row>
    <row r="4101" spans="1:13" ht="15.75" hidden="1" customHeight="1" x14ac:dyDescent="0.3">
      <c r="A4101" s="9">
        <v>921</v>
      </c>
      <c r="B4101" t="s">
        <v>267</v>
      </c>
      <c r="C4101" s="25">
        <v>44599</v>
      </c>
      <c r="D4101" s="26">
        <v>0.73751157407407408</v>
      </c>
      <c r="E4101" t="s">
        <v>25</v>
      </c>
      <c r="F4101" t="s">
        <v>165</v>
      </c>
      <c r="G4101" t="s">
        <v>185</v>
      </c>
      <c r="H4101" t="s">
        <v>129</v>
      </c>
      <c r="I4101">
        <v>200</v>
      </c>
      <c r="J4101" s="7">
        <v>0</v>
      </c>
      <c r="K4101" s="7">
        <f t="shared" si="247"/>
        <v>548.46</v>
      </c>
      <c r="L4101" s="28">
        <v>548.46</v>
      </c>
      <c r="M4101" s="10">
        <f t="shared" si="248"/>
        <v>36.465740436859569</v>
      </c>
    </row>
    <row r="4102" spans="1:13" ht="15.75" hidden="1" customHeight="1" x14ac:dyDescent="0.3">
      <c r="A4102" s="9">
        <v>922</v>
      </c>
      <c r="B4102" t="s">
        <v>267</v>
      </c>
      <c r="C4102" s="25">
        <v>44600</v>
      </c>
      <c r="D4102" s="26">
        <v>6.7048611111111114E-2</v>
      </c>
      <c r="E4102" t="s">
        <v>25</v>
      </c>
      <c r="F4102" t="s">
        <v>210</v>
      </c>
      <c r="G4102" t="s">
        <v>211</v>
      </c>
      <c r="H4102" t="s">
        <v>129</v>
      </c>
      <c r="I4102">
        <v>209.04</v>
      </c>
      <c r="J4102" s="7">
        <v>0</v>
      </c>
      <c r="K4102" s="7">
        <f t="shared" si="247"/>
        <v>514.39</v>
      </c>
      <c r="L4102" s="11">
        <v>514.39</v>
      </c>
      <c r="M4102" s="10">
        <f t="shared" si="248"/>
        <v>40.638426096930345</v>
      </c>
    </row>
    <row r="4103" spans="1:13" ht="15.75" hidden="1" customHeight="1" x14ac:dyDescent="0.3">
      <c r="A4103" s="9">
        <v>923</v>
      </c>
      <c r="B4103" t="s">
        <v>267</v>
      </c>
      <c r="C4103" s="25">
        <v>44601</v>
      </c>
      <c r="D4103" s="26">
        <v>0.36795138888888884</v>
      </c>
      <c r="E4103" t="s">
        <v>25</v>
      </c>
      <c r="F4103" t="s">
        <v>428</v>
      </c>
      <c r="G4103" t="s">
        <v>429</v>
      </c>
      <c r="H4103" t="s">
        <v>129</v>
      </c>
      <c r="I4103">
        <v>332.94</v>
      </c>
      <c r="J4103" s="7">
        <v>0</v>
      </c>
      <c r="K4103" s="7">
        <f t="shared" si="247"/>
        <v>904.78</v>
      </c>
      <c r="L4103" s="37">
        <v>904.78</v>
      </c>
      <c r="M4103" s="10">
        <f t="shared" si="248"/>
        <v>36.797895621034947</v>
      </c>
    </row>
    <row r="4104" spans="1:13" ht="15.75" hidden="1" customHeight="1" x14ac:dyDescent="0.3">
      <c r="A4104" s="9">
        <v>924</v>
      </c>
      <c r="B4104" t="s">
        <v>267</v>
      </c>
      <c r="C4104" s="25">
        <v>44602</v>
      </c>
      <c r="D4104" s="26">
        <v>0.23701388888888889</v>
      </c>
      <c r="E4104" t="s">
        <v>25</v>
      </c>
      <c r="F4104" t="s">
        <v>210</v>
      </c>
      <c r="G4104" t="s">
        <v>211</v>
      </c>
      <c r="H4104" t="s">
        <v>129</v>
      </c>
      <c r="I4104">
        <v>352.03</v>
      </c>
      <c r="J4104" s="7">
        <v>0</v>
      </c>
      <c r="K4104" s="7">
        <f t="shared" si="247"/>
        <v>818.39</v>
      </c>
      <c r="L4104" s="32">
        <v>818.39</v>
      </c>
      <c r="M4104" s="10">
        <f t="shared" si="248"/>
        <v>43.014943975366265</v>
      </c>
    </row>
    <row r="4105" spans="1:13" ht="15.75" hidden="1" customHeight="1" x14ac:dyDescent="0.3">
      <c r="A4105" s="9">
        <v>925</v>
      </c>
      <c r="B4105" t="s">
        <v>267</v>
      </c>
      <c r="C4105" s="25">
        <v>44603</v>
      </c>
      <c r="D4105" s="26">
        <v>0.34627314814814819</v>
      </c>
      <c r="E4105" t="s">
        <v>25</v>
      </c>
      <c r="F4105" t="s">
        <v>210</v>
      </c>
      <c r="G4105" t="s">
        <v>211</v>
      </c>
      <c r="H4105" t="s">
        <v>129</v>
      </c>
      <c r="I4105">
        <v>405.91</v>
      </c>
      <c r="J4105" s="7">
        <v>0</v>
      </c>
      <c r="K4105" s="7">
        <f t="shared" si="247"/>
        <v>1089.83</v>
      </c>
      <c r="L4105" s="32">
        <v>1089.83</v>
      </c>
      <c r="M4105" s="10">
        <f t="shared" si="248"/>
        <v>37.245258434801762</v>
      </c>
    </row>
    <row r="4106" spans="1:13" ht="15.75" hidden="1" customHeight="1" x14ac:dyDescent="0.3">
      <c r="A4106" s="9">
        <v>926</v>
      </c>
      <c r="B4106" t="s">
        <v>267</v>
      </c>
      <c r="C4106" s="25">
        <v>44604</v>
      </c>
      <c r="D4106" s="26">
        <v>0.49780092592592595</v>
      </c>
      <c r="E4106" t="s">
        <v>25</v>
      </c>
      <c r="F4106" t="s">
        <v>175</v>
      </c>
      <c r="G4106" t="s">
        <v>172</v>
      </c>
      <c r="H4106" t="s">
        <v>129</v>
      </c>
      <c r="I4106">
        <v>370.99</v>
      </c>
      <c r="J4106" s="7">
        <v>0</v>
      </c>
      <c r="K4106" s="7">
        <f t="shared" si="247"/>
        <v>919.72</v>
      </c>
      <c r="L4106" s="32">
        <v>919.72</v>
      </c>
      <c r="M4106" s="10">
        <f t="shared" si="248"/>
        <v>40.337276562432045</v>
      </c>
    </row>
    <row r="4107" spans="1:13" ht="15.75" hidden="1" customHeight="1" x14ac:dyDescent="0.3">
      <c r="A4107" s="9">
        <v>927</v>
      </c>
      <c r="B4107" t="s">
        <v>267</v>
      </c>
      <c r="C4107" s="25">
        <v>44605</v>
      </c>
      <c r="D4107" s="26">
        <v>0.64635416666666667</v>
      </c>
      <c r="E4107" t="s">
        <v>25</v>
      </c>
      <c r="F4107" t="s">
        <v>210</v>
      </c>
      <c r="G4107" t="s">
        <v>211</v>
      </c>
      <c r="H4107" t="s">
        <v>129</v>
      </c>
      <c r="I4107">
        <v>365.16</v>
      </c>
      <c r="J4107" s="7">
        <v>0</v>
      </c>
      <c r="K4107" s="7">
        <f t="shared" si="247"/>
        <v>763.39</v>
      </c>
      <c r="L4107" s="32">
        <v>763.39</v>
      </c>
      <c r="M4107" s="10">
        <f t="shared" si="248"/>
        <v>47.834003589253207</v>
      </c>
    </row>
    <row r="4108" spans="1:13" ht="15.75" hidden="1" customHeight="1" x14ac:dyDescent="0.3">
      <c r="A4108" s="9">
        <v>928</v>
      </c>
      <c r="B4108" t="s">
        <v>267</v>
      </c>
      <c r="C4108" s="25">
        <v>44607</v>
      </c>
      <c r="D4108" s="26">
        <v>0.31579861111111113</v>
      </c>
      <c r="E4108" t="s">
        <v>25</v>
      </c>
      <c r="F4108" t="s">
        <v>210</v>
      </c>
      <c r="G4108" t="s">
        <v>211</v>
      </c>
      <c r="H4108" t="s">
        <v>129</v>
      </c>
      <c r="I4108">
        <v>432.29</v>
      </c>
      <c r="J4108" s="7">
        <v>0</v>
      </c>
      <c r="K4108" s="7">
        <f t="shared" si="247"/>
        <v>1063.25</v>
      </c>
      <c r="L4108" s="32">
        <v>1063.25</v>
      </c>
      <c r="M4108" s="10">
        <f t="shared" si="248"/>
        <v>40.657418292969673</v>
      </c>
    </row>
    <row r="4109" spans="1:13" ht="15.75" hidden="1" customHeight="1" x14ac:dyDescent="0.3">
      <c r="A4109" s="9">
        <v>929</v>
      </c>
      <c r="B4109" t="s">
        <v>267</v>
      </c>
      <c r="C4109" s="25">
        <v>44608</v>
      </c>
      <c r="D4109" s="26">
        <v>0.70181712962962972</v>
      </c>
      <c r="E4109" t="s">
        <v>25</v>
      </c>
      <c r="F4109" t="s">
        <v>391</v>
      </c>
      <c r="G4109" t="s">
        <v>392</v>
      </c>
      <c r="H4109" t="s">
        <v>129</v>
      </c>
      <c r="I4109">
        <v>348.53</v>
      </c>
      <c r="J4109" s="7">
        <v>0</v>
      </c>
      <c r="K4109" s="7">
        <f t="shared" si="247"/>
        <v>926.91</v>
      </c>
      <c r="L4109" s="32">
        <v>926.91</v>
      </c>
      <c r="M4109" s="10">
        <f t="shared" si="248"/>
        <v>37.601277362419218</v>
      </c>
    </row>
    <row r="4110" spans="1:13" ht="15.75" hidden="1" customHeight="1" x14ac:dyDescent="0.3">
      <c r="A4110" s="9">
        <v>930</v>
      </c>
      <c r="B4110" t="s">
        <v>267</v>
      </c>
      <c r="C4110" s="25">
        <v>44613</v>
      </c>
      <c r="D4110" s="26">
        <v>0.83230324074074069</v>
      </c>
      <c r="E4110" t="s">
        <v>25</v>
      </c>
      <c r="F4110" t="s">
        <v>210</v>
      </c>
      <c r="G4110" t="s">
        <v>211</v>
      </c>
      <c r="H4110" t="s">
        <v>129</v>
      </c>
      <c r="I4110">
        <v>393.55</v>
      </c>
      <c r="J4110" s="7">
        <v>0</v>
      </c>
      <c r="K4110" s="7">
        <f t="shared" si="247"/>
        <v>857.74</v>
      </c>
      <c r="L4110" s="32">
        <v>857.74</v>
      </c>
      <c r="M4110" s="10">
        <f t="shared" si="248"/>
        <v>45.882202065894099</v>
      </c>
    </row>
    <row r="4111" spans="1:13" ht="15.75" hidden="1" customHeight="1" x14ac:dyDescent="0.3">
      <c r="A4111" s="9">
        <v>931</v>
      </c>
      <c r="B4111" t="s">
        <v>267</v>
      </c>
      <c r="C4111" s="25">
        <v>44614</v>
      </c>
      <c r="D4111" s="26">
        <v>0.5929861111111111</v>
      </c>
      <c r="E4111" t="s">
        <v>25</v>
      </c>
      <c r="F4111" t="s">
        <v>165</v>
      </c>
      <c r="G4111" t="s">
        <v>185</v>
      </c>
      <c r="H4111" t="s">
        <v>129</v>
      </c>
      <c r="I4111">
        <v>100</v>
      </c>
      <c r="J4111" s="7">
        <v>0</v>
      </c>
      <c r="K4111" s="7">
        <f t="shared" si="247"/>
        <v>548.20000000000005</v>
      </c>
      <c r="L4111" s="53">
        <v>548.20000000000005</v>
      </c>
      <c r="M4111" s="10">
        <f t="shared" si="248"/>
        <v>18.241517694272162</v>
      </c>
    </row>
    <row r="4112" spans="1:13" ht="15.75" hidden="1" customHeight="1" x14ac:dyDescent="0.3">
      <c r="A4112" s="9">
        <v>932</v>
      </c>
      <c r="B4112" t="s">
        <v>267</v>
      </c>
      <c r="C4112" s="25">
        <v>44618</v>
      </c>
      <c r="D4112" s="26">
        <v>0.73528935185185185</v>
      </c>
      <c r="E4112" t="s">
        <v>25</v>
      </c>
      <c r="F4112" t="s">
        <v>210</v>
      </c>
      <c r="G4112" t="s">
        <v>211</v>
      </c>
      <c r="H4112" t="s">
        <v>129</v>
      </c>
      <c r="I4112">
        <v>446.77</v>
      </c>
      <c r="J4112" s="7">
        <v>0</v>
      </c>
      <c r="K4112" s="7">
        <f t="shared" si="247"/>
        <v>574.79</v>
      </c>
      <c r="L4112" s="53">
        <v>574.79</v>
      </c>
      <c r="M4112" s="10">
        <f t="shared" si="248"/>
        <v>77.72751787609387</v>
      </c>
    </row>
    <row r="4113" spans="1:13" ht="15.75" hidden="1" customHeight="1" x14ac:dyDescent="0.3">
      <c r="A4113" s="9">
        <v>933</v>
      </c>
      <c r="B4113" t="s">
        <v>267</v>
      </c>
      <c r="C4113" s="25">
        <v>44619</v>
      </c>
      <c r="D4113" s="26">
        <v>0.43788194444444445</v>
      </c>
      <c r="E4113" t="s">
        <v>25</v>
      </c>
      <c r="F4113" t="s">
        <v>171</v>
      </c>
      <c r="G4113" t="s">
        <v>172</v>
      </c>
      <c r="H4113" t="s">
        <v>129</v>
      </c>
      <c r="I4113">
        <v>227.31</v>
      </c>
      <c r="J4113" s="7">
        <v>0</v>
      </c>
      <c r="K4113" s="7">
        <f t="shared" si="247"/>
        <v>688.57</v>
      </c>
      <c r="L4113" s="67">
        <v>688.57</v>
      </c>
      <c r="M4113" s="10">
        <f t="shared" si="248"/>
        <v>33.011894215548168</v>
      </c>
    </row>
    <row r="4114" spans="1:13" ht="15.75" hidden="1" customHeight="1" x14ac:dyDescent="0.3">
      <c r="A4114" s="9">
        <v>2085</v>
      </c>
      <c r="B4114" t="s">
        <v>267</v>
      </c>
      <c r="C4114" s="25">
        <v>44621</v>
      </c>
      <c r="D4114" s="26">
        <v>0.83650462962962957</v>
      </c>
      <c r="E4114" t="s">
        <v>26</v>
      </c>
      <c r="F4114" t="s">
        <v>210</v>
      </c>
      <c r="G4114" t="s">
        <v>211</v>
      </c>
      <c r="H4114" t="s">
        <v>129</v>
      </c>
      <c r="I4114">
        <v>391.59</v>
      </c>
      <c r="J4114" s="51">
        <v>0</v>
      </c>
      <c r="K4114" s="97">
        <f t="shared" ref="K4114:K4144" si="249">+L4114-J4114</f>
        <v>830.36</v>
      </c>
      <c r="L4114" s="51">
        <v>830.36</v>
      </c>
      <c r="M4114" s="10">
        <f t="shared" ref="M4114:M4145" si="250">I4114/K4114*100</f>
        <v>47.1590635387061</v>
      </c>
    </row>
    <row r="4115" spans="1:13" ht="15.75" hidden="1" customHeight="1" x14ac:dyDescent="0.3">
      <c r="A4115" s="9">
        <v>2086</v>
      </c>
      <c r="B4115" t="s">
        <v>267</v>
      </c>
      <c r="C4115" s="25">
        <v>44622</v>
      </c>
      <c r="D4115" s="26">
        <v>0.97745370370370377</v>
      </c>
      <c r="E4115" t="s">
        <v>26</v>
      </c>
      <c r="F4115" t="s">
        <v>210</v>
      </c>
      <c r="G4115" t="s">
        <v>211</v>
      </c>
      <c r="H4115" t="s">
        <v>129</v>
      </c>
      <c r="I4115">
        <v>423.75</v>
      </c>
      <c r="J4115" s="40">
        <v>0</v>
      </c>
      <c r="K4115" s="90">
        <f t="shared" si="249"/>
        <v>1063.23</v>
      </c>
      <c r="L4115" s="11">
        <v>1063.23</v>
      </c>
      <c r="M4115" s="10">
        <f t="shared" si="250"/>
        <v>39.854970232216921</v>
      </c>
    </row>
    <row r="4116" spans="1:13" ht="15.75" hidden="1" customHeight="1" x14ac:dyDescent="0.3">
      <c r="A4116" s="9">
        <v>2087</v>
      </c>
      <c r="B4116" t="s">
        <v>267</v>
      </c>
      <c r="C4116" s="25">
        <v>44624</v>
      </c>
      <c r="D4116" s="26">
        <v>0.39238425925925924</v>
      </c>
      <c r="E4116" t="s">
        <v>26</v>
      </c>
      <c r="F4116" t="s">
        <v>175</v>
      </c>
      <c r="G4116" t="s">
        <v>172</v>
      </c>
      <c r="H4116" t="s">
        <v>129</v>
      </c>
      <c r="I4116">
        <v>374.23</v>
      </c>
      <c r="J4116" s="51">
        <v>0</v>
      </c>
      <c r="K4116" s="90">
        <f t="shared" si="249"/>
        <v>988.77</v>
      </c>
      <c r="L4116" s="52">
        <v>988.77</v>
      </c>
      <c r="M4116" s="10">
        <f t="shared" si="250"/>
        <v>37.848033415253298</v>
      </c>
    </row>
    <row r="4117" spans="1:13" ht="15.75" hidden="1" customHeight="1" x14ac:dyDescent="0.3">
      <c r="A4117" s="9">
        <v>2088</v>
      </c>
      <c r="B4117" t="s">
        <v>267</v>
      </c>
      <c r="C4117" s="25">
        <v>44630</v>
      </c>
      <c r="D4117" s="26">
        <v>0.58314814814814808</v>
      </c>
      <c r="E4117" t="s">
        <v>26</v>
      </c>
      <c r="F4117" t="s">
        <v>175</v>
      </c>
      <c r="G4117" t="s">
        <v>172</v>
      </c>
      <c r="H4117" t="s">
        <v>129</v>
      </c>
      <c r="I4117">
        <v>331.36</v>
      </c>
      <c r="J4117" s="51">
        <v>0</v>
      </c>
      <c r="K4117" s="90">
        <f t="shared" si="249"/>
        <v>831.92</v>
      </c>
      <c r="L4117" s="52">
        <v>831.92</v>
      </c>
      <c r="M4117" s="10">
        <f t="shared" si="250"/>
        <v>39.8307529570151</v>
      </c>
    </row>
    <row r="4118" spans="1:13" ht="15.75" hidden="1" customHeight="1" x14ac:dyDescent="0.3">
      <c r="A4118" s="9">
        <v>2089</v>
      </c>
      <c r="B4118" t="s">
        <v>267</v>
      </c>
      <c r="C4118" s="25">
        <v>44631</v>
      </c>
      <c r="D4118" s="26">
        <v>0.6565509259259259</v>
      </c>
      <c r="E4118" t="s">
        <v>26</v>
      </c>
      <c r="F4118" t="s">
        <v>210</v>
      </c>
      <c r="G4118" t="s">
        <v>211</v>
      </c>
      <c r="H4118" t="s">
        <v>129</v>
      </c>
      <c r="I4118">
        <v>392.08</v>
      </c>
      <c r="J4118" s="51">
        <v>0</v>
      </c>
      <c r="K4118" s="90">
        <f t="shared" si="249"/>
        <v>858.99</v>
      </c>
      <c r="L4118" s="52">
        <v>858.99</v>
      </c>
      <c r="M4118" s="10">
        <f t="shared" si="250"/>
        <v>45.644303193285133</v>
      </c>
    </row>
    <row r="4119" spans="1:13" ht="15.75" hidden="1" customHeight="1" x14ac:dyDescent="0.3">
      <c r="A4119" s="9">
        <v>2090</v>
      </c>
      <c r="B4119" t="s">
        <v>267</v>
      </c>
      <c r="C4119" s="25">
        <v>44632</v>
      </c>
      <c r="D4119" s="26">
        <v>0.73776620370370372</v>
      </c>
      <c r="E4119" t="s">
        <v>26</v>
      </c>
      <c r="F4119" t="s">
        <v>210</v>
      </c>
      <c r="G4119" t="s">
        <v>211</v>
      </c>
      <c r="H4119" t="s">
        <v>129</v>
      </c>
      <c r="I4119">
        <v>373.63</v>
      </c>
      <c r="J4119" s="7">
        <v>0</v>
      </c>
      <c r="K4119" s="90">
        <f t="shared" si="249"/>
        <v>954.51</v>
      </c>
      <c r="L4119" s="32">
        <v>954.51</v>
      </c>
      <c r="M4119" s="36">
        <f t="shared" si="250"/>
        <v>39.143644382981847</v>
      </c>
    </row>
    <row r="4120" spans="1:13" ht="15.75" hidden="1" customHeight="1" x14ac:dyDescent="0.3">
      <c r="A4120" s="9">
        <v>2091</v>
      </c>
      <c r="B4120" t="s">
        <v>267</v>
      </c>
      <c r="C4120" s="25">
        <v>44634</v>
      </c>
      <c r="D4120" s="26">
        <v>0.80965277777777767</v>
      </c>
      <c r="E4120" t="s">
        <v>26</v>
      </c>
      <c r="F4120" t="s">
        <v>175</v>
      </c>
      <c r="G4120" t="s">
        <v>172</v>
      </c>
      <c r="H4120" t="s">
        <v>129</v>
      </c>
      <c r="I4120">
        <v>318.01</v>
      </c>
      <c r="J4120" s="7">
        <v>0</v>
      </c>
      <c r="K4120" s="90">
        <f t="shared" si="249"/>
        <v>922.22</v>
      </c>
      <c r="L4120" s="32">
        <v>922.22</v>
      </c>
      <c r="M4120" s="36">
        <f t="shared" si="250"/>
        <v>34.483095139988286</v>
      </c>
    </row>
    <row r="4121" spans="1:13" ht="15.75" hidden="1" customHeight="1" x14ac:dyDescent="0.3">
      <c r="A4121" s="9">
        <v>2092</v>
      </c>
      <c r="B4121" t="s">
        <v>267</v>
      </c>
      <c r="C4121" s="25">
        <v>44636</v>
      </c>
      <c r="D4121" s="26">
        <v>0.26752314814814815</v>
      </c>
      <c r="E4121" t="s">
        <v>26</v>
      </c>
      <c r="F4121" t="s">
        <v>210</v>
      </c>
      <c r="G4121" t="s">
        <v>211</v>
      </c>
      <c r="H4121" t="s">
        <v>129</v>
      </c>
      <c r="I4121">
        <v>400.54</v>
      </c>
      <c r="J4121" s="7">
        <v>0</v>
      </c>
      <c r="K4121" s="90">
        <f t="shared" si="249"/>
        <v>825.35</v>
      </c>
      <c r="L4121" s="32">
        <v>825.35</v>
      </c>
      <c r="M4121" s="36">
        <f t="shared" si="250"/>
        <v>48.529714666505122</v>
      </c>
    </row>
    <row r="4122" spans="1:13" ht="15.75" hidden="1" customHeight="1" x14ac:dyDescent="0.3">
      <c r="A4122" s="9">
        <v>2093</v>
      </c>
      <c r="B4122" t="s">
        <v>267</v>
      </c>
      <c r="C4122" s="25">
        <v>44637</v>
      </c>
      <c r="D4122" s="26">
        <v>0.54186342592592596</v>
      </c>
      <c r="E4122" t="s">
        <v>26</v>
      </c>
      <c r="F4122" t="s">
        <v>210</v>
      </c>
      <c r="G4122" t="s">
        <v>211</v>
      </c>
      <c r="H4122" t="s">
        <v>129</v>
      </c>
      <c r="I4122">
        <v>69.41</v>
      </c>
      <c r="J4122" s="7">
        <v>0</v>
      </c>
      <c r="K4122" s="90">
        <f t="shared" si="249"/>
        <v>1062.3699999999999</v>
      </c>
      <c r="L4122" s="32">
        <v>1062.3699999999999</v>
      </c>
      <c r="M4122" s="36">
        <f t="shared" si="250"/>
        <v>6.5335052759396453</v>
      </c>
    </row>
    <row r="4123" spans="1:13" ht="15.75" hidden="1" customHeight="1" x14ac:dyDescent="0.3">
      <c r="A4123" s="9">
        <v>2094</v>
      </c>
      <c r="B4123" t="s">
        <v>267</v>
      </c>
      <c r="C4123" s="25">
        <v>44639</v>
      </c>
      <c r="D4123" s="26">
        <v>0.4029282407407408</v>
      </c>
      <c r="E4123" t="s">
        <v>26</v>
      </c>
      <c r="F4123" t="s">
        <v>391</v>
      </c>
      <c r="G4123" t="s">
        <v>392</v>
      </c>
      <c r="H4123" t="s">
        <v>129</v>
      </c>
      <c r="I4123">
        <v>347.9</v>
      </c>
      <c r="J4123" s="7">
        <v>0</v>
      </c>
      <c r="K4123" s="90">
        <f t="shared" si="249"/>
        <v>929.51</v>
      </c>
      <c r="L4123" s="32">
        <v>929.51</v>
      </c>
      <c r="M4123" s="36">
        <f t="shared" si="250"/>
        <v>37.42832244946262</v>
      </c>
    </row>
    <row r="4124" spans="1:13" ht="15.75" hidden="1" customHeight="1" x14ac:dyDescent="0.3">
      <c r="A4124" s="9">
        <v>2095</v>
      </c>
      <c r="B4124" t="s">
        <v>267</v>
      </c>
      <c r="C4124" s="25">
        <v>44644</v>
      </c>
      <c r="D4124" s="26">
        <v>0.29075231481481484</v>
      </c>
      <c r="E4124" t="s">
        <v>26</v>
      </c>
      <c r="F4124" t="s">
        <v>210</v>
      </c>
      <c r="G4124" t="s">
        <v>211</v>
      </c>
      <c r="H4124" t="s">
        <v>129</v>
      </c>
      <c r="I4124">
        <v>388.53</v>
      </c>
      <c r="J4124" s="7">
        <v>0</v>
      </c>
      <c r="K4124" s="90">
        <f t="shared" si="249"/>
        <v>821.56</v>
      </c>
      <c r="L4124" s="32">
        <v>821.56</v>
      </c>
      <c r="M4124" s="36">
        <f t="shared" si="250"/>
        <v>47.29173766979892</v>
      </c>
    </row>
    <row r="4125" spans="1:13" ht="15.75" hidden="1" customHeight="1" x14ac:dyDescent="0.3">
      <c r="A4125" s="9">
        <v>2096</v>
      </c>
      <c r="B4125" t="s">
        <v>267</v>
      </c>
      <c r="C4125" s="25">
        <v>44645</v>
      </c>
      <c r="D4125" s="26">
        <v>2.0381944444444446E-2</v>
      </c>
      <c r="E4125" t="s">
        <v>26</v>
      </c>
      <c r="F4125" t="s">
        <v>210</v>
      </c>
      <c r="G4125" t="s">
        <v>211</v>
      </c>
      <c r="H4125" t="s">
        <v>129</v>
      </c>
      <c r="I4125">
        <v>472.87</v>
      </c>
      <c r="J4125" s="7">
        <v>0</v>
      </c>
      <c r="K4125" s="89">
        <f t="shared" si="249"/>
        <v>1064.46</v>
      </c>
      <c r="L4125" s="32">
        <v>1064.46</v>
      </c>
      <c r="M4125" s="10">
        <f t="shared" si="250"/>
        <v>44.423463540198789</v>
      </c>
    </row>
    <row r="4126" spans="1:13" ht="15.75" hidden="1" customHeight="1" x14ac:dyDescent="0.3">
      <c r="A4126" s="9">
        <v>2097</v>
      </c>
      <c r="B4126" t="s">
        <v>267</v>
      </c>
      <c r="C4126" s="25">
        <v>44646</v>
      </c>
      <c r="D4126" s="26">
        <v>0.49137731481481484</v>
      </c>
      <c r="E4126" t="s">
        <v>26</v>
      </c>
      <c r="F4126" t="s">
        <v>428</v>
      </c>
      <c r="G4126" t="s">
        <v>429</v>
      </c>
      <c r="H4126" t="s">
        <v>129</v>
      </c>
      <c r="I4126">
        <v>150.02000000000001</v>
      </c>
      <c r="J4126" s="7">
        <v>0</v>
      </c>
      <c r="K4126" s="89">
        <f t="shared" si="249"/>
        <v>915.83</v>
      </c>
      <c r="L4126" s="32">
        <v>915.83</v>
      </c>
      <c r="M4126" s="10">
        <f t="shared" si="250"/>
        <v>16.38076935675835</v>
      </c>
    </row>
    <row r="4127" spans="1:13" ht="15.75" hidden="1" customHeight="1" x14ac:dyDescent="0.3">
      <c r="A4127" s="9">
        <v>2098</v>
      </c>
      <c r="B4127" t="s">
        <v>267</v>
      </c>
      <c r="C4127" s="25">
        <v>44648</v>
      </c>
      <c r="D4127" s="26">
        <v>0.82634259259259257</v>
      </c>
      <c r="E4127" t="s">
        <v>26</v>
      </c>
      <c r="F4127" t="s">
        <v>175</v>
      </c>
      <c r="G4127" t="s">
        <v>172</v>
      </c>
      <c r="H4127" t="s">
        <v>129</v>
      </c>
      <c r="I4127">
        <v>486.82</v>
      </c>
      <c r="J4127" s="7">
        <v>0</v>
      </c>
      <c r="K4127" s="89">
        <f t="shared" si="249"/>
        <v>677.38</v>
      </c>
      <c r="L4127" s="32">
        <v>677.38</v>
      </c>
      <c r="M4127" s="10">
        <f t="shared" si="250"/>
        <v>71.868079955121203</v>
      </c>
    </row>
    <row r="4128" spans="1:13" ht="15.75" hidden="1" customHeight="1" x14ac:dyDescent="0.3">
      <c r="A4128" s="9">
        <v>2099</v>
      </c>
      <c r="B4128" t="s">
        <v>267</v>
      </c>
      <c r="C4128" s="25">
        <v>44648</v>
      </c>
      <c r="D4128" s="26">
        <v>0.96113425925925933</v>
      </c>
      <c r="E4128" t="s">
        <v>26</v>
      </c>
      <c r="F4128" t="s">
        <v>197</v>
      </c>
      <c r="G4128" t="s">
        <v>44</v>
      </c>
      <c r="H4128" t="s">
        <v>129</v>
      </c>
      <c r="I4128">
        <v>108.95</v>
      </c>
      <c r="J4128" s="7">
        <v>0</v>
      </c>
      <c r="K4128" s="89">
        <f t="shared" si="249"/>
        <v>104.39</v>
      </c>
      <c r="L4128" s="32">
        <v>104.39</v>
      </c>
      <c r="M4128" s="10">
        <f t="shared" si="250"/>
        <v>104.36823450522081</v>
      </c>
    </row>
    <row r="4129" spans="1:13" ht="15.75" hidden="1" customHeight="1" x14ac:dyDescent="0.3">
      <c r="A4129" s="9">
        <v>2100</v>
      </c>
      <c r="B4129" t="s">
        <v>267</v>
      </c>
      <c r="C4129" s="25">
        <v>44649</v>
      </c>
      <c r="D4129" s="26">
        <v>0.67864583333333339</v>
      </c>
      <c r="E4129" t="s">
        <v>26</v>
      </c>
      <c r="F4129" t="s">
        <v>210</v>
      </c>
      <c r="G4129" t="s">
        <v>211</v>
      </c>
      <c r="H4129" t="s">
        <v>129</v>
      </c>
      <c r="I4129">
        <v>300.3</v>
      </c>
      <c r="J4129" s="7">
        <v>0</v>
      </c>
      <c r="K4129" s="89">
        <f t="shared" si="249"/>
        <v>587.36</v>
      </c>
      <c r="L4129" s="32">
        <v>587.36</v>
      </c>
      <c r="M4129" s="10">
        <f t="shared" si="250"/>
        <v>51.127077090710983</v>
      </c>
    </row>
    <row r="4130" spans="1:13" ht="15.75" hidden="1" customHeight="1" x14ac:dyDescent="0.3">
      <c r="A4130" s="9">
        <v>2101</v>
      </c>
      <c r="B4130" t="s">
        <v>267</v>
      </c>
      <c r="C4130" s="25">
        <v>44650</v>
      </c>
      <c r="D4130" s="26">
        <v>0.93054398148148154</v>
      </c>
      <c r="E4130" t="s">
        <v>26</v>
      </c>
      <c r="F4130" t="s">
        <v>278</v>
      </c>
      <c r="G4130" t="s">
        <v>279</v>
      </c>
      <c r="H4130" t="s">
        <v>129</v>
      </c>
      <c r="I4130">
        <v>363.76</v>
      </c>
      <c r="J4130" s="7">
        <v>0</v>
      </c>
      <c r="K4130" s="89">
        <f t="shared" si="249"/>
        <v>811.56</v>
      </c>
      <c r="L4130" s="32">
        <v>811.56</v>
      </c>
      <c r="M4130" s="10">
        <f t="shared" si="250"/>
        <v>44.822317511952292</v>
      </c>
    </row>
    <row r="4131" spans="1:13" ht="15.75" hidden="1" customHeight="1" x14ac:dyDescent="0.3">
      <c r="A4131" s="9">
        <v>2102</v>
      </c>
      <c r="B4131" t="s">
        <v>267</v>
      </c>
      <c r="C4131" s="25">
        <v>44651</v>
      </c>
      <c r="D4131" s="26">
        <v>0.12986111111111112</v>
      </c>
      <c r="E4131" t="s">
        <v>26</v>
      </c>
      <c r="F4131" t="s">
        <v>210</v>
      </c>
      <c r="G4131" t="s">
        <v>211</v>
      </c>
      <c r="H4131" t="s">
        <v>129</v>
      </c>
      <c r="I4131">
        <v>117.91</v>
      </c>
      <c r="J4131" s="7">
        <v>0</v>
      </c>
      <c r="K4131" s="89">
        <f t="shared" si="249"/>
        <v>350</v>
      </c>
      <c r="L4131" s="32">
        <v>350</v>
      </c>
      <c r="M4131" s="10">
        <f t="shared" si="250"/>
        <v>33.688571428571429</v>
      </c>
    </row>
    <row r="4132" spans="1:13" ht="15.75" hidden="1" customHeight="1" x14ac:dyDescent="0.3">
      <c r="A4132" s="9">
        <v>3371</v>
      </c>
      <c r="B4132" t="s">
        <v>267</v>
      </c>
      <c r="C4132" s="25">
        <v>44652</v>
      </c>
      <c r="D4132" s="26">
        <v>0.80092592592592593</v>
      </c>
      <c r="E4132" t="s">
        <v>27</v>
      </c>
      <c r="F4132" t="s">
        <v>175</v>
      </c>
      <c r="G4132" t="s">
        <v>172</v>
      </c>
      <c r="H4132" t="s">
        <v>129</v>
      </c>
      <c r="I4132" s="4">
        <v>334.25</v>
      </c>
      <c r="J4132" s="7">
        <v>0</v>
      </c>
      <c r="K4132" s="89">
        <f t="shared" si="249"/>
        <v>910.52</v>
      </c>
      <c r="L4132" s="32">
        <v>910.52</v>
      </c>
      <c r="M4132" s="10">
        <f t="shared" si="250"/>
        <v>36.709792206651144</v>
      </c>
    </row>
    <row r="4133" spans="1:13" ht="15.75" hidden="1" customHeight="1" x14ac:dyDescent="0.3">
      <c r="A4133" s="9">
        <v>3372</v>
      </c>
      <c r="B4133" t="s">
        <v>267</v>
      </c>
      <c r="C4133" s="25">
        <v>44657</v>
      </c>
      <c r="D4133" s="26">
        <v>0.85306712962962961</v>
      </c>
      <c r="E4133" t="s">
        <v>27</v>
      </c>
      <c r="F4133" t="s">
        <v>210</v>
      </c>
      <c r="G4133" t="s">
        <v>211</v>
      </c>
      <c r="H4133" t="s">
        <v>129</v>
      </c>
      <c r="I4133" s="4">
        <v>374.99</v>
      </c>
      <c r="J4133" s="7">
        <v>0</v>
      </c>
      <c r="K4133" s="89">
        <f t="shared" si="249"/>
        <v>849.62</v>
      </c>
      <c r="L4133" s="32">
        <v>849.62</v>
      </c>
      <c r="M4133" s="10">
        <f t="shared" si="250"/>
        <v>44.136202066806341</v>
      </c>
    </row>
    <row r="4134" spans="1:13" ht="15.75" hidden="1" customHeight="1" x14ac:dyDescent="0.3">
      <c r="A4134" s="9">
        <v>3373</v>
      </c>
      <c r="B4134" t="s">
        <v>267</v>
      </c>
      <c r="C4134" s="25">
        <v>44659</v>
      </c>
      <c r="D4134" s="26">
        <v>0.58883101851851849</v>
      </c>
      <c r="E4134" t="s">
        <v>27</v>
      </c>
      <c r="F4134" t="s">
        <v>210</v>
      </c>
      <c r="G4134" t="s">
        <v>211</v>
      </c>
      <c r="H4134" t="s">
        <v>129</v>
      </c>
      <c r="I4134" s="4">
        <v>403.56</v>
      </c>
      <c r="J4134" s="7">
        <v>0</v>
      </c>
      <c r="K4134" s="89">
        <f t="shared" si="249"/>
        <v>1062.44</v>
      </c>
      <c r="L4134" s="32">
        <v>1062.44</v>
      </c>
      <c r="M4134" s="10">
        <f t="shared" si="250"/>
        <v>37.98426264071383</v>
      </c>
    </row>
    <row r="4135" spans="1:13" ht="15.75" hidden="1" customHeight="1" x14ac:dyDescent="0.3">
      <c r="A4135" s="9">
        <v>3374</v>
      </c>
      <c r="B4135" t="s">
        <v>267</v>
      </c>
      <c r="C4135" s="25">
        <v>44661</v>
      </c>
      <c r="D4135" s="26">
        <v>0.41949074074074072</v>
      </c>
      <c r="E4135" t="s">
        <v>27</v>
      </c>
      <c r="F4135" t="s">
        <v>331</v>
      </c>
      <c r="G4135" t="s">
        <v>277</v>
      </c>
      <c r="H4135" t="s">
        <v>129</v>
      </c>
      <c r="I4135" s="4">
        <v>285.66000000000003</v>
      </c>
      <c r="J4135" s="7">
        <v>0</v>
      </c>
      <c r="K4135" s="89">
        <f t="shared" si="249"/>
        <v>800</v>
      </c>
      <c r="L4135" s="32">
        <v>800</v>
      </c>
      <c r="M4135" s="10">
        <f t="shared" si="250"/>
        <v>35.707500000000003</v>
      </c>
    </row>
    <row r="4136" spans="1:13" ht="15.75" hidden="1" customHeight="1" x14ac:dyDescent="0.3">
      <c r="A4136" s="9">
        <v>3375</v>
      </c>
      <c r="B4136" t="s">
        <v>267</v>
      </c>
      <c r="C4136" s="25">
        <v>44664</v>
      </c>
      <c r="D4136" s="26">
        <v>0.43005787037037035</v>
      </c>
      <c r="E4136" t="s">
        <v>27</v>
      </c>
      <c r="F4136" t="s">
        <v>175</v>
      </c>
      <c r="G4136" t="s">
        <v>172</v>
      </c>
      <c r="H4136" t="s">
        <v>129</v>
      </c>
      <c r="I4136" s="4">
        <v>228.6</v>
      </c>
      <c r="J4136" s="7">
        <v>0</v>
      </c>
      <c r="K4136" s="89">
        <f t="shared" si="249"/>
        <v>576.26</v>
      </c>
      <c r="L4136" s="32">
        <v>576.26</v>
      </c>
      <c r="M4136" s="10">
        <f t="shared" si="250"/>
        <v>39.669593586228437</v>
      </c>
    </row>
    <row r="4137" spans="1:13" ht="15.75" hidden="1" customHeight="1" x14ac:dyDescent="0.3">
      <c r="A4137" s="9">
        <v>3376</v>
      </c>
      <c r="B4137" t="s">
        <v>267</v>
      </c>
      <c r="C4137" s="25">
        <v>44665</v>
      </c>
      <c r="D4137" s="26">
        <v>0.61673611111111104</v>
      </c>
      <c r="E4137" t="s">
        <v>27</v>
      </c>
      <c r="F4137" t="s">
        <v>210</v>
      </c>
      <c r="G4137" t="s">
        <v>211</v>
      </c>
      <c r="H4137" t="s">
        <v>129</v>
      </c>
      <c r="I4137" s="4">
        <v>334.74</v>
      </c>
      <c r="J4137" s="34">
        <v>0</v>
      </c>
      <c r="K4137" s="89">
        <f t="shared" si="249"/>
        <v>819.89</v>
      </c>
      <c r="L4137" s="38">
        <v>819.89</v>
      </c>
      <c r="M4137" s="10">
        <f t="shared" si="250"/>
        <v>40.827428069619096</v>
      </c>
    </row>
    <row r="4138" spans="1:13" ht="15.75" hidden="1" customHeight="1" x14ac:dyDescent="0.3">
      <c r="A4138" s="9">
        <v>3377</v>
      </c>
      <c r="B4138" t="s">
        <v>267</v>
      </c>
      <c r="C4138" s="25">
        <v>44666</v>
      </c>
      <c r="D4138" s="26">
        <v>0.88731481481481478</v>
      </c>
      <c r="E4138" t="s">
        <v>27</v>
      </c>
      <c r="F4138" t="s">
        <v>210</v>
      </c>
      <c r="G4138" t="s">
        <v>211</v>
      </c>
      <c r="H4138" t="s">
        <v>129</v>
      </c>
      <c r="I4138" s="4">
        <v>402.91</v>
      </c>
      <c r="J4138" s="7">
        <v>0</v>
      </c>
      <c r="K4138" s="89">
        <f t="shared" si="249"/>
        <v>1062</v>
      </c>
      <c r="L4138" s="32">
        <v>1062</v>
      </c>
      <c r="M4138" s="10">
        <f t="shared" si="250"/>
        <v>37.938794726930325</v>
      </c>
    </row>
    <row r="4139" spans="1:13" ht="15.75" hidden="1" customHeight="1" x14ac:dyDescent="0.3">
      <c r="A4139" s="9">
        <v>3378</v>
      </c>
      <c r="B4139" t="s">
        <v>267</v>
      </c>
      <c r="C4139" s="25">
        <v>44670</v>
      </c>
      <c r="D4139" s="26">
        <v>0.60216435185185191</v>
      </c>
      <c r="E4139" t="s">
        <v>27</v>
      </c>
      <c r="F4139" t="s">
        <v>262</v>
      </c>
      <c r="G4139" t="s">
        <v>263</v>
      </c>
      <c r="H4139" t="s">
        <v>129</v>
      </c>
      <c r="I4139" s="4">
        <v>200</v>
      </c>
      <c r="J4139" s="7">
        <v>0</v>
      </c>
      <c r="K4139" s="89">
        <f t="shared" si="249"/>
        <v>878.76</v>
      </c>
      <c r="L4139" s="37">
        <v>878.76</v>
      </c>
      <c r="M4139" s="10">
        <f t="shared" si="250"/>
        <v>22.75934271018253</v>
      </c>
    </row>
    <row r="4140" spans="1:13" ht="15.75" hidden="1" customHeight="1" x14ac:dyDescent="0.3">
      <c r="A4140" s="9">
        <v>3379</v>
      </c>
      <c r="B4140" t="s">
        <v>267</v>
      </c>
      <c r="C4140" s="25">
        <v>44670</v>
      </c>
      <c r="D4140" s="26">
        <v>0.66363425925925923</v>
      </c>
      <c r="E4140" t="s">
        <v>27</v>
      </c>
      <c r="F4140" t="s">
        <v>175</v>
      </c>
      <c r="G4140" t="s">
        <v>172</v>
      </c>
      <c r="H4140" t="s">
        <v>129</v>
      </c>
      <c r="I4140" s="4">
        <v>158.35</v>
      </c>
      <c r="J4140" s="7">
        <v>0</v>
      </c>
      <c r="K4140" s="89">
        <f t="shared" si="249"/>
        <v>932.78</v>
      </c>
      <c r="L4140" s="38">
        <v>932.78</v>
      </c>
      <c r="M4140" s="10">
        <f t="shared" si="250"/>
        <v>16.976135851969381</v>
      </c>
    </row>
    <row r="4141" spans="1:13" ht="15.75" hidden="1" customHeight="1" x14ac:dyDescent="0.3">
      <c r="A4141" s="9">
        <v>3380</v>
      </c>
      <c r="B4141" t="s">
        <v>267</v>
      </c>
      <c r="C4141" s="25">
        <v>44675</v>
      </c>
      <c r="D4141" s="26">
        <v>0.49668981481481483</v>
      </c>
      <c r="E4141" t="s">
        <v>27</v>
      </c>
      <c r="F4141" t="s">
        <v>210</v>
      </c>
      <c r="G4141" t="s">
        <v>211</v>
      </c>
      <c r="H4141" t="s">
        <v>129</v>
      </c>
      <c r="I4141" s="4">
        <f>38.76+338.03</f>
        <v>376.78999999999996</v>
      </c>
      <c r="J4141" s="7">
        <v>0</v>
      </c>
      <c r="K4141" s="89">
        <f t="shared" si="249"/>
        <v>906</v>
      </c>
      <c r="L4141" s="32">
        <v>906</v>
      </c>
      <c r="M4141" s="10">
        <f t="shared" si="250"/>
        <v>41.588300220750547</v>
      </c>
    </row>
    <row r="4142" spans="1:13" ht="15.75" hidden="1" customHeight="1" x14ac:dyDescent="0.3">
      <c r="A4142" s="9">
        <v>3381</v>
      </c>
      <c r="B4142" t="s">
        <v>267</v>
      </c>
      <c r="C4142" s="25">
        <v>44676</v>
      </c>
      <c r="D4142" s="26">
        <v>0.43214120370370374</v>
      </c>
      <c r="E4142" t="s">
        <v>27</v>
      </c>
      <c r="F4142" t="s">
        <v>165</v>
      </c>
      <c r="G4142" t="s">
        <v>185</v>
      </c>
      <c r="H4142" t="s">
        <v>129</v>
      </c>
      <c r="I4142">
        <v>252.6</v>
      </c>
      <c r="J4142" s="7">
        <v>0</v>
      </c>
      <c r="K4142" s="89">
        <f t="shared" si="249"/>
        <v>514.58000000000004</v>
      </c>
      <c r="L4142" s="7">
        <v>514.58000000000004</v>
      </c>
      <c r="M4142" s="10">
        <f t="shared" si="250"/>
        <v>49.088577091997351</v>
      </c>
    </row>
    <row r="4143" spans="1:13" ht="15.75" hidden="1" customHeight="1" x14ac:dyDescent="0.3">
      <c r="A4143" s="9">
        <v>3382</v>
      </c>
      <c r="B4143" t="s">
        <v>267</v>
      </c>
      <c r="C4143" s="25">
        <v>44677</v>
      </c>
      <c r="D4143" s="26">
        <v>0.76528935185185187</v>
      </c>
      <c r="E4143" t="s">
        <v>27</v>
      </c>
      <c r="F4143" t="s">
        <v>210</v>
      </c>
      <c r="G4143" t="s">
        <v>211</v>
      </c>
      <c r="H4143" t="s">
        <v>129</v>
      </c>
      <c r="I4143">
        <v>262.51</v>
      </c>
      <c r="J4143" s="7">
        <v>0</v>
      </c>
      <c r="K4143" s="89">
        <f t="shared" si="249"/>
        <v>599</v>
      </c>
      <c r="L4143" s="11">
        <v>599</v>
      </c>
      <c r="M4143" s="10">
        <f t="shared" si="250"/>
        <v>43.824707846410682</v>
      </c>
    </row>
    <row r="4144" spans="1:13" ht="15.75" hidden="1" customHeight="1" x14ac:dyDescent="0.3">
      <c r="A4144" s="9">
        <v>3383</v>
      </c>
      <c r="B4144" t="s">
        <v>267</v>
      </c>
      <c r="C4144" s="25">
        <v>44679</v>
      </c>
      <c r="D4144" s="26">
        <v>0.28785879629629629</v>
      </c>
      <c r="E4144" t="s">
        <v>27</v>
      </c>
      <c r="F4144" t="s">
        <v>175</v>
      </c>
      <c r="G4144" t="s">
        <v>172</v>
      </c>
      <c r="H4144" t="s">
        <v>129</v>
      </c>
      <c r="I4144">
        <v>408.82</v>
      </c>
      <c r="J4144" s="7">
        <v>0</v>
      </c>
      <c r="K4144" s="89">
        <f t="shared" si="249"/>
        <v>1065</v>
      </c>
      <c r="L4144" s="7">
        <v>1065</v>
      </c>
      <c r="M4144" s="10">
        <f t="shared" si="250"/>
        <v>38.386854460093893</v>
      </c>
    </row>
    <row r="4145" spans="1:13" ht="15.75" hidden="1" customHeight="1" x14ac:dyDescent="0.3">
      <c r="A4145" s="9">
        <v>3739</v>
      </c>
      <c r="B4145" t="s">
        <v>267</v>
      </c>
      <c r="C4145" s="25">
        <v>44683</v>
      </c>
      <c r="D4145" s="26">
        <v>0.74626157407407412</v>
      </c>
      <c r="E4145" t="s">
        <v>28</v>
      </c>
      <c r="F4145" t="s">
        <v>428</v>
      </c>
      <c r="G4145" t="s">
        <v>429</v>
      </c>
      <c r="H4145" t="s">
        <v>129</v>
      </c>
      <c r="I4145">
        <v>150.03</v>
      </c>
      <c r="J4145" s="31">
        <v>0</v>
      </c>
      <c r="K4145" s="89">
        <f>+L4145-J4278</f>
        <v>901</v>
      </c>
      <c r="L4145" s="7">
        <v>901</v>
      </c>
      <c r="M4145" s="10">
        <f t="shared" si="250"/>
        <v>16.651498335183128</v>
      </c>
    </row>
    <row r="4146" spans="1:13" ht="15.75" hidden="1" customHeight="1" x14ac:dyDescent="0.3">
      <c r="A4146" s="9">
        <v>3779</v>
      </c>
      <c r="B4146" t="s">
        <v>267</v>
      </c>
      <c r="C4146" s="25">
        <v>44684</v>
      </c>
      <c r="D4146" s="26">
        <v>0.34032407407407406</v>
      </c>
      <c r="E4146" t="s">
        <v>28</v>
      </c>
      <c r="F4146" t="s">
        <v>175</v>
      </c>
      <c r="G4146" t="s">
        <v>172</v>
      </c>
      <c r="H4146" t="s">
        <v>129</v>
      </c>
      <c r="I4146">
        <v>277.57</v>
      </c>
      <c r="J4146" s="34">
        <v>0</v>
      </c>
      <c r="K4146" s="89">
        <f>+L4146-J4280</f>
        <v>281.8</v>
      </c>
      <c r="L4146" s="33">
        <v>281.8</v>
      </c>
      <c r="M4146" s="10">
        <f t="shared" ref="M4146:M4177" si="251">I4146/K4146*100</f>
        <v>98.498935415188072</v>
      </c>
    </row>
    <row r="4147" spans="1:13" ht="15.75" hidden="1" customHeight="1" x14ac:dyDescent="0.3">
      <c r="A4147" s="9">
        <v>3844</v>
      </c>
      <c r="B4147" t="s">
        <v>267</v>
      </c>
      <c r="C4147" s="25">
        <v>44685</v>
      </c>
      <c r="D4147" s="26">
        <v>0.6743865740740741</v>
      </c>
      <c r="E4147" t="s">
        <v>28</v>
      </c>
      <c r="F4147" t="s">
        <v>210</v>
      </c>
      <c r="G4147" t="s">
        <v>211</v>
      </c>
      <c r="H4147" t="s">
        <v>129</v>
      </c>
      <c r="I4147">
        <v>300.04000000000002</v>
      </c>
      <c r="J4147" s="31">
        <v>0</v>
      </c>
      <c r="K4147" s="89">
        <f>+L4147-J4277</f>
        <v>703.65</v>
      </c>
      <c r="L4147" s="32">
        <v>703.65</v>
      </c>
      <c r="M4147" s="10">
        <f t="shared" si="251"/>
        <v>42.640517302636262</v>
      </c>
    </row>
    <row r="4148" spans="1:13" ht="15.75" hidden="1" customHeight="1" x14ac:dyDescent="0.3">
      <c r="A4148" s="9">
        <v>4002</v>
      </c>
      <c r="B4148" t="s">
        <v>267</v>
      </c>
      <c r="C4148" s="25">
        <v>44688</v>
      </c>
      <c r="D4148" s="26">
        <v>0.51101851851851854</v>
      </c>
      <c r="E4148" t="s">
        <v>28</v>
      </c>
      <c r="F4148" t="s">
        <v>165</v>
      </c>
      <c r="G4148" t="s">
        <v>185</v>
      </c>
      <c r="H4148" t="s">
        <v>129</v>
      </c>
      <c r="I4148">
        <v>271.51</v>
      </c>
      <c r="J4148" s="7">
        <v>0</v>
      </c>
      <c r="K4148" s="89">
        <f>+L4148-J4278</f>
        <v>557</v>
      </c>
      <c r="L4148" s="32">
        <v>557</v>
      </c>
      <c r="M4148" s="10">
        <f t="shared" si="251"/>
        <v>48.745062836624776</v>
      </c>
    </row>
    <row r="4149" spans="1:13" ht="15.75" hidden="1" customHeight="1" x14ac:dyDescent="0.3">
      <c r="A4149" s="9">
        <v>4141</v>
      </c>
      <c r="B4149" t="s">
        <v>267</v>
      </c>
      <c r="C4149" s="25">
        <v>44691</v>
      </c>
      <c r="D4149" s="26">
        <v>0.70385416666666656</v>
      </c>
      <c r="E4149" t="s">
        <v>28</v>
      </c>
      <c r="F4149" t="s">
        <v>165</v>
      </c>
      <c r="G4149" t="s">
        <v>185</v>
      </c>
      <c r="H4149" t="s">
        <v>129</v>
      </c>
      <c r="I4149">
        <v>392.55</v>
      </c>
      <c r="J4149" s="7">
        <v>0</v>
      </c>
      <c r="K4149" s="89">
        <f>+L4149-J4281</f>
        <v>885</v>
      </c>
      <c r="L4149" s="32">
        <v>885</v>
      </c>
      <c r="M4149" s="10">
        <f t="shared" si="251"/>
        <v>44.355932203389834</v>
      </c>
    </row>
    <row r="4150" spans="1:13" ht="15.75" hidden="1" customHeight="1" x14ac:dyDescent="0.3">
      <c r="A4150" s="9">
        <v>4182</v>
      </c>
      <c r="B4150" t="s">
        <v>267</v>
      </c>
      <c r="C4150" s="25">
        <v>44692</v>
      </c>
      <c r="D4150" s="26">
        <v>0.74181712962962953</v>
      </c>
      <c r="E4150" t="s">
        <v>28</v>
      </c>
      <c r="F4150" t="s">
        <v>165</v>
      </c>
      <c r="G4150" t="s">
        <v>185</v>
      </c>
      <c r="H4150" t="s">
        <v>129</v>
      </c>
      <c r="I4150">
        <v>209.51</v>
      </c>
      <c r="J4150" s="34">
        <v>0</v>
      </c>
      <c r="K4150" s="89">
        <f>+L4150-J4283</f>
        <v>448</v>
      </c>
      <c r="L4150" s="53">
        <v>448</v>
      </c>
      <c r="M4150" s="10">
        <f t="shared" si="251"/>
        <v>46.765625</v>
      </c>
    </row>
    <row r="4151" spans="1:13" ht="15.75" hidden="1" customHeight="1" x14ac:dyDescent="0.3">
      <c r="A4151" s="9">
        <v>4899</v>
      </c>
      <c r="B4151" t="s">
        <v>267</v>
      </c>
      <c r="C4151" s="25">
        <v>44705</v>
      </c>
      <c r="D4151" s="26">
        <v>0.43379629629629629</v>
      </c>
      <c r="E4151" t="s">
        <v>28</v>
      </c>
      <c r="F4151" t="s">
        <v>197</v>
      </c>
      <c r="G4151" t="s">
        <v>44</v>
      </c>
      <c r="H4151" t="s">
        <v>129</v>
      </c>
      <c r="I4151">
        <v>223</v>
      </c>
      <c r="J4151" s="7">
        <v>0</v>
      </c>
      <c r="K4151" s="89">
        <f>+L4151-J4284</f>
        <v>298</v>
      </c>
      <c r="L4151" s="53">
        <v>298</v>
      </c>
      <c r="M4151" s="10">
        <f t="shared" si="251"/>
        <v>74.832214765100673</v>
      </c>
    </row>
    <row r="4152" spans="1:13" ht="15.75" hidden="1" customHeight="1" x14ac:dyDescent="0.3">
      <c r="A4152" s="9">
        <v>4900</v>
      </c>
      <c r="B4152" t="s">
        <v>267</v>
      </c>
      <c r="C4152" s="25">
        <v>44705</v>
      </c>
      <c r="D4152" s="26">
        <v>0.80556712962962962</v>
      </c>
      <c r="E4152" t="s">
        <v>28</v>
      </c>
      <c r="F4152" t="s">
        <v>210</v>
      </c>
      <c r="G4152" t="s">
        <v>211</v>
      </c>
      <c r="H4152" t="s">
        <v>129</v>
      </c>
      <c r="I4152">
        <v>299.02999999999997</v>
      </c>
      <c r="J4152" s="7">
        <v>0</v>
      </c>
      <c r="K4152" s="89">
        <f>+L4152-J4285</f>
        <v>587</v>
      </c>
      <c r="L4152" s="53">
        <v>587</v>
      </c>
      <c r="M4152" s="10">
        <f t="shared" si="251"/>
        <v>50.942078364565582</v>
      </c>
    </row>
    <row r="4153" spans="1:13" ht="15.75" hidden="1" customHeight="1" x14ac:dyDescent="0.3">
      <c r="A4153" s="9">
        <v>4959</v>
      </c>
      <c r="B4153" t="s">
        <v>267</v>
      </c>
      <c r="C4153" s="25">
        <v>44706</v>
      </c>
      <c r="D4153" s="26">
        <v>0.45385416666666667</v>
      </c>
      <c r="E4153" t="s">
        <v>28</v>
      </c>
      <c r="F4153" t="s">
        <v>165</v>
      </c>
      <c r="G4153" t="s">
        <v>185</v>
      </c>
      <c r="H4153" t="s">
        <v>129</v>
      </c>
      <c r="I4153">
        <v>255.18</v>
      </c>
      <c r="J4153" s="7">
        <v>0</v>
      </c>
      <c r="K4153" s="89">
        <f>+L4153-J4286</f>
        <v>514</v>
      </c>
      <c r="L4153" s="67">
        <v>514</v>
      </c>
      <c r="M4153" s="10">
        <f t="shared" si="251"/>
        <v>49.645914396887157</v>
      </c>
    </row>
    <row r="4154" spans="1:13" ht="15.75" hidden="1" customHeight="1" x14ac:dyDescent="0.3">
      <c r="A4154" s="9">
        <v>5057</v>
      </c>
      <c r="B4154" t="s">
        <v>267</v>
      </c>
      <c r="C4154" s="25">
        <v>44708</v>
      </c>
      <c r="D4154" s="26">
        <v>0.85432870370370362</v>
      </c>
      <c r="E4154" t="s">
        <v>28</v>
      </c>
      <c r="F4154" t="s">
        <v>635</v>
      </c>
      <c r="G4154" t="s">
        <v>185</v>
      </c>
      <c r="H4154" t="s">
        <v>129</v>
      </c>
      <c r="I4154">
        <v>416.09</v>
      </c>
      <c r="J4154" s="34">
        <v>0</v>
      </c>
      <c r="K4154" s="89">
        <f>+L4154-J4385</f>
        <v>881</v>
      </c>
      <c r="L4154" s="11">
        <v>881</v>
      </c>
      <c r="M4154" s="10">
        <f t="shared" si="251"/>
        <v>47.229284903518725</v>
      </c>
    </row>
    <row r="4155" spans="1:13" ht="15.75" hidden="1" customHeight="1" x14ac:dyDescent="0.3">
      <c r="A4155" s="9">
        <v>5106</v>
      </c>
      <c r="B4155" t="s">
        <v>267</v>
      </c>
      <c r="C4155" s="25">
        <v>44709</v>
      </c>
      <c r="D4155" s="26">
        <v>0.62436342592592597</v>
      </c>
      <c r="E4155" t="s">
        <v>28</v>
      </c>
      <c r="F4155" t="s">
        <v>635</v>
      </c>
      <c r="G4155" t="s">
        <v>185</v>
      </c>
      <c r="H4155" t="s">
        <v>129</v>
      </c>
      <c r="I4155">
        <v>228.5</v>
      </c>
      <c r="J4155" s="7">
        <v>0</v>
      </c>
      <c r="K4155" s="89">
        <f>+L4155-J4386</f>
        <v>473</v>
      </c>
      <c r="L4155" s="28">
        <v>473</v>
      </c>
      <c r="M4155" s="10">
        <f t="shared" si="251"/>
        <v>48.308668076109932</v>
      </c>
    </row>
    <row r="4156" spans="1:13" ht="15.75" hidden="1" customHeight="1" x14ac:dyDescent="0.3">
      <c r="A4156" s="9">
        <v>5107</v>
      </c>
      <c r="B4156" t="s">
        <v>267</v>
      </c>
      <c r="C4156" s="25">
        <v>44709</v>
      </c>
      <c r="D4156" s="26">
        <v>0.93762731481481476</v>
      </c>
      <c r="E4156" t="s">
        <v>28</v>
      </c>
      <c r="F4156" t="s">
        <v>634</v>
      </c>
      <c r="G4156" t="s">
        <v>211</v>
      </c>
      <c r="H4156" t="s">
        <v>129</v>
      </c>
      <c r="I4156">
        <v>145.36000000000001</v>
      </c>
      <c r="J4156" s="39">
        <v>0</v>
      </c>
      <c r="K4156" s="89">
        <f>+L4156-J4387</f>
        <v>514</v>
      </c>
      <c r="L4156" s="7">
        <v>514</v>
      </c>
      <c r="M4156" s="36">
        <f t="shared" si="251"/>
        <v>28.280155642023345</v>
      </c>
    </row>
    <row r="4157" spans="1:13" ht="15.75" hidden="1" customHeight="1" x14ac:dyDescent="0.3">
      <c r="A4157" s="9">
        <v>5218</v>
      </c>
      <c r="B4157" t="s">
        <v>267</v>
      </c>
      <c r="C4157" s="25">
        <v>44711</v>
      </c>
      <c r="D4157" s="26">
        <v>0.78510416666666671</v>
      </c>
      <c r="E4157" t="s">
        <v>28</v>
      </c>
      <c r="F4157" t="s">
        <v>679</v>
      </c>
      <c r="G4157" t="s">
        <v>392</v>
      </c>
      <c r="H4157" t="s">
        <v>129</v>
      </c>
      <c r="I4157">
        <v>345.78</v>
      </c>
      <c r="J4157" s="41">
        <v>0</v>
      </c>
      <c r="K4157" s="89">
        <f>+L4157-J4381</f>
        <v>934</v>
      </c>
      <c r="L4157" s="7">
        <v>934</v>
      </c>
      <c r="M4157" s="36">
        <f t="shared" si="251"/>
        <v>37.021413276231264</v>
      </c>
    </row>
    <row r="4158" spans="1:13" ht="15.75" hidden="1" customHeight="1" x14ac:dyDescent="0.3">
      <c r="A4158" s="9">
        <v>5252</v>
      </c>
      <c r="B4158" t="s">
        <v>267</v>
      </c>
      <c r="C4158" s="25">
        <v>44712</v>
      </c>
      <c r="D4158" s="26">
        <v>0.89219907407407406</v>
      </c>
      <c r="E4158" t="s">
        <v>28</v>
      </c>
      <c r="F4158" t="s">
        <v>634</v>
      </c>
      <c r="G4158" t="s">
        <v>211</v>
      </c>
      <c r="H4158" t="s">
        <v>129</v>
      </c>
      <c r="I4158">
        <v>384.15</v>
      </c>
      <c r="J4158" s="41">
        <v>0</v>
      </c>
      <c r="K4158" s="89">
        <f>+L4158-J4382</f>
        <v>835</v>
      </c>
      <c r="L4158" s="7">
        <v>835</v>
      </c>
      <c r="M4158" s="36">
        <f t="shared" si="251"/>
        <v>46.005988023952092</v>
      </c>
    </row>
    <row r="4159" spans="1:13" ht="15.75" hidden="1" customHeight="1" x14ac:dyDescent="0.3">
      <c r="A4159" s="9">
        <v>5299</v>
      </c>
      <c r="B4159" t="s">
        <v>267</v>
      </c>
      <c r="C4159" s="25">
        <v>44713</v>
      </c>
      <c r="D4159" s="26">
        <v>0.6227893518518518</v>
      </c>
      <c r="E4159" t="s">
        <v>29</v>
      </c>
      <c r="F4159" t="s">
        <v>645</v>
      </c>
      <c r="G4159" t="s">
        <v>279</v>
      </c>
      <c r="H4159" t="s">
        <v>129</v>
      </c>
      <c r="I4159">
        <v>313.42</v>
      </c>
      <c r="J4159" s="41">
        <v>0</v>
      </c>
      <c r="K4159" s="90">
        <f>+L4159-J4383</f>
        <v>697</v>
      </c>
      <c r="L4159" s="51">
        <v>697</v>
      </c>
      <c r="M4159" s="10">
        <f t="shared" si="251"/>
        <v>44.967001434720231</v>
      </c>
    </row>
    <row r="4160" spans="1:13" ht="15.75" hidden="1" customHeight="1" x14ac:dyDescent="0.3">
      <c r="A4160" s="9">
        <v>5300</v>
      </c>
      <c r="B4160" t="s">
        <v>267</v>
      </c>
      <c r="C4160" s="25">
        <v>44713</v>
      </c>
      <c r="D4160" s="26">
        <v>0.81784722222222228</v>
      </c>
      <c r="E4160" t="s">
        <v>29</v>
      </c>
      <c r="F4160" t="s">
        <v>634</v>
      </c>
      <c r="G4160" t="s">
        <v>211</v>
      </c>
      <c r="H4160" t="s">
        <v>129</v>
      </c>
      <c r="I4160">
        <v>118.27</v>
      </c>
      <c r="J4160" s="41">
        <v>0</v>
      </c>
      <c r="K4160" s="99">
        <f>+L4160-J4384</f>
        <v>355</v>
      </c>
      <c r="L4160" s="51">
        <v>355</v>
      </c>
      <c r="M4160" s="10">
        <f t="shared" si="251"/>
        <v>33.315492957746478</v>
      </c>
    </row>
    <row r="4161" spans="1:19" ht="15.75" hidden="1" customHeight="1" x14ac:dyDescent="0.3">
      <c r="A4161" s="9">
        <v>5426</v>
      </c>
      <c r="B4161" t="s">
        <v>267</v>
      </c>
      <c r="C4161" s="25">
        <v>44715</v>
      </c>
      <c r="D4161" s="26">
        <v>0.4115625</v>
      </c>
      <c r="E4161" t="s">
        <v>29</v>
      </c>
      <c r="F4161" t="s">
        <v>679</v>
      </c>
      <c r="G4161" t="s">
        <v>392</v>
      </c>
      <c r="H4161" t="s">
        <v>129</v>
      </c>
      <c r="I4161">
        <v>336.56</v>
      </c>
      <c r="J4161" s="41">
        <v>0</v>
      </c>
      <c r="K4161" s="90">
        <f>+L4161-J4379</f>
        <v>874</v>
      </c>
      <c r="L4161" s="11">
        <v>874</v>
      </c>
      <c r="M4161" s="10">
        <f t="shared" si="251"/>
        <v>38.508009153318078</v>
      </c>
    </row>
    <row r="4162" spans="1:19" ht="15.75" hidden="1" customHeight="1" x14ac:dyDescent="0.3">
      <c r="A4162" s="9">
        <v>5680</v>
      </c>
      <c r="B4162" t="s">
        <v>267</v>
      </c>
      <c r="C4162" s="25">
        <v>44720</v>
      </c>
      <c r="D4162" s="26">
        <v>0.56982638888888892</v>
      </c>
      <c r="E4162" t="s">
        <v>29</v>
      </c>
      <c r="F4162" t="s">
        <v>672</v>
      </c>
      <c r="G4162" t="s">
        <v>367</v>
      </c>
      <c r="H4162" t="s">
        <v>129</v>
      </c>
      <c r="I4162">
        <v>50.08</v>
      </c>
      <c r="J4162" s="41">
        <v>0</v>
      </c>
      <c r="K4162" s="90">
        <f>+L4162-J3758</f>
        <v>661</v>
      </c>
      <c r="L4162" s="28">
        <v>661</v>
      </c>
      <c r="M4162" s="10">
        <f t="shared" si="251"/>
        <v>7.5763993948562787</v>
      </c>
    </row>
    <row r="4163" spans="1:19" ht="15.75" hidden="1" customHeight="1" x14ac:dyDescent="0.3">
      <c r="A4163" s="9">
        <v>5681</v>
      </c>
      <c r="B4163" t="s">
        <v>267</v>
      </c>
      <c r="C4163" s="25">
        <v>44720</v>
      </c>
      <c r="D4163" s="26">
        <v>0.73365740740740737</v>
      </c>
      <c r="E4163" t="s">
        <v>29</v>
      </c>
      <c r="F4163" t="s">
        <v>632</v>
      </c>
      <c r="G4163" t="s">
        <v>161</v>
      </c>
      <c r="H4163" t="s">
        <v>129</v>
      </c>
      <c r="I4163">
        <v>297.83999999999997</v>
      </c>
      <c r="J4163" s="41">
        <v>0</v>
      </c>
      <c r="K4163" s="90">
        <f>+L4163-J3759</f>
        <v>123</v>
      </c>
      <c r="L4163" s="11">
        <v>123</v>
      </c>
      <c r="M4163" s="10">
        <f t="shared" si="251"/>
        <v>242.14634146341461</v>
      </c>
    </row>
    <row r="4164" spans="1:19" ht="15.75" hidden="1" customHeight="1" x14ac:dyDescent="0.3">
      <c r="A4164" s="9">
        <v>5776</v>
      </c>
      <c r="B4164" t="s">
        <v>267</v>
      </c>
      <c r="C4164" s="25">
        <v>44722</v>
      </c>
      <c r="D4164" s="26">
        <v>0.38767361111111115</v>
      </c>
      <c r="E4164" t="s">
        <v>29</v>
      </c>
      <c r="F4164" t="s">
        <v>634</v>
      </c>
      <c r="G4164" t="s">
        <v>211</v>
      </c>
      <c r="H4164" t="s">
        <v>129</v>
      </c>
      <c r="I4164">
        <v>473.46</v>
      </c>
      <c r="J4164" s="41">
        <v>0</v>
      </c>
      <c r="K4164" s="90">
        <f>+L4164-J3760</f>
        <v>97</v>
      </c>
      <c r="L4164" s="34">
        <v>1146</v>
      </c>
      <c r="M4164" s="10">
        <f t="shared" si="251"/>
        <v>488.10309278350513</v>
      </c>
    </row>
    <row r="4165" spans="1:19" ht="15.75" hidden="1" customHeight="1" x14ac:dyDescent="0.3">
      <c r="A4165" s="9">
        <v>5840</v>
      </c>
      <c r="B4165" t="s">
        <v>267</v>
      </c>
      <c r="C4165" s="25">
        <v>44723</v>
      </c>
      <c r="D4165" s="26">
        <v>0.85068287037037038</v>
      </c>
      <c r="E4165" t="s">
        <v>29</v>
      </c>
      <c r="F4165" t="s">
        <v>651</v>
      </c>
      <c r="G4165" t="s">
        <v>172</v>
      </c>
      <c r="H4165" t="s">
        <v>129</v>
      </c>
      <c r="I4165">
        <v>386.9</v>
      </c>
      <c r="J4165" s="32">
        <v>0</v>
      </c>
      <c r="K4165" s="90">
        <f>+L4165-J3761</f>
        <v>23</v>
      </c>
      <c r="L4165" s="7">
        <v>1045</v>
      </c>
      <c r="M4165" s="36">
        <f t="shared" si="251"/>
        <v>1682.1739130434783</v>
      </c>
    </row>
    <row r="4166" spans="1:19" ht="15.75" hidden="1" customHeight="1" x14ac:dyDescent="0.3">
      <c r="A4166" s="9">
        <v>5888</v>
      </c>
      <c r="B4166" t="s">
        <v>267</v>
      </c>
      <c r="C4166" s="25">
        <v>44724</v>
      </c>
      <c r="D4166" s="26">
        <v>0.77166666666666661</v>
      </c>
      <c r="E4166" t="s">
        <v>29</v>
      </c>
      <c r="F4166" t="s">
        <v>634</v>
      </c>
      <c r="G4166" t="s">
        <v>211</v>
      </c>
      <c r="H4166" t="s">
        <v>129</v>
      </c>
      <c r="I4166" s="148">
        <v>304.49</v>
      </c>
      <c r="J4166" s="32">
        <v>0</v>
      </c>
      <c r="K4166" s="90">
        <f>+L4166-J3762</f>
        <v>683</v>
      </c>
      <c r="L4166" s="7">
        <v>683</v>
      </c>
      <c r="M4166" s="36">
        <f t="shared" si="251"/>
        <v>44.581259150805273</v>
      </c>
    </row>
    <row r="4167" spans="1:19" ht="15.75" hidden="1" customHeight="1" x14ac:dyDescent="0.3">
      <c r="A4167" s="9">
        <v>5949</v>
      </c>
      <c r="B4167" t="s">
        <v>267</v>
      </c>
      <c r="C4167" s="25">
        <v>44725</v>
      </c>
      <c r="D4167" s="26">
        <v>0.96651620370370372</v>
      </c>
      <c r="E4167" t="s">
        <v>29</v>
      </c>
      <c r="F4167" t="s">
        <v>634</v>
      </c>
      <c r="G4167" t="s">
        <v>211</v>
      </c>
      <c r="H4167" t="s">
        <v>129</v>
      </c>
      <c r="I4167" s="148">
        <v>437.4</v>
      </c>
      <c r="J4167" s="32">
        <v>0</v>
      </c>
      <c r="K4167" s="90">
        <v>969</v>
      </c>
      <c r="L4167" s="7">
        <v>969</v>
      </c>
      <c r="M4167" s="36">
        <f t="shared" si="251"/>
        <v>45.139318885448915</v>
      </c>
      <c r="N4167" s="2"/>
      <c r="O4167" s="2"/>
      <c r="P4167" s="2"/>
      <c r="Q4167" s="2"/>
      <c r="R4167" s="2"/>
      <c r="S4167" s="2"/>
    </row>
    <row r="4168" spans="1:19" ht="15.75" hidden="1" customHeight="1" x14ac:dyDescent="0.3">
      <c r="A4168" s="9">
        <v>6064</v>
      </c>
      <c r="B4168" t="s">
        <v>267</v>
      </c>
      <c r="C4168" s="25">
        <v>44727</v>
      </c>
      <c r="D4168" s="26">
        <v>0.14851851851851852</v>
      </c>
      <c r="E4168" t="s">
        <v>29</v>
      </c>
      <c r="F4168" t="s">
        <v>639</v>
      </c>
      <c r="G4168" t="s">
        <v>44</v>
      </c>
      <c r="H4168" t="s">
        <v>129</v>
      </c>
      <c r="I4168" s="148">
        <v>200</v>
      </c>
      <c r="J4168" s="32">
        <v>0</v>
      </c>
      <c r="K4168" s="90">
        <v>1178</v>
      </c>
      <c r="L4168" s="7">
        <v>1178</v>
      </c>
      <c r="M4168" s="36">
        <f t="shared" si="251"/>
        <v>16.977928692699489</v>
      </c>
    </row>
    <row r="4169" spans="1:19" ht="15.75" hidden="1" customHeight="1" x14ac:dyDescent="0.3">
      <c r="A4169" s="9">
        <v>6065</v>
      </c>
      <c r="B4169" t="s">
        <v>267</v>
      </c>
      <c r="C4169" s="25">
        <v>44727</v>
      </c>
      <c r="D4169" s="26">
        <v>0.52601851851851855</v>
      </c>
      <c r="E4169" t="s">
        <v>29</v>
      </c>
      <c r="F4169" t="s">
        <v>694</v>
      </c>
      <c r="G4169" t="s">
        <v>489</v>
      </c>
      <c r="H4169" t="s">
        <v>129</v>
      </c>
      <c r="I4169" s="148">
        <v>421.6</v>
      </c>
      <c r="J4169" s="32">
        <v>0</v>
      </c>
      <c r="K4169" s="90">
        <v>338</v>
      </c>
      <c r="L4169" s="7">
        <v>338</v>
      </c>
      <c r="M4169" s="36">
        <f t="shared" si="251"/>
        <v>124.73372781065089</v>
      </c>
    </row>
    <row r="4170" spans="1:19" ht="15.75" hidden="1" customHeight="1" x14ac:dyDescent="0.3">
      <c r="A4170" s="9">
        <v>6066</v>
      </c>
      <c r="B4170" t="s">
        <v>267</v>
      </c>
      <c r="C4170" s="25">
        <v>44727</v>
      </c>
      <c r="D4170" s="26">
        <v>0.68652777777777774</v>
      </c>
      <c r="E4170" t="s">
        <v>29</v>
      </c>
      <c r="F4170" t="s">
        <v>634</v>
      </c>
      <c r="G4170" t="s">
        <v>211</v>
      </c>
      <c r="H4170" t="s">
        <v>129</v>
      </c>
      <c r="I4170" s="148">
        <v>125.51</v>
      </c>
      <c r="J4170" s="32">
        <v>0</v>
      </c>
      <c r="K4170" s="90">
        <v>248</v>
      </c>
      <c r="L4170" s="7">
        <v>249</v>
      </c>
      <c r="M4170" s="36">
        <f t="shared" si="251"/>
        <v>50.608870967741936</v>
      </c>
    </row>
    <row r="4171" spans="1:19" ht="15.75" hidden="1" customHeight="1" x14ac:dyDescent="0.3">
      <c r="A4171" s="9">
        <v>6118</v>
      </c>
      <c r="B4171" t="s">
        <v>267</v>
      </c>
      <c r="C4171" s="25">
        <v>44728</v>
      </c>
      <c r="D4171" s="26">
        <v>0.98141203703703705</v>
      </c>
      <c r="E4171" t="s">
        <v>29</v>
      </c>
      <c r="F4171" t="s">
        <v>634</v>
      </c>
      <c r="G4171" t="s">
        <v>211</v>
      </c>
      <c r="H4171" t="s">
        <v>129</v>
      </c>
      <c r="I4171" s="148">
        <v>439.7</v>
      </c>
      <c r="J4171" s="37">
        <v>0</v>
      </c>
      <c r="K4171" s="90">
        <v>1063</v>
      </c>
      <c r="L4171" s="7">
        <v>1063</v>
      </c>
      <c r="M4171" s="36">
        <f t="shared" si="251"/>
        <v>41.36406396989652</v>
      </c>
    </row>
    <row r="4172" spans="1:19" ht="15.75" hidden="1" customHeight="1" x14ac:dyDescent="0.3">
      <c r="A4172" s="9">
        <v>6400</v>
      </c>
      <c r="B4172" t="s">
        <v>267</v>
      </c>
      <c r="C4172" s="25">
        <v>44735</v>
      </c>
      <c r="D4172" s="26">
        <v>0.86361111111111111</v>
      </c>
      <c r="E4172" t="s">
        <v>29</v>
      </c>
      <c r="F4172" t="s">
        <v>634</v>
      </c>
      <c r="G4172" t="s">
        <v>211</v>
      </c>
      <c r="H4172" t="s">
        <v>129</v>
      </c>
      <c r="I4172" s="148">
        <v>296.98</v>
      </c>
      <c r="J4172" s="32">
        <v>0</v>
      </c>
      <c r="K4172" s="90">
        <v>682</v>
      </c>
      <c r="L4172" s="7">
        <v>682</v>
      </c>
      <c r="M4172" s="36">
        <f t="shared" si="251"/>
        <v>43.545454545454547</v>
      </c>
    </row>
    <row r="4173" spans="1:19" ht="15.75" hidden="1" customHeight="1" x14ac:dyDescent="0.3">
      <c r="A4173" s="9">
        <v>6454</v>
      </c>
      <c r="B4173" t="s">
        <v>267</v>
      </c>
      <c r="C4173" s="25">
        <v>44736</v>
      </c>
      <c r="D4173" s="26">
        <v>0.94158564814814805</v>
      </c>
      <c r="E4173" t="s">
        <v>29</v>
      </c>
      <c r="F4173" t="s">
        <v>634</v>
      </c>
      <c r="G4173" t="s">
        <v>211</v>
      </c>
      <c r="H4173" t="s">
        <v>129</v>
      </c>
      <c r="I4173" s="148">
        <v>477.91</v>
      </c>
      <c r="J4173" s="32">
        <v>0</v>
      </c>
      <c r="K4173" s="90">
        <v>1063</v>
      </c>
      <c r="L4173" s="30">
        <v>1063</v>
      </c>
      <c r="M4173" s="10">
        <f t="shared" si="251"/>
        <v>44.958607714016935</v>
      </c>
    </row>
    <row r="4174" spans="1:19" ht="15.75" hidden="1" customHeight="1" x14ac:dyDescent="0.3">
      <c r="A4174" s="9">
        <v>6510</v>
      </c>
      <c r="B4174" t="s">
        <v>267</v>
      </c>
      <c r="C4174" s="25">
        <v>44737</v>
      </c>
      <c r="D4174" s="26">
        <v>0.40958333333333335</v>
      </c>
      <c r="E4174" t="s">
        <v>29</v>
      </c>
      <c r="F4174" t="s">
        <v>637</v>
      </c>
      <c r="G4174" t="s">
        <v>196</v>
      </c>
      <c r="H4174" t="s">
        <v>129</v>
      </c>
      <c r="I4174" s="148">
        <v>160.6</v>
      </c>
      <c r="J4174" s="32">
        <v>0</v>
      </c>
      <c r="K4174" s="90">
        <v>466</v>
      </c>
      <c r="L4174" s="11">
        <v>466</v>
      </c>
      <c r="M4174" s="10">
        <f t="shared" si="251"/>
        <v>34.463519313304722</v>
      </c>
    </row>
    <row r="4175" spans="1:19" ht="15.75" hidden="1" customHeight="1" x14ac:dyDescent="0.3">
      <c r="A4175" s="9">
        <v>6613</v>
      </c>
      <c r="B4175" t="s">
        <v>267</v>
      </c>
      <c r="C4175" s="25">
        <v>44739</v>
      </c>
      <c r="D4175" s="26">
        <v>0.87436342592592586</v>
      </c>
      <c r="E4175" t="s">
        <v>29</v>
      </c>
      <c r="F4175" t="s">
        <v>639</v>
      </c>
      <c r="G4175" t="s">
        <v>44</v>
      </c>
      <c r="H4175" t="s">
        <v>129</v>
      </c>
      <c r="I4175" s="148">
        <v>284</v>
      </c>
      <c r="J4175" s="32">
        <v>0</v>
      </c>
      <c r="K4175" s="90">
        <v>687</v>
      </c>
      <c r="L4175" s="11">
        <v>687</v>
      </c>
      <c r="M4175" s="10">
        <f t="shared" si="251"/>
        <v>41.339155749636099</v>
      </c>
    </row>
    <row r="4176" spans="1:19" ht="15.75" hidden="1" customHeight="1" x14ac:dyDescent="0.3">
      <c r="A4176" s="9">
        <v>6678</v>
      </c>
      <c r="B4176" t="s">
        <v>267</v>
      </c>
      <c r="C4176" s="25">
        <v>44740</v>
      </c>
      <c r="D4176" s="26">
        <v>0.62587962962962962</v>
      </c>
      <c r="E4176" t="s">
        <v>29</v>
      </c>
      <c r="F4176" t="s">
        <v>634</v>
      </c>
      <c r="G4176" t="s">
        <v>211</v>
      </c>
      <c r="H4176" t="s">
        <v>129</v>
      </c>
      <c r="I4176" s="148">
        <v>299.02999999999997</v>
      </c>
      <c r="J4176" s="32">
        <v>0</v>
      </c>
      <c r="K4176" s="90">
        <v>588</v>
      </c>
      <c r="L4176" s="11">
        <v>588</v>
      </c>
      <c r="M4176" s="10">
        <f t="shared" si="251"/>
        <v>50.855442176870746</v>
      </c>
    </row>
    <row r="4177" spans="1:13" ht="15.75" hidden="1" customHeight="1" x14ac:dyDescent="0.3">
      <c r="A4177" s="9">
        <v>6679</v>
      </c>
      <c r="B4177" t="s">
        <v>267</v>
      </c>
      <c r="C4177" s="25">
        <v>44740</v>
      </c>
      <c r="D4177" s="26">
        <v>0.86880787037037033</v>
      </c>
      <c r="E4177" t="s">
        <v>29</v>
      </c>
      <c r="F4177" t="s">
        <v>645</v>
      </c>
      <c r="G4177" t="s">
        <v>279</v>
      </c>
      <c r="H4177" t="s">
        <v>129</v>
      </c>
      <c r="I4177" s="148">
        <v>163.04</v>
      </c>
      <c r="J4177" s="32">
        <v>0</v>
      </c>
      <c r="K4177" s="90">
        <v>348</v>
      </c>
      <c r="L4177" s="11">
        <v>348</v>
      </c>
      <c r="M4177" s="10">
        <f t="shared" si="251"/>
        <v>46.850574712643677</v>
      </c>
    </row>
    <row r="4178" spans="1:13" ht="15.75" hidden="1" customHeight="1" x14ac:dyDescent="0.3">
      <c r="A4178" s="9">
        <v>6751</v>
      </c>
      <c r="B4178" t="s">
        <v>267</v>
      </c>
      <c r="C4178" s="25">
        <v>44742</v>
      </c>
      <c r="D4178" s="26">
        <v>0.86166666666666669</v>
      </c>
      <c r="E4178" t="s">
        <v>29</v>
      </c>
      <c r="F4178" t="s">
        <v>210</v>
      </c>
      <c r="G4178" t="s">
        <v>211</v>
      </c>
      <c r="H4178" t="s">
        <v>129</v>
      </c>
      <c r="I4178" s="148">
        <v>350.07</v>
      </c>
      <c r="J4178" s="54"/>
      <c r="K4178" s="54">
        <v>8665</v>
      </c>
      <c r="L4178">
        <f>+K4178-J4178</f>
        <v>8665</v>
      </c>
      <c r="M4178" s="131">
        <f>I4178/L4178*100</f>
        <v>4.0400461627236002</v>
      </c>
    </row>
    <row r="4179" spans="1:13" ht="15.75" hidden="1" customHeight="1" x14ac:dyDescent="0.3">
      <c r="B4179" t="s">
        <v>190</v>
      </c>
      <c r="C4179" s="25">
        <v>44771</v>
      </c>
      <c r="D4179" s="26">
        <v>0.42855324074074069</v>
      </c>
      <c r="E4179" t="s">
        <v>30</v>
      </c>
      <c r="F4179" t="s">
        <v>210</v>
      </c>
      <c r="G4179" t="s">
        <v>211</v>
      </c>
      <c r="H4179" t="s">
        <v>191</v>
      </c>
      <c r="I4179" s="8">
        <v>374.89</v>
      </c>
      <c r="J4179" s="8"/>
      <c r="K4179" s="260" t="s">
        <v>1074</v>
      </c>
      <c r="L4179" s="8" t="e">
        <f>+K4179-J4179</f>
        <v>#VALUE!</v>
      </c>
      <c r="M4179" s="254" t="e">
        <f>+J4179/L4179*100</f>
        <v>#VALUE!</v>
      </c>
    </row>
    <row r="4180" spans="1:13" ht="15.75" hidden="1" customHeight="1" x14ac:dyDescent="0.3">
      <c r="B4180" t="s">
        <v>231</v>
      </c>
      <c r="C4180" s="25">
        <v>44563</v>
      </c>
      <c r="D4180" s="26">
        <v>0.79366898148148157</v>
      </c>
      <c r="E4180" t="s">
        <v>24</v>
      </c>
      <c r="F4180" t="s">
        <v>171</v>
      </c>
      <c r="G4180" t="s">
        <v>172</v>
      </c>
      <c r="H4180" s="27" t="s">
        <v>214</v>
      </c>
      <c r="I4180">
        <v>442.65</v>
      </c>
      <c r="J4180" s="34">
        <v>0</v>
      </c>
      <c r="K4180" s="35">
        <f t="shared" ref="K4180:K4195" si="252">+L4180-J4180</f>
        <v>1158.92</v>
      </c>
      <c r="L4180" s="51">
        <v>1158.92</v>
      </c>
      <c r="M4180" s="61">
        <f t="shared" ref="M4180:M4195" si="253">I4180/K4180*100</f>
        <v>38.195043661339859</v>
      </c>
    </row>
    <row r="4181" spans="1:13" ht="15.75" hidden="1" customHeight="1" x14ac:dyDescent="0.3">
      <c r="B4181" t="s">
        <v>231</v>
      </c>
      <c r="C4181" s="25">
        <v>44564</v>
      </c>
      <c r="D4181" s="26">
        <v>0.53702546296296294</v>
      </c>
      <c r="E4181" t="s">
        <v>24</v>
      </c>
      <c r="F4181" t="s">
        <v>210</v>
      </c>
      <c r="G4181" t="s">
        <v>211</v>
      </c>
      <c r="H4181" s="27" t="s">
        <v>214</v>
      </c>
      <c r="I4181">
        <v>298.72000000000003</v>
      </c>
      <c r="J4181" s="7">
        <v>0</v>
      </c>
      <c r="K4181" s="7">
        <f t="shared" si="252"/>
        <v>686.28</v>
      </c>
      <c r="L4181" s="11">
        <v>686.28</v>
      </c>
      <c r="M4181" s="10">
        <f t="shared" si="253"/>
        <v>43.527423209185763</v>
      </c>
    </row>
    <row r="4182" spans="1:13" ht="15.75" hidden="1" customHeight="1" x14ac:dyDescent="0.3">
      <c r="B4182" t="s">
        <v>231</v>
      </c>
      <c r="C4182" s="25">
        <v>44565</v>
      </c>
      <c r="D4182" s="26">
        <v>0.38119212962962962</v>
      </c>
      <c r="E4182" t="s">
        <v>24</v>
      </c>
      <c r="F4182" t="s">
        <v>165</v>
      </c>
      <c r="G4182" t="s">
        <v>185</v>
      </c>
      <c r="H4182" t="s">
        <v>214</v>
      </c>
      <c r="I4182">
        <v>252.49</v>
      </c>
      <c r="J4182" s="7">
        <v>0</v>
      </c>
      <c r="K4182" s="7">
        <f t="shared" si="252"/>
        <v>588</v>
      </c>
      <c r="L4182" s="11">
        <v>588</v>
      </c>
      <c r="M4182" s="10">
        <f t="shared" si="253"/>
        <v>42.94047619047619</v>
      </c>
    </row>
    <row r="4183" spans="1:13" ht="15.75" hidden="1" customHeight="1" x14ac:dyDescent="0.3">
      <c r="B4183" t="s">
        <v>231</v>
      </c>
      <c r="C4183" s="25">
        <v>44566</v>
      </c>
      <c r="D4183" s="26">
        <v>0.35781250000000003</v>
      </c>
      <c r="E4183" t="s">
        <v>24</v>
      </c>
      <c r="F4183" t="s">
        <v>340</v>
      </c>
      <c r="G4183" t="s">
        <v>337</v>
      </c>
      <c r="H4183" s="27" t="s">
        <v>214</v>
      </c>
      <c r="I4183">
        <v>230.59</v>
      </c>
      <c r="J4183" s="7">
        <v>0</v>
      </c>
      <c r="K4183" s="7">
        <f t="shared" si="252"/>
        <v>772.23</v>
      </c>
      <c r="L4183" s="11">
        <v>772.23</v>
      </c>
      <c r="M4183" s="10">
        <f t="shared" si="253"/>
        <v>29.860274788599249</v>
      </c>
    </row>
    <row r="4184" spans="1:13" ht="15.75" hidden="1" customHeight="1" x14ac:dyDescent="0.3">
      <c r="B4184" t="s">
        <v>231</v>
      </c>
      <c r="C4184" s="25">
        <v>44568</v>
      </c>
      <c r="D4184" s="26">
        <v>0.35714120370370367</v>
      </c>
      <c r="E4184" t="s">
        <v>24</v>
      </c>
      <c r="F4184" t="s">
        <v>210</v>
      </c>
      <c r="G4184" t="s">
        <v>211</v>
      </c>
      <c r="H4184" t="s">
        <v>214</v>
      </c>
      <c r="I4184">
        <v>477.9</v>
      </c>
      <c r="J4184" s="7">
        <v>0</v>
      </c>
      <c r="K4184" s="7">
        <f t="shared" si="252"/>
        <v>991.54</v>
      </c>
      <c r="L4184" s="51">
        <v>991.54</v>
      </c>
      <c r="M4184" s="10">
        <f t="shared" si="253"/>
        <v>48.197752990297921</v>
      </c>
    </row>
    <row r="4185" spans="1:13" ht="15.75" hidden="1" customHeight="1" x14ac:dyDescent="0.3">
      <c r="B4185" t="s">
        <v>231</v>
      </c>
      <c r="C4185" s="25">
        <v>44569</v>
      </c>
      <c r="D4185" s="26">
        <v>0.49868055555555557</v>
      </c>
      <c r="E4185" t="s">
        <v>24</v>
      </c>
      <c r="F4185" t="s">
        <v>175</v>
      </c>
      <c r="G4185" t="s">
        <v>172</v>
      </c>
      <c r="H4185" s="27" t="s">
        <v>214</v>
      </c>
      <c r="I4185">
        <v>360.97</v>
      </c>
      <c r="J4185" s="7">
        <v>0</v>
      </c>
      <c r="K4185" s="7">
        <f t="shared" si="252"/>
        <v>1373.87</v>
      </c>
      <c r="L4185" s="11">
        <v>1373.87</v>
      </c>
      <c r="M4185" s="10">
        <f t="shared" si="253"/>
        <v>26.273956051154773</v>
      </c>
    </row>
    <row r="4186" spans="1:13" ht="15.75" hidden="1" customHeight="1" x14ac:dyDescent="0.3">
      <c r="B4186" t="s">
        <v>231</v>
      </c>
      <c r="C4186" s="25">
        <v>44586</v>
      </c>
      <c r="D4186" s="26">
        <v>0.80768518518518517</v>
      </c>
      <c r="E4186" t="s">
        <v>24</v>
      </c>
      <c r="F4186" t="s">
        <v>175</v>
      </c>
      <c r="G4186" t="s">
        <v>172</v>
      </c>
      <c r="H4186" t="s">
        <v>130</v>
      </c>
      <c r="I4186">
        <v>408.99</v>
      </c>
      <c r="J4186" s="7">
        <v>0</v>
      </c>
      <c r="K4186" s="7">
        <f t="shared" si="252"/>
        <v>1044.75</v>
      </c>
      <c r="L4186" s="30">
        <v>1044.75</v>
      </c>
      <c r="M4186" s="10">
        <f t="shared" si="253"/>
        <v>39.147164393395549</v>
      </c>
    </row>
    <row r="4187" spans="1:13" ht="15.75" hidden="1" customHeight="1" x14ac:dyDescent="0.3">
      <c r="B4187" t="s">
        <v>231</v>
      </c>
      <c r="C4187" s="25">
        <v>44587</v>
      </c>
      <c r="D4187" s="26">
        <v>0.82035879629629627</v>
      </c>
      <c r="E4187" t="s">
        <v>24</v>
      </c>
      <c r="F4187" t="s">
        <v>210</v>
      </c>
      <c r="G4187" t="s">
        <v>211</v>
      </c>
      <c r="H4187" t="s">
        <v>130</v>
      </c>
      <c r="I4187">
        <v>376.57</v>
      </c>
      <c r="J4187" s="7">
        <v>0</v>
      </c>
      <c r="K4187" s="7">
        <f t="shared" si="252"/>
        <v>814.58</v>
      </c>
      <c r="L4187" s="68">
        <v>814.58</v>
      </c>
      <c r="M4187" s="10">
        <f t="shared" si="253"/>
        <v>46.228731370767754</v>
      </c>
    </row>
    <row r="4188" spans="1:13" ht="15.75" hidden="1" customHeight="1" x14ac:dyDescent="0.3">
      <c r="B4188" t="s">
        <v>231</v>
      </c>
      <c r="C4188" s="25">
        <v>44588</v>
      </c>
      <c r="D4188" s="26">
        <v>0.89541666666666664</v>
      </c>
      <c r="E4188" t="s">
        <v>24</v>
      </c>
      <c r="F4188" t="s">
        <v>210</v>
      </c>
      <c r="G4188" t="s">
        <v>211</v>
      </c>
      <c r="H4188" t="s">
        <v>130</v>
      </c>
      <c r="I4188">
        <v>430.9</v>
      </c>
      <c r="J4188" s="39">
        <v>0</v>
      </c>
      <c r="K4188" s="7">
        <f t="shared" si="252"/>
        <v>1055.4100000000001</v>
      </c>
      <c r="L4188" s="11">
        <v>1055.4100000000001</v>
      </c>
      <c r="M4188" s="10">
        <f t="shared" si="253"/>
        <v>40.82773519295818</v>
      </c>
    </row>
    <row r="4189" spans="1:13" ht="15.75" hidden="1" customHeight="1" x14ac:dyDescent="0.3">
      <c r="B4189" t="s">
        <v>231</v>
      </c>
      <c r="C4189" s="25">
        <v>44590</v>
      </c>
      <c r="D4189" s="26">
        <v>0.51572916666666668</v>
      </c>
      <c r="E4189" t="s">
        <v>24</v>
      </c>
      <c r="F4189" t="s">
        <v>175</v>
      </c>
      <c r="G4189" t="s">
        <v>172</v>
      </c>
      <c r="H4189" t="s">
        <v>130</v>
      </c>
      <c r="I4189">
        <v>363.91</v>
      </c>
      <c r="J4189" s="51">
        <v>0</v>
      </c>
      <c r="K4189" s="7">
        <f t="shared" si="252"/>
        <v>923.26</v>
      </c>
      <c r="L4189" s="51">
        <v>923.26</v>
      </c>
      <c r="M4189" s="10">
        <f t="shared" si="253"/>
        <v>39.41576587310184</v>
      </c>
    </row>
    <row r="4190" spans="1:13" ht="15.75" hidden="1" customHeight="1" x14ac:dyDescent="0.3">
      <c r="B4190" t="s">
        <v>231</v>
      </c>
      <c r="C4190" s="25">
        <v>44591</v>
      </c>
      <c r="D4190" s="26">
        <v>0.82694444444444448</v>
      </c>
      <c r="E4190" t="s">
        <v>24</v>
      </c>
      <c r="F4190" t="s">
        <v>210</v>
      </c>
      <c r="G4190" t="s">
        <v>211</v>
      </c>
      <c r="H4190" t="s">
        <v>130</v>
      </c>
      <c r="I4190">
        <v>374.69</v>
      </c>
      <c r="J4190" s="39">
        <v>0</v>
      </c>
      <c r="K4190" s="7">
        <f t="shared" si="252"/>
        <v>806.51</v>
      </c>
      <c r="L4190" s="11">
        <v>806.51</v>
      </c>
      <c r="M4190" s="10">
        <f t="shared" si="253"/>
        <v>46.458196426578716</v>
      </c>
    </row>
    <row r="4191" spans="1:13" ht="15.75" hidden="1" customHeight="1" x14ac:dyDescent="0.3">
      <c r="B4191" t="s">
        <v>231</v>
      </c>
      <c r="C4191" s="25">
        <v>44592</v>
      </c>
      <c r="D4191" s="26">
        <v>0.96285879629629623</v>
      </c>
      <c r="E4191" t="s">
        <v>24</v>
      </c>
      <c r="F4191" t="s">
        <v>210</v>
      </c>
      <c r="G4191" t="s">
        <v>211</v>
      </c>
      <c r="H4191" t="s">
        <v>130</v>
      </c>
      <c r="I4191">
        <v>401.08</v>
      </c>
      <c r="J4191" s="39">
        <v>0</v>
      </c>
      <c r="K4191" s="7">
        <f t="shared" si="252"/>
        <v>1056.52</v>
      </c>
      <c r="L4191" s="28">
        <v>1056.52</v>
      </c>
      <c r="M4191" s="10">
        <f t="shared" si="253"/>
        <v>37.962367016241998</v>
      </c>
    </row>
    <row r="4192" spans="1:13" ht="15.75" hidden="1" customHeight="1" x14ac:dyDescent="0.3">
      <c r="A4192" s="9">
        <v>683</v>
      </c>
      <c r="B4192" t="s">
        <v>231</v>
      </c>
      <c r="C4192" s="25">
        <v>44594</v>
      </c>
      <c r="D4192" s="26">
        <v>0.89077546296296306</v>
      </c>
      <c r="E4192" t="s">
        <v>25</v>
      </c>
      <c r="F4192" t="s">
        <v>175</v>
      </c>
      <c r="G4192" t="s">
        <v>172</v>
      </c>
      <c r="H4192" t="s">
        <v>130</v>
      </c>
      <c r="I4192">
        <v>447.26</v>
      </c>
      <c r="J4192" s="39">
        <v>0</v>
      </c>
      <c r="K4192" s="11">
        <f t="shared" si="252"/>
        <v>1094.0999999999999</v>
      </c>
      <c r="L4192" s="11">
        <v>1094.0999999999999</v>
      </c>
      <c r="M4192" s="10">
        <f t="shared" si="253"/>
        <v>40.879261493464952</v>
      </c>
    </row>
    <row r="4193" spans="1:13" ht="15.75" hidden="1" customHeight="1" x14ac:dyDescent="0.3">
      <c r="A4193" s="9">
        <v>684</v>
      </c>
      <c r="B4193" t="s">
        <v>231</v>
      </c>
      <c r="C4193" s="25">
        <v>44596</v>
      </c>
      <c r="D4193" s="26">
        <v>0.6672569444444445</v>
      </c>
      <c r="E4193" t="s">
        <v>25</v>
      </c>
      <c r="F4193" t="s">
        <v>210</v>
      </c>
      <c r="G4193" t="s">
        <v>211</v>
      </c>
      <c r="H4193" t="s">
        <v>130</v>
      </c>
      <c r="I4193">
        <v>343.74</v>
      </c>
      <c r="J4193" s="40">
        <v>0</v>
      </c>
      <c r="K4193" s="11">
        <f t="shared" si="252"/>
        <v>810.82</v>
      </c>
      <c r="L4193" s="30">
        <v>810.82</v>
      </c>
      <c r="M4193" s="10">
        <f t="shared" si="253"/>
        <v>42.394119533311951</v>
      </c>
    </row>
    <row r="4194" spans="1:13" ht="15.75" hidden="1" customHeight="1" x14ac:dyDescent="0.3">
      <c r="A4194" s="9">
        <v>685</v>
      </c>
      <c r="B4194" t="s">
        <v>231</v>
      </c>
      <c r="C4194" s="25">
        <v>44598</v>
      </c>
      <c r="D4194" s="26">
        <v>0.39439814814814816</v>
      </c>
      <c r="E4194" t="s">
        <v>25</v>
      </c>
      <c r="F4194" t="s">
        <v>210</v>
      </c>
      <c r="G4194" t="s">
        <v>211</v>
      </c>
      <c r="H4194" t="s">
        <v>130</v>
      </c>
      <c r="I4194">
        <v>431.06</v>
      </c>
      <c r="J4194" s="40">
        <v>0</v>
      </c>
      <c r="K4194" s="11">
        <f t="shared" si="252"/>
        <v>1057.82</v>
      </c>
      <c r="L4194" s="28">
        <v>1057.82</v>
      </c>
      <c r="M4194" s="10">
        <f t="shared" si="253"/>
        <v>40.749844018831183</v>
      </c>
    </row>
    <row r="4195" spans="1:13" ht="15.75" hidden="1" customHeight="1" x14ac:dyDescent="0.3">
      <c r="A4195" s="9">
        <v>686</v>
      </c>
      <c r="B4195" t="s">
        <v>231</v>
      </c>
      <c r="C4195" s="25">
        <v>44600</v>
      </c>
      <c r="D4195" s="26">
        <v>0.54310185185185189</v>
      </c>
      <c r="E4195" t="s">
        <v>25</v>
      </c>
      <c r="F4195" t="s">
        <v>175</v>
      </c>
      <c r="G4195" t="s">
        <v>172</v>
      </c>
      <c r="H4195" t="s">
        <v>130</v>
      </c>
      <c r="I4195">
        <v>372.81</v>
      </c>
      <c r="J4195" s="31">
        <v>0</v>
      </c>
      <c r="K4195" s="28">
        <f t="shared" si="252"/>
        <v>952.65</v>
      </c>
      <c r="L4195" s="31">
        <v>952.65</v>
      </c>
      <c r="M4195" s="131">
        <f t="shared" si="253"/>
        <v>39.133994646512363</v>
      </c>
    </row>
    <row r="4196" spans="1:13" ht="15.75" hidden="1" customHeight="1" x14ac:dyDescent="0.3">
      <c r="B4196" t="s">
        <v>190</v>
      </c>
      <c r="C4196" s="25">
        <v>44772</v>
      </c>
      <c r="D4196" s="26">
        <v>0.56488425925925922</v>
      </c>
      <c r="E4196" t="s">
        <v>30</v>
      </c>
      <c r="F4196" t="s">
        <v>428</v>
      </c>
      <c r="G4196" t="s">
        <v>429</v>
      </c>
      <c r="H4196" t="s">
        <v>191</v>
      </c>
      <c r="I4196" s="8">
        <v>100.01</v>
      </c>
      <c r="J4196" s="8"/>
      <c r="K4196" s="260" t="s">
        <v>1074</v>
      </c>
      <c r="L4196" s="8" t="e">
        <f>+K4196-J4196</f>
        <v>#VALUE!</v>
      </c>
      <c r="M4196" s="272" t="e">
        <f>+J4196/L4196*100</f>
        <v>#VALUE!</v>
      </c>
    </row>
    <row r="4197" spans="1:13" ht="15.75" hidden="1" customHeight="1" x14ac:dyDescent="0.3">
      <c r="B4197" t="s">
        <v>190</v>
      </c>
      <c r="C4197" s="25">
        <v>44772</v>
      </c>
      <c r="D4197" s="26">
        <v>0.56672453703703707</v>
      </c>
      <c r="E4197" t="s">
        <v>30</v>
      </c>
      <c r="F4197" t="s">
        <v>428</v>
      </c>
      <c r="G4197" t="s">
        <v>429</v>
      </c>
      <c r="H4197" t="s">
        <v>191</v>
      </c>
      <c r="I4197" s="8">
        <v>100.03</v>
      </c>
      <c r="J4197" s="8"/>
      <c r="K4197" s="260" t="s">
        <v>1074</v>
      </c>
      <c r="L4197" s="24" t="e">
        <f>+K4197-J4197</f>
        <v>#VALUE!</v>
      </c>
      <c r="M4197" s="254" t="e">
        <f>+J4197/L4197*100</f>
        <v>#VALUE!</v>
      </c>
    </row>
    <row r="4198" spans="1:13" ht="15.75" hidden="1" customHeight="1" x14ac:dyDescent="0.3">
      <c r="A4198" s="9">
        <v>231</v>
      </c>
      <c r="B4198" t="s">
        <v>435</v>
      </c>
      <c r="C4198" s="25">
        <v>44603</v>
      </c>
      <c r="D4198" s="26">
        <v>0.25380787037037039</v>
      </c>
      <c r="E4198" t="s">
        <v>25</v>
      </c>
      <c r="F4198" t="s">
        <v>210</v>
      </c>
      <c r="G4198" t="s">
        <v>211</v>
      </c>
      <c r="H4198" t="s">
        <v>182</v>
      </c>
      <c r="I4198">
        <v>446.89</v>
      </c>
      <c r="J4198" s="34">
        <v>0</v>
      </c>
      <c r="K4198" s="30">
        <f t="shared" ref="K4198:K4229" si="254">+L4198-J4198</f>
        <v>1056.5</v>
      </c>
      <c r="L4198" s="37">
        <v>1056.5</v>
      </c>
      <c r="M4198" s="61">
        <f t="shared" ref="M4198:M4229" si="255">I4198/K4198*100</f>
        <v>42.299100804543308</v>
      </c>
    </row>
    <row r="4199" spans="1:13" ht="15.75" hidden="1" customHeight="1" x14ac:dyDescent="0.3">
      <c r="A4199" s="9">
        <v>232</v>
      </c>
      <c r="B4199" t="s">
        <v>435</v>
      </c>
      <c r="C4199" s="25">
        <v>44603</v>
      </c>
      <c r="D4199" s="26">
        <v>0.93606481481481485</v>
      </c>
      <c r="E4199" t="s">
        <v>25</v>
      </c>
      <c r="F4199" t="s">
        <v>210</v>
      </c>
      <c r="G4199" t="s">
        <v>211</v>
      </c>
      <c r="H4199" t="s">
        <v>182</v>
      </c>
      <c r="I4199">
        <v>350</v>
      </c>
      <c r="J4199" s="7">
        <v>0</v>
      </c>
      <c r="K4199" s="11">
        <f t="shared" si="254"/>
        <v>884.16</v>
      </c>
      <c r="L4199" s="32">
        <v>884.16</v>
      </c>
      <c r="M4199" s="10">
        <f t="shared" si="255"/>
        <v>39.585595367354323</v>
      </c>
    </row>
    <row r="4200" spans="1:13" ht="15.75" hidden="1" customHeight="1" x14ac:dyDescent="0.3">
      <c r="A4200" s="9">
        <v>233</v>
      </c>
      <c r="B4200" t="s">
        <v>435</v>
      </c>
      <c r="C4200" s="25">
        <v>44605</v>
      </c>
      <c r="D4200" s="26">
        <v>0.40457175925925926</v>
      </c>
      <c r="E4200" t="s">
        <v>25</v>
      </c>
      <c r="F4200" t="s">
        <v>175</v>
      </c>
      <c r="G4200" t="s">
        <v>172</v>
      </c>
      <c r="H4200" t="s">
        <v>182</v>
      </c>
      <c r="I4200">
        <v>434.11</v>
      </c>
      <c r="J4200" s="7">
        <v>0</v>
      </c>
      <c r="K4200" s="11">
        <f t="shared" si="254"/>
        <v>1129.78</v>
      </c>
      <c r="L4200" s="32">
        <v>1129.78</v>
      </c>
      <c r="M4200" s="10">
        <f t="shared" si="255"/>
        <v>38.424294995485845</v>
      </c>
    </row>
    <row r="4201" spans="1:13" ht="15.75" hidden="1" customHeight="1" x14ac:dyDescent="0.3">
      <c r="A4201" s="9">
        <v>234</v>
      </c>
      <c r="B4201" t="s">
        <v>435</v>
      </c>
      <c r="C4201" s="25">
        <v>44607</v>
      </c>
      <c r="D4201" s="26">
        <v>9.2997685185185183E-2</v>
      </c>
      <c r="E4201" t="s">
        <v>25</v>
      </c>
      <c r="F4201" t="s">
        <v>210</v>
      </c>
      <c r="G4201" t="s">
        <v>211</v>
      </c>
      <c r="H4201" t="s">
        <v>182</v>
      </c>
      <c r="I4201">
        <v>312.98</v>
      </c>
      <c r="J4201" s="7">
        <v>0</v>
      </c>
      <c r="K4201" s="11">
        <f t="shared" si="254"/>
        <v>724.64</v>
      </c>
      <c r="L4201" s="32">
        <v>724.64</v>
      </c>
      <c r="M4201" s="10">
        <f t="shared" si="255"/>
        <v>43.191101788474278</v>
      </c>
    </row>
    <row r="4202" spans="1:13" ht="15.75" hidden="1" customHeight="1" x14ac:dyDescent="0.3">
      <c r="A4202" s="9">
        <v>235</v>
      </c>
      <c r="B4202" t="s">
        <v>435</v>
      </c>
      <c r="C4202" s="25">
        <v>44608</v>
      </c>
      <c r="D4202" s="26">
        <v>0.51096064814814812</v>
      </c>
      <c r="E4202" t="s">
        <v>25</v>
      </c>
      <c r="F4202" t="s">
        <v>210</v>
      </c>
      <c r="G4202" t="s">
        <v>211</v>
      </c>
      <c r="H4202" t="s">
        <v>182</v>
      </c>
      <c r="I4202">
        <v>430.47</v>
      </c>
      <c r="J4202" s="31">
        <v>0</v>
      </c>
      <c r="K4202" s="11">
        <f t="shared" si="254"/>
        <v>1040.48</v>
      </c>
      <c r="L4202" s="33">
        <v>1040.48</v>
      </c>
      <c r="M4202" s="10">
        <f t="shared" si="255"/>
        <v>41.372251268645243</v>
      </c>
    </row>
    <row r="4203" spans="1:13" ht="15.75" hidden="1" customHeight="1" x14ac:dyDescent="0.3">
      <c r="A4203" s="9">
        <v>472</v>
      </c>
      <c r="B4203" t="s">
        <v>435</v>
      </c>
      <c r="C4203" s="25">
        <v>44611</v>
      </c>
      <c r="D4203" s="26">
        <v>0.64241898148148147</v>
      </c>
      <c r="E4203" t="s">
        <v>25</v>
      </c>
      <c r="F4203" t="s">
        <v>175</v>
      </c>
      <c r="G4203" t="s">
        <v>172</v>
      </c>
      <c r="H4203" t="s">
        <v>308</v>
      </c>
      <c r="I4203">
        <v>212.89</v>
      </c>
      <c r="J4203" s="7">
        <v>0</v>
      </c>
      <c r="K4203" s="11">
        <f t="shared" si="254"/>
        <v>546.51</v>
      </c>
      <c r="L4203" s="7">
        <v>546.51</v>
      </c>
      <c r="M4203" s="36">
        <f t="shared" si="255"/>
        <v>38.954456460083072</v>
      </c>
    </row>
    <row r="4204" spans="1:13" ht="15.75" hidden="1" customHeight="1" x14ac:dyDescent="0.3">
      <c r="A4204" s="9">
        <v>473</v>
      </c>
      <c r="B4204" t="s">
        <v>435</v>
      </c>
      <c r="C4204" s="25">
        <v>44612</v>
      </c>
      <c r="D4204" s="26">
        <v>0.54018518518518521</v>
      </c>
      <c r="E4204" t="s">
        <v>25</v>
      </c>
      <c r="F4204" t="s">
        <v>210</v>
      </c>
      <c r="G4204" t="s">
        <v>211</v>
      </c>
      <c r="H4204" t="s">
        <v>308</v>
      </c>
      <c r="I4204">
        <v>253.26</v>
      </c>
      <c r="J4204" s="7">
        <v>0</v>
      </c>
      <c r="K4204" s="11">
        <f t="shared" si="254"/>
        <v>698.82</v>
      </c>
      <c r="L4204" s="7">
        <v>698.82</v>
      </c>
      <c r="M4204" s="36">
        <f t="shared" si="255"/>
        <v>36.241092126727906</v>
      </c>
    </row>
    <row r="4205" spans="1:13" ht="15.75" hidden="1" customHeight="1" x14ac:dyDescent="0.3">
      <c r="A4205" s="9">
        <v>474</v>
      </c>
      <c r="B4205" t="s">
        <v>435</v>
      </c>
      <c r="C4205" s="25">
        <v>44613</v>
      </c>
      <c r="D4205" s="26">
        <v>0.37483796296296296</v>
      </c>
      <c r="E4205" t="s">
        <v>25</v>
      </c>
      <c r="F4205" t="s">
        <v>165</v>
      </c>
      <c r="G4205" t="s">
        <v>185</v>
      </c>
      <c r="H4205" t="s">
        <v>308</v>
      </c>
      <c r="I4205">
        <v>236.15</v>
      </c>
      <c r="J4205" s="7">
        <v>0</v>
      </c>
      <c r="K4205" s="11">
        <f t="shared" si="254"/>
        <v>548.67999999999995</v>
      </c>
      <c r="L4205" s="7">
        <v>548.67999999999995</v>
      </c>
      <c r="M4205" s="36">
        <f t="shared" si="255"/>
        <v>43.039658817525705</v>
      </c>
    </row>
    <row r="4206" spans="1:13" ht="15.75" hidden="1" customHeight="1" x14ac:dyDescent="0.3">
      <c r="A4206" s="9">
        <v>475</v>
      </c>
      <c r="B4206" t="s">
        <v>435</v>
      </c>
      <c r="C4206" s="25">
        <v>44614</v>
      </c>
      <c r="D4206" s="26">
        <v>0.63364583333333335</v>
      </c>
      <c r="E4206" t="s">
        <v>25</v>
      </c>
      <c r="F4206" t="s">
        <v>340</v>
      </c>
      <c r="G4206" t="s">
        <v>337</v>
      </c>
      <c r="H4206" t="s">
        <v>308</v>
      </c>
      <c r="I4206">
        <v>249.89</v>
      </c>
      <c r="J4206" s="7">
        <v>0</v>
      </c>
      <c r="K4206" s="11">
        <f t="shared" si="254"/>
        <v>824.68</v>
      </c>
      <c r="L4206" s="7">
        <v>824.68</v>
      </c>
      <c r="M4206" s="36">
        <f t="shared" si="255"/>
        <v>30.301450259494594</v>
      </c>
    </row>
    <row r="4207" spans="1:13" ht="15.75" hidden="1" customHeight="1" x14ac:dyDescent="0.3">
      <c r="A4207" s="9">
        <v>476</v>
      </c>
      <c r="B4207" t="s">
        <v>435</v>
      </c>
      <c r="C4207" s="25">
        <v>44615</v>
      </c>
      <c r="D4207" s="26">
        <v>0.80538194444444444</v>
      </c>
      <c r="E4207" t="s">
        <v>25</v>
      </c>
      <c r="F4207" t="s">
        <v>165</v>
      </c>
      <c r="G4207" t="s">
        <v>185</v>
      </c>
      <c r="H4207" t="s">
        <v>308</v>
      </c>
      <c r="I4207">
        <v>339.36</v>
      </c>
      <c r="J4207" s="7">
        <v>0</v>
      </c>
      <c r="K4207" s="11">
        <f t="shared" si="254"/>
        <v>804.47</v>
      </c>
      <c r="L4207" s="11">
        <v>804.47</v>
      </c>
      <c r="M4207" s="10">
        <f t="shared" si="255"/>
        <v>42.184295250289011</v>
      </c>
    </row>
    <row r="4208" spans="1:13" ht="15.75" hidden="1" customHeight="1" x14ac:dyDescent="0.3">
      <c r="A4208" s="9">
        <v>477</v>
      </c>
      <c r="B4208" t="s">
        <v>435</v>
      </c>
      <c r="C4208" s="25">
        <v>44616</v>
      </c>
      <c r="D4208" s="26">
        <v>0.52879629629629632</v>
      </c>
      <c r="E4208" t="s">
        <v>25</v>
      </c>
      <c r="F4208" t="s">
        <v>210</v>
      </c>
      <c r="G4208" t="s">
        <v>211</v>
      </c>
      <c r="H4208" t="s">
        <v>308</v>
      </c>
      <c r="I4208">
        <v>142.1</v>
      </c>
      <c r="J4208" s="7">
        <v>0</v>
      </c>
      <c r="K4208" s="11">
        <f t="shared" si="254"/>
        <v>515.67999999999995</v>
      </c>
      <c r="L4208" s="7">
        <v>515.67999999999995</v>
      </c>
      <c r="M4208" s="10">
        <f t="shared" si="255"/>
        <v>27.555848588271797</v>
      </c>
    </row>
    <row r="4209" spans="1:13" ht="15.75" hidden="1" customHeight="1" x14ac:dyDescent="0.3">
      <c r="A4209" s="9">
        <v>478</v>
      </c>
      <c r="B4209" t="s">
        <v>435</v>
      </c>
      <c r="C4209" s="25">
        <v>44618</v>
      </c>
      <c r="D4209" s="26">
        <v>0.29768518518518522</v>
      </c>
      <c r="E4209" t="s">
        <v>25</v>
      </c>
      <c r="F4209" t="s">
        <v>175</v>
      </c>
      <c r="G4209" t="s">
        <v>172</v>
      </c>
      <c r="H4209" t="s">
        <v>308</v>
      </c>
      <c r="I4209">
        <v>378.59</v>
      </c>
      <c r="J4209" s="7">
        <v>0</v>
      </c>
      <c r="K4209" s="11">
        <f t="shared" si="254"/>
        <v>1091.5</v>
      </c>
      <c r="L4209" s="7">
        <v>1091.5</v>
      </c>
      <c r="M4209" s="10">
        <f t="shared" si="255"/>
        <v>34.685295464956475</v>
      </c>
    </row>
    <row r="4210" spans="1:13" ht="15.75" hidden="1" customHeight="1" x14ac:dyDescent="0.3">
      <c r="A4210" s="9">
        <v>479</v>
      </c>
      <c r="B4210" t="s">
        <v>435</v>
      </c>
      <c r="C4210" s="25">
        <v>44619</v>
      </c>
      <c r="D4210" s="26">
        <v>0.89097222222222217</v>
      </c>
      <c r="E4210" t="s">
        <v>25</v>
      </c>
      <c r="F4210" t="s">
        <v>210</v>
      </c>
      <c r="G4210" t="s">
        <v>211</v>
      </c>
      <c r="H4210" t="s">
        <v>308</v>
      </c>
      <c r="I4210">
        <v>286.08</v>
      </c>
      <c r="J4210" s="7">
        <v>0</v>
      </c>
      <c r="K4210" s="11">
        <f t="shared" si="254"/>
        <v>688.55</v>
      </c>
      <c r="L4210" s="7">
        <v>688.55</v>
      </c>
      <c r="M4210" s="10">
        <f t="shared" si="255"/>
        <v>41.548180959988386</v>
      </c>
    </row>
    <row r="4211" spans="1:13" ht="15.75" hidden="1" customHeight="1" x14ac:dyDescent="0.3">
      <c r="A4211" s="9">
        <v>1509</v>
      </c>
      <c r="B4211" t="s">
        <v>435</v>
      </c>
      <c r="C4211" s="25">
        <v>44621</v>
      </c>
      <c r="D4211" s="26">
        <v>0.79995370370370367</v>
      </c>
      <c r="E4211" t="s">
        <v>26</v>
      </c>
      <c r="F4211" t="s">
        <v>210</v>
      </c>
      <c r="G4211" t="s">
        <v>211</v>
      </c>
      <c r="H4211" t="s">
        <v>308</v>
      </c>
      <c r="I4211">
        <v>450.95</v>
      </c>
      <c r="J4211" s="7">
        <v>0</v>
      </c>
      <c r="K4211" s="89">
        <f t="shared" si="254"/>
        <v>1128.18</v>
      </c>
      <c r="L4211" s="7">
        <v>1128.18</v>
      </c>
      <c r="M4211" s="10">
        <f t="shared" si="255"/>
        <v>39.971458455211042</v>
      </c>
    </row>
    <row r="4212" spans="1:13" ht="15.75" hidden="1" customHeight="1" x14ac:dyDescent="0.3">
      <c r="A4212" s="9">
        <v>1510</v>
      </c>
      <c r="B4212" t="s">
        <v>435</v>
      </c>
      <c r="C4212" s="25">
        <v>44623</v>
      </c>
      <c r="D4212" s="26">
        <v>0.38325231481481481</v>
      </c>
      <c r="E4212" t="s">
        <v>26</v>
      </c>
      <c r="F4212" t="s">
        <v>175</v>
      </c>
      <c r="G4212" t="s">
        <v>172</v>
      </c>
      <c r="H4212" t="s">
        <v>308</v>
      </c>
      <c r="I4212">
        <v>301.85000000000002</v>
      </c>
      <c r="J4212" s="7">
        <v>0</v>
      </c>
      <c r="K4212" s="89">
        <f t="shared" si="254"/>
        <v>959.43</v>
      </c>
      <c r="L4212" s="7">
        <v>959.43</v>
      </c>
      <c r="M4212" s="10">
        <f t="shared" si="255"/>
        <v>31.46138853277467</v>
      </c>
    </row>
    <row r="4213" spans="1:13" ht="15.75" hidden="1" customHeight="1" x14ac:dyDescent="0.3">
      <c r="A4213" s="9">
        <v>1511</v>
      </c>
      <c r="B4213" t="s">
        <v>435</v>
      </c>
      <c r="C4213" s="25">
        <v>44624</v>
      </c>
      <c r="D4213" s="26">
        <v>0.40790509259259261</v>
      </c>
      <c r="E4213" t="s">
        <v>26</v>
      </c>
      <c r="F4213" t="s">
        <v>210</v>
      </c>
      <c r="G4213" t="s">
        <v>211</v>
      </c>
      <c r="H4213" t="s">
        <v>308</v>
      </c>
      <c r="I4213">
        <v>325.94</v>
      </c>
      <c r="J4213" s="7">
        <v>0</v>
      </c>
      <c r="K4213" s="89">
        <f t="shared" si="254"/>
        <v>829.75</v>
      </c>
      <c r="L4213" s="7">
        <v>829.75</v>
      </c>
      <c r="M4213" s="10">
        <f t="shared" si="255"/>
        <v>39.281711358843026</v>
      </c>
    </row>
    <row r="4214" spans="1:13" ht="15.75" hidden="1" customHeight="1" x14ac:dyDescent="0.3">
      <c r="A4214" s="9">
        <v>1512</v>
      </c>
      <c r="B4214" t="s">
        <v>435</v>
      </c>
      <c r="C4214" s="25">
        <v>44627</v>
      </c>
      <c r="D4214" s="26">
        <v>0.70483796296296297</v>
      </c>
      <c r="E4214" t="s">
        <v>26</v>
      </c>
      <c r="F4214" t="s">
        <v>210</v>
      </c>
      <c r="G4214" t="s">
        <v>211</v>
      </c>
      <c r="H4214" t="s">
        <v>308</v>
      </c>
      <c r="I4214">
        <v>386.09</v>
      </c>
      <c r="J4214" s="7">
        <v>0</v>
      </c>
      <c r="K4214" s="89">
        <f t="shared" si="254"/>
        <v>1121.6199999999999</v>
      </c>
      <c r="L4214" s="7">
        <v>1121.6199999999999</v>
      </c>
      <c r="M4214" s="10">
        <f t="shared" si="255"/>
        <v>34.422531695226546</v>
      </c>
    </row>
    <row r="4215" spans="1:13" ht="15.75" hidden="1" customHeight="1" x14ac:dyDescent="0.3">
      <c r="A4215" s="9">
        <v>1513</v>
      </c>
      <c r="B4215" t="s">
        <v>435</v>
      </c>
      <c r="C4215" s="25">
        <v>44629</v>
      </c>
      <c r="D4215" s="26">
        <v>0.61775462962962957</v>
      </c>
      <c r="E4215" t="s">
        <v>26</v>
      </c>
      <c r="F4215" t="s">
        <v>205</v>
      </c>
      <c r="G4215" t="s">
        <v>206</v>
      </c>
      <c r="H4215" t="s">
        <v>308</v>
      </c>
      <c r="I4215">
        <v>363.68</v>
      </c>
      <c r="J4215" s="7">
        <v>0</v>
      </c>
      <c r="K4215" s="89">
        <f t="shared" si="254"/>
        <v>1029.4000000000001</v>
      </c>
      <c r="L4215" s="7">
        <v>1029.4000000000001</v>
      </c>
      <c r="M4215" s="10">
        <f t="shared" si="255"/>
        <v>35.329318049349133</v>
      </c>
    </row>
    <row r="4216" spans="1:13" ht="15.75" hidden="1" customHeight="1" x14ac:dyDescent="0.3">
      <c r="A4216" s="9">
        <v>1514</v>
      </c>
      <c r="B4216" t="s">
        <v>435</v>
      </c>
      <c r="C4216" s="25">
        <v>44630</v>
      </c>
      <c r="D4216" s="26">
        <v>6.2569444444444441E-2</v>
      </c>
      <c r="E4216" t="s">
        <v>26</v>
      </c>
      <c r="F4216" t="s">
        <v>210</v>
      </c>
      <c r="G4216" t="s">
        <v>211</v>
      </c>
      <c r="H4216" t="s">
        <v>308</v>
      </c>
      <c r="I4216">
        <v>272.20999999999998</v>
      </c>
      <c r="J4216" s="7">
        <v>0</v>
      </c>
      <c r="K4216" s="89">
        <f t="shared" si="254"/>
        <v>694.92</v>
      </c>
      <c r="L4216" s="7">
        <v>694.92</v>
      </c>
      <c r="M4216" s="10">
        <f t="shared" si="255"/>
        <v>39.171415414723995</v>
      </c>
    </row>
    <row r="4217" spans="1:13" ht="15.75" hidden="1" customHeight="1" x14ac:dyDescent="0.3">
      <c r="A4217" s="9">
        <v>1515</v>
      </c>
      <c r="B4217" t="s">
        <v>435</v>
      </c>
      <c r="C4217" s="25">
        <v>44631</v>
      </c>
      <c r="D4217" s="26">
        <v>0.36711805555555554</v>
      </c>
      <c r="E4217" t="s">
        <v>26</v>
      </c>
      <c r="F4217" t="s">
        <v>166</v>
      </c>
      <c r="G4217" t="s">
        <v>161</v>
      </c>
      <c r="H4217" t="s">
        <v>308</v>
      </c>
      <c r="I4217">
        <v>410.43</v>
      </c>
      <c r="J4217" s="7">
        <v>0</v>
      </c>
      <c r="K4217" s="89">
        <f t="shared" si="254"/>
        <v>1140.3900000000001</v>
      </c>
      <c r="L4217" s="7">
        <v>1140.3900000000001</v>
      </c>
      <c r="M4217" s="10">
        <f t="shared" si="255"/>
        <v>35.990319101360058</v>
      </c>
    </row>
    <row r="4218" spans="1:13" ht="15.75" hidden="1" customHeight="1" x14ac:dyDescent="0.3">
      <c r="A4218" s="9">
        <v>1516</v>
      </c>
      <c r="B4218" t="s">
        <v>435</v>
      </c>
      <c r="C4218" s="25">
        <v>44632</v>
      </c>
      <c r="D4218" s="26">
        <v>0.42790509259259263</v>
      </c>
      <c r="E4218" t="s">
        <v>26</v>
      </c>
      <c r="F4218" t="s">
        <v>391</v>
      </c>
      <c r="G4218" t="s">
        <v>392</v>
      </c>
      <c r="H4218" t="s">
        <v>308</v>
      </c>
      <c r="I4218">
        <v>277.39999999999998</v>
      </c>
      <c r="J4218" s="7">
        <v>0</v>
      </c>
      <c r="K4218" s="89">
        <f t="shared" si="254"/>
        <v>851.4</v>
      </c>
      <c r="L4218" s="7">
        <v>851.4</v>
      </c>
      <c r="M4218" s="10">
        <f t="shared" si="255"/>
        <v>32.581630256048861</v>
      </c>
    </row>
    <row r="4219" spans="1:13" ht="15.75" hidden="1" customHeight="1" x14ac:dyDescent="0.3">
      <c r="A4219" s="9">
        <v>1517</v>
      </c>
      <c r="B4219" t="s">
        <v>435</v>
      </c>
      <c r="C4219" s="25">
        <v>44638</v>
      </c>
      <c r="D4219" s="26">
        <v>0.84741898148148154</v>
      </c>
      <c r="E4219" t="s">
        <v>26</v>
      </c>
      <c r="F4219" t="s">
        <v>210</v>
      </c>
      <c r="G4219" t="s">
        <v>211</v>
      </c>
      <c r="H4219" t="s">
        <v>308</v>
      </c>
      <c r="I4219">
        <v>352.89</v>
      </c>
      <c r="J4219" s="7">
        <v>0</v>
      </c>
      <c r="K4219" s="89">
        <f t="shared" si="254"/>
        <v>862.26</v>
      </c>
      <c r="L4219" s="7">
        <v>862.26</v>
      </c>
      <c r="M4219" s="10">
        <f t="shared" si="255"/>
        <v>40.926170760559458</v>
      </c>
    </row>
    <row r="4220" spans="1:13" ht="15.75" hidden="1" customHeight="1" x14ac:dyDescent="0.3">
      <c r="A4220" s="9">
        <v>1518</v>
      </c>
      <c r="B4220" t="s">
        <v>435</v>
      </c>
      <c r="C4220" s="25">
        <v>44639</v>
      </c>
      <c r="D4220" s="26">
        <v>0.98649305555555555</v>
      </c>
      <c r="E4220" t="s">
        <v>26</v>
      </c>
      <c r="F4220" t="s">
        <v>210</v>
      </c>
      <c r="G4220" t="s">
        <v>211</v>
      </c>
      <c r="H4220" t="s">
        <v>308</v>
      </c>
      <c r="I4220">
        <v>387.62</v>
      </c>
      <c r="J4220" s="7">
        <v>0</v>
      </c>
      <c r="K4220" s="89">
        <f t="shared" si="254"/>
        <v>1062.58</v>
      </c>
      <c r="L4220" s="7">
        <v>1062.58</v>
      </c>
      <c r="M4220" s="10">
        <f t="shared" si="255"/>
        <v>36.479135688606981</v>
      </c>
    </row>
    <row r="4221" spans="1:13" ht="15.75" hidden="1" customHeight="1" x14ac:dyDescent="0.3">
      <c r="A4221" s="9">
        <v>1519</v>
      </c>
      <c r="B4221" t="s">
        <v>435</v>
      </c>
      <c r="C4221" s="25">
        <v>44641</v>
      </c>
      <c r="D4221" s="26">
        <v>0.82146990740740744</v>
      </c>
      <c r="E4221" t="s">
        <v>26</v>
      </c>
      <c r="F4221" t="s">
        <v>205</v>
      </c>
      <c r="G4221" t="s">
        <v>206</v>
      </c>
      <c r="H4221" t="s">
        <v>308</v>
      </c>
      <c r="I4221">
        <v>150</v>
      </c>
      <c r="J4221" s="39">
        <v>0</v>
      </c>
      <c r="K4221" s="89">
        <f t="shared" si="254"/>
        <v>1004.4</v>
      </c>
      <c r="L4221" s="11">
        <v>1004.4</v>
      </c>
      <c r="M4221" s="10">
        <f t="shared" si="255"/>
        <v>14.934289127837516</v>
      </c>
    </row>
    <row r="4222" spans="1:13" ht="15.75" hidden="1" customHeight="1" x14ac:dyDescent="0.3">
      <c r="A4222" s="9">
        <v>1520</v>
      </c>
      <c r="B4222" t="s">
        <v>435</v>
      </c>
      <c r="C4222" s="25">
        <v>44642</v>
      </c>
      <c r="D4222" s="26">
        <v>0.44112268518518521</v>
      </c>
      <c r="E4222" t="s">
        <v>26</v>
      </c>
      <c r="F4222" t="s">
        <v>197</v>
      </c>
      <c r="G4222" t="s">
        <v>44</v>
      </c>
      <c r="H4222" t="s">
        <v>308</v>
      </c>
      <c r="I4222">
        <v>274.02999999999997</v>
      </c>
      <c r="J4222" s="7">
        <v>0</v>
      </c>
      <c r="K4222" s="89">
        <f t="shared" si="254"/>
        <v>157.1</v>
      </c>
      <c r="L4222" s="11">
        <v>157.1</v>
      </c>
      <c r="M4222" s="10">
        <f t="shared" si="255"/>
        <v>174.43029917250158</v>
      </c>
    </row>
    <row r="4223" spans="1:13" ht="15.75" hidden="1" customHeight="1" x14ac:dyDescent="0.3">
      <c r="A4223" s="9">
        <v>1521</v>
      </c>
      <c r="B4223" t="s">
        <v>435</v>
      </c>
      <c r="C4223" s="25">
        <v>44642</v>
      </c>
      <c r="D4223" s="26">
        <v>0.83409722222222227</v>
      </c>
      <c r="E4223" t="s">
        <v>26</v>
      </c>
      <c r="F4223" t="s">
        <v>210</v>
      </c>
      <c r="G4223" t="s">
        <v>211</v>
      </c>
      <c r="H4223" t="s">
        <v>308</v>
      </c>
      <c r="I4223">
        <v>212.68</v>
      </c>
      <c r="J4223" s="31">
        <v>0</v>
      </c>
      <c r="K4223" s="89">
        <f t="shared" si="254"/>
        <v>586.95000000000005</v>
      </c>
      <c r="L4223" s="11">
        <v>586.95000000000005</v>
      </c>
      <c r="M4223" s="10">
        <f t="shared" si="255"/>
        <v>36.234772978959022</v>
      </c>
    </row>
    <row r="4224" spans="1:13" ht="15.75" hidden="1" customHeight="1" x14ac:dyDescent="0.3">
      <c r="A4224" s="9">
        <v>1522</v>
      </c>
      <c r="B4224" t="s">
        <v>435</v>
      </c>
      <c r="C4224" s="25">
        <v>44644</v>
      </c>
      <c r="D4224" s="26">
        <v>0.49516203703703704</v>
      </c>
      <c r="E4224" t="s">
        <v>26</v>
      </c>
      <c r="F4224" t="s">
        <v>210</v>
      </c>
      <c r="G4224" t="s">
        <v>211</v>
      </c>
      <c r="H4224" t="s">
        <v>308</v>
      </c>
      <c r="I4224">
        <v>391.82</v>
      </c>
      <c r="J4224" s="7">
        <v>0</v>
      </c>
      <c r="K4224" s="89">
        <f t="shared" si="254"/>
        <v>1117.3399999999999</v>
      </c>
      <c r="L4224" s="30">
        <v>1117.3399999999999</v>
      </c>
      <c r="M4224" s="10">
        <f t="shared" si="255"/>
        <v>35.067213202785183</v>
      </c>
    </row>
    <row r="4225" spans="1:13" ht="15.75" hidden="1" customHeight="1" x14ac:dyDescent="0.3">
      <c r="A4225" s="9">
        <v>1523</v>
      </c>
      <c r="B4225" t="s">
        <v>435</v>
      </c>
      <c r="C4225" s="25">
        <v>44646</v>
      </c>
      <c r="D4225" s="26">
        <v>0.51168981481481479</v>
      </c>
      <c r="E4225" t="s">
        <v>26</v>
      </c>
      <c r="F4225" t="s">
        <v>175</v>
      </c>
      <c r="G4225" t="s">
        <v>172</v>
      </c>
      <c r="H4225" t="s">
        <v>308</v>
      </c>
      <c r="I4225">
        <v>346.15</v>
      </c>
      <c r="J4225" s="7">
        <v>0</v>
      </c>
      <c r="K4225" s="89">
        <f t="shared" si="254"/>
        <v>971.5</v>
      </c>
      <c r="L4225" s="28">
        <v>971.5</v>
      </c>
      <c r="M4225" s="10">
        <f t="shared" si="255"/>
        <v>35.630468347915595</v>
      </c>
    </row>
    <row r="4226" spans="1:13" ht="15.75" hidden="1" customHeight="1" x14ac:dyDescent="0.3">
      <c r="A4226" s="9">
        <v>1524</v>
      </c>
      <c r="B4226" t="s">
        <v>435</v>
      </c>
      <c r="C4226" s="25">
        <v>44647</v>
      </c>
      <c r="D4226" s="26">
        <v>0.64063657407407404</v>
      </c>
      <c r="E4226" t="s">
        <v>26</v>
      </c>
      <c r="F4226" t="s">
        <v>210</v>
      </c>
      <c r="G4226" t="s">
        <v>211</v>
      </c>
      <c r="H4226" t="s">
        <v>308</v>
      </c>
      <c r="I4226">
        <v>327.76</v>
      </c>
      <c r="J4226" s="7">
        <v>0</v>
      </c>
      <c r="K4226" s="89">
        <f t="shared" si="254"/>
        <v>837.9</v>
      </c>
      <c r="L4226" s="7">
        <v>837.9</v>
      </c>
      <c r="M4226" s="36">
        <f t="shared" si="255"/>
        <v>39.116839718343478</v>
      </c>
    </row>
    <row r="4227" spans="1:13" ht="15.75" hidden="1" customHeight="1" x14ac:dyDescent="0.3">
      <c r="A4227" s="9">
        <v>1525</v>
      </c>
      <c r="B4227" t="s">
        <v>435</v>
      </c>
      <c r="C4227" s="25">
        <v>44648</v>
      </c>
      <c r="D4227" s="26">
        <v>0.56436342592592592</v>
      </c>
      <c r="E4227" t="s">
        <v>26</v>
      </c>
      <c r="F4227" t="s">
        <v>210</v>
      </c>
      <c r="G4227" t="s">
        <v>211</v>
      </c>
      <c r="H4227" t="s">
        <v>308</v>
      </c>
      <c r="I4227">
        <v>355.1</v>
      </c>
      <c r="J4227" s="7">
        <v>0</v>
      </c>
      <c r="K4227" s="89">
        <f t="shared" si="254"/>
        <v>1062.42</v>
      </c>
      <c r="L4227" s="7">
        <v>1062.42</v>
      </c>
      <c r="M4227" s="36">
        <f t="shared" si="255"/>
        <v>33.423693078067053</v>
      </c>
    </row>
    <row r="4228" spans="1:13" ht="15.75" hidden="1" customHeight="1" x14ac:dyDescent="0.3">
      <c r="A4228" s="9">
        <v>1526</v>
      </c>
      <c r="B4228" t="s">
        <v>435</v>
      </c>
      <c r="C4228" s="25">
        <v>44649</v>
      </c>
      <c r="D4228" s="26">
        <v>0.79260416666666667</v>
      </c>
      <c r="E4228" t="s">
        <v>26</v>
      </c>
      <c r="F4228" t="s">
        <v>171</v>
      </c>
      <c r="G4228" t="s">
        <v>172</v>
      </c>
      <c r="H4228" t="s">
        <v>308</v>
      </c>
      <c r="I4228">
        <v>293.33</v>
      </c>
      <c r="J4228" s="7">
        <v>0</v>
      </c>
      <c r="K4228" s="89">
        <f t="shared" si="254"/>
        <v>948.12</v>
      </c>
      <c r="L4228" s="7">
        <v>948.12</v>
      </c>
      <c r="M4228" s="36">
        <f t="shared" si="255"/>
        <v>30.938066911361428</v>
      </c>
    </row>
    <row r="4229" spans="1:13" ht="15.75" hidden="1" customHeight="1" x14ac:dyDescent="0.3">
      <c r="A4229" s="9">
        <v>2710</v>
      </c>
      <c r="B4229" t="s">
        <v>435</v>
      </c>
      <c r="C4229" s="25">
        <v>44655</v>
      </c>
      <c r="D4229" s="26">
        <v>0.59431712962962957</v>
      </c>
      <c r="E4229" t="s">
        <v>27</v>
      </c>
      <c r="F4229" t="s">
        <v>210</v>
      </c>
      <c r="G4229" t="s">
        <v>211</v>
      </c>
      <c r="H4229" t="s">
        <v>308</v>
      </c>
      <c r="I4229" s="4">
        <v>353.82</v>
      </c>
      <c r="J4229" s="7">
        <v>0</v>
      </c>
      <c r="K4229" s="89">
        <f t="shared" si="254"/>
        <v>871.6</v>
      </c>
      <c r="L4229" s="32">
        <v>871.6</v>
      </c>
      <c r="M4229" s="36">
        <f t="shared" si="255"/>
        <v>40.594309316200089</v>
      </c>
    </row>
    <row r="4230" spans="1:13" ht="15.75" hidden="1" customHeight="1" x14ac:dyDescent="0.3">
      <c r="A4230" s="9">
        <v>2711</v>
      </c>
      <c r="B4230" t="s">
        <v>435</v>
      </c>
      <c r="C4230" s="25">
        <v>44656</v>
      </c>
      <c r="D4230" s="26">
        <v>0.60206018518518511</v>
      </c>
      <c r="E4230" t="s">
        <v>27</v>
      </c>
      <c r="F4230" t="s">
        <v>210</v>
      </c>
      <c r="G4230" t="s">
        <v>211</v>
      </c>
      <c r="H4230" t="s">
        <v>308</v>
      </c>
      <c r="I4230" s="4">
        <v>365.34</v>
      </c>
      <c r="J4230" s="7">
        <v>0</v>
      </c>
      <c r="K4230" s="89">
        <f t="shared" ref="K4230:K4256" si="256">+L4230-J4230</f>
        <v>1063.52</v>
      </c>
      <c r="L4230" s="32">
        <v>1063.52</v>
      </c>
      <c r="M4230" s="36">
        <f t="shared" ref="M4230:M4261" si="257">I4230/K4230*100</f>
        <v>34.351963291710547</v>
      </c>
    </row>
    <row r="4231" spans="1:13" ht="15.75" hidden="1" customHeight="1" x14ac:dyDescent="0.3">
      <c r="A4231" s="9">
        <v>2712</v>
      </c>
      <c r="B4231" t="s">
        <v>435</v>
      </c>
      <c r="C4231" s="25">
        <v>44657</v>
      </c>
      <c r="D4231" s="26">
        <v>0.69390046296296293</v>
      </c>
      <c r="E4231" t="s">
        <v>27</v>
      </c>
      <c r="F4231" t="s">
        <v>391</v>
      </c>
      <c r="G4231" t="s">
        <v>392</v>
      </c>
      <c r="H4231" t="s">
        <v>308</v>
      </c>
      <c r="I4231" s="4">
        <v>291.49</v>
      </c>
      <c r="J4231" s="7">
        <v>0</v>
      </c>
      <c r="K4231" s="89">
        <f t="shared" si="256"/>
        <v>924.32</v>
      </c>
      <c r="L4231" s="7">
        <v>924.32</v>
      </c>
      <c r="M4231" s="36">
        <f t="shared" si="257"/>
        <v>31.535615371299979</v>
      </c>
    </row>
    <row r="4232" spans="1:13" hidden="1" x14ac:dyDescent="0.3">
      <c r="A4232" s="9">
        <v>2713</v>
      </c>
      <c r="B4232" t="s">
        <v>435</v>
      </c>
      <c r="C4232" s="25">
        <v>44658</v>
      </c>
      <c r="D4232" s="26">
        <v>0.68768518518518518</v>
      </c>
      <c r="E4232" t="s">
        <v>27</v>
      </c>
      <c r="F4232" t="s">
        <v>210</v>
      </c>
      <c r="G4232" t="s">
        <v>211</v>
      </c>
      <c r="H4232" t="s">
        <v>308</v>
      </c>
      <c r="I4232" s="4">
        <v>304.61</v>
      </c>
      <c r="J4232" s="7">
        <v>0</v>
      </c>
      <c r="K4232" s="90">
        <f t="shared" si="256"/>
        <v>853.5</v>
      </c>
      <c r="L4232" s="37">
        <v>853.5</v>
      </c>
      <c r="M4232" s="36">
        <f t="shared" si="257"/>
        <v>35.689513766842417</v>
      </c>
    </row>
    <row r="4233" spans="1:13" ht="15.75" hidden="1" customHeight="1" x14ac:dyDescent="0.3">
      <c r="A4233" s="9">
        <v>2714</v>
      </c>
      <c r="B4233" t="s">
        <v>435</v>
      </c>
      <c r="C4233" s="25">
        <v>44659</v>
      </c>
      <c r="D4233" s="26">
        <v>0.81030092592592595</v>
      </c>
      <c r="E4233" t="s">
        <v>27</v>
      </c>
      <c r="F4233" t="s">
        <v>210</v>
      </c>
      <c r="G4233" t="s">
        <v>211</v>
      </c>
      <c r="H4233" t="s">
        <v>308</v>
      </c>
      <c r="I4233" s="4">
        <v>372.61</v>
      </c>
      <c r="J4233" s="7">
        <v>0</v>
      </c>
      <c r="K4233" s="90">
        <f t="shared" si="256"/>
        <v>1062.71</v>
      </c>
      <c r="L4233" s="32">
        <v>1062.71</v>
      </c>
      <c r="M4233" s="36">
        <f t="shared" si="257"/>
        <v>35.062246520687673</v>
      </c>
    </row>
    <row r="4234" spans="1:13" ht="15.75" hidden="1" customHeight="1" x14ac:dyDescent="0.3">
      <c r="A4234" s="9">
        <v>2715</v>
      </c>
      <c r="B4234" t="s">
        <v>435</v>
      </c>
      <c r="C4234" s="25">
        <v>44660</v>
      </c>
      <c r="D4234" s="26">
        <v>0.68266203703703709</v>
      </c>
      <c r="E4234" t="s">
        <v>27</v>
      </c>
      <c r="F4234" t="s">
        <v>428</v>
      </c>
      <c r="G4234" t="s">
        <v>429</v>
      </c>
      <c r="H4234" t="s">
        <v>308</v>
      </c>
      <c r="I4234" s="4">
        <v>100.42</v>
      </c>
      <c r="J4234" s="7">
        <v>0</v>
      </c>
      <c r="K4234" s="90">
        <f t="shared" si="256"/>
        <v>925.25</v>
      </c>
      <c r="L4234" s="32">
        <v>925.25</v>
      </c>
      <c r="M4234" s="36">
        <f t="shared" si="257"/>
        <v>10.853282896514456</v>
      </c>
    </row>
    <row r="4235" spans="1:13" ht="15.75" hidden="1" customHeight="1" x14ac:dyDescent="0.3">
      <c r="A4235" s="9">
        <v>2716</v>
      </c>
      <c r="B4235" t="s">
        <v>435</v>
      </c>
      <c r="C4235" s="25">
        <v>44660</v>
      </c>
      <c r="D4235" s="26">
        <v>0.95582175925925927</v>
      </c>
      <c r="E4235" t="s">
        <v>27</v>
      </c>
      <c r="F4235" t="s">
        <v>175</v>
      </c>
      <c r="G4235" t="s">
        <v>172</v>
      </c>
      <c r="H4235" t="s">
        <v>308</v>
      </c>
      <c r="I4235" s="4">
        <v>299.87</v>
      </c>
      <c r="J4235" s="7">
        <v>0</v>
      </c>
      <c r="K4235" s="90">
        <f t="shared" si="256"/>
        <v>1206</v>
      </c>
      <c r="L4235" s="32">
        <v>1206</v>
      </c>
      <c r="M4235" s="36">
        <f t="shared" si="257"/>
        <v>24.864842454394694</v>
      </c>
    </row>
    <row r="4236" spans="1:13" ht="15.75" hidden="1" customHeight="1" x14ac:dyDescent="0.3">
      <c r="A4236" s="9">
        <v>2717</v>
      </c>
      <c r="B4236" t="s">
        <v>435</v>
      </c>
      <c r="C4236" s="25">
        <v>44661</v>
      </c>
      <c r="D4236" s="26">
        <v>0.85386574074074073</v>
      </c>
      <c r="E4236" t="s">
        <v>27</v>
      </c>
      <c r="F4236" t="s">
        <v>210</v>
      </c>
      <c r="G4236" t="s">
        <v>211</v>
      </c>
      <c r="H4236" t="s">
        <v>308</v>
      </c>
      <c r="I4236" s="4">
        <v>254.14</v>
      </c>
      <c r="J4236" s="7">
        <v>0</v>
      </c>
      <c r="K4236" s="90">
        <f t="shared" si="256"/>
        <v>701.82</v>
      </c>
      <c r="L4236" s="32">
        <v>701.82</v>
      </c>
      <c r="M4236" s="36">
        <f t="shared" si="257"/>
        <v>36.211564218745544</v>
      </c>
    </row>
    <row r="4237" spans="1:13" ht="15.75" hidden="1" customHeight="1" x14ac:dyDescent="0.3">
      <c r="A4237" s="9">
        <v>2718</v>
      </c>
      <c r="B4237" t="s">
        <v>435</v>
      </c>
      <c r="C4237" s="25">
        <v>44663</v>
      </c>
      <c r="D4237" s="26">
        <v>0.84650462962962969</v>
      </c>
      <c r="E4237" t="s">
        <v>27</v>
      </c>
      <c r="F4237" t="s">
        <v>210</v>
      </c>
      <c r="G4237" t="s">
        <v>211</v>
      </c>
      <c r="H4237" t="s">
        <v>308</v>
      </c>
      <c r="I4237" s="4">
        <v>423.72</v>
      </c>
      <c r="J4237" s="31">
        <v>0</v>
      </c>
      <c r="K4237" s="90">
        <f t="shared" si="256"/>
        <v>1122.0999999999999</v>
      </c>
      <c r="L4237" s="32">
        <v>1122.0999999999999</v>
      </c>
      <c r="M4237" s="36">
        <f t="shared" si="257"/>
        <v>37.761340343997865</v>
      </c>
    </row>
    <row r="4238" spans="1:13" ht="15.75" hidden="1" customHeight="1" x14ac:dyDescent="0.3">
      <c r="A4238" s="9">
        <v>2719</v>
      </c>
      <c r="B4238" t="s">
        <v>435</v>
      </c>
      <c r="C4238" s="25">
        <v>44665</v>
      </c>
      <c r="D4238" s="26">
        <v>0.40304398148148146</v>
      </c>
      <c r="E4238" t="s">
        <v>27</v>
      </c>
      <c r="F4238" t="s">
        <v>391</v>
      </c>
      <c r="G4238" t="s">
        <v>392</v>
      </c>
      <c r="H4238" t="s">
        <v>308</v>
      </c>
      <c r="I4238" s="4">
        <v>271.33</v>
      </c>
      <c r="J4238" s="7">
        <v>0</v>
      </c>
      <c r="K4238" s="90">
        <f t="shared" si="256"/>
        <v>903.87</v>
      </c>
      <c r="L4238" s="53">
        <v>903.87</v>
      </c>
      <c r="M4238" s="10">
        <f t="shared" si="257"/>
        <v>30.018697379047872</v>
      </c>
    </row>
    <row r="4239" spans="1:13" ht="15.75" hidden="1" customHeight="1" x14ac:dyDescent="0.3">
      <c r="A4239" s="9">
        <v>2720</v>
      </c>
      <c r="B4239" t="s">
        <v>435</v>
      </c>
      <c r="C4239" s="25">
        <v>44669</v>
      </c>
      <c r="D4239" s="26">
        <v>0.64459490740740744</v>
      </c>
      <c r="E4239" t="s">
        <v>27</v>
      </c>
      <c r="F4239" t="s">
        <v>210</v>
      </c>
      <c r="G4239" t="s">
        <v>211</v>
      </c>
      <c r="H4239" t="s">
        <v>308</v>
      </c>
      <c r="I4239" s="4">
        <v>321.11</v>
      </c>
      <c r="J4239" s="7">
        <v>0</v>
      </c>
      <c r="K4239" s="90">
        <f t="shared" si="256"/>
        <v>854.18</v>
      </c>
      <c r="L4239" s="52">
        <v>854.18</v>
      </c>
      <c r="M4239" s="10">
        <f t="shared" si="257"/>
        <v>37.592779039546706</v>
      </c>
    </row>
    <row r="4240" spans="1:13" ht="15.75" hidden="1" customHeight="1" x14ac:dyDescent="0.3">
      <c r="A4240" s="9">
        <v>2721</v>
      </c>
      <c r="B4240" t="s">
        <v>435</v>
      </c>
      <c r="C4240" s="25">
        <v>44670</v>
      </c>
      <c r="D4240" s="26">
        <v>0.74832175925925926</v>
      </c>
      <c r="E4240" t="s">
        <v>27</v>
      </c>
      <c r="F4240" t="s">
        <v>210</v>
      </c>
      <c r="G4240" t="s">
        <v>211</v>
      </c>
      <c r="H4240" t="s">
        <v>308</v>
      </c>
      <c r="I4240" s="4">
        <v>366.24</v>
      </c>
      <c r="J4240" s="7">
        <v>0</v>
      </c>
      <c r="K4240" s="90">
        <f t="shared" si="256"/>
        <v>1063</v>
      </c>
      <c r="L4240" s="53">
        <v>1063</v>
      </c>
      <c r="M4240" s="10">
        <f t="shared" si="257"/>
        <v>34.45343367826905</v>
      </c>
    </row>
    <row r="4241" spans="1:13" ht="15.75" hidden="1" customHeight="1" x14ac:dyDescent="0.3">
      <c r="A4241" s="9">
        <v>2722</v>
      </c>
      <c r="B4241" t="s">
        <v>435</v>
      </c>
      <c r="C4241" s="25">
        <v>44672</v>
      </c>
      <c r="D4241" s="26">
        <v>0.54438657407407409</v>
      </c>
      <c r="E4241" t="s">
        <v>27</v>
      </c>
      <c r="F4241" t="s">
        <v>197</v>
      </c>
      <c r="G4241" t="s">
        <v>44</v>
      </c>
      <c r="H4241" t="s">
        <v>308</v>
      </c>
      <c r="I4241" s="4">
        <v>200</v>
      </c>
      <c r="J4241" s="7">
        <v>0</v>
      </c>
      <c r="K4241" s="90">
        <f t="shared" si="256"/>
        <v>1208.6400000000001</v>
      </c>
      <c r="L4241" s="53">
        <v>1208.6400000000001</v>
      </c>
      <c r="M4241" s="10">
        <f t="shared" si="257"/>
        <v>16.547524490336244</v>
      </c>
    </row>
    <row r="4242" spans="1:13" ht="15.75" hidden="1" customHeight="1" x14ac:dyDescent="0.3">
      <c r="A4242" s="9">
        <v>2723</v>
      </c>
      <c r="B4242" t="s">
        <v>435</v>
      </c>
      <c r="C4242" s="25">
        <v>44673</v>
      </c>
      <c r="D4242" s="26">
        <v>4.494212962962963E-2</v>
      </c>
      <c r="E4242" t="s">
        <v>27</v>
      </c>
      <c r="F4242" t="s">
        <v>210</v>
      </c>
      <c r="G4242" t="s">
        <v>211</v>
      </c>
      <c r="H4242" t="s">
        <v>308</v>
      </c>
      <c r="I4242" s="4">
        <v>433.31</v>
      </c>
      <c r="J4242" s="7">
        <v>0</v>
      </c>
      <c r="K4242" s="90">
        <f t="shared" si="256"/>
        <v>588.83000000000004</v>
      </c>
      <c r="L4242" s="52">
        <v>588.83000000000004</v>
      </c>
      <c r="M4242" s="10">
        <f t="shared" si="257"/>
        <v>73.588302226449059</v>
      </c>
    </row>
    <row r="4243" spans="1:13" ht="15.75" hidden="1" customHeight="1" x14ac:dyDescent="0.3">
      <c r="A4243" s="9">
        <v>2724</v>
      </c>
      <c r="B4243" t="s">
        <v>435</v>
      </c>
      <c r="C4243" s="25">
        <v>44674</v>
      </c>
      <c r="D4243" s="26">
        <v>0.16121527777777778</v>
      </c>
      <c r="E4243" t="s">
        <v>27</v>
      </c>
      <c r="F4243" t="s">
        <v>210</v>
      </c>
      <c r="G4243" t="s">
        <v>211</v>
      </c>
      <c r="H4243" t="s">
        <v>308</v>
      </c>
      <c r="I4243" s="4">
        <v>392.77</v>
      </c>
      <c r="J4243" s="7">
        <v>0</v>
      </c>
      <c r="K4243" s="90">
        <f t="shared" si="256"/>
        <v>1064.44</v>
      </c>
      <c r="L4243" s="53">
        <v>1064.44</v>
      </c>
      <c r="M4243" s="10">
        <f t="shared" si="257"/>
        <v>36.899214610499413</v>
      </c>
    </row>
    <row r="4244" spans="1:13" ht="15.75" hidden="1" customHeight="1" x14ac:dyDescent="0.3">
      <c r="A4244" s="9">
        <v>2725</v>
      </c>
      <c r="B4244" t="s">
        <v>435</v>
      </c>
      <c r="C4244" s="25">
        <v>44675</v>
      </c>
      <c r="D4244" s="26">
        <v>0.51299768518518518</v>
      </c>
      <c r="E4244" t="s">
        <v>27</v>
      </c>
      <c r="F4244" t="s">
        <v>175</v>
      </c>
      <c r="G4244" t="s">
        <v>172</v>
      </c>
      <c r="H4244" t="s">
        <v>308</v>
      </c>
      <c r="I4244" s="4">
        <v>337</v>
      </c>
      <c r="J4244" s="7">
        <v>0</v>
      </c>
      <c r="K4244" s="90">
        <f t="shared" si="256"/>
        <v>1069</v>
      </c>
      <c r="L4244" s="68">
        <v>1069</v>
      </c>
      <c r="M4244" s="10">
        <f t="shared" si="257"/>
        <v>31.524789522918617</v>
      </c>
    </row>
    <row r="4245" spans="1:13" ht="15" hidden="1" customHeight="1" x14ac:dyDescent="0.3">
      <c r="A4245" s="9">
        <v>2726</v>
      </c>
      <c r="B4245" t="s">
        <v>435</v>
      </c>
      <c r="C4245" s="25">
        <v>44677</v>
      </c>
      <c r="D4245" s="26">
        <v>0.35267361111111112</v>
      </c>
      <c r="E4245" t="s">
        <v>27</v>
      </c>
      <c r="F4245" t="s">
        <v>210</v>
      </c>
      <c r="G4245" t="s">
        <v>211</v>
      </c>
      <c r="H4245" t="s">
        <v>308</v>
      </c>
      <c r="I4245">
        <v>322.58</v>
      </c>
      <c r="J4245" s="7">
        <v>0</v>
      </c>
      <c r="K4245" s="90">
        <f t="shared" si="256"/>
        <v>854.99</v>
      </c>
      <c r="L4245" s="11">
        <v>854.99</v>
      </c>
      <c r="M4245" s="10">
        <f t="shared" si="257"/>
        <v>37.729096246739722</v>
      </c>
    </row>
    <row r="4246" spans="1:13" ht="15.75" hidden="1" customHeight="1" x14ac:dyDescent="0.3">
      <c r="A4246" s="9">
        <v>2727</v>
      </c>
      <c r="B4246" t="s">
        <v>435</v>
      </c>
      <c r="C4246" s="25">
        <v>44678</v>
      </c>
      <c r="D4246" s="26">
        <v>0.47092592592592591</v>
      </c>
      <c r="E4246" t="s">
        <v>27</v>
      </c>
      <c r="F4246" t="s">
        <v>210</v>
      </c>
      <c r="G4246" t="s">
        <v>211</v>
      </c>
      <c r="H4246" t="s">
        <v>308</v>
      </c>
      <c r="I4246">
        <v>379.31</v>
      </c>
      <c r="J4246" s="39">
        <v>0</v>
      </c>
      <c r="K4246" s="90">
        <f t="shared" si="256"/>
        <v>1062.55</v>
      </c>
      <c r="L4246" s="11">
        <v>1062.55</v>
      </c>
      <c r="M4246" s="10">
        <f t="shared" si="257"/>
        <v>35.698084796009596</v>
      </c>
    </row>
    <row r="4247" spans="1:13" ht="15.75" hidden="1" customHeight="1" x14ac:dyDescent="0.3">
      <c r="A4247" s="9">
        <v>2728</v>
      </c>
      <c r="B4247" t="s">
        <v>435</v>
      </c>
      <c r="C4247" s="25">
        <v>44679</v>
      </c>
      <c r="D4247" s="26">
        <v>0.72189814814814823</v>
      </c>
      <c r="E4247" t="s">
        <v>27</v>
      </c>
      <c r="F4247" t="s">
        <v>171</v>
      </c>
      <c r="G4247" t="s">
        <v>172</v>
      </c>
      <c r="H4247" t="s">
        <v>308</v>
      </c>
      <c r="I4247">
        <v>305.12</v>
      </c>
      <c r="J4247" s="39">
        <v>0</v>
      </c>
      <c r="K4247" s="90">
        <f t="shared" si="256"/>
        <v>928.38</v>
      </c>
      <c r="L4247" s="11">
        <v>928.38</v>
      </c>
      <c r="M4247" s="10">
        <f t="shared" si="257"/>
        <v>32.865852344944955</v>
      </c>
    </row>
    <row r="4248" spans="1:13" ht="15.75" hidden="1" customHeight="1" x14ac:dyDescent="0.3">
      <c r="A4248" s="9">
        <v>3760</v>
      </c>
      <c r="B4248" t="s">
        <v>435</v>
      </c>
      <c r="C4248" s="25">
        <v>44684</v>
      </c>
      <c r="D4248" s="26">
        <v>0.32396990740740739</v>
      </c>
      <c r="E4248" t="s">
        <v>28</v>
      </c>
      <c r="F4248" t="s">
        <v>210</v>
      </c>
      <c r="G4248" t="s">
        <v>211</v>
      </c>
      <c r="H4248" t="s">
        <v>308</v>
      </c>
      <c r="I4248">
        <v>323.70999999999998</v>
      </c>
      <c r="J4248" s="39">
        <v>0</v>
      </c>
      <c r="K4248" s="90">
        <f t="shared" si="256"/>
        <v>861.61</v>
      </c>
      <c r="L4248" s="68">
        <v>861.61</v>
      </c>
      <c r="M4248" s="10">
        <f t="shared" si="257"/>
        <v>37.570362460974223</v>
      </c>
    </row>
    <row r="4249" spans="1:13" ht="15.75" hidden="1" customHeight="1" x14ac:dyDescent="0.3">
      <c r="A4249" s="9">
        <v>3802</v>
      </c>
      <c r="B4249" t="s">
        <v>435</v>
      </c>
      <c r="C4249" s="25">
        <v>44685</v>
      </c>
      <c r="D4249" s="26">
        <v>0.84099537037037031</v>
      </c>
      <c r="E4249" t="s">
        <v>28</v>
      </c>
      <c r="F4249" t="s">
        <v>210</v>
      </c>
      <c r="G4249" t="s">
        <v>211</v>
      </c>
      <c r="H4249" t="s">
        <v>308</v>
      </c>
      <c r="I4249">
        <v>415.39</v>
      </c>
      <c r="J4249" s="76">
        <v>0</v>
      </c>
      <c r="K4249" s="90">
        <f t="shared" si="256"/>
        <v>1121.52</v>
      </c>
      <c r="L4249" s="55">
        <v>1121.52</v>
      </c>
      <c r="M4249" s="10">
        <f t="shared" si="257"/>
        <v>37.038126827876454</v>
      </c>
    </row>
    <row r="4250" spans="1:13" ht="15.75" hidden="1" customHeight="1" x14ac:dyDescent="0.3">
      <c r="A4250" s="9">
        <v>3922</v>
      </c>
      <c r="B4250" t="s">
        <v>435</v>
      </c>
      <c r="C4250" s="25">
        <v>44687</v>
      </c>
      <c r="D4250" s="26">
        <v>0.42947916666666663</v>
      </c>
      <c r="E4250" t="s">
        <v>28</v>
      </c>
      <c r="F4250" t="s">
        <v>175</v>
      </c>
      <c r="G4250" t="s">
        <v>172</v>
      </c>
      <c r="H4250" t="s">
        <v>308</v>
      </c>
      <c r="I4250">
        <v>301.42</v>
      </c>
      <c r="J4250" s="39">
        <v>0</v>
      </c>
      <c r="K4250" s="90">
        <f t="shared" si="256"/>
        <v>941</v>
      </c>
      <c r="L4250" s="53">
        <v>941</v>
      </c>
      <c r="M4250" s="10">
        <f t="shared" si="257"/>
        <v>32.031880977683322</v>
      </c>
    </row>
    <row r="4251" spans="1:13" ht="15.75" hidden="1" customHeight="1" x14ac:dyDescent="0.3">
      <c r="A4251" s="9">
        <v>3973</v>
      </c>
      <c r="B4251" t="s">
        <v>435</v>
      </c>
      <c r="C4251" s="25">
        <v>44688</v>
      </c>
      <c r="D4251" s="26">
        <v>0.67481481481481476</v>
      </c>
      <c r="E4251" t="s">
        <v>28</v>
      </c>
      <c r="F4251" t="s">
        <v>210</v>
      </c>
      <c r="G4251" t="s">
        <v>211</v>
      </c>
      <c r="H4251" t="s">
        <v>308</v>
      </c>
      <c r="I4251">
        <v>305.89999999999998</v>
      </c>
      <c r="J4251" s="40">
        <v>0</v>
      </c>
      <c r="K4251" s="90">
        <f t="shared" si="256"/>
        <v>834</v>
      </c>
      <c r="L4251" s="55">
        <v>834</v>
      </c>
      <c r="M4251" s="10">
        <f t="shared" si="257"/>
        <v>36.678657074340528</v>
      </c>
    </row>
    <row r="4252" spans="1:13" ht="15.75" hidden="1" customHeight="1" x14ac:dyDescent="0.3">
      <c r="A4252" s="9">
        <v>4073</v>
      </c>
      <c r="B4252" t="s">
        <v>435</v>
      </c>
      <c r="C4252" s="25">
        <v>44690</v>
      </c>
      <c r="D4252" s="26">
        <v>2.3032407407407404E-2</v>
      </c>
      <c r="E4252" t="s">
        <v>28</v>
      </c>
      <c r="F4252" t="s">
        <v>210</v>
      </c>
      <c r="G4252" t="s">
        <v>211</v>
      </c>
      <c r="H4252" t="s">
        <v>308</v>
      </c>
      <c r="I4252">
        <v>353.06</v>
      </c>
      <c r="J4252" s="7">
        <v>0</v>
      </c>
      <c r="K4252" s="90">
        <f t="shared" si="256"/>
        <v>1065</v>
      </c>
      <c r="L4252" s="32">
        <v>1065</v>
      </c>
      <c r="M4252" s="10">
        <f t="shared" si="257"/>
        <v>33.15117370892019</v>
      </c>
    </row>
    <row r="4253" spans="1:13" ht="15.75" hidden="1" customHeight="1" x14ac:dyDescent="0.3">
      <c r="A4253" s="9">
        <v>4110</v>
      </c>
      <c r="B4253" t="s">
        <v>435</v>
      </c>
      <c r="C4253" s="25">
        <v>44691</v>
      </c>
      <c r="D4253" s="26">
        <v>0.35604166666666665</v>
      </c>
      <c r="E4253" t="s">
        <v>28</v>
      </c>
      <c r="F4253" t="s">
        <v>428</v>
      </c>
      <c r="G4253" t="s">
        <v>429</v>
      </c>
      <c r="H4253" t="s">
        <v>308</v>
      </c>
      <c r="I4253">
        <v>150.01</v>
      </c>
      <c r="J4253" s="7">
        <v>0</v>
      </c>
      <c r="K4253" s="90">
        <f t="shared" si="256"/>
        <v>925</v>
      </c>
      <c r="L4253" s="32">
        <v>925</v>
      </c>
      <c r="M4253" s="10">
        <f t="shared" si="257"/>
        <v>16.217297297297296</v>
      </c>
    </row>
    <row r="4254" spans="1:13" ht="15.75" hidden="1" customHeight="1" x14ac:dyDescent="0.3">
      <c r="A4254" s="9">
        <v>4161</v>
      </c>
      <c r="B4254" t="s">
        <v>435</v>
      </c>
      <c r="C4254" s="25">
        <v>44692</v>
      </c>
      <c r="D4254" s="26">
        <v>0.44905092592592594</v>
      </c>
      <c r="E4254" t="s">
        <v>28</v>
      </c>
      <c r="F4254" t="s">
        <v>197</v>
      </c>
      <c r="G4254" t="s">
        <v>44</v>
      </c>
      <c r="H4254" t="s">
        <v>308</v>
      </c>
      <c r="I4254">
        <v>118.11</v>
      </c>
      <c r="J4254" s="7">
        <v>0</v>
      </c>
      <c r="K4254" s="90">
        <f t="shared" si="256"/>
        <v>426</v>
      </c>
      <c r="L4254" s="32">
        <v>426</v>
      </c>
      <c r="M4254" s="10">
        <f t="shared" si="257"/>
        <v>27.725352112676056</v>
      </c>
    </row>
    <row r="4255" spans="1:13" ht="15.75" hidden="1" customHeight="1" x14ac:dyDescent="0.3">
      <c r="A4255" s="9">
        <v>4183</v>
      </c>
      <c r="B4255" t="s">
        <v>435</v>
      </c>
      <c r="C4255" s="25">
        <v>44692</v>
      </c>
      <c r="D4255" s="26">
        <v>0.78533564814814805</v>
      </c>
      <c r="E4255" t="s">
        <v>28</v>
      </c>
      <c r="F4255" t="s">
        <v>166</v>
      </c>
      <c r="G4255" t="s">
        <v>161</v>
      </c>
      <c r="H4255" t="s">
        <v>308</v>
      </c>
      <c r="I4255">
        <v>356.98</v>
      </c>
      <c r="J4255" s="7">
        <v>0</v>
      </c>
      <c r="K4255" s="90">
        <f t="shared" si="256"/>
        <v>511</v>
      </c>
      <c r="L4255" s="32">
        <v>511</v>
      </c>
      <c r="M4255" s="10">
        <f t="shared" si="257"/>
        <v>69.859099804305288</v>
      </c>
    </row>
    <row r="4256" spans="1:13" ht="15.75" hidden="1" customHeight="1" x14ac:dyDescent="0.3">
      <c r="A4256" s="9">
        <v>4208</v>
      </c>
      <c r="B4256" t="s">
        <v>435</v>
      </c>
      <c r="C4256" s="25">
        <v>44693</v>
      </c>
      <c r="D4256" s="26">
        <v>0.9978125000000001</v>
      </c>
      <c r="E4256" t="s">
        <v>28</v>
      </c>
      <c r="F4256" t="s">
        <v>210</v>
      </c>
      <c r="G4256" t="s">
        <v>211</v>
      </c>
      <c r="H4256" t="s">
        <v>308</v>
      </c>
      <c r="I4256">
        <v>399.62</v>
      </c>
      <c r="J4256" s="7">
        <v>0</v>
      </c>
      <c r="K4256" s="90">
        <f t="shared" si="256"/>
        <v>1140</v>
      </c>
      <c r="L4256" s="32">
        <v>1140</v>
      </c>
      <c r="M4256" s="10">
        <f t="shared" si="257"/>
        <v>35.054385964912285</v>
      </c>
    </row>
    <row r="4257" spans="1:13" ht="15.75" hidden="1" customHeight="1" x14ac:dyDescent="0.3">
      <c r="A4257" s="9">
        <v>4310</v>
      </c>
      <c r="B4257" t="s">
        <v>435</v>
      </c>
      <c r="C4257" s="25">
        <v>44695</v>
      </c>
      <c r="D4257" s="26">
        <v>0.41143518518518518</v>
      </c>
      <c r="E4257" t="s">
        <v>28</v>
      </c>
      <c r="F4257" t="s">
        <v>428</v>
      </c>
      <c r="G4257" t="s">
        <v>429</v>
      </c>
      <c r="H4257" t="s">
        <v>308</v>
      </c>
      <c r="I4257">
        <f>100.05+100.06</f>
        <v>200.11</v>
      </c>
      <c r="J4257" s="31">
        <v>0</v>
      </c>
      <c r="K4257" s="90">
        <f>+L4257-J4528</f>
        <v>-690113</v>
      </c>
      <c r="L4257" s="32">
        <v>325</v>
      </c>
      <c r="M4257" s="36">
        <f t="shared" si="257"/>
        <v>-2.8996700540346292E-2</v>
      </c>
    </row>
    <row r="4258" spans="1:13" ht="15.75" hidden="1" customHeight="1" x14ac:dyDescent="0.3">
      <c r="A4258" s="9">
        <v>4709</v>
      </c>
      <c r="B4258" t="s">
        <v>435</v>
      </c>
      <c r="C4258" s="25">
        <v>44702</v>
      </c>
      <c r="D4258" s="26">
        <v>0.93586805555555552</v>
      </c>
      <c r="E4258" t="s">
        <v>28</v>
      </c>
      <c r="F4258" t="s">
        <v>197</v>
      </c>
      <c r="G4258" t="s">
        <v>44</v>
      </c>
      <c r="H4258" t="s">
        <v>308</v>
      </c>
      <c r="I4258">
        <v>118.56</v>
      </c>
      <c r="J4258" s="7">
        <v>0</v>
      </c>
      <c r="K4258" s="90">
        <f>+L4258-J4525</f>
        <v>-687368</v>
      </c>
      <c r="L4258" s="32">
        <v>354</v>
      </c>
      <c r="M4258" s="36">
        <f t="shared" si="257"/>
        <v>-1.7248402602390571E-2</v>
      </c>
    </row>
    <row r="4259" spans="1:13" ht="15.75" hidden="1" customHeight="1" x14ac:dyDescent="0.3">
      <c r="A4259" s="9">
        <v>4785</v>
      </c>
      <c r="B4259" t="s">
        <v>435</v>
      </c>
      <c r="C4259" s="25">
        <v>44703</v>
      </c>
      <c r="D4259" s="26">
        <v>0.53006944444444437</v>
      </c>
      <c r="E4259" t="s">
        <v>28</v>
      </c>
      <c r="F4259" t="s">
        <v>166</v>
      </c>
      <c r="G4259" t="s">
        <v>161</v>
      </c>
      <c r="H4259" t="s">
        <v>308</v>
      </c>
      <c r="I4259">
        <v>323.73</v>
      </c>
      <c r="J4259" s="7">
        <v>0</v>
      </c>
      <c r="K4259" s="90">
        <f>+L4259-J4526</f>
        <v>-687762</v>
      </c>
      <c r="L4259" s="32">
        <v>511</v>
      </c>
      <c r="M4259" s="36">
        <f t="shared" si="257"/>
        <v>-4.7070062027271063E-2</v>
      </c>
    </row>
    <row r="4260" spans="1:13" ht="15.75" hidden="1" customHeight="1" x14ac:dyDescent="0.3">
      <c r="A4260" s="9">
        <v>4822</v>
      </c>
      <c r="B4260" t="s">
        <v>435</v>
      </c>
      <c r="C4260" s="25">
        <v>44704</v>
      </c>
      <c r="D4260" s="26">
        <v>0.8394907407407407</v>
      </c>
      <c r="E4260" t="s">
        <v>28</v>
      </c>
      <c r="F4260" t="s">
        <v>210</v>
      </c>
      <c r="G4260" t="s">
        <v>211</v>
      </c>
      <c r="H4260" t="s">
        <v>308</v>
      </c>
      <c r="I4260">
        <v>424.2</v>
      </c>
      <c r="J4260" s="7">
        <v>0</v>
      </c>
      <c r="K4260" s="90">
        <f>+L4260-J4527</f>
        <v>-688002</v>
      </c>
      <c r="L4260" s="32">
        <v>1112</v>
      </c>
      <c r="M4260" s="36">
        <f t="shared" si="257"/>
        <v>-6.1656797509309559E-2</v>
      </c>
    </row>
    <row r="4261" spans="1:13" ht="15.75" hidden="1" customHeight="1" x14ac:dyDescent="0.3">
      <c r="A4261" s="9">
        <v>4927</v>
      </c>
      <c r="B4261" t="s">
        <v>435</v>
      </c>
      <c r="C4261" s="25">
        <v>44706</v>
      </c>
      <c r="D4261" s="26">
        <v>0.33886574074074072</v>
      </c>
      <c r="E4261" t="s">
        <v>28</v>
      </c>
      <c r="F4261" t="s">
        <v>171</v>
      </c>
      <c r="G4261" t="s">
        <v>172</v>
      </c>
      <c r="H4261" t="s">
        <v>308</v>
      </c>
      <c r="I4261">
        <v>360.32</v>
      </c>
      <c r="J4261" s="7">
        <v>0</v>
      </c>
      <c r="K4261" s="90">
        <f>+L4261-J4528</f>
        <v>-689382</v>
      </c>
      <c r="L4261" s="32">
        <v>1056</v>
      </c>
      <c r="M4261" s="36">
        <f t="shared" si="257"/>
        <v>-5.2267102999498105E-2</v>
      </c>
    </row>
    <row r="4262" spans="1:13" ht="15.75" hidden="1" customHeight="1" x14ac:dyDescent="0.3">
      <c r="A4262" s="9">
        <v>4983</v>
      </c>
      <c r="B4262" t="s">
        <v>435</v>
      </c>
      <c r="C4262" s="25">
        <v>44707</v>
      </c>
      <c r="D4262" s="26">
        <v>0.54236111111111118</v>
      </c>
      <c r="E4262" t="s">
        <v>28</v>
      </c>
      <c r="F4262" t="s">
        <v>634</v>
      </c>
      <c r="G4262" t="s">
        <v>211</v>
      </c>
      <c r="H4262" t="s">
        <v>308</v>
      </c>
      <c r="I4262">
        <v>286.13</v>
      </c>
      <c r="J4262" s="7">
        <v>0</v>
      </c>
      <c r="K4262" s="90">
        <f>+L4262-J4528</f>
        <v>-689735</v>
      </c>
      <c r="L4262" s="7">
        <v>703</v>
      </c>
      <c r="M4262" s="36">
        <f t="shared" ref="M4262:M4290" si="258">I4262/K4262*100</f>
        <v>-4.1484048221418372E-2</v>
      </c>
    </row>
    <row r="4263" spans="1:13" ht="15.75" hidden="1" customHeight="1" x14ac:dyDescent="0.3">
      <c r="A4263" s="9">
        <v>5025</v>
      </c>
      <c r="B4263" t="s">
        <v>435</v>
      </c>
      <c r="C4263" s="25">
        <v>44708</v>
      </c>
      <c r="D4263" s="26">
        <v>0.5935300925925926</v>
      </c>
      <c r="E4263" t="s">
        <v>28</v>
      </c>
      <c r="F4263" t="s">
        <v>634</v>
      </c>
      <c r="G4263" t="s">
        <v>211</v>
      </c>
      <c r="H4263" t="s">
        <v>308</v>
      </c>
      <c r="I4263">
        <v>393.03</v>
      </c>
      <c r="J4263" s="7">
        <v>0</v>
      </c>
      <c r="K4263" s="90">
        <f>+L4263-J4515</f>
        <v>1064</v>
      </c>
      <c r="L4263" s="7">
        <v>1064</v>
      </c>
      <c r="M4263" s="36">
        <f t="shared" si="258"/>
        <v>36.938909774436084</v>
      </c>
    </row>
    <row r="4264" spans="1:13" ht="15.75" hidden="1" customHeight="1" x14ac:dyDescent="0.3">
      <c r="A4264" s="9">
        <v>5139</v>
      </c>
      <c r="B4264" t="s">
        <v>435</v>
      </c>
      <c r="C4264" s="25">
        <v>44710</v>
      </c>
      <c r="D4264" s="26">
        <v>6.0578703703703697E-2</v>
      </c>
      <c r="E4264" t="s">
        <v>28</v>
      </c>
      <c r="F4264" t="s">
        <v>639</v>
      </c>
      <c r="G4264" t="s">
        <v>44</v>
      </c>
      <c r="H4264" t="s">
        <v>308</v>
      </c>
      <c r="I4264">
        <v>115.68</v>
      </c>
      <c r="J4264" s="7">
        <v>0</v>
      </c>
      <c r="K4264" s="90">
        <f>+L4264-J4516</f>
        <v>-679926</v>
      </c>
      <c r="L4264" s="7">
        <v>1154</v>
      </c>
      <c r="M4264" s="36">
        <f t="shared" si="258"/>
        <v>-1.7013616187643951E-2</v>
      </c>
    </row>
    <row r="4265" spans="1:13" ht="15.75" hidden="1" customHeight="1" x14ac:dyDescent="0.3">
      <c r="A4265" s="9">
        <v>5140</v>
      </c>
      <c r="B4265" t="s">
        <v>435</v>
      </c>
      <c r="C4265" s="25">
        <v>44710</v>
      </c>
      <c r="D4265" s="26">
        <v>0.11627314814814815</v>
      </c>
      <c r="E4265" t="s">
        <v>28</v>
      </c>
      <c r="F4265" t="s">
        <v>663</v>
      </c>
      <c r="G4265" t="s">
        <v>344</v>
      </c>
      <c r="H4265" t="s">
        <v>308</v>
      </c>
      <c r="I4265">
        <v>200.01</v>
      </c>
      <c r="J4265" s="7">
        <v>0</v>
      </c>
      <c r="K4265" s="89">
        <f>+L4265-J4517</f>
        <v>-681832</v>
      </c>
      <c r="L4265" s="7">
        <v>82</v>
      </c>
      <c r="M4265" s="10">
        <f t="shared" si="258"/>
        <v>-2.9334205493435333E-2</v>
      </c>
    </row>
    <row r="4266" spans="1:13" ht="15.75" hidden="1" customHeight="1" x14ac:dyDescent="0.3">
      <c r="A4266" s="9">
        <v>5141</v>
      </c>
      <c r="B4266" t="s">
        <v>435</v>
      </c>
      <c r="C4266" s="25">
        <v>44710</v>
      </c>
      <c r="D4266" s="26">
        <v>0.65339120370370374</v>
      </c>
      <c r="E4266" t="s">
        <v>28</v>
      </c>
      <c r="F4266" t="s">
        <v>634</v>
      </c>
      <c r="G4266" t="s">
        <v>211</v>
      </c>
      <c r="H4266" t="s">
        <v>308</v>
      </c>
      <c r="I4266">
        <v>334.23</v>
      </c>
      <c r="J4266" s="39">
        <v>0</v>
      </c>
      <c r="K4266" s="89">
        <f>+L4266-J4518</f>
        <v>-681959</v>
      </c>
      <c r="L4266" s="34">
        <v>505</v>
      </c>
      <c r="M4266" s="10">
        <f t="shared" si="258"/>
        <v>-4.9010277743969946E-2</v>
      </c>
    </row>
    <row r="4267" spans="1:13" ht="15.75" hidden="1" customHeight="1" x14ac:dyDescent="0.3">
      <c r="A4267" s="9">
        <v>5193</v>
      </c>
      <c r="B4267" t="s">
        <v>435</v>
      </c>
      <c r="C4267" s="25">
        <v>44711</v>
      </c>
      <c r="D4267" s="26">
        <v>0.64612268518518523</v>
      </c>
      <c r="E4267" t="s">
        <v>28</v>
      </c>
      <c r="F4267" t="s">
        <v>634</v>
      </c>
      <c r="G4267" t="s">
        <v>211</v>
      </c>
      <c r="H4267" t="s">
        <v>308</v>
      </c>
      <c r="I4267">
        <v>388.33</v>
      </c>
      <c r="J4267" s="41">
        <v>0</v>
      </c>
      <c r="K4267" s="89">
        <f>+L4267-J4504</f>
        <v>1063</v>
      </c>
      <c r="L4267" s="7">
        <v>1063</v>
      </c>
      <c r="M4267" s="10">
        <f t="shared" si="258"/>
        <v>36.531514581373472</v>
      </c>
    </row>
    <row r="4268" spans="1:13" ht="15.75" hidden="1" customHeight="1" x14ac:dyDescent="0.3">
      <c r="A4268" s="9">
        <v>5549</v>
      </c>
      <c r="B4268" t="s">
        <v>435</v>
      </c>
      <c r="C4268" s="25">
        <v>44718</v>
      </c>
      <c r="D4268" s="26">
        <v>0.93109953703703707</v>
      </c>
      <c r="E4268" t="s">
        <v>29</v>
      </c>
      <c r="F4268" t="s">
        <v>639</v>
      </c>
      <c r="G4268" t="s">
        <v>44</v>
      </c>
      <c r="H4268" t="s">
        <v>308</v>
      </c>
      <c r="I4268">
        <v>115.68</v>
      </c>
      <c r="J4268" s="33">
        <v>0</v>
      </c>
      <c r="K4268" s="89">
        <f>+L4268-J3833</f>
        <v>-733907</v>
      </c>
      <c r="L4268" s="7">
        <v>1219</v>
      </c>
      <c r="M4268" s="10">
        <f t="shared" si="258"/>
        <v>-1.5762215103548544E-2</v>
      </c>
    </row>
    <row r="4269" spans="1:13" ht="15.75" hidden="1" customHeight="1" x14ac:dyDescent="0.3">
      <c r="A4269" s="9">
        <v>5589</v>
      </c>
      <c r="B4269" t="s">
        <v>435</v>
      </c>
      <c r="C4269" s="25">
        <v>44719</v>
      </c>
      <c r="D4269" s="26">
        <v>0.50567129629629626</v>
      </c>
      <c r="E4269" t="s">
        <v>29</v>
      </c>
      <c r="F4269" t="s">
        <v>662</v>
      </c>
      <c r="G4269" t="s">
        <v>542</v>
      </c>
      <c r="H4269" t="s">
        <v>308</v>
      </c>
      <c r="I4269">
        <v>50</v>
      </c>
      <c r="J4269" s="31">
        <v>0</v>
      </c>
      <c r="K4269" s="89">
        <f>+L4269-J3827</f>
        <v>-726080</v>
      </c>
      <c r="L4269" s="7">
        <v>52</v>
      </c>
      <c r="M4269" s="10">
        <f t="shared" si="258"/>
        <v>-6.886293521375055E-3</v>
      </c>
    </row>
    <row r="4270" spans="1:13" ht="15.75" hidden="1" customHeight="1" x14ac:dyDescent="0.3">
      <c r="A4270" s="9">
        <v>5590</v>
      </c>
      <c r="B4270" t="s">
        <v>435</v>
      </c>
      <c r="C4270" s="25">
        <v>44719</v>
      </c>
      <c r="D4270" s="26">
        <v>0.61449074074074073</v>
      </c>
      <c r="E4270" t="s">
        <v>29</v>
      </c>
      <c r="F4270" t="s">
        <v>654</v>
      </c>
      <c r="G4270" t="s">
        <v>303</v>
      </c>
      <c r="H4270" t="s">
        <v>308</v>
      </c>
      <c r="I4270">
        <v>225.74</v>
      </c>
      <c r="J4270" s="7">
        <v>0</v>
      </c>
      <c r="K4270" s="89">
        <f>+L4270-J3828</f>
        <v>-727325</v>
      </c>
      <c r="L4270" s="7">
        <v>105</v>
      </c>
      <c r="M4270" s="10">
        <f t="shared" si="258"/>
        <v>-3.1037019214243979E-2</v>
      </c>
    </row>
    <row r="4271" spans="1:13" ht="15.75" hidden="1" customHeight="1" x14ac:dyDescent="0.3">
      <c r="A4271" s="9">
        <v>5591</v>
      </c>
      <c r="B4271" t="s">
        <v>435</v>
      </c>
      <c r="C4271" s="25">
        <v>44719</v>
      </c>
      <c r="D4271" s="26">
        <v>0.92876157407407411</v>
      </c>
      <c r="E4271" t="s">
        <v>29</v>
      </c>
      <c r="F4271" t="s">
        <v>632</v>
      </c>
      <c r="G4271" t="s">
        <v>161</v>
      </c>
      <c r="H4271" t="s">
        <v>308</v>
      </c>
      <c r="I4271">
        <v>253.5</v>
      </c>
      <c r="J4271" s="7">
        <v>0</v>
      </c>
      <c r="K4271" s="89">
        <f>+L4271-J3829</f>
        <v>-728474</v>
      </c>
      <c r="L4271" s="7">
        <v>354</v>
      </c>
      <c r="M4271" s="10">
        <f t="shared" si="258"/>
        <v>-3.4798771129786375E-2</v>
      </c>
    </row>
    <row r="4272" spans="1:13" ht="15.75" hidden="1" customHeight="1" x14ac:dyDescent="0.3">
      <c r="A4272" s="9">
        <v>5651</v>
      </c>
      <c r="B4272" t="s">
        <v>435</v>
      </c>
      <c r="C4272" s="25">
        <v>44720</v>
      </c>
      <c r="D4272" s="26">
        <v>0.77807870370370369</v>
      </c>
      <c r="E4272" t="s">
        <v>29</v>
      </c>
      <c r="F4272" t="s">
        <v>635</v>
      </c>
      <c r="G4272" t="s">
        <v>185</v>
      </c>
      <c r="H4272" t="s">
        <v>308</v>
      </c>
      <c r="I4272">
        <v>270.52999999999997</v>
      </c>
      <c r="J4272" s="37">
        <v>0</v>
      </c>
      <c r="K4272" s="89">
        <f>+L4272-J3831</f>
        <v>-731446</v>
      </c>
      <c r="L4272" s="7">
        <v>617</v>
      </c>
      <c r="M4272" s="10">
        <f t="shared" si="258"/>
        <v>-3.6985642138995904E-2</v>
      </c>
    </row>
    <row r="4273" spans="1:19" ht="15.75" hidden="1" customHeight="1" x14ac:dyDescent="0.3">
      <c r="A4273" s="9">
        <v>5762</v>
      </c>
      <c r="B4273" t="s">
        <v>435</v>
      </c>
      <c r="C4273" s="25">
        <v>44722</v>
      </c>
      <c r="D4273" s="26">
        <v>3.5995370370370369E-3</v>
      </c>
      <c r="E4273" t="s">
        <v>29</v>
      </c>
      <c r="F4273" t="s">
        <v>634</v>
      </c>
      <c r="G4273" t="s">
        <v>211</v>
      </c>
      <c r="H4273" t="s">
        <v>308</v>
      </c>
      <c r="I4273">
        <v>206.77</v>
      </c>
      <c r="J4273" s="32">
        <v>0</v>
      </c>
      <c r="K4273" s="89">
        <f>+L4273-J3832</f>
        <v>-732751</v>
      </c>
      <c r="L4273" s="28">
        <v>568</v>
      </c>
      <c r="M4273" s="10">
        <f t="shared" si="258"/>
        <v>-2.8218316999908566E-2</v>
      </c>
    </row>
    <row r="4274" spans="1:19" ht="15.75" hidden="1" customHeight="1" x14ac:dyDescent="0.3">
      <c r="A4274" s="9">
        <v>5808</v>
      </c>
      <c r="B4274" t="s">
        <v>435</v>
      </c>
      <c r="C4274" s="25">
        <v>44723</v>
      </c>
      <c r="D4274" s="26">
        <v>0.70650462962962957</v>
      </c>
      <c r="E4274" t="s">
        <v>29</v>
      </c>
      <c r="F4274" t="s">
        <v>639</v>
      </c>
      <c r="G4274" t="s">
        <v>44</v>
      </c>
      <c r="H4274" t="s">
        <v>308</v>
      </c>
      <c r="I4274">
        <v>231</v>
      </c>
      <c r="J4274" s="32">
        <v>0</v>
      </c>
      <c r="K4274" s="89">
        <f>+L4274-J3833</f>
        <v>-733937</v>
      </c>
      <c r="L4274" s="11">
        <v>1189</v>
      </c>
      <c r="M4274" s="10">
        <f t="shared" si="258"/>
        <v>-3.1474091100462301E-2</v>
      </c>
    </row>
    <row r="4275" spans="1:19" ht="15.75" hidden="1" customHeight="1" x14ac:dyDescent="0.3">
      <c r="A4275" s="9">
        <v>5809</v>
      </c>
      <c r="B4275" t="s">
        <v>435</v>
      </c>
      <c r="C4275" s="25">
        <v>44723</v>
      </c>
      <c r="D4275" s="26">
        <v>0.78370370370370368</v>
      </c>
      <c r="E4275" t="s">
        <v>29</v>
      </c>
      <c r="F4275" t="s">
        <v>663</v>
      </c>
      <c r="G4275" t="s">
        <v>344</v>
      </c>
      <c r="H4275" t="s">
        <v>308</v>
      </c>
      <c r="I4275">
        <v>100</v>
      </c>
      <c r="J4275" s="32">
        <v>0</v>
      </c>
      <c r="K4275" s="89">
        <f>+L4275-J3834</f>
        <v>-736433</v>
      </c>
      <c r="L4275" s="11">
        <v>82</v>
      </c>
      <c r="M4275" s="10">
        <f t="shared" si="258"/>
        <v>-1.3578967808341018E-2</v>
      </c>
    </row>
    <row r="4276" spans="1:19" ht="15.75" hidden="1" customHeight="1" x14ac:dyDescent="0.3">
      <c r="A4276" s="9">
        <v>5872</v>
      </c>
      <c r="B4276" t="s">
        <v>435</v>
      </c>
      <c r="C4276" s="25">
        <v>44724</v>
      </c>
      <c r="D4276" s="26">
        <v>0.49134259259259255</v>
      </c>
      <c r="E4276" t="s">
        <v>29</v>
      </c>
      <c r="F4276" t="s">
        <v>634</v>
      </c>
      <c r="G4276" t="s">
        <v>211</v>
      </c>
      <c r="H4276" t="s">
        <v>308</v>
      </c>
      <c r="I4276">
        <v>357.36</v>
      </c>
      <c r="J4276" s="32">
        <v>0</v>
      </c>
      <c r="K4276" s="89">
        <f>+L4276-J3835</f>
        <v>-736809</v>
      </c>
      <c r="L4276" s="11">
        <v>505</v>
      </c>
      <c r="M4276" s="10">
        <f t="shared" si="258"/>
        <v>-4.8501036225127546E-2</v>
      </c>
    </row>
    <row r="4277" spans="1:19" ht="15.75" hidden="1" customHeight="1" x14ac:dyDescent="0.3">
      <c r="A4277" s="9">
        <v>5926</v>
      </c>
      <c r="B4277" t="s">
        <v>435</v>
      </c>
      <c r="C4277" s="25">
        <v>44725</v>
      </c>
      <c r="D4277" s="26">
        <v>0.46571759259259254</v>
      </c>
      <c r="E4277" t="s">
        <v>29</v>
      </c>
      <c r="F4277" t="s">
        <v>634</v>
      </c>
      <c r="G4277" t="s">
        <v>211</v>
      </c>
      <c r="H4277" t="s">
        <v>308</v>
      </c>
      <c r="I4277">
        <v>317.77999999999997</v>
      </c>
      <c r="J4277" s="32">
        <v>0</v>
      </c>
      <c r="K4277" s="89">
        <v>911</v>
      </c>
      <c r="L4277" s="11">
        <v>911</v>
      </c>
      <c r="M4277" s="10">
        <f t="shared" si="258"/>
        <v>34.882546652030733</v>
      </c>
      <c r="N4277" s="2"/>
      <c r="O4277" s="2"/>
      <c r="P4277" s="2"/>
      <c r="Q4277" s="2"/>
      <c r="R4277" s="2"/>
      <c r="S4277" s="2"/>
    </row>
    <row r="4278" spans="1:19" ht="15.75" hidden="1" customHeight="1" x14ac:dyDescent="0.3">
      <c r="A4278" s="9">
        <v>5927</v>
      </c>
      <c r="B4278" t="s">
        <v>435</v>
      </c>
      <c r="C4278" s="25">
        <v>44725</v>
      </c>
      <c r="D4278" s="26">
        <v>0.89532407407407411</v>
      </c>
      <c r="E4278" t="s">
        <v>29</v>
      </c>
      <c r="F4278" t="s">
        <v>637</v>
      </c>
      <c r="G4278" t="s">
        <v>196</v>
      </c>
      <c r="H4278" t="s">
        <v>308</v>
      </c>
      <c r="I4278">
        <v>100</v>
      </c>
      <c r="J4278" s="32">
        <v>0</v>
      </c>
      <c r="K4278" s="89">
        <v>467</v>
      </c>
      <c r="L4278" s="11">
        <v>467</v>
      </c>
      <c r="M4278" s="10">
        <f t="shared" si="258"/>
        <v>21.413276231263385</v>
      </c>
      <c r="N4278" s="2"/>
      <c r="O4278" s="2"/>
      <c r="P4278" s="2"/>
      <c r="Q4278" s="2"/>
      <c r="R4278" s="2"/>
      <c r="S4278" s="2"/>
    </row>
    <row r="4279" spans="1:19" ht="15.75" hidden="1" customHeight="1" x14ac:dyDescent="0.3">
      <c r="A4279" s="9">
        <v>6037</v>
      </c>
      <c r="B4279" t="s">
        <v>435</v>
      </c>
      <c r="C4279" s="25">
        <v>44727</v>
      </c>
      <c r="D4279" s="26">
        <v>0.37844907407407408</v>
      </c>
      <c r="E4279" t="s">
        <v>29</v>
      </c>
      <c r="F4279" t="s">
        <v>639</v>
      </c>
      <c r="G4279" t="s">
        <v>44</v>
      </c>
      <c r="H4279" t="s">
        <v>308</v>
      </c>
      <c r="I4279">
        <v>306.13</v>
      </c>
      <c r="J4279" s="32">
        <v>0</v>
      </c>
      <c r="K4279" s="89">
        <v>731</v>
      </c>
      <c r="L4279" s="30">
        <v>731</v>
      </c>
      <c r="M4279" s="10">
        <f t="shared" si="258"/>
        <v>41.878248974008208</v>
      </c>
    </row>
    <row r="4280" spans="1:19" ht="15.75" hidden="1" customHeight="1" x14ac:dyDescent="0.3">
      <c r="A4280" s="9">
        <v>6038</v>
      </c>
      <c r="B4280" t="s">
        <v>435</v>
      </c>
      <c r="C4280" s="25">
        <v>44727</v>
      </c>
      <c r="D4280" s="26">
        <v>0.90328703703703705</v>
      </c>
      <c r="E4280" t="s">
        <v>29</v>
      </c>
      <c r="F4280" t="s">
        <v>634</v>
      </c>
      <c r="G4280" t="s">
        <v>211</v>
      </c>
      <c r="H4280" t="s">
        <v>308</v>
      </c>
      <c r="I4280">
        <v>253.76</v>
      </c>
      <c r="J4280" s="32">
        <v>0</v>
      </c>
      <c r="K4280" s="89">
        <v>587</v>
      </c>
      <c r="L4280" s="51">
        <v>587</v>
      </c>
      <c r="M4280" s="10">
        <f t="shared" si="258"/>
        <v>43.229982964224874</v>
      </c>
    </row>
    <row r="4281" spans="1:19" ht="15.75" hidden="1" customHeight="1" x14ac:dyDescent="0.3">
      <c r="A4281" s="9">
        <v>6147</v>
      </c>
      <c r="B4281" t="s">
        <v>435</v>
      </c>
      <c r="C4281" s="25">
        <v>44729</v>
      </c>
      <c r="D4281" s="26">
        <v>4.9594907407407407E-2</v>
      </c>
      <c r="E4281" t="s">
        <v>29</v>
      </c>
      <c r="F4281" t="s">
        <v>634</v>
      </c>
      <c r="G4281" t="s">
        <v>211</v>
      </c>
      <c r="H4281" t="s">
        <v>308</v>
      </c>
      <c r="I4281">
        <v>375.27</v>
      </c>
      <c r="J4281" s="32">
        <v>0</v>
      </c>
      <c r="K4281" s="89">
        <v>1062</v>
      </c>
      <c r="L4281" s="51">
        <v>1062</v>
      </c>
      <c r="M4281" s="10">
        <f t="shared" si="258"/>
        <v>35.336158192090394</v>
      </c>
    </row>
    <row r="4282" spans="1:19" ht="15.75" hidden="1" customHeight="1" x14ac:dyDescent="0.3">
      <c r="A4282" s="9">
        <v>6148</v>
      </c>
      <c r="B4282" t="s">
        <v>435</v>
      </c>
      <c r="C4282" s="25">
        <v>44729</v>
      </c>
      <c r="D4282" s="26">
        <v>0.73274305555555552</v>
      </c>
      <c r="E4282" t="s">
        <v>29</v>
      </c>
      <c r="F4282" t="s">
        <v>637</v>
      </c>
      <c r="G4282" t="s">
        <v>196</v>
      </c>
      <c r="H4282" t="s">
        <v>308</v>
      </c>
      <c r="I4282">
        <v>150</v>
      </c>
      <c r="J4282" s="32">
        <v>0</v>
      </c>
      <c r="K4282" s="89">
        <v>481</v>
      </c>
      <c r="L4282" s="51">
        <v>481</v>
      </c>
      <c r="M4282" s="10">
        <f t="shared" si="258"/>
        <v>31.185031185031185</v>
      </c>
    </row>
    <row r="4283" spans="1:19" ht="15.75" hidden="1" customHeight="1" x14ac:dyDescent="0.3">
      <c r="A4283" s="9">
        <v>6380</v>
      </c>
      <c r="B4283" t="s">
        <v>435</v>
      </c>
      <c r="C4283" s="25">
        <v>44735</v>
      </c>
      <c r="D4283" s="26">
        <v>0.3508680555555555</v>
      </c>
      <c r="E4283" t="s">
        <v>29</v>
      </c>
      <c r="F4283" t="s">
        <v>639</v>
      </c>
      <c r="G4283" t="s">
        <v>44</v>
      </c>
      <c r="H4283" t="s">
        <v>308</v>
      </c>
      <c r="I4283">
        <v>283.16000000000003</v>
      </c>
      <c r="J4283" s="69">
        <v>0</v>
      </c>
      <c r="K4283" s="89">
        <v>749</v>
      </c>
      <c r="L4283" s="51">
        <v>749</v>
      </c>
      <c r="M4283" s="10">
        <f t="shared" si="258"/>
        <v>37.805073431241659</v>
      </c>
    </row>
    <row r="4284" spans="1:19" ht="15.75" hidden="1" customHeight="1" x14ac:dyDescent="0.3">
      <c r="A4284" s="9">
        <v>6381</v>
      </c>
      <c r="B4284" t="s">
        <v>435</v>
      </c>
      <c r="C4284" s="25">
        <v>44735</v>
      </c>
      <c r="D4284" s="26">
        <v>0.81081018518518511</v>
      </c>
      <c r="E4284" t="s">
        <v>29</v>
      </c>
      <c r="F4284" t="s">
        <v>634</v>
      </c>
      <c r="G4284" t="s">
        <v>211</v>
      </c>
      <c r="H4284" t="s">
        <v>308</v>
      </c>
      <c r="I4284">
        <v>231.31</v>
      </c>
      <c r="J4284" s="69">
        <v>0</v>
      </c>
      <c r="K4284" s="89">
        <v>587</v>
      </c>
      <c r="L4284" s="11">
        <v>587</v>
      </c>
      <c r="M4284" s="10">
        <f t="shared" si="258"/>
        <v>39.405451448040886</v>
      </c>
    </row>
    <row r="4285" spans="1:19" ht="15.75" hidden="1" customHeight="1" x14ac:dyDescent="0.3">
      <c r="A4285" s="9">
        <v>6425</v>
      </c>
      <c r="B4285" t="s">
        <v>435</v>
      </c>
      <c r="C4285" s="25">
        <v>44736</v>
      </c>
      <c r="D4285" s="26">
        <v>0.98935185185185182</v>
      </c>
      <c r="E4285" t="s">
        <v>29</v>
      </c>
      <c r="F4285" t="s">
        <v>634</v>
      </c>
      <c r="G4285" t="s">
        <v>211</v>
      </c>
      <c r="H4285" t="s">
        <v>308</v>
      </c>
      <c r="I4285">
        <v>401.06</v>
      </c>
      <c r="J4285" s="69">
        <v>0</v>
      </c>
      <c r="K4285" s="89">
        <v>1062</v>
      </c>
      <c r="L4285" s="11">
        <v>1062</v>
      </c>
      <c r="M4285" s="10">
        <f t="shared" si="258"/>
        <v>37.764595103578152</v>
      </c>
    </row>
    <row r="4286" spans="1:19" ht="15.75" hidden="1" customHeight="1" x14ac:dyDescent="0.3">
      <c r="A4286" s="9">
        <v>6489</v>
      </c>
      <c r="B4286" t="s">
        <v>435</v>
      </c>
      <c r="C4286" s="25">
        <v>44737</v>
      </c>
      <c r="D4286" s="26">
        <v>0.48666666666666664</v>
      </c>
      <c r="E4286" t="s">
        <v>29</v>
      </c>
      <c r="F4286" t="s">
        <v>637</v>
      </c>
      <c r="G4286" t="s">
        <v>196</v>
      </c>
      <c r="H4286" t="s">
        <v>308</v>
      </c>
      <c r="I4286">
        <v>152.41</v>
      </c>
      <c r="J4286" s="33">
        <v>0</v>
      </c>
      <c r="K4286" s="89">
        <v>482</v>
      </c>
      <c r="L4286" s="11">
        <v>482</v>
      </c>
      <c r="M4286" s="10">
        <f t="shared" si="258"/>
        <v>31.620331950207468</v>
      </c>
    </row>
    <row r="4287" spans="1:19" ht="15.75" hidden="1" customHeight="1" x14ac:dyDescent="0.3">
      <c r="A4287" s="9">
        <v>6539</v>
      </c>
      <c r="B4287" t="s">
        <v>435</v>
      </c>
      <c r="C4287" s="25">
        <v>44738</v>
      </c>
      <c r="D4287" s="26">
        <v>0.38237268518518519</v>
      </c>
      <c r="E4287" t="s">
        <v>29</v>
      </c>
      <c r="F4287" t="s">
        <v>639</v>
      </c>
      <c r="G4287" t="s">
        <v>44</v>
      </c>
      <c r="H4287" t="s">
        <v>308</v>
      </c>
      <c r="I4287">
        <v>134.77000000000001</v>
      </c>
      <c r="J4287" s="32">
        <v>0</v>
      </c>
      <c r="K4287" s="89">
        <v>684</v>
      </c>
      <c r="L4287" s="11">
        <v>684</v>
      </c>
      <c r="M4287" s="10">
        <f t="shared" si="258"/>
        <v>19.703216374269008</v>
      </c>
    </row>
    <row r="4288" spans="1:19" ht="15.75" hidden="1" customHeight="1" x14ac:dyDescent="0.3">
      <c r="A4288" s="9">
        <v>6591</v>
      </c>
      <c r="B4288" t="s">
        <v>435</v>
      </c>
      <c r="C4288" s="25">
        <v>44739</v>
      </c>
      <c r="D4288" s="26">
        <v>0.61606481481481479</v>
      </c>
      <c r="E4288" t="s">
        <v>29</v>
      </c>
      <c r="F4288" t="s">
        <v>634</v>
      </c>
      <c r="G4288" t="s">
        <v>211</v>
      </c>
      <c r="H4288" t="s">
        <v>308</v>
      </c>
      <c r="I4288">
        <v>361.44</v>
      </c>
      <c r="J4288" s="32">
        <v>0</v>
      </c>
      <c r="K4288" s="89">
        <v>588</v>
      </c>
      <c r="L4288" s="11">
        <v>588</v>
      </c>
      <c r="M4288" s="10">
        <f t="shared" si="258"/>
        <v>61.469387755102048</v>
      </c>
    </row>
    <row r="4289" spans="1:13" ht="15.75" hidden="1" customHeight="1" x14ac:dyDescent="0.3">
      <c r="A4289" s="9">
        <v>6649</v>
      </c>
      <c r="B4289" t="s">
        <v>435</v>
      </c>
      <c r="C4289" s="25">
        <v>44740</v>
      </c>
      <c r="D4289" s="26">
        <v>0.55303240740740744</v>
      </c>
      <c r="E4289" t="s">
        <v>29</v>
      </c>
      <c r="F4289" t="s">
        <v>634</v>
      </c>
      <c r="G4289" t="s">
        <v>211</v>
      </c>
      <c r="H4289" t="s">
        <v>308</v>
      </c>
      <c r="I4289">
        <v>388.44</v>
      </c>
      <c r="J4289" s="32">
        <v>0</v>
      </c>
      <c r="K4289" s="89">
        <v>1062</v>
      </c>
      <c r="L4289" s="11">
        <v>1062</v>
      </c>
      <c r="M4289" s="10">
        <f t="shared" si="258"/>
        <v>36.576271186440678</v>
      </c>
    </row>
    <row r="4290" spans="1:13" ht="15.75" hidden="1" customHeight="1" x14ac:dyDescent="0.3">
      <c r="A4290" s="9">
        <v>6709</v>
      </c>
      <c r="B4290" t="s">
        <v>435</v>
      </c>
      <c r="C4290" s="25">
        <v>44741</v>
      </c>
      <c r="D4290" s="26">
        <v>0.34016203703703707</v>
      </c>
      <c r="E4290" t="s">
        <v>29</v>
      </c>
      <c r="F4290" t="s">
        <v>637</v>
      </c>
      <c r="G4290" t="s">
        <v>196</v>
      </c>
      <c r="H4290" t="s">
        <v>308</v>
      </c>
      <c r="I4290" s="148">
        <v>144</v>
      </c>
      <c r="J4290" s="32">
        <v>0</v>
      </c>
      <c r="K4290" s="89">
        <v>482</v>
      </c>
      <c r="L4290" s="11">
        <v>482</v>
      </c>
      <c r="M4290" s="10">
        <f t="shared" si="258"/>
        <v>29.875518672199171</v>
      </c>
    </row>
    <row r="4291" spans="1:13" ht="15.75" hidden="1" customHeight="1" x14ac:dyDescent="0.3">
      <c r="A4291" s="9">
        <v>6751</v>
      </c>
      <c r="B4291" t="s">
        <v>435</v>
      </c>
      <c r="C4291" s="25">
        <v>44742</v>
      </c>
      <c r="D4291" s="26">
        <v>0.38043981481481487</v>
      </c>
      <c r="E4291" t="s">
        <v>29</v>
      </c>
      <c r="F4291" t="s">
        <v>197</v>
      </c>
      <c r="G4291" t="s">
        <v>44</v>
      </c>
      <c r="H4291" t="s">
        <v>308</v>
      </c>
      <c r="I4291" s="148">
        <v>134.77000000000001</v>
      </c>
      <c r="J4291" s="8"/>
      <c r="K4291" s="82">
        <v>646018</v>
      </c>
      <c r="L4291" s="82">
        <f t="shared" ref="L4291:L4299" si="259">+K4291-J4291</f>
        <v>646018</v>
      </c>
      <c r="M4291" s="10">
        <f>I4291/L4291*100</f>
        <v>2.086164781786266E-2</v>
      </c>
    </row>
    <row r="4292" spans="1:13" ht="15.75" hidden="1" customHeight="1" x14ac:dyDescent="0.3">
      <c r="A4292" s="9">
        <v>6751</v>
      </c>
      <c r="B4292" t="s">
        <v>435</v>
      </c>
      <c r="C4292" s="25">
        <v>44742</v>
      </c>
      <c r="D4292" s="26">
        <v>0.78944444444444439</v>
      </c>
      <c r="E4292" t="s">
        <v>29</v>
      </c>
      <c r="F4292" t="s">
        <v>210</v>
      </c>
      <c r="G4292" t="s">
        <v>211</v>
      </c>
      <c r="H4292" t="s">
        <v>308</v>
      </c>
      <c r="I4292" s="148">
        <v>362.8</v>
      </c>
      <c r="J4292" s="54"/>
      <c r="K4292" s="56">
        <v>646468</v>
      </c>
      <c r="L4292" s="54">
        <f t="shared" si="259"/>
        <v>646468</v>
      </c>
      <c r="M4292" s="121">
        <f>I4292/L4292*100</f>
        <v>5.6120333875768022E-2</v>
      </c>
    </row>
    <row r="4293" spans="1:13" ht="15.75" hidden="1" customHeight="1" x14ac:dyDescent="0.3">
      <c r="B4293" t="s">
        <v>190</v>
      </c>
      <c r="C4293" s="25">
        <v>44773</v>
      </c>
      <c r="D4293" s="26">
        <v>0.7093518518518519</v>
      </c>
      <c r="E4293" t="s">
        <v>30</v>
      </c>
      <c r="F4293" t="s">
        <v>619</v>
      </c>
      <c r="G4293" t="s">
        <v>620</v>
      </c>
      <c r="H4293" t="s">
        <v>191</v>
      </c>
      <c r="I4293" s="8">
        <v>390.79</v>
      </c>
      <c r="J4293" s="8"/>
      <c r="K4293" s="260" t="s">
        <v>1074</v>
      </c>
      <c r="L4293" s="8" t="e">
        <f t="shared" si="259"/>
        <v>#VALUE!</v>
      </c>
      <c r="M4293" s="254" t="e">
        <f>+J4293/L4293*100</f>
        <v>#VALUE!</v>
      </c>
    </row>
    <row r="4294" spans="1:13" ht="15.75" hidden="1" customHeight="1" x14ac:dyDescent="0.3">
      <c r="B4294" t="s">
        <v>384</v>
      </c>
      <c r="C4294" s="25">
        <v>44743</v>
      </c>
      <c r="D4294" s="26">
        <v>1.6921296296296299E-2</v>
      </c>
      <c r="E4294" t="s">
        <v>30</v>
      </c>
      <c r="F4294" t="s">
        <v>165</v>
      </c>
      <c r="G4294" t="s">
        <v>185</v>
      </c>
      <c r="H4294" t="s">
        <v>192</v>
      </c>
      <c r="I4294" s="160">
        <v>358.2</v>
      </c>
      <c r="J4294" s="8"/>
      <c r="K4294" s="8">
        <v>811220</v>
      </c>
      <c r="L4294" s="8">
        <f t="shared" si="259"/>
        <v>811220</v>
      </c>
      <c r="M4294" s="139">
        <f t="shared" ref="M4294:M4299" si="260">I4294/L4294*100</f>
        <v>4.4155716081950638E-2</v>
      </c>
    </row>
    <row r="4295" spans="1:13" ht="15.75" hidden="1" customHeight="1" x14ac:dyDescent="0.3">
      <c r="B4295" t="s">
        <v>384</v>
      </c>
      <c r="C4295" s="25">
        <v>44743</v>
      </c>
      <c r="D4295" s="26">
        <v>0.62479166666666663</v>
      </c>
      <c r="E4295" t="s">
        <v>30</v>
      </c>
      <c r="F4295" t="s">
        <v>166</v>
      </c>
      <c r="G4295" t="s">
        <v>161</v>
      </c>
      <c r="H4295" t="s">
        <v>192</v>
      </c>
      <c r="I4295" s="160">
        <v>189.77</v>
      </c>
      <c r="J4295" s="8"/>
      <c r="K4295" s="8">
        <v>811821</v>
      </c>
      <c r="L4295" s="24">
        <f t="shared" si="259"/>
        <v>811821</v>
      </c>
      <c r="M4295" s="91">
        <f t="shared" si="260"/>
        <v>2.3375842704241454E-2</v>
      </c>
    </row>
    <row r="4296" spans="1:13" ht="15.75" hidden="1" customHeight="1" x14ac:dyDescent="0.3">
      <c r="B4296" t="s">
        <v>384</v>
      </c>
      <c r="C4296" s="25">
        <v>44744</v>
      </c>
      <c r="D4296" s="26">
        <v>0.23069444444444445</v>
      </c>
      <c r="E4296" t="s">
        <v>30</v>
      </c>
      <c r="F4296" t="s">
        <v>619</v>
      </c>
      <c r="G4296" t="s">
        <v>620</v>
      </c>
      <c r="H4296" t="s">
        <v>192</v>
      </c>
      <c r="I4296" s="173">
        <v>160.01</v>
      </c>
      <c r="J4296" s="8"/>
      <c r="K4296" s="8">
        <v>812279</v>
      </c>
      <c r="L4296" s="8">
        <f t="shared" si="259"/>
        <v>812279</v>
      </c>
      <c r="M4296" s="132">
        <f t="shared" si="260"/>
        <v>1.9698896561403164E-2</v>
      </c>
    </row>
    <row r="4297" spans="1:13" ht="15.75" hidden="1" customHeight="1" x14ac:dyDescent="0.3">
      <c r="B4297" t="s">
        <v>384</v>
      </c>
      <c r="C4297" s="25">
        <v>44744</v>
      </c>
      <c r="D4297" s="26">
        <v>0.82696759259259256</v>
      </c>
      <c r="E4297" t="s">
        <v>30</v>
      </c>
      <c r="F4297" t="s">
        <v>197</v>
      </c>
      <c r="G4297" t="s">
        <v>44</v>
      </c>
      <c r="H4297" t="s">
        <v>192</v>
      </c>
      <c r="I4297" s="173">
        <v>134.77000000000001</v>
      </c>
      <c r="J4297" s="8"/>
      <c r="K4297" s="8">
        <v>812889</v>
      </c>
      <c r="L4297" s="8">
        <f t="shared" si="259"/>
        <v>812889</v>
      </c>
      <c r="M4297" s="91">
        <f t="shared" si="260"/>
        <v>1.6579139341287682E-2</v>
      </c>
    </row>
    <row r="4298" spans="1:13" ht="15.75" hidden="1" customHeight="1" x14ac:dyDescent="0.3">
      <c r="B4298" t="s">
        <v>384</v>
      </c>
      <c r="C4298" s="25">
        <v>44745</v>
      </c>
      <c r="D4298" s="26">
        <v>0.35634259259259254</v>
      </c>
      <c r="E4298" t="s">
        <v>30</v>
      </c>
      <c r="F4298" t="s">
        <v>530</v>
      </c>
      <c r="G4298" t="s">
        <v>489</v>
      </c>
      <c r="H4298" t="s">
        <v>192</v>
      </c>
      <c r="I4298" s="173">
        <v>247.32</v>
      </c>
      <c r="J4298" s="8"/>
      <c r="K4298" s="8">
        <v>813237</v>
      </c>
      <c r="L4298" s="8">
        <f t="shared" si="259"/>
        <v>813237</v>
      </c>
      <c r="M4298" s="91">
        <f t="shared" si="260"/>
        <v>3.0411798774526981E-2</v>
      </c>
    </row>
    <row r="4299" spans="1:13" ht="15.75" hidden="1" customHeight="1" x14ac:dyDescent="0.3">
      <c r="B4299" t="s">
        <v>384</v>
      </c>
      <c r="C4299" s="25">
        <v>44745</v>
      </c>
      <c r="D4299" s="26">
        <v>0.83855324074074078</v>
      </c>
      <c r="E4299" t="s">
        <v>30</v>
      </c>
      <c r="F4299" t="s">
        <v>165</v>
      </c>
      <c r="G4299" t="s">
        <v>185</v>
      </c>
      <c r="H4299" t="s">
        <v>192</v>
      </c>
      <c r="I4299" s="173">
        <v>329.16</v>
      </c>
      <c r="J4299" s="8"/>
      <c r="K4299" s="8">
        <v>814034</v>
      </c>
      <c r="L4299" s="8">
        <f t="shared" si="259"/>
        <v>814034</v>
      </c>
      <c r="M4299" s="91">
        <f t="shared" si="260"/>
        <v>4.0435657478680255E-2</v>
      </c>
    </row>
    <row r="4300" spans="1:13" ht="15.75" hidden="1" customHeight="1" x14ac:dyDescent="0.3">
      <c r="B4300" t="s">
        <v>179</v>
      </c>
      <c r="C4300" s="25">
        <v>44565</v>
      </c>
      <c r="D4300" s="26">
        <v>0.50723379629629628</v>
      </c>
      <c r="E4300" t="s">
        <v>24</v>
      </c>
      <c r="F4300" t="s">
        <v>210</v>
      </c>
      <c r="G4300" t="s">
        <v>211</v>
      </c>
      <c r="H4300" t="s">
        <v>180</v>
      </c>
      <c r="I4300">
        <v>427.31</v>
      </c>
      <c r="J4300" s="34">
        <v>697673</v>
      </c>
      <c r="K4300" s="34">
        <f t="shared" ref="K4300:K4331" si="261">+L4300-J4300</f>
        <v>873</v>
      </c>
      <c r="L4300" s="30">
        <v>698546</v>
      </c>
      <c r="M4300" s="61">
        <f t="shared" ref="M4300:M4308" si="262">I4300/K4300*100</f>
        <v>48.947308132875143</v>
      </c>
    </row>
    <row r="4301" spans="1:13" ht="15.75" hidden="1" customHeight="1" x14ac:dyDescent="0.3">
      <c r="B4301" t="s">
        <v>179</v>
      </c>
      <c r="C4301" s="25">
        <v>44566</v>
      </c>
      <c r="D4301" s="26">
        <v>0.59886574074074073</v>
      </c>
      <c r="E4301" t="s">
        <v>24</v>
      </c>
      <c r="F4301" t="s">
        <v>210</v>
      </c>
      <c r="G4301" t="s">
        <v>211</v>
      </c>
      <c r="H4301" t="s">
        <v>180</v>
      </c>
      <c r="I4301">
        <v>429.41</v>
      </c>
      <c r="J4301" s="7">
        <v>698546</v>
      </c>
      <c r="K4301" s="7">
        <f t="shared" si="261"/>
        <v>1096</v>
      </c>
      <c r="L4301" s="51">
        <v>699642</v>
      </c>
      <c r="M4301" s="10">
        <f t="shared" si="262"/>
        <v>39.179744525547449</v>
      </c>
    </row>
    <row r="4302" spans="1:13" ht="15.75" hidden="1" customHeight="1" x14ac:dyDescent="0.3">
      <c r="B4302" t="s">
        <v>179</v>
      </c>
      <c r="C4302" s="25">
        <v>44572</v>
      </c>
      <c r="D4302" s="26">
        <v>0.75422453703703696</v>
      </c>
      <c r="E4302" t="s">
        <v>24</v>
      </c>
      <c r="F4302" t="s">
        <v>205</v>
      </c>
      <c r="G4302" t="s">
        <v>206</v>
      </c>
      <c r="H4302" t="s">
        <v>180</v>
      </c>
      <c r="I4302">
        <v>388.11</v>
      </c>
      <c r="J4302" s="39">
        <v>699642</v>
      </c>
      <c r="K4302" s="7">
        <f t="shared" si="261"/>
        <v>1080</v>
      </c>
      <c r="L4302" s="51">
        <v>700722</v>
      </c>
      <c r="M4302" s="10">
        <f t="shared" si="262"/>
        <v>35.93611111111111</v>
      </c>
    </row>
    <row r="4303" spans="1:13" ht="15.75" hidden="1" customHeight="1" x14ac:dyDescent="0.3">
      <c r="B4303" t="s">
        <v>179</v>
      </c>
      <c r="C4303" s="25">
        <v>44573</v>
      </c>
      <c r="D4303" s="26">
        <v>0.45340277777777777</v>
      </c>
      <c r="E4303" t="s">
        <v>24</v>
      </c>
      <c r="F4303" t="s">
        <v>210</v>
      </c>
      <c r="G4303" t="s">
        <v>211</v>
      </c>
      <c r="H4303" t="s">
        <v>180</v>
      </c>
      <c r="I4303">
        <v>318.42</v>
      </c>
      <c r="J4303" s="39">
        <v>700722</v>
      </c>
      <c r="K4303" s="7">
        <f t="shared" si="261"/>
        <v>716</v>
      </c>
      <c r="L4303" s="51">
        <v>701438</v>
      </c>
      <c r="M4303" s="10">
        <f t="shared" si="262"/>
        <v>44.47206703910615</v>
      </c>
    </row>
    <row r="4304" spans="1:13" ht="15.75" hidden="1" customHeight="1" x14ac:dyDescent="0.3">
      <c r="B4304" t="s">
        <v>179</v>
      </c>
      <c r="C4304" s="25">
        <v>44574</v>
      </c>
      <c r="D4304" s="26">
        <v>0.5096180555555555</v>
      </c>
      <c r="E4304" t="s">
        <v>24</v>
      </c>
      <c r="F4304" t="s">
        <v>210</v>
      </c>
      <c r="G4304" t="s">
        <v>211</v>
      </c>
      <c r="H4304" t="s">
        <v>180</v>
      </c>
      <c r="I4304">
        <v>401.52</v>
      </c>
      <c r="J4304" s="39">
        <v>701438</v>
      </c>
      <c r="K4304" s="7">
        <f t="shared" si="261"/>
        <v>1095</v>
      </c>
      <c r="L4304" s="28">
        <v>702533</v>
      </c>
      <c r="M4304" s="10">
        <f t="shared" si="262"/>
        <v>36.668493150684931</v>
      </c>
    </row>
    <row r="4305" spans="2:13" ht="15.75" hidden="1" customHeight="1" x14ac:dyDescent="0.3">
      <c r="B4305" t="s">
        <v>179</v>
      </c>
      <c r="C4305" s="25">
        <v>44575</v>
      </c>
      <c r="D4305" s="26">
        <v>0.62892361111111106</v>
      </c>
      <c r="E4305" t="s">
        <v>24</v>
      </c>
      <c r="F4305" t="s">
        <v>175</v>
      </c>
      <c r="G4305" t="s">
        <v>172</v>
      </c>
      <c r="H4305" t="s">
        <v>180</v>
      </c>
      <c r="I4305">
        <v>364.27</v>
      </c>
      <c r="J4305" s="39">
        <v>702533</v>
      </c>
      <c r="K4305" s="7">
        <f t="shared" si="261"/>
        <v>950</v>
      </c>
      <c r="L4305" s="11">
        <v>703483</v>
      </c>
      <c r="M4305" s="10">
        <f t="shared" si="262"/>
        <v>38.344210526315784</v>
      </c>
    </row>
    <row r="4306" spans="2:13" ht="15.75" hidden="1" customHeight="1" x14ac:dyDescent="0.3">
      <c r="B4306" t="s">
        <v>179</v>
      </c>
      <c r="C4306" s="25">
        <v>44576</v>
      </c>
      <c r="D4306" s="26">
        <v>0.40032407407407411</v>
      </c>
      <c r="E4306" t="s">
        <v>24</v>
      </c>
      <c r="F4306" t="s">
        <v>175</v>
      </c>
      <c r="G4306" t="s">
        <v>172</v>
      </c>
      <c r="H4306" t="s">
        <v>180</v>
      </c>
      <c r="I4306">
        <v>158.09</v>
      </c>
      <c r="J4306" s="39">
        <v>703483</v>
      </c>
      <c r="K4306" s="7">
        <f t="shared" si="261"/>
        <v>400</v>
      </c>
      <c r="L4306" s="11">
        <v>703883</v>
      </c>
      <c r="M4306" s="10">
        <f t="shared" si="262"/>
        <v>39.522500000000001</v>
      </c>
    </row>
    <row r="4307" spans="2:13" ht="15.75" hidden="1" customHeight="1" x14ac:dyDescent="0.3">
      <c r="B4307" t="s">
        <v>179</v>
      </c>
      <c r="C4307" s="25">
        <v>44577</v>
      </c>
      <c r="D4307" s="26">
        <v>0.35922453703703705</v>
      </c>
      <c r="E4307" t="s">
        <v>24</v>
      </c>
      <c r="F4307" t="s">
        <v>210</v>
      </c>
      <c r="G4307" t="s">
        <v>211</v>
      </c>
      <c r="H4307" t="s">
        <v>180</v>
      </c>
      <c r="I4307">
        <v>378.24</v>
      </c>
      <c r="J4307" s="39">
        <v>703883</v>
      </c>
      <c r="K4307" s="7">
        <f t="shared" si="261"/>
        <v>860</v>
      </c>
      <c r="L4307" s="11">
        <v>704743</v>
      </c>
      <c r="M4307" s="10">
        <f t="shared" si="262"/>
        <v>43.981395348837211</v>
      </c>
    </row>
    <row r="4308" spans="2:13" ht="15.75" hidden="1" customHeight="1" x14ac:dyDescent="0.3">
      <c r="B4308" t="s">
        <v>179</v>
      </c>
      <c r="C4308" s="25">
        <v>44578</v>
      </c>
      <c r="D4308" s="26">
        <v>0.9575231481481481</v>
      </c>
      <c r="E4308" t="s">
        <v>24</v>
      </c>
      <c r="F4308" t="s">
        <v>210</v>
      </c>
      <c r="G4308" t="s">
        <v>211</v>
      </c>
      <c r="H4308" t="s">
        <v>180</v>
      </c>
      <c r="I4308">
        <v>539.79</v>
      </c>
      <c r="J4308" s="39">
        <v>704743</v>
      </c>
      <c r="K4308" s="7">
        <f t="shared" si="261"/>
        <v>1135</v>
      </c>
      <c r="L4308" s="11">
        <v>705878</v>
      </c>
      <c r="M4308" s="10">
        <f t="shared" si="262"/>
        <v>47.558590308370043</v>
      </c>
    </row>
    <row r="4309" spans="2:13" ht="15.75" hidden="1" customHeight="1" x14ac:dyDescent="0.3">
      <c r="B4309" t="s">
        <v>179</v>
      </c>
      <c r="C4309" s="25">
        <v>44579</v>
      </c>
      <c r="D4309" s="26">
        <v>0.75440972222222225</v>
      </c>
      <c r="E4309" t="s">
        <v>24</v>
      </c>
      <c r="F4309" t="s">
        <v>175</v>
      </c>
      <c r="G4309" t="s">
        <v>172</v>
      </c>
      <c r="H4309" t="s">
        <v>180</v>
      </c>
      <c r="I4309">
        <v>385.09</v>
      </c>
      <c r="J4309" s="7">
        <v>705878</v>
      </c>
      <c r="K4309" s="7">
        <f t="shared" si="261"/>
        <v>1021</v>
      </c>
      <c r="L4309" s="11">
        <v>706899</v>
      </c>
      <c r="M4309" s="10">
        <f t="shared" ref="M4309:M4321" si="263">I4309/L4309*100</f>
        <v>5.447595766863441E-2</v>
      </c>
    </row>
    <row r="4310" spans="2:13" ht="15.75" hidden="1" customHeight="1" x14ac:dyDescent="0.3">
      <c r="B4310" t="s">
        <v>179</v>
      </c>
      <c r="C4310" s="25">
        <v>44580</v>
      </c>
      <c r="D4310" s="26">
        <v>0.81473379629629628</v>
      </c>
      <c r="E4310" t="s">
        <v>24</v>
      </c>
      <c r="F4310" t="s">
        <v>210</v>
      </c>
      <c r="G4310" t="s">
        <v>211</v>
      </c>
      <c r="H4310" t="s">
        <v>180</v>
      </c>
      <c r="I4310">
        <v>374.18</v>
      </c>
      <c r="J4310" s="7">
        <v>706899</v>
      </c>
      <c r="K4310" s="7">
        <f t="shared" si="261"/>
        <v>859</v>
      </c>
      <c r="L4310" s="11">
        <v>707758</v>
      </c>
      <c r="M4310" s="10">
        <f t="shared" si="263"/>
        <v>5.2868353307203873E-2</v>
      </c>
    </row>
    <row r="4311" spans="2:13" ht="15.75" hidden="1" customHeight="1" x14ac:dyDescent="0.3">
      <c r="B4311" t="s">
        <v>179</v>
      </c>
      <c r="C4311" s="25">
        <v>44581</v>
      </c>
      <c r="D4311" s="26">
        <v>0.3783217592592592</v>
      </c>
      <c r="E4311" t="s">
        <v>24</v>
      </c>
      <c r="F4311" t="s">
        <v>165</v>
      </c>
      <c r="G4311" t="s">
        <v>185</v>
      </c>
      <c r="H4311" t="s">
        <v>180</v>
      </c>
      <c r="I4311">
        <v>200</v>
      </c>
      <c r="J4311" s="7">
        <v>707758</v>
      </c>
      <c r="K4311" s="7">
        <f t="shared" si="261"/>
        <v>566</v>
      </c>
      <c r="L4311" s="51">
        <v>708324</v>
      </c>
      <c r="M4311" s="10">
        <f t="shared" si="263"/>
        <v>2.8235666164071808E-2</v>
      </c>
    </row>
    <row r="4312" spans="2:13" ht="15.75" hidden="1" customHeight="1" x14ac:dyDescent="0.3">
      <c r="B4312" t="s">
        <v>179</v>
      </c>
      <c r="C4312" s="25">
        <v>44582</v>
      </c>
      <c r="D4312" s="26">
        <v>0.5669791666666667</v>
      </c>
      <c r="E4312" t="s">
        <v>24</v>
      </c>
      <c r="F4312" t="s">
        <v>202</v>
      </c>
      <c r="G4312" t="s">
        <v>203</v>
      </c>
      <c r="H4312" t="s">
        <v>180</v>
      </c>
      <c r="I4312">
        <v>150</v>
      </c>
      <c r="J4312" s="31">
        <v>708324</v>
      </c>
      <c r="K4312" s="7">
        <f t="shared" si="261"/>
        <v>1084</v>
      </c>
      <c r="L4312" s="31">
        <v>709408</v>
      </c>
      <c r="M4312" s="10">
        <f t="shared" si="263"/>
        <v>2.1144390816004329E-2</v>
      </c>
    </row>
    <row r="4313" spans="2:13" ht="15.75" hidden="1" customHeight="1" x14ac:dyDescent="0.3">
      <c r="B4313" t="s">
        <v>179</v>
      </c>
      <c r="C4313" s="25">
        <v>44582</v>
      </c>
      <c r="D4313" s="26">
        <v>0.80965277777777767</v>
      </c>
      <c r="E4313" t="s">
        <v>24</v>
      </c>
      <c r="F4313" t="s">
        <v>278</v>
      </c>
      <c r="G4313" t="s">
        <v>279</v>
      </c>
      <c r="H4313" t="s">
        <v>180</v>
      </c>
      <c r="I4313">
        <v>250</v>
      </c>
      <c r="J4313" s="31">
        <v>709408</v>
      </c>
      <c r="K4313" s="7">
        <f t="shared" si="261"/>
        <v>389</v>
      </c>
      <c r="L4313" s="7">
        <v>709797</v>
      </c>
      <c r="M4313" s="36">
        <f t="shared" si="263"/>
        <v>3.5221337931831215E-2</v>
      </c>
    </row>
    <row r="4314" spans="2:13" ht="15.75" hidden="1" customHeight="1" x14ac:dyDescent="0.3">
      <c r="B4314" t="s">
        <v>179</v>
      </c>
      <c r="C4314" s="25">
        <v>44583</v>
      </c>
      <c r="D4314" s="26">
        <v>0.51329861111111108</v>
      </c>
      <c r="E4314" t="s">
        <v>24</v>
      </c>
      <c r="F4314" t="s">
        <v>210</v>
      </c>
      <c r="G4314" t="s">
        <v>211</v>
      </c>
      <c r="H4314" t="s">
        <v>180</v>
      </c>
      <c r="I4314">
        <v>428.84</v>
      </c>
      <c r="J4314" s="31">
        <v>709797</v>
      </c>
      <c r="K4314" s="7">
        <f t="shared" si="261"/>
        <v>735</v>
      </c>
      <c r="L4314" s="51">
        <v>710532</v>
      </c>
      <c r="M4314" s="10">
        <f t="shared" si="263"/>
        <v>6.0354776421047883E-2</v>
      </c>
    </row>
    <row r="4315" spans="2:13" ht="15.75" hidden="1" customHeight="1" x14ac:dyDescent="0.3">
      <c r="B4315" t="s">
        <v>179</v>
      </c>
      <c r="C4315" s="25">
        <v>44585</v>
      </c>
      <c r="D4315" s="26">
        <v>0.66870370370370369</v>
      </c>
      <c r="E4315" t="s">
        <v>24</v>
      </c>
      <c r="F4315" t="s">
        <v>175</v>
      </c>
      <c r="G4315" t="s">
        <v>172</v>
      </c>
      <c r="H4315" t="s">
        <v>180</v>
      </c>
      <c r="I4315">
        <v>326.85000000000002</v>
      </c>
      <c r="J4315" s="7">
        <v>710532</v>
      </c>
      <c r="K4315" s="7">
        <f t="shared" si="261"/>
        <v>937</v>
      </c>
      <c r="L4315" s="11">
        <v>711469</v>
      </c>
      <c r="M4315" s="10">
        <f t="shared" si="263"/>
        <v>4.5940160428634282E-2</v>
      </c>
    </row>
    <row r="4316" spans="2:13" ht="15.75" hidden="1" customHeight="1" x14ac:dyDescent="0.3">
      <c r="B4316" t="s">
        <v>179</v>
      </c>
      <c r="C4316" s="25">
        <v>44586</v>
      </c>
      <c r="D4316" s="26">
        <v>0.8828125</v>
      </c>
      <c r="E4316" t="s">
        <v>24</v>
      </c>
      <c r="F4316" t="s">
        <v>210</v>
      </c>
      <c r="G4316" t="s">
        <v>211</v>
      </c>
      <c r="H4316" t="s">
        <v>180</v>
      </c>
      <c r="I4316">
        <v>377.97</v>
      </c>
      <c r="J4316" s="7">
        <v>711469</v>
      </c>
      <c r="K4316" s="7">
        <f t="shared" si="261"/>
        <v>860</v>
      </c>
      <c r="L4316" s="11">
        <v>712329</v>
      </c>
      <c r="M4316" s="10">
        <f t="shared" si="263"/>
        <v>5.3061155730006783E-2</v>
      </c>
    </row>
    <row r="4317" spans="2:13" ht="15.75" hidden="1" customHeight="1" x14ac:dyDescent="0.3">
      <c r="B4317" t="s">
        <v>179</v>
      </c>
      <c r="C4317" s="25">
        <v>44587</v>
      </c>
      <c r="D4317" s="26">
        <v>0.70814814814814808</v>
      </c>
      <c r="E4317" t="s">
        <v>24</v>
      </c>
      <c r="F4317" t="s">
        <v>210</v>
      </c>
      <c r="G4317" t="s">
        <v>211</v>
      </c>
      <c r="H4317" t="s">
        <v>180</v>
      </c>
      <c r="I4317">
        <v>430.78</v>
      </c>
      <c r="J4317" s="7">
        <v>712329</v>
      </c>
      <c r="K4317" s="11">
        <f t="shared" si="261"/>
        <v>1096</v>
      </c>
      <c r="L4317" s="53">
        <v>713425</v>
      </c>
      <c r="M4317" s="10">
        <f t="shared" si="263"/>
        <v>6.0381960262115848E-2</v>
      </c>
    </row>
    <row r="4318" spans="2:13" ht="15.75" hidden="1" customHeight="1" x14ac:dyDescent="0.3">
      <c r="B4318" t="s">
        <v>179</v>
      </c>
      <c r="C4318" s="25">
        <v>44589</v>
      </c>
      <c r="D4318" s="26">
        <v>0.79768518518518527</v>
      </c>
      <c r="E4318" t="s">
        <v>24</v>
      </c>
      <c r="F4318" t="s">
        <v>175</v>
      </c>
      <c r="G4318" t="s">
        <v>172</v>
      </c>
      <c r="H4318" t="s">
        <v>180</v>
      </c>
      <c r="I4318">
        <v>466.83</v>
      </c>
      <c r="J4318" s="34">
        <v>713425</v>
      </c>
      <c r="K4318" s="11">
        <f t="shared" si="261"/>
        <v>1226</v>
      </c>
      <c r="L4318" s="11">
        <v>714651</v>
      </c>
      <c r="M4318" s="10">
        <f t="shared" si="263"/>
        <v>6.5322793923187683E-2</v>
      </c>
    </row>
    <row r="4319" spans="2:13" ht="15.75" hidden="1" customHeight="1" x14ac:dyDescent="0.3">
      <c r="B4319" t="s">
        <v>179</v>
      </c>
      <c r="C4319" s="25">
        <v>44590</v>
      </c>
      <c r="D4319" s="26">
        <v>0.86803240740740739</v>
      </c>
      <c r="E4319" t="s">
        <v>24</v>
      </c>
      <c r="F4319" t="s">
        <v>210</v>
      </c>
      <c r="G4319" t="s">
        <v>211</v>
      </c>
      <c r="H4319" t="s">
        <v>180</v>
      </c>
      <c r="I4319">
        <v>365.87</v>
      </c>
      <c r="J4319" s="34">
        <v>714651</v>
      </c>
      <c r="K4319" s="11">
        <f t="shared" si="261"/>
        <v>861</v>
      </c>
      <c r="L4319" s="11">
        <v>715512</v>
      </c>
      <c r="M4319" s="10">
        <f t="shared" si="263"/>
        <v>5.1134013126264831E-2</v>
      </c>
    </row>
    <row r="4320" spans="2:13" ht="15.75" hidden="1" customHeight="1" x14ac:dyDescent="0.3">
      <c r="B4320" t="s">
        <v>179</v>
      </c>
      <c r="C4320" s="25">
        <v>44591</v>
      </c>
      <c r="D4320" s="26">
        <v>0.26346064814814812</v>
      </c>
      <c r="E4320" t="s">
        <v>24</v>
      </c>
      <c r="F4320" t="s">
        <v>165</v>
      </c>
      <c r="G4320" t="s">
        <v>185</v>
      </c>
      <c r="H4320" t="s">
        <v>180</v>
      </c>
      <c r="I4320">
        <v>200</v>
      </c>
      <c r="J4320" s="34">
        <v>715512</v>
      </c>
      <c r="K4320" s="11">
        <f t="shared" si="261"/>
        <v>566</v>
      </c>
      <c r="L4320" s="51">
        <v>716078</v>
      </c>
      <c r="M4320" s="10">
        <f t="shared" si="263"/>
        <v>2.7929918249129285E-2</v>
      </c>
    </row>
    <row r="4321" spans="1:13" ht="15.75" hidden="1" customHeight="1" x14ac:dyDescent="0.3">
      <c r="B4321" t="s">
        <v>179</v>
      </c>
      <c r="C4321" s="25">
        <v>44591</v>
      </c>
      <c r="D4321" s="26">
        <v>0.86020833333333335</v>
      </c>
      <c r="E4321" t="s">
        <v>24</v>
      </c>
      <c r="F4321" t="s">
        <v>340</v>
      </c>
      <c r="G4321" t="s">
        <v>337</v>
      </c>
      <c r="H4321" t="s">
        <v>180</v>
      </c>
      <c r="I4321">
        <v>300.02</v>
      </c>
      <c r="J4321" s="31">
        <v>716078</v>
      </c>
      <c r="K4321" s="11">
        <f t="shared" si="261"/>
        <v>796</v>
      </c>
      <c r="L4321" s="11">
        <v>716874</v>
      </c>
      <c r="M4321" s="10">
        <f t="shared" si="263"/>
        <v>4.1851148179456919E-2</v>
      </c>
    </row>
    <row r="4322" spans="1:13" ht="15.75" hidden="1" customHeight="1" x14ac:dyDescent="0.3">
      <c r="A4322" s="9">
        <v>210</v>
      </c>
      <c r="B4322" t="s">
        <v>179</v>
      </c>
      <c r="C4322" s="25">
        <v>44593</v>
      </c>
      <c r="D4322" s="26">
        <v>0.3475462962962963</v>
      </c>
      <c r="E4322" t="s">
        <v>25</v>
      </c>
      <c r="F4322" t="s">
        <v>165</v>
      </c>
      <c r="G4322" t="s">
        <v>185</v>
      </c>
      <c r="H4322" t="s">
        <v>180</v>
      </c>
      <c r="I4322">
        <v>100.06</v>
      </c>
      <c r="J4322" s="31">
        <v>716874</v>
      </c>
      <c r="K4322" s="11">
        <f t="shared" si="261"/>
        <v>886</v>
      </c>
      <c r="L4322" s="11">
        <v>717760</v>
      </c>
      <c r="M4322" s="10">
        <f t="shared" ref="M4322:M4353" si="264">I4322/K4322*100</f>
        <v>11.293453724604968</v>
      </c>
    </row>
    <row r="4323" spans="1:13" ht="15.75" hidden="1" customHeight="1" x14ac:dyDescent="0.3">
      <c r="A4323" s="9">
        <v>211</v>
      </c>
      <c r="B4323" t="s">
        <v>179</v>
      </c>
      <c r="C4323" s="25">
        <v>44593</v>
      </c>
      <c r="D4323" s="26">
        <v>0.76410879629629624</v>
      </c>
      <c r="E4323" t="s">
        <v>25</v>
      </c>
      <c r="F4323" t="s">
        <v>210</v>
      </c>
      <c r="G4323" t="s">
        <v>211</v>
      </c>
      <c r="H4323" t="s">
        <v>180</v>
      </c>
      <c r="I4323">
        <v>432.4</v>
      </c>
      <c r="J4323" s="34">
        <v>717760</v>
      </c>
      <c r="K4323" s="11">
        <f t="shared" si="261"/>
        <v>530</v>
      </c>
      <c r="L4323" s="11">
        <v>718290</v>
      </c>
      <c r="M4323" s="10">
        <f t="shared" si="264"/>
        <v>81.584905660377345</v>
      </c>
    </row>
    <row r="4324" spans="1:13" ht="15.75" hidden="1" customHeight="1" x14ac:dyDescent="0.3">
      <c r="A4324" s="9">
        <v>212</v>
      </c>
      <c r="B4324" t="s">
        <v>179</v>
      </c>
      <c r="C4324" s="25">
        <v>44595</v>
      </c>
      <c r="D4324" s="26">
        <v>1.4814814814814814E-2</v>
      </c>
      <c r="E4324" t="s">
        <v>25</v>
      </c>
      <c r="F4324" t="s">
        <v>175</v>
      </c>
      <c r="G4324" t="s">
        <v>172</v>
      </c>
      <c r="H4324" t="s">
        <v>180</v>
      </c>
      <c r="I4324">
        <v>370.56</v>
      </c>
      <c r="J4324" s="34">
        <v>718290</v>
      </c>
      <c r="K4324" s="11">
        <f t="shared" si="261"/>
        <v>965</v>
      </c>
      <c r="L4324" s="11">
        <v>719255</v>
      </c>
      <c r="M4324" s="10">
        <f t="shared" si="264"/>
        <v>38.4</v>
      </c>
    </row>
    <row r="4325" spans="1:13" ht="15.75" hidden="1" customHeight="1" x14ac:dyDescent="0.3">
      <c r="A4325" s="9">
        <v>213</v>
      </c>
      <c r="B4325" t="s">
        <v>179</v>
      </c>
      <c r="C4325" s="25">
        <v>44604</v>
      </c>
      <c r="D4325" s="26">
        <v>0.41758101851851853</v>
      </c>
      <c r="E4325" t="s">
        <v>25</v>
      </c>
      <c r="F4325" t="s">
        <v>175</v>
      </c>
      <c r="G4325" t="s">
        <v>172</v>
      </c>
      <c r="H4325" t="s">
        <v>180</v>
      </c>
      <c r="I4325">
        <v>205.55</v>
      </c>
      <c r="J4325" s="7">
        <v>719255</v>
      </c>
      <c r="K4325" s="11">
        <f t="shared" si="261"/>
        <v>491</v>
      </c>
      <c r="L4325" s="53">
        <v>719746</v>
      </c>
      <c r="M4325" s="10">
        <f t="shared" si="264"/>
        <v>41.863543788187371</v>
      </c>
    </row>
    <row r="4326" spans="1:13" ht="15.75" hidden="1" customHeight="1" x14ac:dyDescent="0.3">
      <c r="A4326" s="9">
        <v>214</v>
      </c>
      <c r="B4326" t="s">
        <v>179</v>
      </c>
      <c r="C4326" s="25">
        <v>44605</v>
      </c>
      <c r="D4326" s="26">
        <v>3.9699074074074074E-2</v>
      </c>
      <c r="E4326" t="s">
        <v>25</v>
      </c>
      <c r="F4326" t="s">
        <v>210</v>
      </c>
      <c r="G4326" t="s">
        <v>211</v>
      </c>
      <c r="H4326" t="s">
        <v>180</v>
      </c>
      <c r="I4326">
        <v>379.67</v>
      </c>
      <c r="J4326" s="32">
        <v>719746</v>
      </c>
      <c r="K4326" s="53">
        <f t="shared" si="261"/>
        <v>860</v>
      </c>
      <c r="L4326" s="53">
        <v>720606</v>
      </c>
      <c r="M4326" s="10">
        <f t="shared" si="264"/>
        <v>44.147674418604652</v>
      </c>
    </row>
    <row r="4327" spans="1:13" ht="15.75" hidden="1" customHeight="1" x14ac:dyDescent="0.3">
      <c r="A4327" s="9">
        <v>215</v>
      </c>
      <c r="B4327" t="s">
        <v>179</v>
      </c>
      <c r="C4327" s="25">
        <v>44606</v>
      </c>
      <c r="D4327" s="26">
        <v>1.4976851851851852E-2</v>
      </c>
      <c r="E4327" t="s">
        <v>25</v>
      </c>
      <c r="F4327" t="s">
        <v>210</v>
      </c>
      <c r="G4327" t="s">
        <v>211</v>
      </c>
      <c r="H4327" t="s">
        <v>180</v>
      </c>
      <c r="I4327">
        <v>426.24</v>
      </c>
      <c r="J4327" s="32">
        <v>720606</v>
      </c>
      <c r="K4327" s="53">
        <f t="shared" si="261"/>
        <v>1097</v>
      </c>
      <c r="L4327" s="32">
        <v>721703</v>
      </c>
      <c r="M4327" s="10">
        <f t="shared" si="264"/>
        <v>38.855059252506834</v>
      </c>
    </row>
    <row r="4328" spans="1:13" ht="15.75" hidden="1" customHeight="1" x14ac:dyDescent="0.3">
      <c r="A4328" s="9">
        <v>216</v>
      </c>
      <c r="B4328" t="s">
        <v>179</v>
      </c>
      <c r="C4328" s="25">
        <v>44607</v>
      </c>
      <c r="D4328" s="26">
        <v>0.35819444444444443</v>
      </c>
      <c r="E4328" t="s">
        <v>25</v>
      </c>
      <c r="F4328" t="s">
        <v>428</v>
      </c>
      <c r="G4328" t="s">
        <v>429</v>
      </c>
      <c r="H4328" t="s">
        <v>180</v>
      </c>
      <c r="I4328">
        <v>355.56</v>
      </c>
      <c r="J4328" s="32">
        <v>721703</v>
      </c>
      <c r="K4328" s="53">
        <f t="shared" si="261"/>
        <v>933</v>
      </c>
      <c r="L4328" s="32">
        <v>722636</v>
      </c>
      <c r="M4328" s="10">
        <f t="shared" si="264"/>
        <v>38.109324758842448</v>
      </c>
    </row>
    <row r="4329" spans="1:13" ht="15.75" hidden="1" customHeight="1" x14ac:dyDescent="0.3">
      <c r="A4329" s="9">
        <v>217</v>
      </c>
      <c r="B4329" t="s">
        <v>179</v>
      </c>
      <c r="C4329" s="25">
        <v>44608</v>
      </c>
      <c r="D4329" s="26">
        <v>0.34641203703703699</v>
      </c>
      <c r="E4329" t="s">
        <v>25</v>
      </c>
      <c r="F4329" t="s">
        <v>210</v>
      </c>
      <c r="G4329" t="s">
        <v>211</v>
      </c>
      <c r="H4329" t="s">
        <v>180</v>
      </c>
      <c r="I4329">
        <v>361.02</v>
      </c>
      <c r="J4329" s="32">
        <v>722636</v>
      </c>
      <c r="K4329" s="53">
        <f t="shared" si="261"/>
        <v>854</v>
      </c>
      <c r="L4329" s="32">
        <v>723490</v>
      </c>
      <c r="M4329" s="10">
        <f t="shared" si="264"/>
        <v>42.274004683840751</v>
      </c>
    </row>
    <row r="4330" spans="1:13" ht="15.75" hidden="1" customHeight="1" x14ac:dyDescent="0.3">
      <c r="A4330" s="9">
        <v>218</v>
      </c>
      <c r="B4330" t="s">
        <v>179</v>
      </c>
      <c r="C4330" s="25">
        <v>44609</v>
      </c>
      <c r="D4330" s="26">
        <v>0.58384259259259264</v>
      </c>
      <c r="E4330" t="s">
        <v>25</v>
      </c>
      <c r="F4330" t="s">
        <v>210</v>
      </c>
      <c r="G4330" t="s">
        <v>211</v>
      </c>
      <c r="H4330" t="s">
        <v>180</v>
      </c>
      <c r="I4330">
        <v>448.51</v>
      </c>
      <c r="J4330" s="32">
        <v>723490</v>
      </c>
      <c r="K4330" s="53">
        <f t="shared" si="261"/>
        <v>1119</v>
      </c>
      <c r="L4330" s="32">
        <v>724609</v>
      </c>
      <c r="M4330" s="10">
        <f t="shared" si="264"/>
        <v>40.081322609472743</v>
      </c>
    </row>
    <row r="4331" spans="1:13" ht="15.75" hidden="1" customHeight="1" x14ac:dyDescent="0.3">
      <c r="A4331" s="9">
        <v>219</v>
      </c>
      <c r="B4331" t="s">
        <v>179</v>
      </c>
      <c r="C4331" s="25">
        <v>44611</v>
      </c>
      <c r="D4331" s="26">
        <v>0.40719907407407407</v>
      </c>
      <c r="E4331" t="s">
        <v>25</v>
      </c>
      <c r="F4331" t="s">
        <v>175</v>
      </c>
      <c r="G4331" t="s">
        <v>172</v>
      </c>
      <c r="H4331" t="s">
        <v>180</v>
      </c>
      <c r="I4331">
        <v>530.38</v>
      </c>
      <c r="J4331" s="32">
        <v>724609</v>
      </c>
      <c r="K4331" s="53">
        <f t="shared" si="261"/>
        <v>1390</v>
      </c>
      <c r="L4331" s="32">
        <v>725999</v>
      </c>
      <c r="M4331" s="10">
        <f t="shared" si="264"/>
        <v>38.156834532374099</v>
      </c>
    </row>
    <row r="4332" spans="1:13" ht="15.75" hidden="1" customHeight="1" x14ac:dyDescent="0.3">
      <c r="A4332" s="9">
        <v>220</v>
      </c>
      <c r="B4332" t="s">
        <v>179</v>
      </c>
      <c r="C4332" s="25">
        <v>44612</v>
      </c>
      <c r="D4332" s="26">
        <v>0.41534722222222226</v>
      </c>
      <c r="E4332" t="s">
        <v>25</v>
      </c>
      <c r="F4332" t="s">
        <v>210</v>
      </c>
      <c r="G4332" t="s">
        <v>211</v>
      </c>
      <c r="H4332" t="s">
        <v>180</v>
      </c>
      <c r="I4332">
        <v>364.84</v>
      </c>
      <c r="J4332" s="32">
        <v>725999</v>
      </c>
      <c r="K4332" s="53">
        <f t="shared" ref="K4332:K4363" si="265">+L4332-J4332</f>
        <v>862</v>
      </c>
      <c r="L4332" s="32">
        <v>726861</v>
      </c>
      <c r="M4332" s="10">
        <f t="shared" si="264"/>
        <v>42.324825986078885</v>
      </c>
    </row>
    <row r="4333" spans="1:13" ht="15.75" hidden="1" customHeight="1" x14ac:dyDescent="0.3">
      <c r="A4333" s="9">
        <v>221</v>
      </c>
      <c r="B4333" t="s">
        <v>179</v>
      </c>
      <c r="C4333" s="25">
        <v>44613</v>
      </c>
      <c r="D4333" s="26">
        <v>3.3217592592592597E-2</v>
      </c>
      <c r="E4333" t="s">
        <v>25</v>
      </c>
      <c r="F4333" t="s">
        <v>165</v>
      </c>
      <c r="G4333" t="s">
        <v>185</v>
      </c>
      <c r="H4333" t="s">
        <v>180</v>
      </c>
      <c r="I4333">
        <v>200</v>
      </c>
      <c r="J4333" s="32">
        <v>726861</v>
      </c>
      <c r="K4333" s="53">
        <f t="shared" si="265"/>
        <v>567</v>
      </c>
      <c r="L4333" s="32">
        <v>727428</v>
      </c>
      <c r="M4333" s="10">
        <f t="shared" si="264"/>
        <v>35.273368606701936</v>
      </c>
    </row>
    <row r="4334" spans="1:13" ht="15.75" hidden="1" customHeight="1" x14ac:dyDescent="0.3">
      <c r="A4334" s="9">
        <v>222</v>
      </c>
      <c r="B4334" t="s">
        <v>179</v>
      </c>
      <c r="C4334" s="25">
        <v>44614</v>
      </c>
      <c r="D4334" s="26">
        <v>0.61870370370370364</v>
      </c>
      <c r="E4334" t="s">
        <v>25</v>
      </c>
      <c r="F4334" t="s">
        <v>340</v>
      </c>
      <c r="G4334" t="s">
        <v>337</v>
      </c>
      <c r="H4334" t="s">
        <v>180</v>
      </c>
      <c r="I4334">
        <v>350.01</v>
      </c>
      <c r="J4334" s="32">
        <v>727428</v>
      </c>
      <c r="K4334" s="53">
        <f t="shared" si="265"/>
        <v>832</v>
      </c>
      <c r="L4334" s="32">
        <v>728260</v>
      </c>
      <c r="M4334" s="10">
        <f t="shared" si="264"/>
        <v>42.068509615384613</v>
      </c>
    </row>
    <row r="4335" spans="1:13" ht="15.75" hidden="1" customHeight="1" x14ac:dyDescent="0.3">
      <c r="A4335" s="9">
        <v>223</v>
      </c>
      <c r="B4335" t="s">
        <v>179</v>
      </c>
      <c r="C4335" s="25">
        <v>44615</v>
      </c>
      <c r="D4335" s="26">
        <v>0.89290509259259254</v>
      </c>
      <c r="E4335" t="s">
        <v>25</v>
      </c>
      <c r="F4335" t="s">
        <v>165</v>
      </c>
      <c r="G4335" t="s">
        <v>185</v>
      </c>
      <c r="H4335" t="s">
        <v>180</v>
      </c>
      <c r="I4335">
        <v>200</v>
      </c>
      <c r="J4335" s="32">
        <v>728260</v>
      </c>
      <c r="K4335" s="53">
        <f t="shared" si="265"/>
        <v>853</v>
      </c>
      <c r="L4335" s="32">
        <v>729113</v>
      </c>
      <c r="M4335" s="10">
        <f t="shared" si="264"/>
        <v>23.446658851113718</v>
      </c>
    </row>
    <row r="4336" spans="1:13" ht="15.75" hidden="1" customHeight="1" x14ac:dyDescent="0.3">
      <c r="A4336" s="9">
        <v>224</v>
      </c>
      <c r="B4336" t="s">
        <v>179</v>
      </c>
      <c r="C4336" s="25">
        <v>44616</v>
      </c>
      <c r="D4336" s="26">
        <v>0.51693287037037039</v>
      </c>
      <c r="E4336" t="s">
        <v>25</v>
      </c>
      <c r="F4336" t="s">
        <v>210</v>
      </c>
      <c r="G4336" t="s">
        <v>211</v>
      </c>
      <c r="H4336" t="s">
        <v>180</v>
      </c>
      <c r="I4336">
        <v>357.95</v>
      </c>
      <c r="J4336" s="37">
        <v>729113</v>
      </c>
      <c r="K4336" s="53">
        <f t="shared" si="265"/>
        <v>530</v>
      </c>
      <c r="L4336" s="32">
        <v>729643</v>
      </c>
      <c r="M4336" s="10">
        <f t="shared" si="264"/>
        <v>67.537735849056602</v>
      </c>
    </row>
    <row r="4337" spans="1:13" ht="15.75" hidden="1" customHeight="1" x14ac:dyDescent="0.3">
      <c r="A4337" s="9">
        <v>225</v>
      </c>
      <c r="B4337" t="s">
        <v>179</v>
      </c>
      <c r="C4337" s="25">
        <v>44618</v>
      </c>
      <c r="D4337" s="26">
        <v>0.50570601851851849</v>
      </c>
      <c r="E4337" t="s">
        <v>25</v>
      </c>
      <c r="F4337" t="s">
        <v>175</v>
      </c>
      <c r="G4337" t="s">
        <v>172</v>
      </c>
      <c r="H4337" t="s">
        <v>180</v>
      </c>
      <c r="I4337">
        <v>329.59</v>
      </c>
      <c r="J4337" s="37">
        <v>729643</v>
      </c>
      <c r="K4337" s="53">
        <f t="shared" si="265"/>
        <v>965</v>
      </c>
      <c r="L4337" s="32">
        <v>730608</v>
      </c>
      <c r="M4337" s="10">
        <f t="shared" si="264"/>
        <v>34.154404145077713</v>
      </c>
    </row>
    <row r="4338" spans="1:13" ht="15.75" hidden="1" customHeight="1" x14ac:dyDescent="0.3">
      <c r="A4338" s="9">
        <v>226</v>
      </c>
      <c r="B4338" t="s">
        <v>179</v>
      </c>
      <c r="C4338" s="25">
        <v>44619</v>
      </c>
      <c r="D4338" s="26">
        <v>0.4568402777777778</v>
      </c>
      <c r="E4338" t="s">
        <v>25</v>
      </c>
      <c r="F4338" t="s">
        <v>210</v>
      </c>
      <c r="G4338" t="s">
        <v>211</v>
      </c>
      <c r="H4338" t="s">
        <v>180</v>
      </c>
      <c r="I4338">
        <v>383.27</v>
      </c>
      <c r="J4338" s="38">
        <v>730608</v>
      </c>
      <c r="K4338" s="53">
        <f t="shared" si="265"/>
        <v>861</v>
      </c>
      <c r="L4338" s="32">
        <v>731469</v>
      </c>
      <c r="M4338" s="10">
        <f t="shared" si="264"/>
        <v>44.51451800232288</v>
      </c>
    </row>
    <row r="4339" spans="1:13" ht="15.75" hidden="1" customHeight="1" x14ac:dyDescent="0.3">
      <c r="A4339" s="9">
        <v>227</v>
      </c>
      <c r="B4339" t="s">
        <v>179</v>
      </c>
      <c r="C4339" s="25">
        <v>44619</v>
      </c>
      <c r="D4339" s="26">
        <v>0.8978356481481482</v>
      </c>
      <c r="E4339" t="s">
        <v>25</v>
      </c>
      <c r="F4339" t="s">
        <v>165</v>
      </c>
      <c r="G4339" t="s">
        <v>185</v>
      </c>
      <c r="H4339" t="s">
        <v>180</v>
      </c>
      <c r="I4339">
        <v>150</v>
      </c>
      <c r="J4339" s="32">
        <v>731469</v>
      </c>
      <c r="K4339" s="53">
        <f t="shared" si="265"/>
        <v>568</v>
      </c>
      <c r="L4339" s="32">
        <v>732037</v>
      </c>
      <c r="M4339" s="10">
        <f t="shared" si="264"/>
        <v>26.408450704225352</v>
      </c>
    </row>
    <row r="4340" spans="1:13" ht="15.75" hidden="1" customHeight="1" x14ac:dyDescent="0.3">
      <c r="A4340" s="9">
        <v>228</v>
      </c>
      <c r="B4340" t="s">
        <v>179</v>
      </c>
      <c r="C4340" s="25">
        <v>44620</v>
      </c>
      <c r="D4340" s="26">
        <v>0.81304398148148149</v>
      </c>
      <c r="E4340" t="s">
        <v>25</v>
      </c>
      <c r="F4340" t="s">
        <v>210</v>
      </c>
      <c r="G4340" t="s">
        <v>211</v>
      </c>
      <c r="H4340" t="s">
        <v>180</v>
      </c>
      <c r="I4340">
        <v>398.87</v>
      </c>
      <c r="J4340" s="32">
        <v>732037</v>
      </c>
      <c r="K4340" s="53">
        <f t="shared" si="265"/>
        <v>594</v>
      </c>
      <c r="L4340" s="32">
        <v>732631</v>
      </c>
      <c r="M4340" s="10">
        <f t="shared" si="264"/>
        <v>67.149831649831654</v>
      </c>
    </row>
    <row r="4341" spans="1:13" ht="15.75" hidden="1" customHeight="1" x14ac:dyDescent="0.3">
      <c r="A4341" s="9">
        <v>1281</v>
      </c>
      <c r="B4341" t="s">
        <v>179</v>
      </c>
      <c r="C4341" s="25">
        <v>44621</v>
      </c>
      <c r="D4341" s="26">
        <v>0.65569444444444447</v>
      </c>
      <c r="E4341" t="s">
        <v>26</v>
      </c>
      <c r="F4341" t="s">
        <v>175</v>
      </c>
      <c r="G4341" t="s">
        <v>172</v>
      </c>
      <c r="H4341" t="s">
        <v>180</v>
      </c>
      <c r="I4341">
        <v>264.44</v>
      </c>
      <c r="J4341" s="32">
        <v>732631</v>
      </c>
      <c r="K4341" s="89">
        <f t="shared" si="265"/>
        <v>861</v>
      </c>
      <c r="L4341" s="32">
        <v>733492</v>
      </c>
      <c r="M4341" s="10">
        <f t="shared" si="264"/>
        <v>30.713124274099883</v>
      </c>
    </row>
    <row r="4342" spans="1:13" ht="15.75" hidden="1" customHeight="1" x14ac:dyDescent="0.3">
      <c r="A4342" s="9">
        <v>1282</v>
      </c>
      <c r="B4342" t="s">
        <v>179</v>
      </c>
      <c r="C4342" s="25">
        <v>44622</v>
      </c>
      <c r="D4342" s="26">
        <v>0.64355324074074072</v>
      </c>
      <c r="E4342" t="s">
        <v>26</v>
      </c>
      <c r="F4342" t="s">
        <v>210</v>
      </c>
      <c r="G4342" t="s">
        <v>211</v>
      </c>
      <c r="H4342" t="s">
        <v>180</v>
      </c>
      <c r="I4342">
        <v>360.6</v>
      </c>
      <c r="J4342" s="32">
        <v>733492</v>
      </c>
      <c r="K4342" s="89">
        <f t="shared" si="265"/>
        <v>728</v>
      </c>
      <c r="L4342" s="32">
        <v>734220</v>
      </c>
      <c r="M4342" s="10">
        <f t="shared" si="264"/>
        <v>49.532967032967036</v>
      </c>
    </row>
    <row r="4343" spans="1:13" ht="15.75" hidden="1" customHeight="1" x14ac:dyDescent="0.3">
      <c r="A4343" s="9">
        <v>1283</v>
      </c>
      <c r="B4343" t="s">
        <v>179</v>
      </c>
      <c r="C4343" s="25">
        <v>44623</v>
      </c>
      <c r="D4343" s="26">
        <v>0.62089120370370365</v>
      </c>
      <c r="E4343" t="s">
        <v>26</v>
      </c>
      <c r="F4343" t="s">
        <v>210</v>
      </c>
      <c r="G4343" t="s">
        <v>211</v>
      </c>
      <c r="H4343" t="s">
        <v>180</v>
      </c>
      <c r="I4343">
        <v>425.94</v>
      </c>
      <c r="J4343" s="7">
        <v>734220</v>
      </c>
      <c r="K4343" s="89">
        <f t="shared" si="265"/>
        <v>1098</v>
      </c>
      <c r="L4343" s="7">
        <v>735318</v>
      </c>
      <c r="M4343" s="10">
        <f t="shared" si="264"/>
        <v>38.792349726775953</v>
      </c>
    </row>
    <row r="4344" spans="1:13" ht="15.75" hidden="1" customHeight="1" x14ac:dyDescent="0.3">
      <c r="A4344" s="9">
        <v>1284</v>
      </c>
      <c r="B4344" t="s">
        <v>179</v>
      </c>
      <c r="C4344" s="25">
        <v>44624</v>
      </c>
      <c r="D4344" s="26">
        <v>0.84641203703703705</v>
      </c>
      <c r="E4344" t="s">
        <v>26</v>
      </c>
      <c r="F4344" t="s">
        <v>175</v>
      </c>
      <c r="G4344" t="s">
        <v>172</v>
      </c>
      <c r="H4344" t="s">
        <v>180</v>
      </c>
      <c r="I4344">
        <v>362.75</v>
      </c>
      <c r="J4344" s="32">
        <v>735318</v>
      </c>
      <c r="K4344" s="89">
        <f t="shared" si="265"/>
        <v>981</v>
      </c>
      <c r="L4344" s="32">
        <v>736299</v>
      </c>
      <c r="M4344" s="36">
        <f t="shared" si="264"/>
        <v>36.977573904179408</v>
      </c>
    </row>
    <row r="4345" spans="1:13" ht="15.75" hidden="1" customHeight="1" x14ac:dyDescent="0.3">
      <c r="A4345" s="9">
        <v>1285</v>
      </c>
      <c r="B4345" t="s">
        <v>179</v>
      </c>
      <c r="C4345" s="25">
        <v>44625</v>
      </c>
      <c r="D4345" s="26">
        <v>0.74077546296296293</v>
      </c>
      <c r="E4345" t="s">
        <v>26</v>
      </c>
      <c r="F4345" t="s">
        <v>210</v>
      </c>
      <c r="G4345" t="s">
        <v>211</v>
      </c>
      <c r="H4345" t="s">
        <v>180</v>
      </c>
      <c r="I4345">
        <v>383.87</v>
      </c>
      <c r="J4345" s="32">
        <v>736299</v>
      </c>
      <c r="K4345" s="89">
        <f t="shared" si="265"/>
        <v>862</v>
      </c>
      <c r="L4345" s="32">
        <v>737161</v>
      </c>
      <c r="M4345" s="36">
        <f t="shared" si="264"/>
        <v>44.532482598607885</v>
      </c>
    </row>
    <row r="4346" spans="1:13" ht="15.75" hidden="1" customHeight="1" x14ac:dyDescent="0.3">
      <c r="A4346" s="9">
        <v>1286</v>
      </c>
      <c r="B4346" t="s">
        <v>179</v>
      </c>
      <c r="C4346" s="25">
        <v>44626</v>
      </c>
      <c r="D4346" s="26">
        <v>0.19927083333333331</v>
      </c>
      <c r="E4346" t="s">
        <v>26</v>
      </c>
      <c r="F4346" t="s">
        <v>165</v>
      </c>
      <c r="G4346" t="s">
        <v>185</v>
      </c>
      <c r="H4346" t="s">
        <v>180</v>
      </c>
      <c r="I4346">
        <v>200</v>
      </c>
      <c r="J4346" s="32">
        <v>737161</v>
      </c>
      <c r="K4346" s="89">
        <f t="shared" si="265"/>
        <v>568</v>
      </c>
      <c r="L4346" s="32">
        <v>737729</v>
      </c>
      <c r="M4346" s="36">
        <f t="shared" si="264"/>
        <v>35.2112676056338</v>
      </c>
    </row>
    <row r="4347" spans="1:13" ht="15.75" hidden="1" customHeight="1" x14ac:dyDescent="0.3">
      <c r="A4347" s="9">
        <v>1287</v>
      </c>
      <c r="B4347" t="s">
        <v>179</v>
      </c>
      <c r="C4347" s="25">
        <v>44627</v>
      </c>
      <c r="D4347" s="26">
        <v>0.78916666666666668</v>
      </c>
      <c r="E4347" t="s">
        <v>26</v>
      </c>
      <c r="F4347" t="s">
        <v>202</v>
      </c>
      <c r="G4347" t="s">
        <v>203</v>
      </c>
      <c r="H4347" t="s">
        <v>180</v>
      </c>
      <c r="I4347">
        <v>415.5</v>
      </c>
      <c r="J4347" s="32">
        <v>737729</v>
      </c>
      <c r="K4347" s="89">
        <f t="shared" si="265"/>
        <v>1090</v>
      </c>
      <c r="L4347" s="32">
        <v>738819</v>
      </c>
      <c r="M4347" s="36">
        <f t="shared" si="264"/>
        <v>38.11926605504587</v>
      </c>
    </row>
    <row r="4348" spans="1:13" ht="15.75" hidden="1" customHeight="1" x14ac:dyDescent="0.3">
      <c r="A4348" s="9">
        <v>1288</v>
      </c>
      <c r="B4348" t="s">
        <v>179</v>
      </c>
      <c r="C4348" s="25">
        <v>44628</v>
      </c>
      <c r="D4348" s="26">
        <v>0.99927083333333344</v>
      </c>
      <c r="E4348" t="s">
        <v>26</v>
      </c>
      <c r="F4348" t="s">
        <v>210</v>
      </c>
      <c r="G4348" t="s">
        <v>211</v>
      </c>
      <c r="H4348" t="s">
        <v>180</v>
      </c>
      <c r="I4348">
        <v>417.61</v>
      </c>
      <c r="J4348" s="32">
        <v>738819</v>
      </c>
      <c r="K4348" s="90">
        <f t="shared" si="265"/>
        <v>1128</v>
      </c>
      <c r="L4348" s="37">
        <v>739947</v>
      </c>
      <c r="M4348" s="10">
        <f t="shared" si="264"/>
        <v>37.022163120567377</v>
      </c>
    </row>
    <row r="4349" spans="1:13" ht="15.75" hidden="1" customHeight="1" x14ac:dyDescent="0.3">
      <c r="A4349" s="9">
        <v>1289</v>
      </c>
      <c r="B4349" t="s">
        <v>179</v>
      </c>
      <c r="C4349" s="25">
        <v>44630</v>
      </c>
      <c r="D4349" s="26">
        <v>0.42487268518518517</v>
      </c>
      <c r="E4349" t="s">
        <v>26</v>
      </c>
      <c r="F4349" t="s">
        <v>175</v>
      </c>
      <c r="G4349" t="s">
        <v>172</v>
      </c>
      <c r="H4349" t="s">
        <v>180</v>
      </c>
      <c r="I4349">
        <v>513.98</v>
      </c>
      <c r="J4349" s="32">
        <v>739947</v>
      </c>
      <c r="K4349" s="90">
        <f t="shared" si="265"/>
        <v>963</v>
      </c>
      <c r="L4349" s="32">
        <v>740910</v>
      </c>
      <c r="M4349" s="10">
        <f t="shared" si="264"/>
        <v>53.372793354101766</v>
      </c>
    </row>
    <row r="4350" spans="1:13" ht="15.75" hidden="1" customHeight="1" x14ac:dyDescent="0.3">
      <c r="A4350" s="9">
        <v>2308</v>
      </c>
      <c r="B4350" t="s">
        <v>179</v>
      </c>
      <c r="C4350" s="25">
        <v>44642</v>
      </c>
      <c r="D4350" s="26">
        <v>0.88309027777777782</v>
      </c>
      <c r="E4350" t="s">
        <v>26</v>
      </c>
      <c r="F4350" t="s">
        <v>175</v>
      </c>
      <c r="G4350" t="s">
        <v>172</v>
      </c>
      <c r="H4350" t="s">
        <v>133</v>
      </c>
      <c r="I4350">
        <v>156.99</v>
      </c>
      <c r="J4350" s="37">
        <v>0</v>
      </c>
      <c r="K4350" s="97">
        <f t="shared" si="265"/>
        <v>198.48</v>
      </c>
      <c r="L4350" s="32">
        <v>198.48</v>
      </c>
      <c r="M4350" s="10">
        <f t="shared" si="264"/>
        <v>79.09613059250303</v>
      </c>
    </row>
    <row r="4351" spans="1:13" ht="15.75" hidden="1" customHeight="1" x14ac:dyDescent="0.3">
      <c r="A4351" s="9">
        <v>2309</v>
      </c>
      <c r="B4351" t="s">
        <v>179</v>
      </c>
      <c r="C4351" s="25">
        <v>44643</v>
      </c>
      <c r="D4351" s="26">
        <v>0.84249999999999992</v>
      </c>
      <c r="E4351" t="s">
        <v>26</v>
      </c>
      <c r="F4351" t="s">
        <v>311</v>
      </c>
      <c r="G4351" t="s">
        <v>303</v>
      </c>
      <c r="H4351" t="s">
        <v>133</v>
      </c>
      <c r="I4351">
        <v>209.02</v>
      </c>
      <c r="J4351" s="37">
        <v>0</v>
      </c>
      <c r="K4351" s="97">
        <f t="shared" si="265"/>
        <v>440.21</v>
      </c>
      <c r="L4351" s="32">
        <v>440.21</v>
      </c>
      <c r="M4351" s="10">
        <f t="shared" si="264"/>
        <v>47.481883646441474</v>
      </c>
    </row>
    <row r="4352" spans="1:13" ht="15.75" hidden="1" customHeight="1" x14ac:dyDescent="0.3">
      <c r="A4352" s="9">
        <v>2310</v>
      </c>
      <c r="B4352" t="s">
        <v>179</v>
      </c>
      <c r="C4352" s="25">
        <v>44644</v>
      </c>
      <c r="D4352" s="26">
        <v>9.3784722222222228E-2</v>
      </c>
      <c r="E4352" t="s">
        <v>26</v>
      </c>
      <c r="F4352" t="s">
        <v>166</v>
      </c>
      <c r="G4352" t="s">
        <v>161</v>
      </c>
      <c r="H4352" t="s">
        <v>133</v>
      </c>
      <c r="I4352">
        <v>177.57</v>
      </c>
      <c r="J4352" s="37">
        <v>0</v>
      </c>
      <c r="K4352" s="97">
        <f t="shared" si="265"/>
        <v>354.41</v>
      </c>
      <c r="L4352" s="32">
        <v>354.41</v>
      </c>
      <c r="M4352" s="10">
        <f t="shared" si="264"/>
        <v>50.102988064670861</v>
      </c>
    </row>
    <row r="4353" spans="1:13" ht="15.75" hidden="1" customHeight="1" x14ac:dyDescent="0.3">
      <c r="A4353" s="9">
        <v>2311</v>
      </c>
      <c r="B4353" t="s">
        <v>179</v>
      </c>
      <c r="C4353" s="25">
        <v>44646</v>
      </c>
      <c r="D4353" s="26">
        <v>9.6724537037037039E-2</v>
      </c>
      <c r="E4353" t="s">
        <v>26</v>
      </c>
      <c r="F4353" t="s">
        <v>210</v>
      </c>
      <c r="G4353" t="s">
        <v>211</v>
      </c>
      <c r="H4353" t="s">
        <v>133</v>
      </c>
      <c r="I4353">
        <v>466.46</v>
      </c>
      <c r="J4353" s="32">
        <v>0</v>
      </c>
      <c r="K4353" s="90">
        <f t="shared" si="265"/>
        <v>1180</v>
      </c>
      <c r="L4353" s="32">
        <v>1180</v>
      </c>
      <c r="M4353" s="10">
        <f t="shared" si="264"/>
        <v>39.530508474576273</v>
      </c>
    </row>
    <row r="4354" spans="1:13" ht="15.75" hidden="1" customHeight="1" x14ac:dyDescent="0.3">
      <c r="A4354" s="9">
        <v>2661</v>
      </c>
      <c r="B4354" t="s">
        <v>179</v>
      </c>
      <c r="C4354" s="25">
        <v>44678</v>
      </c>
      <c r="D4354" s="26">
        <v>0.45606481481481481</v>
      </c>
      <c r="E4354" t="s">
        <v>27</v>
      </c>
      <c r="F4354" t="s">
        <v>171</v>
      </c>
      <c r="G4354" t="s">
        <v>172</v>
      </c>
      <c r="H4354" t="s">
        <v>305</v>
      </c>
      <c r="I4354">
        <v>305.64999999999998</v>
      </c>
      <c r="J4354" s="7">
        <v>0</v>
      </c>
      <c r="K4354" s="90">
        <f t="shared" si="265"/>
        <v>1054.4100000000001</v>
      </c>
      <c r="L4354" s="7">
        <v>1054.4100000000001</v>
      </c>
      <c r="M4354" s="10">
        <f t="shared" ref="M4354:M4385" si="266">I4354/K4354*100</f>
        <v>28.987775153877521</v>
      </c>
    </row>
    <row r="4355" spans="1:13" ht="15.75" hidden="1" customHeight="1" x14ac:dyDescent="0.3">
      <c r="A4355" s="9">
        <v>2662</v>
      </c>
      <c r="B4355" t="s">
        <v>179</v>
      </c>
      <c r="C4355" s="25">
        <v>44678</v>
      </c>
      <c r="D4355" s="26">
        <v>0.90157407407407408</v>
      </c>
      <c r="E4355" t="s">
        <v>27</v>
      </c>
      <c r="F4355" t="s">
        <v>166</v>
      </c>
      <c r="G4355" t="s">
        <v>161</v>
      </c>
      <c r="H4355" t="s">
        <v>305</v>
      </c>
      <c r="I4355">
        <v>226.37</v>
      </c>
      <c r="J4355" s="7">
        <v>0</v>
      </c>
      <c r="K4355" s="90">
        <f t="shared" si="265"/>
        <v>616</v>
      </c>
      <c r="L4355" s="7">
        <v>616</v>
      </c>
      <c r="M4355" s="36">
        <f t="shared" si="266"/>
        <v>36.748376623376622</v>
      </c>
    </row>
    <row r="4356" spans="1:13" ht="15.75" hidden="1" customHeight="1" x14ac:dyDescent="0.3">
      <c r="A4356" s="9">
        <v>3236</v>
      </c>
      <c r="B4356" t="s">
        <v>179</v>
      </c>
      <c r="C4356" s="25">
        <v>44652</v>
      </c>
      <c r="D4356" s="26">
        <v>0.96924768518518523</v>
      </c>
      <c r="E4356" t="s">
        <v>27</v>
      </c>
      <c r="F4356" t="s">
        <v>175</v>
      </c>
      <c r="G4356" t="s">
        <v>172</v>
      </c>
      <c r="H4356" t="s">
        <v>140</v>
      </c>
      <c r="I4356" s="4">
        <v>284.55</v>
      </c>
      <c r="J4356" s="34">
        <v>0</v>
      </c>
      <c r="K4356" s="90">
        <f t="shared" si="265"/>
        <v>727.85</v>
      </c>
      <c r="L4356" s="7">
        <v>727.85</v>
      </c>
      <c r="M4356" s="36">
        <f t="shared" si="266"/>
        <v>39.094593666277397</v>
      </c>
    </row>
    <row r="4357" spans="1:13" ht="15.75" hidden="1" customHeight="1" x14ac:dyDescent="0.3">
      <c r="A4357" s="9">
        <v>3237</v>
      </c>
      <c r="B4357" t="s">
        <v>179</v>
      </c>
      <c r="C4357" s="25">
        <v>44653</v>
      </c>
      <c r="D4357" s="26">
        <v>0.94401620370370365</v>
      </c>
      <c r="E4357" t="s">
        <v>27</v>
      </c>
      <c r="F4357" t="s">
        <v>166</v>
      </c>
      <c r="G4357" t="s">
        <v>161</v>
      </c>
      <c r="H4357" t="s">
        <v>140</v>
      </c>
      <c r="I4357" s="4">
        <v>313.01</v>
      </c>
      <c r="J4357" s="34">
        <v>0</v>
      </c>
      <c r="K4357" s="90">
        <f t="shared" si="265"/>
        <v>755.46</v>
      </c>
      <c r="L4357" s="7">
        <v>755.46</v>
      </c>
      <c r="M4357" s="36">
        <f t="shared" si="266"/>
        <v>41.433034177851901</v>
      </c>
    </row>
    <row r="4358" spans="1:13" ht="15.75" hidden="1" customHeight="1" x14ac:dyDescent="0.3">
      <c r="A4358" s="9">
        <v>3238</v>
      </c>
      <c r="B4358" t="s">
        <v>179</v>
      </c>
      <c r="C4358" s="25">
        <v>44654</v>
      </c>
      <c r="D4358" s="26">
        <v>0.81957175925925929</v>
      </c>
      <c r="E4358" t="s">
        <v>27</v>
      </c>
      <c r="F4358" t="s">
        <v>165</v>
      </c>
      <c r="G4358" t="s">
        <v>185</v>
      </c>
      <c r="H4358" t="s">
        <v>140</v>
      </c>
      <c r="I4358" s="4">
        <v>321.33999999999997</v>
      </c>
      <c r="J4358" s="34">
        <v>0</v>
      </c>
      <c r="K4358" s="90">
        <f t="shared" si="265"/>
        <v>625.15</v>
      </c>
      <c r="L4358" s="7">
        <v>625.15</v>
      </c>
      <c r="M4358" s="36">
        <f t="shared" si="266"/>
        <v>51.402063504758857</v>
      </c>
    </row>
    <row r="4359" spans="1:13" ht="15.75" hidden="1" customHeight="1" x14ac:dyDescent="0.3">
      <c r="A4359" s="9">
        <v>3239</v>
      </c>
      <c r="B4359" t="s">
        <v>179</v>
      </c>
      <c r="C4359" s="25">
        <v>44655</v>
      </c>
      <c r="D4359" s="26">
        <v>0.40026620370370369</v>
      </c>
      <c r="E4359" t="s">
        <v>27</v>
      </c>
      <c r="F4359" t="s">
        <v>210</v>
      </c>
      <c r="G4359" t="s">
        <v>211</v>
      </c>
      <c r="H4359" t="s">
        <v>140</v>
      </c>
      <c r="I4359" s="4">
        <v>157.36000000000001</v>
      </c>
      <c r="J4359" s="37">
        <v>0</v>
      </c>
      <c r="K4359" s="90">
        <f t="shared" si="265"/>
        <v>514.59</v>
      </c>
      <c r="L4359" s="32">
        <v>514.59</v>
      </c>
      <c r="M4359" s="36">
        <f t="shared" si="266"/>
        <v>30.579684797605861</v>
      </c>
    </row>
    <row r="4360" spans="1:13" ht="15.75" hidden="1" customHeight="1" x14ac:dyDescent="0.3">
      <c r="A4360" s="9">
        <v>3240</v>
      </c>
      <c r="B4360" t="s">
        <v>179</v>
      </c>
      <c r="C4360" s="25">
        <v>44656</v>
      </c>
      <c r="D4360" s="26">
        <v>0.41908564814814814</v>
      </c>
      <c r="E4360" t="s">
        <v>27</v>
      </c>
      <c r="F4360" t="s">
        <v>175</v>
      </c>
      <c r="G4360" t="s">
        <v>172</v>
      </c>
      <c r="H4360" t="s">
        <v>140</v>
      </c>
      <c r="I4360" s="4">
        <v>332.21</v>
      </c>
      <c r="J4360" s="37">
        <v>0</v>
      </c>
      <c r="K4360" s="90">
        <f t="shared" si="265"/>
        <v>959.95</v>
      </c>
      <c r="L4360" s="7">
        <v>959.95</v>
      </c>
      <c r="M4360" s="36">
        <f t="shared" si="266"/>
        <v>34.607010781811546</v>
      </c>
    </row>
    <row r="4361" spans="1:13" ht="15.75" hidden="1" customHeight="1" x14ac:dyDescent="0.3">
      <c r="A4361" s="9">
        <v>3241</v>
      </c>
      <c r="B4361" t="s">
        <v>179</v>
      </c>
      <c r="C4361" s="25">
        <v>44657</v>
      </c>
      <c r="D4361" s="26">
        <v>0.55967592592592597</v>
      </c>
      <c r="E4361" t="s">
        <v>27</v>
      </c>
      <c r="F4361" t="s">
        <v>166</v>
      </c>
      <c r="G4361" t="s">
        <v>161</v>
      </c>
      <c r="H4361" t="s">
        <v>140</v>
      </c>
      <c r="I4361" s="4">
        <v>324.02999999999997</v>
      </c>
      <c r="J4361" s="37">
        <v>0</v>
      </c>
      <c r="K4361" s="90">
        <f t="shared" si="265"/>
        <v>755.26</v>
      </c>
      <c r="L4361" s="32">
        <v>755.26</v>
      </c>
      <c r="M4361" s="36">
        <f t="shared" si="266"/>
        <v>42.903106215078246</v>
      </c>
    </row>
    <row r="4362" spans="1:13" ht="15.75" hidden="1" customHeight="1" x14ac:dyDescent="0.3">
      <c r="A4362" s="9">
        <v>3242</v>
      </c>
      <c r="B4362" t="s">
        <v>179</v>
      </c>
      <c r="C4362" s="25">
        <v>44658</v>
      </c>
      <c r="D4362" s="26">
        <v>5.1909722222222225E-2</v>
      </c>
      <c r="E4362" t="s">
        <v>27</v>
      </c>
      <c r="F4362" t="s">
        <v>165</v>
      </c>
      <c r="G4362" t="s">
        <v>185</v>
      </c>
      <c r="H4362" t="s">
        <v>140</v>
      </c>
      <c r="I4362" s="4">
        <v>100</v>
      </c>
      <c r="J4362" s="37">
        <v>0</v>
      </c>
      <c r="K4362" s="90">
        <f t="shared" si="265"/>
        <v>623.14</v>
      </c>
      <c r="L4362" s="7">
        <v>623.14</v>
      </c>
      <c r="M4362" s="36">
        <f t="shared" si="266"/>
        <v>16.047758128189493</v>
      </c>
    </row>
    <row r="4363" spans="1:13" ht="15.75" hidden="1" customHeight="1" x14ac:dyDescent="0.3">
      <c r="A4363" s="9">
        <v>3243</v>
      </c>
      <c r="B4363" t="s">
        <v>179</v>
      </c>
      <c r="C4363" s="25">
        <v>44658</v>
      </c>
      <c r="D4363" s="26">
        <v>0.75902777777777775</v>
      </c>
      <c r="E4363" t="s">
        <v>27</v>
      </c>
      <c r="F4363" t="s">
        <v>210</v>
      </c>
      <c r="G4363" t="s">
        <v>211</v>
      </c>
      <c r="H4363" t="s">
        <v>140</v>
      </c>
      <c r="I4363" s="4">
        <v>408.85</v>
      </c>
      <c r="J4363" s="37">
        <v>0</v>
      </c>
      <c r="K4363" s="90">
        <f t="shared" si="265"/>
        <v>1195</v>
      </c>
      <c r="L4363" s="33">
        <v>1195</v>
      </c>
      <c r="M4363" s="36">
        <f t="shared" si="266"/>
        <v>34.213389121338913</v>
      </c>
    </row>
    <row r="4364" spans="1:13" ht="15.75" hidden="1" customHeight="1" x14ac:dyDescent="0.3">
      <c r="A4364" s="9">
        <v>3244</v>
      </c>
      <c r="B4364" t="s">
        <v>179</v>
      </c>
      <c r="C4364" s="25">
        <v>44660</v>
      </c>
      <c r="D4364" s="26">
        <v>0.51560185185185181</v>
      </c>
      <c r="E4364" t="s">
        <v>27</v>
      </c>
      <c r="F4364" t="s">
        <v>175</v>
      </c>
      <c r="G4364" t="s">
        <v>172</v>
      </c>
      <c r="H4364" t="s">
        <v>140</v>
      </c>
      <c r="I4364" s="4">
        <v>390.44</v>
      </c>
      <c r="J4364" s="37">
        <v>0</v>
      </c>
      <c r="K4364" s="90">
        <f t="shared" ref="K4364:K4371" si="267">+L4364-J4364</f>
        <v>1073.53</v>
      </c>
      <c r="L4364" s="7">
        <v>1073.53</v>
      </c>
      <c r="M4364" s="36">
        <f t="shared" si="266"/>
        <v>36.369733496036446</v>
      </c>
    </row>
    <row r="4365" spans="1:13" ht="15.75" hidden="1" customHeight="1" x14ac:dyDescent="0.3">
      <c r="A4365" s="9">
        <v>3245</v>
      </c>
      <c r="B4365" t="s">
        <v>179</v>
      </c>
      <c r="C4365" s="25">
        <v>44661</v>
      </c>
      <c r="D4365" s="26">
        <v>0.37829861111111113</v>
      </c>
      <c r="E4365" t="s">
        <v>27</v>
      </c>
      <c r="F4365" t="s">
        <v>166</v>
      </c>
      <c r="G4365" t="s">
        <v>161</v>
      </c>
      <c r="H4365" t="s">
        <v>140</v>
      </c>
      <c r="I4365" s="4">
        <v>313.64</v>
      </c>
      <c r="J4365" s="37">
        <v>0</v>
      </c>
      <c r="K4365" s="90">
        <f t="shared" si="267"/>
        <v>754.91</v>
      </c>
      <c r="L4365" s="52">
        <v>754.91</v>
      </c>
      <c r="M4365" s="10">
        <f t="shared" si="266"/>
        <v>41.546674438012474</v>
      </c>
    </row>
    <row r="4366" spans="1:13" ht="15.75" hidden="1" customHeight="1" x14ac:dyDescent="0.3">
      <c r="A4366" s="9">
        <v>3246</v>
      </c>
      <c r="B4366" t="s">
        <v>179</v>
      </c>
      <c r="C4366" s="25">
        <v>44665</v>
      </c>
      <c r="D4366" s="26">
        <v>0.45677083333333335</v>
      </c>
      <c r="E4366" t="s">
        <v>27</v>
      </c>
      <c r="F4366" t="s">
        <v>210</v>
      </c>
      <c r="G4366" t="s">
        <v>211</v>
      </c>
      <c r="H4366" t="s">
        <v>140</v>
      </c>
      <c r="I4366" s="4">
        <v>475.04</v>
      </c>
      <c r="J4366" s="37">
        <v>0</v>
      </c>
      <c r="K4366" s="90">
        <f t="shared" si="267"/>
        <v>1297.3699999999999</v>
      </c>
      <c r="L4366" s="51">
        <v>1297.3699999999999</v>
      </c>
      <c r="M4366" s="10">
        <f t="shared" si="266"/>
        <v>36.61561466659473</v>
      </c>
    </row>
    <row r="4367" spans="1:13" ht="15.75" hidden="1" customHeight="1" x14ac:dyDescent="0.3">
      <c r="A4367" s="9">
        <v>3247</v>
      </c>
      <c r="B4367" t="s">
        <v>179</v>
      </c>
      <c r="C4367" s="25">
        <v>44666</v>
      </c>
      <c r="D4367" s="26">
        <v>0.77057870370370374</v>
      </c>
      <c r="E4367" t="s">
        <v>27</v>
      </c>
      <c r="F4367" t="s">
        <v>175</v>
      </c>
      <c r="G4367" t="s">
        <v>172</v>
      </c>
      <c r="H4367" t="s">
        <v>140</v>
      </c>
      <c r="I4367" s="4">
        <v>351.12</v>
      </c>
      <c r="J4367" s="37">
        <v>0</v>
      </c>
      <c r="K4367" s="90">
        <f t="shared" si="267"/>
        <v>1047.8800000000001</v>
      </c>
      <c r="L4367" s="52">
        <v>1047.8800000000001</v>
      </c>
      <c r="M4367" s="10">
        <f t="shared" si="266"/>
        <v>33.507653548116195</v>
      </c>
    </row>
    <row r="4368" spans="1:13" ht="15.75" hidden="1" customHeight="1" x14ac:dyDescent="0.3">
      <c r="A4368" s="9">
        <v>3861</v>
      </c>
      <c r="B4368" t="s">
        <v>179</v>
      </c>
      <c r="C4368" s="25">
        <v>44686</v>
      </c>
      <c r="D4368" s="26">
        <v>0.52200231481481485</v>
      </c>
      <c r="E4368" t="s">
        <v>28</v>
      </c>
      <c r="F4368" t="s">
        <v>171</v>
      </c>
      <c r="G4368" t="s">
        <v>172</v>
      </c>
      <c r="H4368" t="s">
        <v>180</v>
      </c>
      <c r="I4368">
        <v>272.02999999999997</v>
      </c>
      <c r="J4368" s="52">
        <v>0</v>
      </c>
      <c r="K4368" s="97">
        <f t="shared" si="267"/>
        <v>0</v>
      </c>
      <c r="L4368" s="52"/>
      <c r="M4368" s="10" t="e">
        <f t="shared" si="266"/>
        <v>#DIV/0!</v>
      </c>
    </row>
    <row r="4369" spans="1:13" ht="15.75" hidden="1" customHeight="1" x14ac:dyDescent="0.3">
      <c r="A4369" s="9">
        <v>3935</v>
      </c>
      <c r="B4369" t="s">
        <v>179</v>
      </c>
      <c r="C4369" s="25">
        <v>44687</v>
      </c>
      <c r="D4369" s="26">
        <v>0.49320601851851853</v>
      </c>
      <c r="E4369" t="s">
        <v>28</v>
      </c>
      <c r="F4369" t="s">
        <v>166</v>
      </c>
      <c r="G4369" t="s">
        <v>161</v>
      </c>
      <c r="H4369" t="s">
        <v>180</v>
      </c>
      <c r="I4369" s="127">
        <v>340.04</v>
      </c>
      <c r="J4369" s="52">
        <v>0</v>
      </c>
      <c r="K4369" s="90">
        <f t="shared" si="267"/>
        <v>761</v>
      </c>
      <c r="L4369" s="52">
        <v>761</v>
      </c>
      <c r="M4369" s="10">
        <f t="shared" si="266"/>
        <v>44.683311432325887</v>
      </c>
    </row>
    <row r="4370" spans="1:13" ht="15.75" hidden="1" customHeight="1" x14ac:dyDescent="0.3">
      <c r="A4370" s="9">
        <v>3967</v>
      </c>
      <c r="B4370" t="s">
        <v>179</v>
      </c>
      <c r="C4370" s="25">
        <v>44688</v>
      </c>
      <c r="D4370" s="26">
        <v>0.71938657407407414</v>
      </c>
      <c r="E4370" t="s">
        <v>28</v>
      </c>
      <c r="F4370" t="s">
        <v>210</v>
      </c>
      <c r="G4370" t="s">
        <v>211</v>
      </c>
      <c r="H4370" t="s">
        <v>180</v>
      </c>
      <c r="I4370">
        <v>430.64</v>
      </c>
      <c r="J4370" s="52">
        <v>0</v>
      </c>
      <c r="K4370" s="90">
        <f t="shared" si="267"/>
        <v>847</v>
      </c>
      <c r="L4370" s="52">
        <v>847</v>
      </c>
      <c r="M4370" s="10">
        <f t="shared" si="266"/>
        <v>50.842975206611577</v>
      </c>
    </row>
    <row r="4371" spans="1:13" ht="15.75" hidden="1" customHeight="1" x14ac:dyDescent="0.3">
      <c r="A4371" s="9">
        <v>4064</v>
      </c>
      <c r="B4371" t="s">
        <v>179</v>
      </c>
      <c r="C4371" s="25">
        <v>44690</v>
      </c>
      <c r="D4371" s="26">
        <v>0.81586805555555564</v>
      </c>
      <c r="E4371" t="s">
        <v>28</v>
      </c>
      <c r="F4371" t="s">
        <v>171</v>
      </c>
      <c r="G4371" t="s">
        <v>172</v>
      </c>
      <c r="H4371" t="s">
        <v>180</v>
      </c>
      <c r="I4371">
        <v>384.43</v>
      </c>
      <c r="J4371" s="41">
        <v>0</v>
      </c>
      <c r="K4371" s="90">
        <f t="shared" si="267"/>
        <v>1071</v>
      </c>
      <c r="L4371" s="53">
        <v>1071</v>
      </c>
      <c r="M4371" s="10">
        <f t="shared" si="266"/>
        <v>35.894491129785251</v>
      </c>
    </row>
    <row r="4372" spans="1:13" ht="15.75" hidden="1" customHeight="1" x14ac:dyDescent="0.3">
      <c r="A4372" s="9">
        <v>4134</v>
      </c>
      <c r="B4372" t="s">
        <v>179</v>
      </c>
      <c r="C4372" s="25">
        <v>44691</v>
      </c>
      <c r="D4372" s="26">
        <v>0.86841435185185178</v>
      </c>
      <c r="E4372" t="s">
        <v>28</v>
      </c>
      <c r="F4372" t="s">
        <v>166</v>
      </c>
      <c r="G4372" t="s">
        <v>161</v>
      </c>
      <c r="H4372" t="s">
        <v>180</v>
      </c>
      <c r="I4372" s="127">
        <v>326.14999999999998</v>
      </c>
      <c r="J4372" s="41">
        <v>0</v>
      </c>
      <c r="K4372" s="90">
        <f>+L4372-J4500</f>
        <v>760</v>
      </c>
      <c r="L4372" s="53">
        <v>760</v>
      </c>
      <c r="M4372" s="10">
        <f t="shared" si="266"/>
        <v>42.914473684210527</v>
      </c>
    </row>
    <row r="4373" spans="1:13" ht="15.75" hidden="1" customHeight="1" x14ac:dyDescent="0.3">
      <c r="A4373" s="9">
        <v>4204</v>
      </c>
      <c r="B4373" t="s">
        <v>179</v>
      </c>
      <c r="C4373" s="25">
        <v>44693</v>
      </c>
      <c r="D4373" s="26">
        <v>0.47159722222222222</v>
      </c>
      <c r="E4373" t="s">
        <v>28</v>
      </c>
      <c r="F4373" t="s">
        <v>210</v>
      </c>
      <c r="G4373" t="s">
        <v>211</v>
      </c>
      <c r="H4373" t="s">
        <v>180</v>
      </c>
      <c r="I4373" s="127">
        <f>18.8+432.47</f>
        <v>451.27000000000004</v>
      </c>
      <c r="J4373" s="69">
        <v>0</v>
      </c>
      <c r="K4373" s="90">
        <f>+L4373-J4502</f>
        <v>-761</v>
      </c>
      <c r="L4373" s="53">
        <v>513</v>
      </c>
      <c r="M4373" s="10">
        <f t="shared" si="266"/>
        <v>-59.299605781865971</v>
      </c>
    </row>
    <row r="4374" spans="1:13" ht="15.75" hidden="1" customHeight="1" x14ac:dyDescent="0.3">
      <c r="A4374" s="9">
        <v>4251</v>
      </c>
      <c r="B4374" t="s">
        <v>179</v>
      </c>
      <c r="C4374" s="25">
        <v>44694</v>
      </c>
      <c r="D4374" s="26">
        <v>0.64203703703703707</v>
      </c>
      <c r="E4374" t="s">
        <v>28</v>
      </c>
      <c r="F4374" t="s">
        <v>428</v>
      </c>
      <c r="G4374" t="s">
        <v>429</v>
      </c>
      <c r="H4374" t="s">
        <v>180</v>
      </c>
      <c r="I4374" s="127">
        <v>100.14</v>
      </c>
      <c r="J4374" s="69">
        <v>0</v>
      </c>
      <c r="K4374" s="90">
        <f t="shared" ref="K4374:K4379" si="268">+L4374-J4502</f>
        <v>-371</v>
      </c>
      <c r="L4374" s="53">
        <v>903</v>
      </c>
      <c r="M4374" s="10">
        <f t="shared" si="266"/>
        <v>-26.991913746630729</v>
      </c>
    </row>
    <row r="4375" spans="1:13" ht="15.75" hidden="1" customHeight="1" x14ac:dyDescent="0.3">
      <c r="A4375" s="9">
        <v>4298</v>
      </c>
      <c r="B4375" t="s">
        <v>179</v>
      </c>
      <c r="C4375" s="25">
        <v>44695</v>
      </c>
      <c r="D4375" s="26">
        <v>0.33583333333333337</v>
      </c>
      <c r="E4375" t="s">
        <v>28</v>
      </c>
      <c r="F4375" t="s">
        <v>175</v>
      </c>
      <c r="G4375" t="s">
        <v>172</v>
      </c>
      <c r="H4375" t="s">
        <v>180</v>
      </c>
      <c r="I4375" s="127">
        <v>372.1</v>
      </c>
      <c r="J4375" s="37">
        <v>0</v>
      </c>
      <c r="K4375" s="97">
        <f t="shared" si="268"/>
        <v>-2523</v>
      </c>
      <c r="L4375" s="32">
        <v>281</v>
      </c>
      <c r="M4375" s="10">
        <f t="shared" si="266"/>
        <v>-14.748315497423704</v>
      </c>
    </row>
    <row r="4376" spans="1:13" ht="15.75" hidden="1" customHeight="1" x14ac:dyDescent="0.3">
      <c r="A4376" s="9">
        <v>4299</v>
      </c>
      <c r="B4376" t="s">
        <v>179</v>
      </c>
      <c r="C4376" s="25">
        <v>44695</v>
      </c>
      <c r="D4376" s="26">
        <v>0.9211111111111111</v>
      </c>
      <c r="E4376" t="s">
        <v>28</v>
      </c>
      <c r="F4376" t="s">
        <v>210</v>
      </c>
      <c r="G4376" t="s">
        <v>211</v>
      </c>
      <c r="H4376" t="s">
        <v>180</v>
      </c>
      <c r="I4376">
        <v>199.67</v>
      </c>
      <c r="J4376" s="32">
        <v>0</v>
      </c>
      <c r="K4376" s="90">
        <f t="shared" si="268"/>
        <v>76</v>
      </c>
      <c r="L4376" s="32">
        <v>76</v>
      </c>
      <c r="M4376" s="10">
        <f t="shared" si="266"/>
        <v>262.7236842105263</v>
      </c>
    </row>
    <row r="4377" spans="1:13" ht="15.75" hidden="1" customHeight="1" x14ac:dyDescent="0.3">
      <c r="A4377" s="9">
        <v>4311</v>
      </c>
      <c r="B4377" t="s">
        <v>179</v>
      </c>
      <c r="C4377" s="25">
        <v>44695</v>
      </c>
      <c r="D4377" s="26">
        <v>0.85225694444444444</v>
      </c>
      <c r="E4377" t="s">
        <v>28</v>
      </c>
      <c r="F4377" t="s">
        <v>166</v>
      </c>
      <c r="G4377" t="s">
        <v>161</v>
      </c>
      <c r="H4377" t="s">
        <v>180</v>
      </c>
      <c r="I4377">
        <v>100</v>
      </c>
      <c r="J4377" s="33">
        <v>0</v>
      </c>
      <c r="K4377" s="99">
        <f t="shared" si="268"/>
        <v>620</v>
      </c>
      <c r="L4377" s="32">
        <v>620</v>
      </c>
      <c r="M4377" s="10">
        <f t="shared" si="266"/>
        <v>16.129032258064516</v>
      </c>
    </row>
    <row r="4378" spans="1:13" ht="15.75" hidden="1" customHeight="1" x14ac:dyDescent="0.3">
      <c r="A4378" s="9">
        <v>4365</v>
      </c>
      <c r="B4378" t="s">
        <v>179</v>
      </c>
      <c r="C4378" s="25">
        <v>44696</v>
      </c>
      <c r="D4378" s="26">
        <v>0.74276620370370372</v>
      </c>
      <c r="E4378" t="s">
        <v>28</v>
      </c>
      <c r="F4378" t="s">
        <v>165</v>
      </c>
      <c r="G4378" t="s">
        <v>185</v>
      </c>
      <c r="H4378" t="s">
        <v>180</v>
      </c>
      <c r="I4378">
        <v>257.45</v>
      </c>
      <c r="J4378" s="33">
        <v>0</v>
      </c>
      <c r="K4378" s="99">
        <f t="shared" si="268"/>
        <v>550</v>
      </c>
      <c r="L4378" s="32">
        <v>550</v>
      </c>
      <c r="M4378" s="10">
        <f t="shared" si="266"/>
        <v>46.809090909090905</v>
      </c>
    </row>
    <row r="4379" spans="1:13" ht="15.75" hidden="1" customHeight="1" x14ac:dyDescent="0.3">
      <c r="A4379" s="9">
        <v>4439</v>
      </c>
      <c r="B4379" t="s">
        <v>179</v>
      </c>
      <c r="C4379" s="25">
        <v>44697</v>
      </c>
      <c r="D4379" s="26">
        <v>0.80596064814814816</v>
      </c>
      <c r="E4379" t="s">
        <v>28</v>
      </c>
      <c r="F4379" t="s">
        <v>210</v>
      </c>
      <c r="G4379" t="s">
        <v>211</v>
      </c>
      <c r="H4379" t="s">
        <v>180</v>
      </c>
      <c r="I4379">
        <v>255.17</v>
      </c>
      <c r="J4379" s="32">
        <v>0</v>
      </c>
      <c r="K4379" s="90">
        <f t="shared" si="268"/>
        <v>565</v>
      </c>
      <c r="L4379" s="32">
        <v>565</v>
      </c>
      <c r="M4379" s="10">
        <f t="shared" si="266"/>
        <v>45.162831858407074</v>
      </c>
    </row>
    <row r="4380" spans="1:13" ht="15.75" hidden="1" customHeight="1" x14ac:dyDescent="0.3">
      <c r="A4380" s="9">
        <v>4532</v>
      </c>
      <c r="B4380" t="s">
        <v>179</v>
      </c>
      <c r="C4380" s="25">
        <v>44699</v>
      </c>
      <c r="D4380" s="26">
        <v>0.52457175925925925</v>
      </c>
      <c r="E4380" t="s">
        <v>28</v>
      </c>
      <c r="F4380" t="s">
        <v>534</v>
      </c>
      <c r="G4380" t="s">
        <v>535</v>
      </c>
      <c r="H4380" t="s">
        <v>180</v>
      </c>
      <c r="I4380">
        <v>442.78</v>
      </c>
      <c r="J4380" s="32">
        <v>0</v>
      </c>
      <c r="K4380" s="90">
        <f>+L4380-J4507</f>
        <v>936</v>
      </c>
      <c r="L4380" s="32">
        <v>936</v>
      </c>
      <c r="M4380" s="10">
        <f t="shared" si="266"/>
        <v>47.30555555555555</v>
      </c>
    </row>
    <row r="4381" spans="1:13" ht="15.75" hidden="1" customHeight="1" x14ac:dyDescent="0.3">
      <c r="A4381" s="9">
        <v>4973</v>
      </c>
      <c r="B4381" t="s">
        <v>179</v>
      </c>
      <c r="C4381" s="25">
        <v>44707</v>
      </c>
      <c r="D4381" s="26">
        <v>0.9569212962962963</v>
      </c>
      <c r="E4381" t="s">
        <v>28</v>
      </c>
      <c r="F4381" t="s">
        <v>632</v>
      </c>
      <c r="G4381" t="s">
        <v>161</v>
      </c>
      <c r="H4381" t="s">
        <v>180</v>
      </c>
      <c r="I4381">
        <v>339.04</v>
      </c>
      <c r="J4381" s="32">
        <v>0</v>
      </c>
      <c r="K4381" s="105">
        <f>+L4381-J4508</f>
        <v>830</v>
      </c>
      <c r="L4381" s="51">
        <v>830</v>
      </c>
      <c r="M4381" s="10">
        <f t="shared" si="266"/>
        <v>40.848192771084342</v>
      </c>
    </row>
    <row r="4382" spans="1:13" ht="15.75" hidden="1" customHeight="1" x14ac:dyDescent="0.3">
      <c r="A4382" s="9">
        <v>5013</v>
      </c>
      <c r="B4382" t="s">
        <v>179</v>
      </c>
      <c r="C4382" s="25">
        <v>44708</v>
      </c>
      <c r="D4382" s="26">
        <v>0.75309027777777782</v>
      </c>
      <c r="E4382" t="s">
        <v>28</v>
      </c>
      <c r="F4382" t="s">
        <v>635</v>
      </c>
      <c r="G4382" t="s">
        <v>185</v>
      </c>
      <c r="H4382" t="s">
        <v>180</v>
      </c>
      <c r="I4382">
        <v>315.07</v>
      </c>
      <c r="J4382" s="7">
        <v>0</v>
      </c>
      <c r="K4382" s="90">
        <f>+L4382-J4587</f>
        <v>625</v>
      </c>
      <c r="L4382" s="7">
        <v>625</v>
      </c>
      <c r="M4382" s="10">
        <f t="shared" si="266"/>
        <v>50.411200000000001</v>
      </c>
    </row>
    <row r="4383" spans="1:13" ht="15.75" hidden="1" customHeight="1" x14ac:dyDescent="0.3">
      <c r="A4383" s="9">
        <v>5073</v>
      </c>
      <c r="B4383" t="s">
        <v>179</v>
      </c>
      <c r="C4383" s="25">
        <v>44709</v>
      </c>
      <c r="D4383" s="26">
        <v>0.85571759259259261</v>
      </c>
      <c r="E4383" t="s">
        <v>28</v>
      </c>
      <c r="F4383" t="s">
        <v>642</v>
      </c>
      <c r="G4383" t="s">
        <v>203</v>
      </c>
      <c r="H4383" t="s">
        <v>180</v>
      </c>
      <c r="I4383">
        <v>150</v>
      </c>
      <c r="J4383" s="7">
        <v>0</v>
      </c>
      <c r="K4383" s="89">
        <f>+L4383-J4621</f>
        <v>1049</v>
      </c>
      <c r="L4383" s="32">
        <v>1049</v>
      </c>
      <c r="M4383" s="10">
        <f t="shared" si="266"/>
        <v>14.299332697807435</v>
      </c>
    </row>
    <row r="4384" spans="1:13" ht="15.75" hidden="1" customHeight="1" x14ac:dyDescent="0.3">
      <c r="A4384" s="9">
        <v>5123</v>
      </c>
      <c r="B4384" t="s">
        <v>179</v>
      </c>
      <c r="C4384" s="25">
        <v>44710</v>
      </c>
      <c r="D4384" s="26">
        <v>0.56012731481481481</v>
      </c>
      <c r="E4384" t="s">
        <v>28</v>
      </c>
      <c r="F4384" t="s">
        <v>635</v>
      </c>
      <c r="G4384" t="s">
        <v>185</v>
      </c>
      <c r="H4384" t="s">
        <v>180</v>
      </c>
      <c r="I4384">
        <v>485.85</v>
      </c>
      <c r="J4384" s="7">
        <v>0</v>
      </c>
      <c r="K4384" s="89">
        <f>+L4384-J4589</f>
        <v>573</v>
      </c>
      <c r="L4384" s="7">
        <v>573</v>
      </c>
      <c r="M4384" s="10">
        <f t="shared" si="266"/>
        <v>84.790575916230367</v>
      </c>
    </row>
    <row r="4385" spans="1:19" ht="15.75" hidden="1" customHeight="1" x14ac:dyDescent="0.3">
      <c r="A4385" s="9">
        <v>5124</v>
      </c>
      <c r="B4385" t="s">
        <v>179</v>
      </c>
      <c r="C4385" s="25">
        <v>44710</v>
      </c>
      <c r="D4385" s="26">
        <v>0.89370370370370367</v>
      </c>
      <c r="E4385" t="s">
        <v>28</v>
      </c>
      <c r="F4385" t="s">
        <v>634</v>
      </c>
      <c r="G4385" t="s">
        <v>211</v>
      </c>
      <c r="H4385" t="s">
        <v>180</v>
      </c>
      <c r="I4385">
        <v>147.97</v>
      </c>
      <c r="J4385" s="7">
        <v>0</v>
      </c>
      <c r="K4385" s="89">
        <f>+L4385-J4590</f>
        <v>514</v>
      </c>
      <c r="L4385" s="7">
        <v>514</v>
      </c>
      <c r="M4385" s="10">
        <f t="shared" si="266"/>
        <v>28.78793774319066</v>
      </c>
    </row>
    <row r="4386" spans="1:19" ht="15.75" hidden="1" customHeight="1" x14ac:dyDescent="0.3">
      <c r="A4386" s="9">
        <v>5229</v>
      </c>
      <c r="B4386" t="s">
        <v>179</v>
      </c>
      <c r="C4386" s="25">
        <v>44712</v>
      </c>
      <c r="D4386" s="26">
        <v>0.30520833333333336</v>
      </c>
      <c r="E4386" t="s">
        <v>28</v>
      </c>
      <c r="F4386" t="s">
        <v>693</v>
      </c>
      <c r="G4386" t="s">
        <v>277</v>
      </c>
      <c r="H4386" t="s">
        <v>180</v>
      </c>
      <c r="I4386">
        <v>273.42</v>
      </c>
      <c r="J4386" s="34">
        <v>0</v>
      </c>
      <c r="K4386" s="89">
        <f>+L4386-J4577</f>
        <v>798</v>
      </c>
      <c r="L4386" s="7">
        <v>798</v>
      </c>
      <c r="M4386" s="10">
        <f t="shared" ref="M4386:M4412" si="269">I4386/K4386*100</f>
        <v>34.263157894736842</v>
      </c>
    </row>
    <row r="4387" spans="1:19" ht="15.75" hidden="1" customHeight="1" x14ac:dyDescent="0.3">
      <c r="A4387" s="9">
        <v>5265</v>
      </c>
      <c r="B4387" t="s">
        <v>179</v>
      </c>
      <c r="C4387" s="25">
        <v>44713</v>
      </c>
      <c r="D4387" s="26">
        <v>0.49237268518518523</v>
      </c>
      <c r="E4387" t="s">
        <v>29</v>
      </c>
      <c r="F4387" t="s">
        <v>632</v>
      </c>
      <c r="G4387" t="s">
        <v>161</v>
      </c>
      <c r="H4387" t="s">
        <v>180</v>
      </c>
      <c r="I4387">
        <v>381.17</v>
      </c>
      <c r="J4387" s="37">
        <v>0</v>
      </c>
      <c r="K4387" s="89">
        <f>+L4387-J4550</f>
        <v>909</v>
      </c>
      <c r="L4387" s="7">
        <v>909</v>
      </c>
      <c r="M4387" s="10">
        <f t="shared" si="269"/>
        <v>41.932893289328931</v>
      </c>
    </row>
    <row r="4388" spans="1:19" ht="15.75" hidden="1" customHeight="1" x14ac:dyDescent="0.3">
      <c r="A4388" s="9">
        <v>5319</v>
      </c>
      <c r="B4388" t="s">
        <v>179</v>
      </c>
      <c r="C4388" s="25">
        <v>44714</v>
      </c>
      <c r="D4388" s="26">
        <v>0.7940625</v>
      </c>
      <c r="E4388" t="s">
        <v>29</v>
      </c>
      <c r="F4388" t="s">
        <v>634</v>
      </c>
      <c r="G4388" t="s">
        <v>211</v>
      </c>
      <c r="H4388" t="s">
        <v>180</v>
      </c>
      <c r="I4388">
        <v>463.08</v>
      </c>
      <c r="J4388" s="32">
        <v>0</v>
      </c>
      <c r="K4388" s="89">
        <f>+L4388-J4550</f>
        <v>1140</v>
      </c>
      <c r="L4388" s="7">
        <v>1140</v>
      </c>
      <c r="M4388" s="10">
        <f t="shared" si="269"/>
        <v>40.621052631578948</v>
      </c>
    </row>
    <row r="4389" spans="1:19" ht="15.75" hidden="1" customHeight="1" x14ac:dyDescent="0.3">
      <c r="A4389" s="9">
        <v>5441</v>
      </c>
      <c r="B4389" t="s">
        <v>179</v>
      </c>
      <c r="C4389" s="25">
        <v>44716</v>
      </c>
      <c r="D4389" s="26">
        <v>0.39642361111111107</v>
      </c>
      <c r="E4389" t="s">
        <v>29</v>
      </c>
      <c r="F4389" t="s">
        <v>651</v>
      </c>
      <c r="G4389" t="s">
        <v>172</v>
      </c>
      <c r="H4389" t="s">
        <v>180</v>
      </c>
      <c r="I4389">
        <v>441.1</v>
      </c>
      <c r="J4389" s="32">
        <v>0</v>
      </c>
      <c r="K4389" s="89">
        <f>+L4389-J4550</f>
        <v>1013</v>
      </c>
      <c r="L4389" s="7">
        <v>1013</v>
      </c>
      <c r="M4389" s="10">
        <f t="shared" si="269"/>
        <v>43.543928923988155</v>
      </c>
    </row>
    <row r="4390" spans="1:19" ht="15.75" hidden="1" customHeight="1" x14ac:dyDescent="0.3">
      <c r="A4390" s="9">
        <v>5442</v>
      </c>
      <c r="B4390" t="s">
        <v>179</v>
      </c>
      <c r="C4390" s="25">
        <v>44716</v>
      </c>
      <c r="D4390" s="26">
        <v>0.91353009259259255</v>
      </c>
      <c r="E4390" t="s">
        <v>29</v>
      </c>
      <c r="F4390" t="s">
        <v>632</v>
      </c>
      <c r="G4390" t="s">
        <v>161</v>
      </c>
      <c r="H4390" t="s">
        <v>180</v>
      </c>
      <c r="I4390">
        <v>258.93</v>
      </c>
      <c r="J4390" s="32">
        <v>0</v>
      </c>
      <c r="K4390" s="89">
        <f>+L4390-J4551</f>
        <v>620</v>
      </c>
      <c r="L4390" s="7">
        <v>620</v>
      </c>
      <c r="M4390" s="10">
        <f t="shared" si="269"/>
        <v>41.762903225806454</v>
      </c>
    </row>
    <row r="4391" spans="1:19" ht="15.75" hidden="1" customHeight="1" x14ac:dyDescent="0.3">
      <c r="A4391" s="9">
        <v>5499</v>
      </c>
      <c r="B4391" t="s">
        <v>179</v>
      </c>
      <c r="C4391" s="25">
        <v>44717</v>
      </c>
      <c r="D4391" s="26">
        <v>0.84351851851851845</v>
      </c>
      <c r="E4391" t="s">
        <v>29</v>
      </c>
      <c r="F4391" t="s">
        <v>635</v>
      </c>
      <c r="G4391" t="s">
        <v>185</v>
      </c>
      <c r="H4391" t="s">
        <v>180</v>
      </c>
      <c r="I4391">
        <v>300</v>
      </c>
      <c r="J4391" s="32">
        <v>0</v>
      </c>
      <c r="K4391" s="89">
        <f>+L4391-J4551</f>
        <v>630</v>
      </c>
      <c r="L4391" s="35">
        <v>630</v>
      </c>
      <c r="M4391" s="10">
        <f t="shared" si="269"/>
        <v>47.619047619047613</v>
      </c>
    </row>
    <row r="4392" spans="1:19" ht="15.75" hidden="1" customHeight="1" x14ac:dyDescent="0.3">
      <c r="A4392" s="9">
        <v>5543</v>
      </c>
      <c r="B4392" t="s">
        <v>179</v>
      </c>
      <c r="C4392" s="25">
        <v>44718</v>
      </c>
      <c r="D4392" s="26">
        <v>0.82299768518518512</v>
      </c>
      <c r="E4392" t="s">
        <v>29</v>
      </c>
      <c r="F4392" t="s">
        <v>635</v>
      </c>
      <c r="G4392" t="s">
        <v>185</v>
      </c>
      <c r="H4392" t="s">
        <v>180</v>
      </c>
      <c r="I4392">
        <v>192.09</v>
      </c>
      <c r="J4392" s="32">
        <v>0</v>
      </c>
      <c r="K4392" s="89">
        <f>+L4392-J4548</f>
        <v>439</v>
      </c>
      <c r="L4392" s="7">
        <v>439</v>
      </c>
      <c r="M4392" s="10">
        <f t="shared" si="269"/>
        <v>43.756264236902048</v>
      </c>
    </row>
    <row r="4393" spans="1:19" ht="15.75" hidden="1" customHeight="1" x14ac:dyDescent="0.3">
      <c r="A4393" s="9">
        <v>5577</v>
      </c>
      <c r="B4393" t="s">
        <v>179</v>
      </c>
      <c r="C4393" s="25">
        <v>44719</v>
      </c>
      <c r="D4393" s="26">
        <v>0.76078703703703709</v>
      </c>
      <c r="E4393" t="s">
        <v>29</v>
      </c>
      <c r="F4393" t="s">
        <v>635</v>
      </c>
      <c r="G4393" t="s">
        <v>185</v>
      </c>
      <c r="H4393" t="s">
        <v>180</v>
      </c>
      <c r="I4393">
        <v>180.03</v>
      </c>
      <c r="J4393" s="32">
        <v>0</v>
      </c>
      <c r="K4393" s="89">
        <f>+L4393-J3954</f>
        <v>438</v>
      </c>
      <c r="L4393" s="7">
        <v>438</v>
      </c>
      <c r="M4393" s="10">
        <f t="shared" si="269"/>
        <v>41.102739726027401</v>
      </c>
    </row>
    <row r="4394" spans="1:19" ht="15.75" hidden="1" customHeight="1" x14ac:dyDescent="0.3">
      <c r="A4394" s="9">
        <v>5642</v>
      </c>
      <c r="B4394" t="s">
        <v>179</v>
      </c>
      <c r="C4394" s="25">
        <v>44720</v>
      </c>
      <c r="D4394" s="26">
        <v>0.6925</v>
      </c>
      <c r="E4394" t="s">
        <v>29</v>
      </c>
      <c r="F4394" t="s">
        <v>635</v>
      </c>
      <c r="G4394" t="s">
        <v>185</v>
      </c>
      <c r="H4394" t="s">
        <v>180</v>
      </c>
      <c r="I4394">
        <v>177.23</v>
      </c>
      <c r="J4394" s="32">
        <v>0</v>
      </c>
      <c r="K4394" s="89">
        <f t="shared" ref="K4394:K4399" si="270">+L4394-J3953</f>
        <v>405</v>
      </c>
      <c r="L4394" s="7">
        <v>405</v>
      </c>
      <c r="M4394" s="10">
        <f t="shared" si="269"/>
        <v>43.760493827160488</v>
      </c>
    </row>
    <row r="4395" spans="1:19" ht="15.75" hidden="1" customHeight="1" x14ac:dyDescent="0.3">
      <c r="A4395" s="9">
        <v>5706</v>
      </c>
      <c r="B4395" t="s">
        <v>179</v>
      </c>
      <c r="C4395" s="25">
        <v>44721</v>
      </c>
      <c r="D4395" s="26">
        <v>0.35045138888888888</v>
      </c>
      <c r="E4395" t="s">
        <v>29</v>
      </c>
      <c r="F4395" t="s">
        <v>634</v>
      </c>
      <c r="G4395" t="s">
        <v>211</v>
      </c>
      <c r="H4395" t="s">
        <v>180</v>
      </c>
      <c r="I4395">
        <v>171.47</v>
      </c>
      <c r="J4395" s="32">
        <v>0</v>
      </c>
      <c r="K4395" s="89">
        <f t="shared" si="270"/>
        <v>548</v>
      </c>
      <c r="L4395" s="7">
        <v>548</v>
      </c>
      <c r="M4395" s="10">
        <f t="shared" si="269"/>
        <v>31.290145985401459</v>
      </c>
    </row>
    <row r="4396" spans="1:19" ht="15.75" hidden="1" customHeight="1" x14ac:dyDescent="0.3">
      <c r="A4396" s="9">
        <v>5707</v>
      </c>
      <c r="B4396" t="s">
        <v>179</v>
      </c>
      <c r="C4396" s="25">
        <v>44721</v>
      </c>
      <c r="D4396" s="26">
        <v>0.75899305555555552</v>
      </c>
      <c r="E4396" t="s">
        <v>29</v>
      </c>
      <c r="F4396" t="s">
        <v>637</v>
      </c>
      <c r="G4396" t="s">
        <v>196</v>
      </c>
      <c r="H4396" t="s">
        <v>180</v>
      </c>
      <c r="I4396">
        <v>100</v>
      </c>
      <c r="J4396" s="32">
        <v>0</v>
      </c>
      <c r="K4396" s="89">
        <f t="shared" si="270"/>
        <v>482</v>
      </c>
      <c r="L4396" s="7">
        <v>482</v>
      </c>
      <c r="M4396" s="10">
        <f t="shared" si="269"/>
        <v>20.74688796680498</v>
      </c>
    </row>
    <row r="4397" spans="1:19" ht="15.75" hidden="1" customHeight="1" x14ac:dyDescent="0.3">
      <c r="A4397" s="9">
        <v>5791</v>
      </c>
      <c r="B4397" t="s">
        <v>179</v>
      </c>
      <c r="C4397" s="25">
        <v>44723</v>
      </c>
      <c r="D4397" s="26">
        <v>0.37109953703703707</v>
      </c>
      <c r="E4397" t="s">
        <v>29</v>
      </c>
      <c r="F4397" t="s">
        <v>639</v>
      </c>
      <c r="G4397" t="s">
        <v>44</v>
      </c>
      <c r="H4397" t="s">
        <v>180</v>
      </c>
      <c r="I4397">
        <v>115.48</v>
      </c>
      <c r="J4397" s="32">
        <v>0</v>
      </c>
      <c r="K4397" s="89">
        <f t="shared" si="270"/>
        <v>717</v>
      </c>
      <c r="L4397" s="7">
        <v>717</v>
      </c>
      <c r="M4397" s="10">
        <f t="shared" si="269"/>
        <v>16.105997210599721</v>
      </c>
    </row>
    <row r="4398" spans="1:19" ht="15.75" hidden="1" customHeight="1" x14ac:dyDescent="0.3">
      <c r="A4398" s="9">
        <v>5792</v>
      </c>
      <c r="B4398" t="s">
        <v>179</v>
      </c>
      <c r="C4398" s="25">
        <v>44723</v>
      </c>
      <c r="D4398" s="26">
        <v>0.7283912037037038</v>
      </c>
      <c r="E4398" t="s">
        <v>29</v>
      </c>
      <c r="F4398" t="s">
        <v>632</v>
      </c>
      <c r="G4398" t="s">
        <v>161</v>
      </c>
      <c r="H4398" t="s">
        <v>180</v>
      </c>
      <c r="I4398">
        <v>471.39</v>
      </c>
      <c r="J4398" s="32">
        <v>0</v>
      </c>
      <c r="K4398" s="89">
        <f t="shared" si="270"/>
        <v>510</v>
      </c>
      <c r="L4398" s="7">
        <v>510</v>
      </c>
      <c r="M4398" s="10">
        <f t="shared" si="269"/>
        <v>92.429411764705875</v>
      </c>
    </row>
    <row r="4399" spans="1:19" ht="15.75" hidden="1" customHeight="1" x14ac:dyDescent="0.3">
      <c r="A4399" s="9">
        <v>5858</v>
      </c>
      <c r="B4399" t="s">
        <v>179</v>
      </c>
      <c r="C4399" s="25">
        <v>44724</v>
      </c>
      <c r="D4399" s="26">
        <v>0.85035879629629629</v>
      </c>
      <c r="E4399" t="s">
        <v>29</v>
      </c>
      <c r="F4399" t="s">
        <v>634</v>
      </c>
      <c r="G4399" t="s">
        <v>211</v>
      </c>
      <c r="H4399" t="s">
        <v>180</v>
      </c>
      <c r="I4399">
        <v>448.23</v>
      </c>
      <c r="J4399" s="32">
        <v>0</v>
      </c>
      <c r="K4399" s="89">
        <f t="shared" si="270"/>
        <v>1139</v>
      </c>
      <c r="L4399" s="7">
        <v>1139</v>
      </c>
      <c r="M4399" s="10">
        <f t="shared" si="269"/>
        <v>39.352941176470594</v>
      </c>
    </row>
    <row r="4400" spans="1:19" ht="15.75" hidden="1" customHeight="1" x14ac:dyDescent="0.3">
      <c r="A4400" s="9">
        <v>5911</v>
      </c>
      <c r="B4400" t="s">
        <v>179</v>
      </c>
      <c r="C4400" s="25">
        <v>44725</v>
      </c>
      <c r="D4400" s="26">
        <v>0.46943287037037035</v>
      </c>
      <c r="E4400" t="s">
        <v>29</v>
      </c>
      <c r="F4400" t="s">
        <v>637</v>
      </c>
      <c r="G4400" t="s">
        <v>196</v>
      </c>
      <c r="H4400" t="s">
        <v>180</v>
      </c>
      <c r="I4400">
        <v>100</v>
      </c>
      <c r="J4400" s="32">
        <v>0</v>
      </c>
      <c r="K4400" s="89">
        <v>467</v>
      </c>
      <c r="L4400" s="7">
        <v>467</v>
      </c>
      <c r="M4400" s="10">
        <f t="shared" si="269"/>
        <v>21.413276231263385</v>
      </c>
      <c r="N4400" s="2"/>
      <c r="O4400" s="2"/>
      <c r="P4400" s="2"/>
      <c r="Q4400" s="2"/>
      <c r="R4400" s="2"/>
      <c r="S4400" s="2"/>
    </row>
    <row r="4401" spans="1:19" ht="15.75" hidden="1" customHeight="1" x14ac:dyDescent="0.3">
      <c r="A4401" s="9">
        <v>5912</v>
      </c>
      <c r="B4401" t="s">
        <v>179</v>
      </c>
      <c r="C4401" s="25">
        <v>44725</v>
      </c>
      <c r="D4401" s="26">
        <v>0.87075231481481474</v>
      </c>
      <c r="E4401" t="s">
        <v>29</v>
      </c>
      <c r="F4401" t="s">
        <v>680</v>
      </c>
      <c r="G4401" t="s">
        <v>402</v>
      </c>
      <c r="H4401" t="s">
        <v>180</v>
      </c>
      <c r="I4401">
        <v>140.71</v>
      </c>
      <c r="J4401" s="32">
        <v>0</v>
      </c>
      <c r="K4401" s="89">
        <v>193</v>
      </c>
      <c r="L4401" s="7">
        <v>193</v>
      </c>
      <c r="M4401" s="10">
        <f t="shared" si="269"/>
        <v>72.906735751295344</v>
      </c>
      <c r="N4401" s="2"/>
      <c r="O4401" s="2"/>
      <c r="P4401" s="2"/>
      <c r="Q4401" s="2"/>
      <c r="R4401" s="2"/>
      <c r="S4401" s="2"/>
    </row>
    <row r="4402" spans="1:19" ht="15.75" hidden="1" customHeight="1" x14ac:dyDescent="0.3">
      <c r="A4402" s="9">
        <v>5966</v>
      </c>
      <c r="B4402" t="s">
        <v>179</v>
      </c>
      <c r="C4402" s="25">
        <v>44726</v>
      </c>
      <c r="D4402" s="26">
        <v>0.70796296296296291</v>
      </c>
      <c r="E4402" t="s">
        <v>29</v>
      </c>
      <c r="F4402" t="s">
        <v>639</v>
      </c>
      <c r="G4402" t="s">
        <v>44</v>
      </c>
      <c r="H4402" t="s">
        <v>180</v>
      </c>
      <c r="I4402">
        <v>113.21</v>
      </c>
      <c r="J4402" s="32">
        <v>0</v>
      </c>
      <c r="K4402" s="89">
        <v>545</v>
      </c>
      <c r="L4402" s="7">
        <v>545</v>
      </c>
      <c r="M4402" s="10">
        <f t="shared" si="269"/>
        <v>20.772477064220183</v>
      </c>
      <c r="N4402" s="2"/>
      <c r="O4402" s="2"/>
      <c r="P4402" s="2"/>
      <c r="Q4402" s="2"/>
      <c r="R4402" s="2"/>
      <c r="S4402" s="2"/>
    </row>
    <row r="4403" spans="1:19" ht="15.75" hidden="1" customHeight="1" x14ac:dyDescent="0.3">
      <c r="A4403" s="9">
        <v>6023</v>
      </c>
      <c r="B4403" t="s">
        <v>179</v>
      </c>
      <c r="C4403" s="25">
        <v>44727</v>
      </c>
      <c r="D4403" s="26">
        <v>0.3392013888888889</v>
      </c>
      <c r="E4403" t="s">
        <v>29</v>
      </c>
      <c r="F4403" t="s">
        <v>634</v>
      </c>
      <c r="G4403" t="s">
        <v>211</v>
      </c>
      <c r="H4403" t="s">
        <v>180</v>
      </c>
      <c r="I4403">
        <v>385.49</v>
      </c>
      <c r="J4403" s="32">
        <v>0</v>
      </c>
      <c r="K4403" s="89">
        <v>587</v>
      </c>
      <c r="L4403" s="7">
        <v>587</v>
      </c>
      <c r="M4403" s="10">
        <f t="shared" si="269"/>
        <v>65.67120954003407</v>
      </c>
    </row>
    <row r="4404" spans="1:19" ht="15.75" hidden="1" customHeight="1" x14ac:dyDescent="0.3">
      <c r="A4404" s="9">
        <v>6085</v>
      </c>
      <c r="B4404" t="s">
        <v>179</v>
      </c>
      <c r="C4404" s="25">
        <v>44728</v>
      </c>
      <c r="D4404" s="26">
        <v>0.37405092592592593</v>
      </c>
      <c r="E4404" t="s">
        <v>29</v>
      </c>
      <c r="F4404" t="s">
        <v>634</v>
      </c>
      <c r="G4404" t="s">
        <v>211</v>
      </c>
      <c r="H4404" t="s">
        <v>180</v>
      </c>
      <c r="I4404">
        <v>437.66</v>
      </c>
      <c r="J4404" s="32">
        <v>0</v>
      </c>
      <c r="K4404" s="89">
        <v>1063</v>
      </c>
      <c r="L4404" s="7">
        <v>1063</v>
      </c>
      <c r="M4404" s="10">
        <f t="shared" si="269"/>
        <v>41.172154280338667</v>
      </c>
    </row>
    <row r="4405" spans="1:19" ht="15.75" hidden="1" customHeight="1" x14ac:dyDescent="0.3">
      <c r="A4405" s="9">
        <v>6136</v>
      </c>
      <c r="B4405" t="s">
        <v>179</v>
      </c>
      <c r="C4405" s="25">
        <v>44729</v>
      </c>
      <c r="D4405" s="26">
        <v>0.21432870370370372</v>
      </c>
      <c r="E4405" t="s">
        <v>29</v>
      </c>
      <c r="F4405" t="s">
        <v>680</v>
      </c>
      <c r="G4405" t="s">
        <v>402</v>
      </c>
      <c r="H4405" t="s">
        <v>180</v>
      </c>
      <c r="I4405">
        <v>213.56</v>
      </c>
      <c r="J4405" s="32">
        <v>0</v>
      </c>
      <c r="K4405" s="89">
        <v>659</v>
      </c>
      <c r="L4405" s="7">
        <v>659</v>
      </c>
      <c r="M4405" s="10">
        <f t="shared" si="269"/>
        <v>32.406676783004549</v>
      </c>
    </row>
    <row r="4406" spans="1:19" ht="15.75" hidden="1" customHeight="1" x14ac:dyDescent="0.3">
      <c r="A4406" s="9">
        <v>6474</v>
      </c>
      <c r="B4406" t="s">
        <v>179</v>
      </c>
      <c r="C4406" s="25">
        <v>44737</v>
      </c>
      <c r="D4406" s="26">
        <v>0.72842592592592592</v>
      </c>
      <c r="E4406" t="s">
        <v>29</v>
      </c>
      <c r="F4406" t="s">
        <v>634</v>
      </c>
      <c r="G4406" t="s">
        <v>211</v>
      </c>
      <c r="H4406" t="s">
        <v>180</v>
      </c>
      <c r="I4406">
        <v>534.92999999999995</v>
      </c>
      <c r="J4406" s="37">
        <v>0</v>
      </c>
      <c r="K4406" s="89">
        <v>1131</v>
      </c>
      <c r="L4406" s="7">
        <v>1131</v>
      </c>
      <c r="M4406" s="10">
        <f t="shared" si="269"/>
        <v>47.297082228116707</v>
      </c>
    </row>
    <row r="4407" spans="1:19" ht="15.75" hidden="1" customHeight="1" x14ac:dyDescent="0.3">
      <c r="A4407" s="9">
        <v>6475</v>
      </c>
      <c r="B4407" t="s">
        <v>179</v>
      </c>
      <c r="C4407" s="25">
        <v>44737</v>
      </c>
      <c r="D4407" s="26">
        <v>0.95677083333333324</v>
      </c>
      <c r="E4407" t="s">
        <v>29</v>
      </c>
      <c r="F4407" t="s">
        <v>645</v>
      </c>
      <c r="G4407" t="s">
        <v>279</v>
      </c>
      <c r="H4407" t="s">
        <v>180</v>
      </c>
      <c r="I4407">
        <v>166</v>
      </c>
      <c r="J4407" s="37">
        <v>0</v>
      </c>
      <c r="K4407" s="89">
        <v>350</v>
      </c>
      <c r="L4407" s="7">
        <v>350</v>
      </c>
      <c r="M4407" s="10">
        <f t="shared" si="269"/>
        <v>47.428571428571431</v>
      </c>
    </row>
    <row r="4408" spans="1:19" ht="15.75" hidden="1" customHeight="1" x14ac:dyDescent="0.3">
      <c r="A4408" s="9">
        <v>6524</v>
      </c>
      <c r="B4408" t="s">
        <v>179</v>
      </c>
      <c r="C4408" s="25">
        <v>44738</v>
      </c>
      <c r="D4408" s="26">
        <v>0.64089120370370367</v>
      </c>
      <c r="E4408" t="s">
        <v>29</v>
      </c>
      <c r="F4408" t="s">
        <v>642</v>
      </c>
      <c r="G4408" t="s">
        <v>203</v>
      </c>
      <c r="H4408" t="s">
        <v>180</v>
      </c>
      <c r="I4408">
        <v>202.03</v>
      </c>
      <c r="J4408" s="32">
        <v>0</v>
      </c>
      <c r="K4408" s="89">
        <v>587</v>
      </c>
      <c r="L4408" s="7">
        <v>587</v>
      </c>
      <c r="M4408" s="10">
        <f t="shared" si="269"/>
        <v>34.417376490630325</v>
      </c>
    </row>
    <row r="4409" spans="1:19" ht="15.75" hidden="1" customHeight="1" x14ac:dyDescent="0.3">
      <c r="A4409" s="9">
        <v>6578</v>
      </c>
      <c r="B4409" t="s">
        <v>179</v>
      </c>
      <c r="C4409" s="25">
        <v>44739</v>
      </c>
      <c r="D4409" s="26">
        <v>0.5609143518518519</v>
      </c>
      <c r="E4409" t="s">
        <v>29</v>
      </c>
      <c r="F4409" t="s">
        <v>642</v>
      </c>
      <c r="G4409" t="s">
        <v>203</v>
      </c>
      <c r="H4409" t="s">
        <v>180</v>
      </c>
      <c r="I4409">
        <v>185.18</v>
      </c>
      <c r="J4409" s="32">
        <v>0</v>
      </c>
      <c r="K4409" s="89">
        <v>511</v>
      </c>
      <c r="L4409" s="7">
        <v>511</v>
      </c>
      <c r="M4409" s="10">
        <f t="shared" si="269"/>
        <v>36.238747553816047</v>
      </c>
    </row>
    <row r="4410" spans="1:19" ht="15.75" hidden="1" customHeight="1" x14ac:dyDescent="0.3">
      <c r="A4410" s="9">
        <v>6632</v>
      </c>
      <c r="B4410" t="s">
        <v>179</v>
      </c>
      <c r="C4410" s="25">
        <v>44740</v>
      </c>
      <c r="D4410" s="26">
        <v>0.45546296296296296</v>
      </c>
      <c r="E4410" t="s">
        <v>29</v>
      </c>
      <c r="F4410" t="s">
        <v>634</v>
      </c>
      <c r="G4410" t="s">
        <v>211</v>
      </c>
      <c r="H4410" t="s">
        <v>180</v>
      </c>
      <c r="I4410">
        <v>427.77</v>
      </c>
      <c r="J4410" s="32">
        <v>0</v>
      </c>
      <c r="K4410" s="89">
        <v>1088</v>
      </c>
      <c r="L4410" s="7">
        <v>1088</v>
      </c>
      <c r="M4410" s="10">
        <f t="shared" si="269"/>
        <v>39.31709558823529</v>
      </c>
    </row>
    <row r="4411" spans="1:19" ht="15.75" hidden="1" customHeight="1" x14ac:dyDescent="0.3">
      <c r="A4411" s="9">
        <v>6633</v>
      </c>
      <c r="B4411" t="s">
        <v>179</v>
      </c>
      <c r="C4411" s="25">
        <v>44740</v>
      </c>
      <c r="D4411" s="26">
        <v>0.80331018518518515</v>
      </c>
      <c r="E4411" t="s">
        <v>29</v>
      </c>
      <c r="F4411" t="s">
        <v>637</v>
      </c>
      <c r="G4411" t="s">
        <v>196</v>
      </c>
      <c r="H4411" t="s">
        <v>180</v>
      </c>
      <c r="I4411">
        <v>134.84</v>
      </c>
      <c r="J4411" s="32">
        <v>0</v>
      </c>
      <c r="K4411" s="89">
        <v>481</v>
      </c>
      <c r="L4411" s="7">
        <v>481</v>
      </c>
      <c r="M4411" s="36">
        <f t="shared" si="269"/>
        <v>28.033264033264032</v>
      </c>
    </row>
    <row r="4412" spans="1:19" ht="15.75" hidden="1" customHeight="1" x14ac:dyDescent="0.3">
      <c r="A4412" s="9">
        <v>6700</v>
      </c>
      <c r="B4412" t="s">
        <v>179</v>
      </c>
      <c r="C4412" s="25">
        <v>44741</v>
      </c>
      <c r="D4412" s="26">
        <v>3.5995370370370369E-3</v>
      </c>
      <c r="E4412" t="s">
        <v>29</v>
      </c>
      <c r="F4412" t="s">
        <v>680</v>
      </c>
      <c r="G4412" t="s">
        <v>402</v>
      </c>
      <c r="H4412" t="s">
        <v>180</v>
      </c>
      <c r="I4412">
        <v>335.02</v>
      </c>
      <c r="J4412" s="32">
        <v>0</v>
      </c>
      <c r="K4412" s="89">
        <v>658</v>
      </c>
      <c r="L4412" s="7">
        <v>658</v>
      </c>
      <c r="M4412" s="36">
        <f t="shared" si="269"/>
        <v>50.914893617021271</v>
      </c>
    </row>
    <row r="4413" spans="1:19" ht="15.75" hidden="1" customHeight="1" x14ac:dyDescent="0.3">
      <c r="A4413" s="9">
        <v>6751</v>
      </c>
      <c r="B4413" t="s">
        <v>179</v>
      </c>
      <c r="C4413" s="25">
        <v>44742</v>
      </c>
      <c r="D4413" s="26">
        <v>0.4947685185185185</v>
      </c>
      <c r="E4413" t="s">
        <v>29</v>
      </c>
      <c r="F4413" t="s">
        <v>210</v>
      </c>
      <c r="G4413" t="s">
        <v>211</v>
      </c>
      <c r="H4413" t="s">
        <v>180</v>
      </c>
      <c r="I4413">
        <v>543.38</v>
      </c>
      <c r="J4413" s="54"/>
      <c r="K4413" s="54">
        <v>774374</v>
      </c>
      <c r="L4413" s="54">
        <f>+K4413-J4413</f>
        <v>774374</v>
      </c>
      <c r="M4413" s="121">
        <f>I4413/L4413*100</f>
        <v>7.0170227822731648E-2</v>
      </c>
    </row>
    <row r="4414" spans="1:19" ht="15.75" hidden="1" customHeight="1" x14ac:dyDescent="0.3">
      <c r="B4414" t="s">
        <v>384</v>
      </c>
      <c r="C4414" s="25">
        <v>44746</v>
      </c>
      <c r="D4414" s="26">
        <v>0.39023148148148151</v>
      </c>
      <c r="E4414" t="s">
        <v>30</v>
      </c>
      <c r="F4414" t="s">
        <v>210</v>
      </c>
      <c r="G4414" t="s">
        <v>211</v>
      </c>
      <c r="H4414" t="s">
        <v>192</v>
      </c>
      <c r="I4414" s="173">
        <v>171.03</v>
      </c>
      <c r="J4414" s="8"/>
      <c r="K4414" s="8">
        <v>814558</v>
      </c>
      <c r="L4414" s="8">
        <f>+K4414-J4414</f>
        <v>814558</v>
      </c>
      <c r="M4414" s="91">
        <f>I4414/L4414*100</f>
        <v>2.0996663221035213E-2</v>
      </c>
    </row>
    <row r="4415" spans="1:19" ht="15.75" hidden="1" customHeight="1" x14ac:dyDescent="0.3">
      <c r="B4415" t="s">
        <v>384</v>
      </c>
      <c r="C4415" s="25">
        <v>44746</v>
      </c>
      <c r="D4415" s="26">
        <v>0.71016203703703706</v>
      </c>
      <c r="E4415" t="s">
        <v>30</v>
      </c>
      <c r="F4415" t="s">
        <v>169</v>
      </c>
      <c r="G4415" t="s">
        <v>196</v>
      </c>
      <c r="H4415" t="s">
        <v>192</v>
      </c>
      <c r="I4415" s="173">
        <v>153</v>
      </c>
      <c r="J4415" s="8"/>
      <c r="K4415" s="8">
        <v>815049</v>
      </c>
      <c r="L4415" s="8">
        <f>+K4415-J4415</f>
        <v>815049</v>
      </c>
      <c r="M4415" s="91">
        <f>I4415/L4415*100</f>
        <v>1.877187751902033E-2</v>
      </c>
    </row>
    <row r="4416" spans="1:19" ht="15.75" hidden="1" customHeight="1" x14ac:dyDescent="0.3">
      <c r="B4416" t="s">
        <v>384</v>
      </c>
      <c r="C4416" s="25">
        <v>44747</v>
      </c>
      <c r="D4416" s="26">
        <v>0.66025462962962966</v>
      </c>
      <c r="E4416" t="s">
        <v>30</v>
      </c>
      <c r="F4416" t="s">
        <v>197</v>
      </c>
      <c r="G4416" t="s">
        <v>44</v>
      </c>
      <c r="H4416" t="s">
        <v>192</v>
      </c>
      <c r="I4416" s="173">
        <v>99.36</v>
      </c>
      <c r="J4416" s="8"/>
      <c r="K4416" s="8">
        <v>815780</v>
      </c>
      <c r="L4416" s="24">
        <f>+K4416-J4416</f>
        <v>815780</v>
      </c>
      <c r="M4416" s="91">
        <f>I4416/L4416*100</f>
        <v>1.2179754345534335E-2</v>
      </c>
    </row>
    <row r="4417" spans="1:13" ht="15.75" hidden="1" customHeight="1" x14ac:dyDescent="0.3">
      <c r="B4417" t="s">
        <v>384</v>
      </c>
      <c r="C4417" s="25">
        <v>44747</v>
      </c>
      <c r="D4417" s="26">
        <v>0.86806712962962962</v>
      </c>
      <c r="E4417" t="s">
        <v>30</v>
      </c>
      <c r="F4417" t="s">
        <v>530</v>
      </c>
      <c r="G4417" t="s">
        <v>489</v>
      </c>
      <c r="H4417" t="s">
        <v>192</v>
      </c>
      <c r="I4417" s="173">
        <v>338.03</v>
      </c>
      <c r="J4417" s="160">
        <f>239.55+358+190+160+135+248+329+171+153+100+338</f>
        <v>2421.5500000000002</v>
      </c>
      <c r="K4417" s="160">
        <v>816128</v>
      </c>
      <c r="L4417" s="173">
        <v>5935</v>
      </c>
      <c r="M4417" s="149">
        <f>+J4417/L4417*100</f>
        <v>40.801179443976416</v>
      </c>
    </row>
    <row r="4418" spans="1:13" ht="15.75" hidden="1" customHeight="1" x14ac:dyDescent="0.3">
      <c r="B4418" t="s">
        <v>384</v>
      </c>
      <c r="C4418" s="25">
        <v>44748</v>
      </c>
      <c r="D4418" s="26">
        <v>0.71164351851851848</v>
      </c>
      <c r="E4418" t="s">
        <v>30</v>
      </c>
      <c r="F4418" t="s">
        <v>165</v>
      </c>
      <c r="G4418" t="s">
        <v>185</v>
      </c>
      <c r="H4418" t="s">
        <v>192</v>
      </c>
      <c r="I4418" s="173">
        <v>374.89</v>
      </c>
      <c r="J4418" s="8"/>
      <c r="K4418" s="8">
        <v>816926</v>
      </c>
      <c r="L4418" s="8">
        <f>+K4418-J4418</f>
        <v>816926</v>
      </c>
      <c r="M4418" s="91">
        <f>I4418/K4418*100</f>
        <v>4.5890325439513491E-2</v>
      </c>
    </row>
    <row r="4419" spans="1:13" ht="15.75" hidden="1" customHeight="1" x14ac:dyDescent="0.3">
      <c r="A4419" s="9">
        <v>6713</v>
      </c>
      <c r="B4419" t="s">
        <v>437</v>
      </c>
      <c r="C4419" s="25">
        <v>44741</v>
      </c>
      <c r="D4419" s="26">
        <v>0.6488194444444445</v>
      </c>
      <c r="E4419" t="s">
        <v>29</v>
      </c>
      <c r="F4419" t="s">
        <v>651</v>
      </c>
      <c r="G4419" t="s">
        <v>172</v>
      </c>
      <c r="H4419" t="s">
        <v>438</v>
      </c>
      <c r="I4419" s="148">
        <v>254.06</v>
      </c>
      <c r="J4419" s="193">
        <f>255+147+322+241+215+324</f>
        <v>1504</v>
      </c>
      <c r="K4419" s="203">
        <v>1063</v>
      </c>
      <c r="L4419" s="203">
        <v>4583</v>
      </c>
      <c r="M4419" s="254">
        <f>+J4419/L4419*100</f>
        <v>32.816932140519313</v>
      </c>
    </row>
    <row r="4420" spans="1:13" ht="15.75" hidden="1" customHeight="1" x14ac:dyDescent="0.3">
      <c r="B4420" t="s">
        <v>384</v>
      </c>
      <c r="C4420" s="25">
        <v>44749</v>
      </c>
      <c r="D4420" s="26">
        <v>0.32067129629629632</v>
      </c>
      <c r="E4420" t="s">
        <v>30</v>
      </c>
      <c r="F4420" t="s">
        <v>210</v>
      </c>
      <c r="G4420" t="s">
        <v>211</v>
      </c>
      <c r="H4420" t="s">
        <v>192</v>
      </c>
      <c r="I4420" s="173">
        <v>155.01</v>
      </c>
      <c r="J4420" s="8"/>
      <c r="K4420" s="8"/>
      <c r="L4420" s="8"/>
      <c r="M4420" s="91" t="e">
        <f t="shared" ref="M4420:M4451" si="271">I4420/K4420*100</f>
        <v>#DIV/0!</v>
      </c>
    </row>
    <row r="4421" spans="1:13" ht="15.75" hidden="1" customHeight="1" x14ac:dyDescent="0.3">
      <c r="B4421" t="s">
        <v>384</v>
      </c>
      <c r="C4421" s="25">
        <v>44749</v>
      </c>
      <c r="D4421" s="26">
        <v>0.62457175925925923</v>
      </c>
      <c r="E4421" t="s">
        <v>30</v>
      </c>
      <c r="F4421" t="s">
        <v>169</v>
      </c>
      <c r="G4421" t="s">
        <v>196</v>
      </c>
      <c r="H4421" t="s">
        <v>192</v>
      </c>
      <c r="I4421" s="173">
        <v>166.45</v>
      </c>
      <c r="J4421" s="8"/>
      <c r="K4421" s="8"/>
      <c r="L4421" s="8"/>
      <c r="M4421" s="91" t="e">
        <f t="shared" si="271"/>
        <v>#DIV/0!</v>
      </c>
    </row>
    <row r="4422" spans="1:13" ht="15.75" hidden="1" customHeight="1" x14ac:dyDescent="0.3">
      <c r="B4422" t="s">
        <v>384</v>
      </c>
      <c r="C4422" s="25">
        <v>44751</v>
      </c>
      <c r="D4422" s="26">
        <v>0.16854166666666667</v>
      </c>
      <c r="E4422" t="s">
        <v>30</v>
      </c>
      <c r="F4422" t="s">
        <v>772</v>
      </c>
      <c r="G4422" t="s">
        <v>44</v>
      </c>
      <c r="H4422" t="s">
        <v>192</v>
      </c>
      <c r="I4422" s="173">
        <v>99.36</v>
      </c>
      <c r="J4422" s="8"/>
      <c r="K4422" s="8"/>
      <c r="L4422" s="8"/>
      <c r="M4422" s="91" t="e">
        <f t="shared" si="271"/>
        <v>#DIV/0!</v>
      </c>
    </row>
    <row r="4423" spans="1:13" ht="15.75" hidden="1" customHeight="1" x14ac:dyDescent="0.3">
      <c r="B4423" t="s">
        <v>384</v>
      </c>
      <c r="C4423" s="25">
        <v>44751</v>
      </c>
      <c r="D4423" s="26">
        <v>0.63219907407407405</v>
      </c>
      <c r="E4423" t="s">
        <v>30</v>
      </c>
      <c r="F4423" t="s">
        <v>773</v>
      </c>
      <c r="G4423" t="s">
        <v>487</v>
      </c>
      <c r="H4423" t="s">
        <v>192</v>
      </c>
      <c r="I4423" s="173">
        <v>200</v>
      </c>
      <c r="J4423" s="8"/>
      <c r="K4423" s="8"/>
      <c r="L4423" s="8"/>
      <c r="M4423" s="91" t="e">
        <f t="shared" si="271"/>
        <v>#DIV/0!</v>
      </c>
    </row>
    <row r="4424" spans="1:13" ht="15.75" hidden="1" customHeight="1" x14ac:dyDescent="0.3">
      <c r="B4424" t="s">
        <v>384</v>
      </c>
      <c r="C4424" s="25">
        <v>44751</v>
      </c>
      <c r="D4424" s="26">
        <v>0.65927083333333336</v>
      </c>
      <c r="E4424" t="s">
        <v>30</v>
      </c>
      <c r="F4424" t="s">
        <v>773</v>
      </c>
      <c r="G4424" t="s">
        <v>487</v>
      </c>
      <c r="H4424" t="s">
        <v>192</v>
      </c>
      <c r="I4424" s="173">
        <v>186.77</v>
      </c>
      <c r="J4424" s="8"/>
      <c r="K4424" s="8"/>
      <c r="L4424" s="8"/>
      <c r="M4424" s="91" t="e">
        <f t="shared" si="271"/>
        <v>#DIV/0!</v>
      </c>
    </row>
    <row r="4425" spans="1:13" ht="15.75" hidden="1" customHeight="1" x14ac:dyDescent="0.3">
      <c r="A4425" s="9">
        <v>590</v>
      </c>
      <c r="B4425" t="s">
        <v>437</v>
      </c>
      <c r="C4425" s="25">
        <v>44605</v>
      </c>
      <c r="D4425" s="26">
        <v>0.42402777777777773</v>
      </c>
      <c r="E4425" t="s">
        <v>25</v>
      </c>
      <c r="F4425" t="s">
        <v>210</v>
      </c>
      <c r="G4425" t="s">
        <v>211</v>
      </c>
      <c r="H4425" t="s">
        <v>438</v>
      </c>
      <c r="I4425">
        <v>370.04</v>
      </c>
      <c r="J4425" s="37">
        <v>0</v>
      </c>
      <c r="K4425" s="37">
        <f t="shared" ref="K4425:K4460" si="272">+L4425-J4425</f>
        <v>1702</v>
      </c>
      <c r="L4425" s="37">
        <v>1702</v>
      </c>
      <c r="M4425" s="61">
        <f t="shared" si="271"/>
        <v>21.74148061104583</v>
      </c>
    </row>
    <row r="4426" spans="1:13" ht="15.75" hidden="1" customHeight="1" x14ac:dyDescent="0.3">
      <c r="A4426" s="9">
        <v>591</v>
      </c>
      <c r="B4426" t="s">
        <v>437</v>
      </c>
      <c r="C4426" s="25">
        <v>44606</v>
      </c>
      <c r="D4426" s="26">
        <v>0.93371527777777785</v>
      </c>
      <c r="E4426" t="s">
        <v>25</v>
      </c>
      <c r="F4426" t="s">
        <v>210</v>
      </c>
      <c r="G4426" t="s">
        <v>211</v>
      </c>
      <c r="H4426" t="s">
        <v>438</v>
      </c>
      <c r="I4426">
        <v>363.4</v>
      </c>
      <c r="J4426" s="7">
        <v>0</v>
      </c>
      <c r="K4426" s="7">
        <f t="shared" si="272"/>
        <v>915.1</v>
      </c>
      <c r="L4426" s="32">
        <v>915.1</v>
      </c>
      <c r="M4426" s="10">
        <f t="shared" si="271"/>
        <v>39.711506939132327</v>
      </c>
    </row>
    <row r="4427" spans="1:13" ht="15.75" hidden="1" customHeight="1" x14ac:dyDescent="0.3">
      <c r="A4427" s="9">
        <v>592</v>
      </c>
      <c r="B4427" t="s">
        <v>437</v>
      </c>
      <c r="C4427" s="25">
        <v>44608</v>
      </c>
      <c r="D4427" s="26">
        <v>0.63061342592592595</v>
      </c>
      <c r="E4427" t="s">
        <v>25</v>
      </c>
      <c r="F4427" t="s">
        <v>175</v>
      </c>
      <c r="G4427" t="s">
        <v>172</v>
      </c>
      <c r="H4427" t="s">
        <v>438</v>
      </c>
      <c r="I4427">
        <v>280.45999999999998</v>
      </c>
      <c r="J4427" s="32">
        <v>0</v>
      </c>
      <c r="K4427" s="32">
        <f t="shared" si="272"/>
        <v>959.27</v>
      </c>
      <c r="L4427" s="32">
        <v>959.27</v>
      </c>
      <c r="M4427" s="10">
        <f t="shared" si="271"/>
        <v>29.236815495116076</v>
      </c>
    </row>
    <row r="4428" spans="1:13" ht="15.75" hidden="1" customHeight="1" x14ac:dyDescent="0.3">
      <c r="A4428" s="9">
        <v>593</v>
      </c>
      <c r="B4428" t="s">
        <v>437</v>
      </c>
      <c r="C4428" s="25">
        <v>44609</v>
      </c>
      <c r="D4428" s="26">
        <v>0.77818287037037026</v>
      </c>
      <c r="E4428" t="s">
        <v>25</v>
      </c>
      <c r="F4428" t="s">
        <v>210</v>
      </c>
      <c r="G4428" t="s">
        <v>211</v>
      </c>
      <c r="H4428" t="s">
        <v>438</v>
      </c>
      <c r="I4428">
        <v>335.01</v>
      </c>
      <c r="J4428" s="52">
        <v>0</v>
      </c>
      <c r="K4428" s="52">
        <f t="shared" si="272"/>
        <v>882.82</v>
      </c>
      <c r="L4428" s="52">
        <v>882.82</v>
      </c>
      <c r="M4428" s="10">
        <f t="shared" si="271"/>
        <v>37.947713010579733</v>
      </c>
    </row>
    <row r="4429" spans="1:13" ht="15.75" hidden="1" customHeight="1" x14ac:dyDescent="0.3">
      <c r="A4429" s="9">
        <v>594</v>
      </c>
      <c r="B4429" t="s">
        <v>437</v>
      </c>
      <c r="C4429" s="25">
        <v>44611</v>
      </c>
      <c r="D4429" s="26">
        <v>0.73771990740740734</v>
      </c>
      <c r="E4429" t="s">
        <v>25</v>
      </c>
      <c r="F4429" t="s">
        <v>210</v>
      </c>
      <c r="G4429" t="s">
        <v>211</v>
      </c>
      <c r="H4429" t="s">
        <v>438</v>
      </c>
      <c r="I4429">
        <v>343.5</v>
      </c>
      <c r="J4429" s="52">
        <v>0</v>
      </c>
      <c r="K4429" s="52">
        <f t="shared" si="272"/>
        <v>930.28</v>
      </c>
      <c r="L4429" s="52">
        <v>930.28</v>
      </c>
      <c r="M4429" s="10">
        <f t="shared" si="271"/>
        <v>36.924366857290281</v>
      </c>
    </row>
    <row r="4430" spans="1:13" ht="15.75" hidden="1" customHeight="1" x14ac:dyDescent="0.3">
      <c r="A4430" s="9">
        <v>595</v>
      </c>
      <c r="B4430" t="s">
        <v>437</v>
      </c>
      <c r="C4430" s="25">
        <v>44614</v>
      </c>
      <c r="D4430" s="26">
        <v>0.59903935185185186</v>
      </c>
      <c r="E4430" t="s">
        <v>25</v>
      </c>
      <c r="F4430" t="s">
        <v>175</v>
      </c>
      <c r="G4430" t="s">
        <v>172</v>
      </c>
      <c r="H4430" t="s">
        <v>438</v>
      </c>
      <c r="I4430">
        <v>285.10000000000002</v>
      </c>
      <c r="J4430" s="52">
        <v>0</v>
      </c>
      <c r="K4430" s="52">
        <f t="shared" si="272"/>
        <v>957.56</v>
      </c>
      <c r="L4430" s="52">
        <v>957.56</v>
      </c>
      <c r="M4430" s="10">
        <f t="shared" si="271"/>
        <v>29.773591210994617</v>
      </c>
    </row>
    <row r="4431" spans="1:13" ht="15.75" hidden="1" customHeight="1" x14ac:dyDescent="0.3">
      <c r="A4431" s="9">
        <v>596</v>
      </c>
      <c r="B4431" t="s">
        <v>437</v>
      </c>
      <c r="C4431" s="25">
        <v>44616</v>
      </c>
      <c r="D4431" s="26">
        <v>0.70348379629629632</v>
      </c>
      <c r="E4431" t="s">
        <v>25</v>
      </c>
      <c r="F4431" t="s">
        <v>210</v>
      </c>
      <c r="G4431" t="s">
        <v>211</v>
      </c>
      <c r="H4431" t="s">
        <v>438</v>
      </c>
      <c r="I4431">
        <v>322.67</v>
      </c>
      <c r="J4431" s="32">
        <v>0</v>
      </c>
      <c r="K4431" s="33">
        <f t="shared" si="272"/>
        <v>835.14</v>
      </c>
      <c r="L4431" s="33">
        <v>835.14</v>
      </c>
      <c r="M4431" s="36">
        <f t="shared" si="271"/>
        <v>38.636635773642745</v>
      </c>
    </row>
    <row r="4432" spans="1:13" ht="15.75" hidden="1" customHeight="1" x14ac:dyDescent="0.3">
      <c r="A4432" s="9">
        <v>597</v>
      </c>
      <c r="B4432" t="s">
        <v>437</v>
      </c>
      <c r="C4432" s="25">
        <v>44618</v>
      </c>
      <c r="D4432" s="26">
        <v>0.92321759259259262</v>
      </c>
      <c r="E4432" t="s">
        <v>25</v>
      </c>
      <c r="F4432" t="s">
        <v>210</v>
      </c>
      <c r="G4432" t="s">
        <v>211</v>
      </c>
      <c r="H4432" t="s">
        <v>438</v>
      </c>
      <c r="I4432">
        <v>440</v>
      </c>
      <c r="J4432" s="32">
        <v>0</v>
      </c>
      <c r="K4432" s="32">
        <f t="shared" si="272"/>
        <v>1123.3800000000001</v>
      </c>
      <c r="L4432" s="32">
        <v>1123.3800000000001</v>
      </c>
      <c r="M4432" s="36">
        <f t="shared" si="271"/>
        <v>39.167512328864674</v>
      </c>
    </row>
    <row r="4433" spans="1:13" ht="15.75" hidden="1" customHeight="1" x14ac:dyDescent="0.3">
      <c r="A4433" s="9">
        <v>598</v>
      </c>
      <c r="B4433" t="s">
        <v>437</v>
      </c>
      <c r="C4433" s="25">
        <v>44620</v>
      </c>
      <c r="D4433" s="26">
        <v>0.27160879629629631</v>
      </c>
      <c r="E4433" t="s">
        <v>25</v>
      </c>
      <c r="F4433" t="s">
        <v>175</v>
      </c>
      <c r="G4433" t="s">
        <v>172</v>
      </c>
      <c r="H4433" t="s">
        <v>438</v>
      </c>
      <c r="I4433">
        <v>159.22999999999999</v>
      </c>
      <c r="J4433" s="32">
        <v>0</v>
      </c>
      <c r="K4433" s="32">
        <f t="shared" si="272"/>
        <v>695.22</v>
      </c>
      <c r="L4433" s="32">
        <v>695.22</v>
      </c>
      <c r="M4433" s="36">
        <f t="shared" si="271"/>
        <v>22.903541325048185</v>
      </c>
    </row>
    <row r="4434" spans="1:13" ht="15.75" hidden="1" customHeight="1" x14ac:dyDescent="0.3">
      <c r="A4434" s="9">
        <v>1645</v>
      </c>
      <c r="B4434" t="s">
        <v>437</v>
      </c>
      <c r="C4434" s="25">
        <v>44621</v>
      </c>
      <c r="D4434" s="26">
        <v>0.51293981481481488</v>
      </c>
      <c r="E4434" t="s">
        <v>26</v>
      </c>
      <c r="F4434" t="s">
        <v>210</v>
      </c>
      <c r="G4434" t="s">
        <v>211</v>
      </c>
      <c r="H4434" t="s">
        <v>438</v>
      </c>
      <c r="I4434">
        <v>294.12</v>
      </c>
      <c r="J4434" s="32">
        <v>0</v>
      </c>
      <c r="K4434" s="97">
        <f t="shared" si="272"/>
        <v>809.38</v>
      </c>
      <c r="L4434" s="53">
        <v>809.38</v>
      </c>
      <c r="M4434" s="36">
        <f t="shared" si="271"/>
        <v>36.338926091576269</v>
      </c>
    </row>
    <row r="4435" spans="1:13" ht="15.75" hidden="1" customHeight="1" x14ac:dyDescent="0.3">
      <c r="A4435" s="9">
        <v>1646</v>
      </c>
      <c r="B4435" t="s">
        <v>437</v>
      </c>
      <c r="C4435" s="25">
        <v>44623</v>
      </c>
      <c r="D4435" s="26">
        <v>0.71702546296296299</v>
      </c>
      <c r="E4435" t="s">
        <v>26</v>
      </c>
      <c r="F4435" t="s">
        <v>210</v>
      </c>
      <c r="G4435" t="s">
        <v>211</v>
      </c>
      <c r="H4435" t="s">
        <v>438</v>
      </c>
      <c r="I4435">
        <v>464.21</v>
      </c>
      <c r="J4435" s="32">
        <v>0</v>
      </c>
      <c r="K4435" s="90">
        <f t="shared" si="272"/>
        <v>1120.68</v>
      </c>
      <c r="L4435" s="11">
        <v>1120.68</v>
      </c>
      <c r="M4435" s="36">
        <f t="shared" si="271"/>
        <v>41.422172252560941</v>
      </c>
    </row>
    <row r="4436" spans="1:13" ht="15.75" hidden="1" customHeight="1" x14ac:dyDescent="0.3">
      <c r="A4436" s="9">
        <v>1647</v>
      </c>
      <c r="B4436" t="s">
        <v>437</v>
      </c>
      <c r="C4436" s="25">
        <v>44624</v>
      </c>
      <c r="D4436" s="26">
        <v>0.81807870370370372</v>
      </c>
      <c r="E4436" t="s">
        <v>26</v>
      </c>
      <c r="F4436" t="s">
        <v>175</v>
      </c>
      <c r="G4436" t="s">
        <v>172</v>
      </c>
      <c r="H4436" t="s">
        <v>438</v>
      </c>
      <c r="I4436">
        <v>296.45</v>
      </c>
      <c r="J4436" s="32">
        <v>0</v>
      </c>
      <c r="K4436" s="97">
        <f t="shared" si="272"/>
        <v>983.63</v>
      </c>
      <c r="L4436" s="53">
        <v>983.63</v>
      </c>
      <c r="M4436" s="10">
        <f t="shared" si="271"/>
        <v>30.138365035633321</v>
      </c>
    </row>
    <row r="4437" spans="1:13" ht="15.75" hidden="1" customHeight="1" x14ac:dyDescent="0.3">
      <c r="A4437" s="9">
        <v>1648</v>
      </c>
      <c r="B4437" t="s">
        <v>437</v>
      </c>
      <c r="C4437" s="25">
        <v>44635</v>
      </c>
      <c r="D4437" s="26">
        <v>0.62766203703703705</v>
      </c>
      <c r="E4437" t="s">
        <v>26</v>
      </c>
      <c r="F4437" t="s">
        <v>210</v>
      </c>
      <c r="G4437" t="s">
        <v>211</v>
      </c>
      <c r="H4437" t="s">
        <v>438</v>
      </c>
      <c r="I4437">
        <v>322.85000000000002</v>
      </c>
      <c r="J4437" s="32">
        <v>0</v>
      </c>
      <c r="K4437" s="90">
        <f t="shared" si="272"/>
        <v>896.66</v>
      </c>
      <c r="L4437" s="53">
        <v>896.66</v>
      </c>
      <c r="M4437" s="10">
        <f t="shared" si="271"/>
        <v>36.005843909620147</v>
      </c>
    </row>
    <row r="4438" spans="1:13" ht="15.75" hidden="1" customHeight="1" x14ac:dyDescent="0.3">
      <c r="A4438" s="9">
        <v>1649</v>
      </c>
      <c r="B4438" t="s">
        <v>437</v>
      </c>
      <c r="C4438" s="25">
        <v>44637</v>
      </c>
      <c r="D4438" s="26">
        <v>0.68607638888888889</v>
      </c>
      <c r="E4438" t="s">
        <v>26</v>
      </c>
      <c r="F4438" t="s">
        <v>210</v>
      </c>
      <c r="G4438" t="s">
        <v>211</v>
      </c>
      <c r="H4438" t="s">
        <v>438</v>
      </c>
      <c r="I4438">
        <v>383.47</v>
      </c>
      <c r="J4438" s="52">
        <v>0</v>
      </c>
      <c r="K4438" s="88">
        <f t="shared" si="272"/>
        <v>1116.5899999999999</v>
      </c>
      <c r="L4438" s="53">
        <v>1116.5899999999999</v>
      </c>
      <c r="M4438" s="10">
        <f t="shared" si="271"/>
        <v>34.342954889440172</v>
      </c>
    </row>
    <row r="4439" spans="1:13" ht="15.75" hidden="1" customHeight="1" x14ac:dyDescent="0.3">
      <c r="A4439" s="9">
        <v>1650</v>
      </c>
      <c r="B4439" t="s">
        <v>437</v>
      </c>
      <c r="C4439" s="25">
        <v>44644</v>
      </c>
      <c r="D4439" s="26">
        <v>0.78278935185185183</v>
      </c>
      <c r="E4439" t="s">
        <v>26</v>
      </c>
      <c r="F4439" t="s">
        <v>262</v>
      </c>
      <c r="G4439" t="s">
        <v>263</v>
      </c>
      <c r="H4439" t="s">
        <v>438</v>
      </c>
      <c r="I4439">
        <v>350</v>
      </c>
      <c r="J4439" s="32">
        <v>0</v>
      </c>
      <c r="K4439" s="90">
        <f t="shared" si="272"/>
        <v>1235.77</v>
      </c>
      <c r="L4439" s="53">
        <v>1235.77</v>
      </c>
      <c r="M4439" s="10">
        <f t="shared" si="271"/>
        <v>28.322422457253371</v>
      </c>
    </row>
    <row r="4440" spans="1:13" ht="15.75" hidden="1" customHeight="1" x14ac:dyDescent="0.3">
      <c r="A4440" s="9">
        <v>1651</v>
      </c>
      <c r="B4440" t="s">
        <v>437</v>
      </c>
      <c r="C4440" s="25">
        <v>44645</v>
      </c>
      <c r="D4440" s="26">
        <v>0.43561342592592595</v>
      </c>
      <c r="E4440" t="s">
        <v>26</v>
      </c>
      <c r="F4440" t="s">
        <v>166</v>
      </c>
      <c r="G4440" t="s">
        <v>161</v>
      </c>
      <c r="H4440" t="s">
        <v>438</v>
      </c>
      <c r="I4440">
        <v>370.51</v>
      </c>
      <c r="J4440" s="32">
        <v>0</v>
      </c>
      <c r="K4440" s="90">
        <f t="shared" si="272"/>
        <v>558.30999999999995</v>
      </c>
      <c r="L4440" s="53">
        <v>558.30999999999995</v>
      </c>
      <c r="M4440" s="10">
        <f t="shared" si="271"/>
        <v>66.362773369633359</v>
      </c>
    </row>
    <row r="4441" spans="1:13" ht="15.75" hidden="1" customHeight="1" x14ac:dyDescent="0.3">
      <c r="A4441" s="9">
        <v>1652</v>
      </c>
      <c r="B4441" t="s">
        <v>437</v>
      </c>
      <c r="C4441" s="25">
        <v>44646</v>
      </c>
      <c r="D4441" s="26">
        <v>0.69079861111111107</v>
      </c>
      <c r="E4441" t="s">
        <v>26</v>
      </c>
      <c r="F4441" t="s">
        <v>210</v>
      </c>
      <c r="G4441" t="s">
        <v>211</v>
      </c>
      <c r="H4441" t="s">
        <v>438</v>
      </c>
      <c r="I4441">
        <v>402.86</v>
      </c>
      <c r="J4441" s="32">
        <v>0</v>
      </c>
      <c r="K4441" s="90">
        <f t="shared" si="272"/>
        <v>1138.6500000000001</v>
      </c>
      <c r="L4441" s="53">
        <v>1138.6500000000001</v>
      </c>
      <c r="M4441" s="10">
        <f t="shared" si="271"/>
        <v>35.380494445176303</v>
      </c>
    </row>
    <row r="4442" spans="1:13" ht="15.75" hidden="1" customHeight="1" x14ac:dyDescent="0.3">
      <c r="A4442" s="9">
        <v>1653</v>
      </c>
      <c r="B4442" t="s">
        <v>437</v>
      </c>
      <c r="C4442" s="25">
        <v>44650</v>
      </c>
      <c r="D4442" s="26">
        <v>0.58303240740740747</v>
      </c>
      <c r="E4442" t="s">
        <v>26</v>
      </c>
      <c r="F4442" t="s">
        <v>456</v>
      </c>
      <c r="G4442" t="s">
        <v>457</v>
      </c>
      <c r="H4442" t="s">
        <v>438</v>
      </c>
      <c r="I4442">
        <v>100</v>
      </c>
      <c r="J4442" s="32">
        <v>0</v>
      </c>
      <c r="K4442" s="97">
        <f t="shared" si="272"/>
        <v>1393.64</v>
      </c>
      <c r="L4442" s="53">
        <v>1393.64</v>
      </c>
      <c r="M4442" s="10">
        <f t="shared" si="271"/>
        <v>7.1754542062512554</v>
      </c>
    </row>
    <row r="4443" spans="1:13" ht="15.75" hidden="1" customHeight="1" x14ac:dyDescent="0.3">
      <c r="A4443" s="9">
        <v>1654</v>
      </c>
      <c r="B4443" t="s">
        <v>437</v>
      </c>
      <c r="C4443" s="25">
        <v>44650</v>
      </c>
      <c r="D4443" s="26">
        <v>0.79334490740740737</v>
      </c>
      <c r="E4443" t="s">
        <v>26</v>
      </c>
      <c r="F4443" t="s">
        <v>366</v>
      </c>
      <c r="G4443" t="s">
        <v>367</v>
      </c>
      <c r="H4443" t="s">
        <v>438</v>
      </c>
      <c r="I4443">
        <v>100</v>
      </c>
      <c r="J4443" s="32">
        <v>0</v>
      </c>
      <c r="K4443" s="90">
        <f t="shared" si="272"/>
        <v>313.97000000000003</v>
      </c>
      <c r="L4443" s="53">
        <v>313.97000000000003</v>
      </c>
      <c r="M4443" s="10">
        <f t="shared" si="271"/>
        <v>31.850176768481063</v>
      </c>
    </row>
    <row r="4444" spans="1:13" ht="15.75" hidden="1" customHeight="1" x14ac:dyDescent="0.3">
      <c r="A4444" s="9">
        <v>1655</v>
      </c>
      <c r="B4444" t="s">
        <v>437</v>
      </c>
      <c r="C4444" s="25">
        <v>44651</v>
      </c>
      <c r="D4444" s="26">
        <v>0.50597222222222216</v>
      </c>
      <c r="E4444" t="s">
        <v>26</v>
      </c>
      <c r="F4444" t="s">
        <v>210</v>
      </c>
      <c r="G4444" t="s">
        <v>211</v>
      </c>
      <c r="H4444" t="s">
        <v>438</v>
      </c>
      <c r="I4444">
        <v>456.77</v>
      </c>
      <c r="J4444" s="55">
        <v>0</v>
      </c>
      <c r="K4444" s="90">
        <f t="shared" si="272"/>
        <v>114.61</v>
      </c>
      <c r="L4444" s="53">
        <v>114.61</v>
      </c>
      <c r="M4444" s="10">
        <f t="shared" si="271"/>
        <v>398.54288456504668</v>
      </c>
    </row>
    <row r="4445" spans="1:13" ht="15.75" hidden="1" customHeight="1" x14ac:dyDescent="0.3">
      <c r="A4445" s="9">
        <v>2828</v>
      </c>
      <c r="B4445" t="s">
        <v>437</v>
      </c>
      <c r="C4445" s="25">
        <v>44653</v>
      </c>
      <c r="D4445" s="26">
        <v>0.38378472222222221</v>
      </c>
      <c r="E4445" t="s">
        <v>27</v>
      </c>
      <c r="F4445" t="s">
        <v>165</v>
      </c>
      <c r="G4445" t="s">
        <v>185</v>
      </c>
      <c r="H4445" t="s">
        <v>438</v>
      </c>
      <c r="I4445" s="4">
        <v>230.04</v>
      </c>
      <c r="J4445" s="55">
        <v>0</v>
      </c>
      <c r="K4445" s="90">
        <f t="shared" si="272"/>
        <v>548.29</v>
      </c>
      <c r="L4445" s="53">
        <v>548.29</v>
      </c>
      <c r="M4445" s="10">
        <f t="shared" si="271"/>
        <v>41.955899250396691</v>
      </c>
    </row>
    <row r="4446" spans="1:13" ht="15.75" hidden="1" customHeight="1" x14ac:dyDescent="0.3">
      <c r="A4446" s="9">
        <v>2829</v>
      </c>
      <c r="B4446" t="s">
        <v>437</v>
      </c>
      <c r="C4446" s="25">
        <v>44653</v>
      </c>
      <c r="D4446" s="26">
        <v>0.9544907407407407</v>
      </c>
      <c r="E4446" t="s">
        <v>27</v>
      </c>
      <c r="F4446" t="s">
        <v>166</v>
      </c>
      <c r="G4446" t="s">
        <v>161</v>
      </c>
      <c r="H4446" t="s">
        <v>438</v>
      </c>
      <c r="I4446" s="4">
        <v>165.1</v>
      </c>
      <c r="J4446" s="32">
        <v>0</v>
      </c>
      <c r="K4446" s="90">
        <f t="shared" si="272"/>
        <v>590.69000000000005</v>
      </c>
      <c r="L4446" s="53">
        <v>590.69000000000005</v>
      </c>
      <c r="M4446" s="10">
        <f t="shared" si="271"/>
        <v>27.950363134639144</v>
      </c>
    </row>
    <row r="4447" spans="1:13" ht="15.75" hidden="1" customHeight="1" x14ac:dyDescent="0.3">
      <c r="A4447" s="9">
        <v>2830</v>
      </c>
      <c r="B4447" t="s">
        <v>437</v>
      </c>
      <c r="C4447" s="25">
        <v>44656</v>
      </c>
      <c r="D4447" s="26">
        <v>0.31635416666666666</v>
      </c>
      <c r="E4447" t="s">
        <v>27</v>
      </c>
      <c r="F4447" t="s">
        <v>428</v>
      </c>
      <c r="G4447" t="s">
        <v>429</v>
      </c>
      <c r="H4447" t="s">
        <v>438</v>
      </c>
      <c r="I4447" s="4">
        <v>100.25</v>
      </c>
      <c r="J4447" s="32">
        <v>0</v>
      </c>
      <c r="K4447" s="89">
        <f t="shared" si="272"/>
        <v>840.72</v>
      </c>
      <c r="L4447" s="53">
        <v>840.72</v>
      </c>
      <c r="M4447" s="10">
        <f t="shared" si="271"/>
        <v>11.924302978399465</v>
      </c>
    </row>
    <row r="4448" spans="1:13" hidden="1" x14ac:dyDescent="0.3">
      <c r="A4448" s="9">
        <v>2831</v>
      </c>
      <c r="B4448" t="s">
        <v>437</v>
      </c>
      <c r="C4448" s="25">
        <v>44656</v>
      </c>
      <c r="D4448" s="26">
        <v>0.60873842592592597</v>
      </c>
      <c r="E4448" t="s">
        <v>27</v>
      </c>
      <c r="F4448" t="s">
        <v>175</v>
      </c>
      <c r="G4448" t="s">
        <v>172</v>
      </c>
      <c r="H4448" t="s">
        <v>438</v>
      </c>
      <c r="I4448" s="4">
        <v>239.26</v>
      </c>
      <c r="J4448" s="37">
        <v>0</v>
      </c>
      <c r="K4448" s="89">
        <f t="shared" si="272"/>
        <v>1072.8</v>
      </c>
      <c r="L4448" s="53">
        <v>1072.8</v>
      </c>
      <c r="M4448" s="10">
        <f t="shared" si="271"/>
        <v>22.302386278896346</v>
      </c>
    </row>
    <row r="4449" spans="1:13" ht="15.75" hidden="1" customHeight="1" x14ac:dyDescent="0.3">
      <c r="A4449" s="9">
        <v>2832</v>
      </c>
      <c r="B4449" t="s">
        <v>437</v>
      </c>
      <c r="C4449" s="25">
        <v>44657</v>
      </c>
      <c r="D4449" s="26">
        <v>0.70754629629629628</v>
      </c>
      <c r="E4449" t="s">
        <v>27</v>
      </c>
      <c r="F4449" t="s">
        <v>166</v>
      </c>
      <c r="G4449" t="s">
        <v>161</v>
      </c>
      <c r="H4449" t="s">
        <v>438</v>
      </c>
      <c r="I4449" s="4">
        <v>270.62</v>
      </c>
      <c r="J4449" s="32">
        <v>0</v>
      </c>
      <c r="K4449" s="89">
        <f t="shared" si="272"/>
        <v>755.66</v>
      </c>
      <c r="L4449" s="53">
        <v>755.66</v>
      </c>
      <c r="M4449" s="10">
        <f t="shared" si="271"/>
        <v>35.812402403197211</v>
      </c>
    </row>
    <row r="4450" spans="1:13" ht="15.75" hidden="1" customHeight="1" x14ac:dyDescent="0.3">
      <c r="A4450" s="9">
        <v>2833</v>
      </c>
      <c r="B4450" t="s">
        <v>437</v>
      </c>
      <c r="C4450" s="25">
        <v>44658</v>
      </c>
      <c r="D4450" s="26">
        <v>0.91875000000000007</v>
      </c>
      <c r="E4450" t="s">
        <v>27</v>
      </c>
      <c r="F4450" t="s">
        <v>210</v>
      </c>
      <c r="G4450" t="s">
        <v>211</v>
      </c>
      <c r="H4450" t="s">
        <v>438</v>
      </c>
      <c r="I4450" s="4">
        <v>382.65</v>
      </c>
      <c r="J4450" s="32">
        <v>0</v>
      </c>
      <c r="K4450" s="89">
        <f t="shared" si="272"/>
        <v>1138.1500000000001</v>
      </c>
      <c r="L4450" s="53">
        <v>1138.1500000000001</v>
      </c>
      <c r="M4450" s="10">
        <f t="shared" si="271"/>
        <v>33.620348811668052</v>
      </c>
    </row>
    <row r="4451" spans="1:13" ht="15.75" hidden="1" customHeight="1" x14ac:dyDescent="0.3">
      <c r="A4451" s="9">
        <v>2834</v>
      </c>
      <c r="B4451" t="s">
        <v>437</v>
      </c>
      <c r="C4451" s="25">
        <v>44660</v>
      </c>
      <c r="D4451" s="26">
        <v>0.676875</v>
      </c>
      <c r="E4451" t="s">
        <v>27</v>
      </c>
      <c r="F4451" t="s">
        <v>175</v>
      </c>
      <c r="G4451" t="s">
        <v>172</v>
      </c>
      <c r="H4451" t="s">
        <v>438</v>
      </c>
      <c r="I4451" s="4">
        <v>327.37</v>
      </c>
      <c r="J4451" s="32">
        <v>0</v>
      </c>
      <c r="K4451" s="89">
        <f t="shared" si="272"/>
        <v>1084.51</v>
      </c>
      <c r="L4451" s="53">
        <v>1084.51</v>
      </c>
      <c r="M4451" s="10">
        <f t="shared" si="271"/>
        <v>30.18598260965782</v>
      </c>
    </row>
    <row r="4452" spans="1:13" ht="15.75" hidden="1" customHeight="1" x14ac:dyDescent="0.3">
      <c r="A4452" s="9">
        <v>2835</v>
      </c>
      <c r="B4452" t="s">
        <v>437</v>
      </c>
      <c r="C4452" s="25">
        <v>44668</v>
      </c>
      <c r="D4452" s="26">
        <v>0.38837962962962963</v>
      </c>
      <c r="E4452" t="s">
        <v>27</v>
      </c>
      <c r="F4452" t="s">
        <v>166</v>
      </c>
      <c r="G4452" t="s">
        <v>161</v>
      </c>
      <c r="H4452" t="s">
        <v>438</v>
      </c>
      <c r="I4452" s="4">
        <v>347.52</v>
      </c>
      <c r="J4452" s="32">
        <v>0</v>
      </c>
      <c r="K4452" s="89">
        <f t="shared" si="272"/>
        <v>994</v>
      </c>
      <c r="L4452" s="53">
        <v>994</v>
      </c>
      <c r="M4452" s="10">
        <f t="shared" ref="M4452:M4483" si="273">I4452/K4452*100</f>
        <v>34.961770623742453</v>
      </c>
    </row>
    <row r="4453" spans="1:13" ht="15.75" hidden="1" customHeight="1" x14ac:dyDescent="0.3">
      <c r="A4453" s="9">
        <v>2836</v>
      </c>
      <c r="B4453" t="s">
        <v>437</v>
      </c>
      <c r="C4453" s="25">
        <v>44670</v>
      </c>
      <c r="D4453" s="26">
        <v>0.61506944444444445</v>
      </c>
      <c r="E4453" t="s">
        <v>27</v>
      </c>
      <c r="F4453" t="s">
        <v>340</v>
      </c>
      <c r="G4453" t="s">
        <v>337</v>
      </c>
      <c r="H4453" t="s">
        <v>438</v>
      </c>
      <c r="I4453" s="4">
        <v>409.11</v>
      </c>
      <c r="J4453" s="32">
        <v>0</v>
      </c>
      <c r="K4453" s="89">
        <f t="shared" si="272"/>
        <v>1332.79</v>
      </c>
      <c r="L4453" s="55">
        <v>1332.79</v>
      </c>
      <c r="M4453" s="10">
        <f t="shared" si="273"/>
        <v>30.695758521597554</v>
      </c>
    </row>
    <row r="4454" spans="1:13" ht="15.75" hidden="1" customHeight="1" x14ac:dyDescent="0.3">
      <c r="A4454" s="9">
        <v>2837</v>
      </c>
      <c r="B4454" t="s">
        <v>437</v>
      </c>
      <c r="C4454" s="25">
        <v>44671</v>
      </c>
      <c r="D4454" s="26">
        <v>0.97562499999999996</v>
      </c>
      <c r="E4454" t="s">
        <v>27</v>
      </c>
      <c r="F4454" t="s">
        <v>210</v>
      </c>
      <c r="G4454" t="s">
        <v>211</v>
      </c>
      <c r="H4454" t="s">
        <v>438</v>
      </c>
      <c r="I4454" s="4">
        <v>412.94</v>
      </c>
      <c r="J4454" s="32">
        <v>0</v>
      </c>
      <c r="K4454" s="89">
        <f t="shared" si="272"/>
        <v>1320.74</v>
      </c>
      <c r="L4454" s="32">
        <v>1320.74</v>
      </c>
      <c r="M4454" s="10">
        <f t="shared" si="273"/>
        <v>31.265805533261652</v>
      </c>
    </row>
    <row r="4455" spans="1:13" ht="15.75" hidden="1" customHeight="1" x14ac:dyDescent="0.3">
      <c r="A4455" s="9">
        <v>2838</v>
      </c>
      <c r="B4455" t="s">
        <v>437</v>
      </c>
      <c r="C4455" s="25">
        <v>44674</v>
      </c>
      <c r="D4455" s="26">
        <v>0.34930555555555554</v>
      </c>
      <c r="E4455" t="s">
        <v>27</v>
      </c>
      <c r="F4455" t="s">
        <v>428</v>
      </c>
      <c r="G4455" t="s">
        <v>429</v>
      </c>
      <c r="H4455" t="s">
        <v>438</v>
      </c>
      <c r="I4455" s="4">
        <v>150.04</v>
      </c>
      <c r="J4455" s="32">
        <v>0</v>
      </c>
      <c r="K4455" s="89">
        <f t="shared" si="272"/>
        <v>955.89</v>
      </c>
      <c r="L4455" s="53">
        <v>955.89</v>
      </c>
      <c r="M4455" s="10">
        <f t="shared" si="273"/>
        <v>15.696366736758414</v>
      </c>
    </row>
    <row r="4456" spans="1:13" ht="15.75" hidden="1" customHeight="1" x14ac:dyDescent="0.3">
      <c r="A4456" s="9">
        <v>2839</v>
      </c>
      <c r="B4456" t="s">
        <v>437</v>
      </c>
      <c r="C4456" s="25">
        <v>44675</v>
      </c>
      <c r="D4456" s="26">
        <v>0.51393518518518522</v>
      </c>
      <c r="E4456" t="s">
        <v>27</v>
      </c>
      <c r="F4456" t="s">
        <v>366</v>
      </c>
      <c r="G4456" t="s">
        <v>367</v>
      </c>
      <c r="H4456" t="s">
        <v>438</v>
      </c>
      <c r="I4456" s="4">
        <v>50</v>
      </c>
      <c r="J4456" s="32">
        <v>0</v>
      </c>
      <c r="K4456" s="89">
        <f t="shared" si="272"/>
        <v>779.33</v>
      </c>
      <c r="L4456" s="53">
        <v>779.33</v>
      </c>
      <c r="M4456" s="10">
        <f t="shared" si="273"/>
        <v>6.4157673899375105</v>
      </c>
    </row>
    <row r="4457" spans="1:13" ht="15.75" hidden="1" customHeight="1" x14ac:dyDescent="0.3">
      <c r="A4457" s="9">
        <v>2840</v>
      </c>
      <c r="B4457" t="s">
        <v>437</v>
      </c>
      <c r="C4457" s="25">
        <v>44675</v>
      </c>
      <c r="D4457" s="26">
        <v>0.63415509259259262</v>
      </c>
      <c r="E4457" t="s">
        <v>27</v>
      </c>
      <c r="F4457" t="s">
        <v>210</v>
      </c>
      <c r="G4457" t="s">
        <v>211</v>
      </c>
      <c r="H4457" t="s">
        <v>438</v>
      </c>
      <c r="I4457" s="4">
        <v>467.85</v>
      </c>
      <c r="J4457" s="32">
        <v>0</v>
      </c>
      <c r="K4457" s="89">
        <f t="shared" si="272"/>
        <v>978.54</v>
      </c>
      <c r="L4457" s="32">
        <v>978.54</v>
      </c>
      <c r="M4457" s="10">
        <f t="shared" si="273"/>
        <v>47.811024587650998</v>
      </c>
    </row>
    <row r="4458" spans="1:13" ht="15.75" hidden="1" customHeight="1" x14ac:dyDescent="0.3">
      <c r="A4458" s="9">
        <v>2841</v>
      </c>
      <c r="B4458" t="s">
        <v>437</v>
      </c>
      <c r="C4458" s="25">
        <v>44676</v>
      </c>
      <c r="D4458" s="26">
        <v>0.44629629629629625</v>
      </c>
      <c r="E4458" t="s">
        <v>27</v>
      </c>
      <c r="F4458" t="s">
        <v>165</v>
      </c>
      <c r="G4458" t="s">
        <v>185</v>
      </c>
      <c r="H4458" t="s">
        <v>438</v>
      </c>
      <c r="I4458">
        <v>232.04</v>
      </c>
      <c r="J4458" s="32">
        <v>0</v>
      </c>
      <c r="K4458" s="89">
        <f t="shared" si="272"/>
        <v>747.8</v>
      </c>
      <c r="L4458" s="7">
        <v>747.8</v>
      </c>
      <c r="M4458" s="10">
        <f t="shared" si="273"/>
        <v>31.029687082107515</v>
      </c>
    </row>
    <row r="4459" spans="1:13" ht="15.75" hidden="1" customHeight="1" x14ac:dyDescent="0.3">
      <c r="A4459" s="9">
        <v>2842</v>
      </c>
      <c r="B4459" t="s">
        <v>437</v>
      </c>
      <c r="C4459" s="25">
        <v>44678</v>
      </c>
      <c r="D4459" s="26">
        <v>0.47005787037037039</v>
      </c>
      <c r="E4459" t="s">
        <v>27</v>
      </c>
      <c r="F4459" t="s">
        <v>165</v>
      </c>
      <c r="G4459" t="s">
        <v>185</v>
      </c>
      <c r="H4459" t="s">
        <v>438</v>
      </c>
      <c r="I4459">
        <v>528.26</v>
      </c>
      <c r="J4459" s="32">
        <v>0</v>
      </c>
      <c r="K4459" s="89">
        <f t="shared" si="272"/>
        <v>1596.66</v>
      </c>
      <c r="L4459" s="7">
        <v>1596.66</v>
      </c>
      <c r="M4459" s="10">
        <f t="shared" si="273"/>
        <v>33.085315596307289</v>
      </c>
    </row>
    <row r="4460" spans="1:13" ht="15.75" hidden="1" customHeight="1" x14ac:dyDescent="0.3">
      <c r="A4460" s="9">
        <v>2843</v>
      </c>
      <c r="B4460" t="s">
        <v>437</v>
      </c>
      <c r="C4460" s="25">
        <v>44679</v>
      </c>
      <c r="D4460" s="26">
        <v>0.35506944444444444</v>
      </c>
      <c r="E4460" t="s">
        <v>27</v>
      </c>
      <c r="F4460" t="s">
        <v>210</v>
      </c>
      <c r="G4460" t="s">
        <v>211</v>
      </c>
      <c r="H4460" t="s">
        <v>438</v>
      </c>
      <c r="I4460">
        <v>150.32</v>
      </c>
      <c r="J4460" s="32">
        <v>0</v>
      </c>
      <c r="K4460" s="89">
        <f t="shared" si="272"/>
        <v>550.48</v>
      </c>
      <c r="L4460" s="30">
        <v>550.48</v>
      </c>
      <c r="M4460" s="10">
        <f t="shared" si="273"/>
        <v>27.307077459671557</v>
      </c>
    </row>
    <row r="4461" spans="1:13" ht="15.75" hidden="1" customHeight="1" x14ac:dyDescent="0.3">
      <c r="A4461" s="9">
        <v>3724</v>
      </c>
      <c r="B4461" t="s">
        <v>437</v>
      </c>
      <c r="C4461" s="25">
        <v>44683</v>
      </c>
      <c r="D4461" s="26">
        <v>0.40208333333333335</v>
      </c>
      <c r="E4461" t="s">
        <v>28</v>
      </c>
      <c r="F4461" t="s">
        <v>210</v>
      </c>
      <c r="G4461" t="s">
        <v>211</v>
      </c>
      <c r="H4461" t="s">
        <v>438</v>
      </c>
      <c r="I4461">
        <v>127.28</v>
      </c>
      <c r="J4461" s="32">
        <v>0</v>
      </c>
      <c r="K4461" s="89">
        <f>+L4461-J4594</f>
        <v>514</v>
      </c>
      <c r="L4461" s="11">
        <v>514</v>
      </c>
      <c r="M4461" s="10">
        <f t="shared" si="273"/>
        <v>24.762645914396888</v>
      </c>
    </row>
    <row r="4462" spans="1:13" ht="15.75" hidden="1" customHeight="1" x14ac:dyDescent="0.3">
      <c r="A4462" s="9">
        <v>3806</v>
      </c>
      <c r="B4462" t="s">
        <v>437</v>
      </c>
      <c r="C4462" s="25">
        <v>44685</v>
      </c>
      <c r="D4462" s="26">
        <v>0.79085648148148147</v>
      </c>
      <c r="E4462" t="s">
        <v>28</v>
      </c>
      <c r="F4462" t="s">
        <v>166</v>
      </c>
      <c r="G4462" t="s">
        <v>161</v>
      </c>
      <c r="H4462" t="s">
        <v>438</v>
      </c>
      <c r="I4462">
        <v>565.16</v>
      </c>
      <c r="J4462" s="32">
        <v>0</v>
      </c>
      <c r="K4462" s="89">
        <f>+L4462-J4593</f>
        <v>464</v>
      </c>
      <c r="L4462" s="32">
        <v>464</v>
      </c>
      <c r="M4462" s="36">
        <f t="shared" si="273"/>
        <v>121.80172413793102</v>
      </c>
    </row>
    <row r="4463" spans="1:13" ht="15.75" hidden="1" customHeight="1" x14ac:dyDescent="0.3">
      <c r="A4463" s="9">
        <v>3815</v>
      </c>
      <c r="B4463" t="s">
        <v>437</v>
      </c>
      <c r="C4463" s="25">
        <v>44685</v>
      </c>
      <c r="D4463" s="26">
        <v>0.35766203703703708</v>
      </c>
      <c r="E4463" t="s">
        <v>28</v>
      </c>
      <c r="F4463" t="s">
        <v>541</v>
      </c>
      <c r="G4463" t="s">
        <v>542</v>
      </c>
      <c r="H4463" t="s">
        <v>438</v>
      </c>
      <c r="I4463">
        <v>52.65</v>
      </c>
      <c r="J4463" s="32">
        <v>0</v>
      </c>
      <c r="K4463" s="89">
        <f>+L4463-J4594</f>
        <v>1382</v>
      </c>
      <c r="L4463" s="32">
        <v>1382</v>
      </c>
      <c r="M4463" s="36">
        <f t="shared" si="273"/>
        <v>3.8096960926193919</v>
      </c>
    </row>
    <row r="4464" spans="1:13" ht="15.75" hidden="1" customHeight="1" x14ac:dyDescent="0.3">
      <c r="A4464" s="9">
        <v>3872</v>
      </c>
      <c r="B4464" t="s">
        <v>437</v>
      </c>
      <c r="C4464" s="25">
        <v>44686</v>
      </c>
      <c r="D4464" s="26">
        <v>0.8432291666666667</v>
      </c>
      <c r="E4464" t="s">
        <v>28</v>
      </c>
      <c r="F4464" t="s">
        <v>165</v>
      </c>
      <c r="G4464" t="s">
        <v>185</v>
      </c>
      <c r="H4464" t="s">
        <v>438</v>
      </c>
      <c r="I4464">
        <v>256.39</v>
      </c>
      <c r="J4464" s="32">
        <v>0</v>
      </c>
      <c r="K4464" s="89">
        <f>+L4464-J4595</f>
        <v>625.53</v>
      </c>
      <c r="L4464" s="32">
        <v>625.53</v>
      </c>
      <c r="M4464" s="36">
        <f t="shared" si="273"/>
        <v>40.987642479177651</v>
      </c>
    </row>
    <row r="4465" spans="1:13" ht="15.75" hidden="1" customHeight="1" x14ac:dyDescent="0.3">
      <c r="A4465" s="9">
        <v>3978</v>
      </c>
      <c r="B4465" t="s">
        <v>437</v>
      </c>
      <c r="C4465" s="25">
        <v>44688</v>
      </c>
      <c r="D4465" s="26">
        <v>0.89725694444444448</v>
      </c>
      <c r="E4465" t="s">
        <v>28</v>
      </c>
      <c r="F4465" t="s">
        <v>165</v>
      </c>
      <c r="G4465" t="s">
        <v>185</v>
      </c>
      <c r="H4465" t="s">
        <v>438</v>
      </c>
      <c r="I4465">
        <v>515.58000000000004</v>
      </c>
      <c r="J4465" s="32">
        <v>0</v>
      </c>
      <c r="K4465" s="89">
        <f>+L4465-J4594</f>
        <v>1628</v>
      </c>
      <c r="L4465" s="32">
        <v>1628</v>
      </c>
      <c r="M4465" s="36">
        <f t="shared" si="273"/>
        <v>31.669533169533171</v>
      </c>
    </row>
    <row r="4466" spans="1:13" ht="15.75" hidden="1" customHeight="1" x14ac:dyDescent="0.3">
      <c r="A4466" s="9">
        <v>4024</v>
      </c>
      <c r="B4466" t="s">
        <v>437</v>
      </c>
      <c r="C4466" s="25">
        <v>44689</v>
      </c>
      <c r="D4466" s="26">
        <v>0.59585648148148151</v>
      </c>
      <c r="E4466" t="s">
        <v>28</v>
      </c>
      <c r="F4466" t="s">
        <v>210</v>
      </c>
      <c r="G4466" t="s">
        <v>211</v>
      </c>
      <c r="H4466" t="s">
        <v>438</v>
      </c>
      <c r="I4466">
        <v>108.43</v>
      </c>
      <c r="J4466" s="37">
        <v>0</v>
      </c>
      <c r="K4466" s="89">
        <f>+L4466-J4595</f>
        <v>515</v>
      </c>
      <c r="L4466" s="67">
        <v>515</v>
      </c>
      <c r="M4466" s="10">
        <f t="shared" si="273"/>
        <v>21.054368932038837</v>
      </c>
    </row>
    <row r="4467" spans="1:13" ht="15.75" hidden="1" customHeight="1" x14ac:dyDescent="0.3">
      <c r="A4467" s="9">
        <v>4609</v>
      </c>
      <c r="B4467" t="s">
        <v>437</v>
      </c>
      <c r="C4467" s="25">
        <v>44700</v>
      </c>
      <c r="D4467" s="26">
        <v>0.50813657407407409</v>
      </c>
      <c r="E4467" t="s">
        <v>28</v>
      </c>
      <c r="F4467" t="s">
        <v>175</v>
      </c>
      <c r="G4467" t="s">
        <v>172</v>
      </c>
      <c r="H4467" t="s">
        <v>438</v>
      </c>
      <c r="I4467">
        <v>347.38</v>
      </c>
      <c r="J4467" s="32">
        <v>0</v>
      </c>
      <c r="K4467" s="89">
        <f>+L4467-J4738</f>
        <v>1069</v>
      </c>
      <c r="L4467" s="53">
        <v>1069</v>
      </c>
      <c r="M4467" s="10">
        <f t="shared" si="273"/>
        <v>32.495790458372312</v>
      </c>
    </row>
    <row r="4468" spans="1:13" ht="15.75" hidden="1" customHeight="1" x14ac:dyDescent="0.3">
      <c r="A4468" s="9">
        <v>4610</v>
      </c>
      <c r="B4468" t="s">
        <v>437</v>
      </c>
      <c r="C4468" s="25">
        <v>44700</v>
      </c>
      <c r="D4468" s="26">
        <v>0.92304398148148159</v>
      </c>
      <c r="E4468" t="s">
        <v>28</v>
      </c>
      <c r="F4468" t="s">
        <v>166</v>
      </c>
      <c r="G4468" t="s">
        <v>161</v>
      </c>
      <c r="H4468" t="s">
        <v>438</v>
      </c>
      <c r="I4468">
        <v>222.29</v>
      </c>
      <c r="J4468" s="32">
        <v>0</v>
      </c>
      <c r="K4468" s="89">
        <f>+L4468-J4739</f>
        <v>619</v>
      </c>
      <c r="L4468" s="53">
        <v>619</v>
      </c>
      <c r="M4468" s="10">
        <f t="shared" si="273"/>
        <v>35.911147011308557</v>
      </c>
    </row>
    <row r="4469" spans="1:13" ht="15.75" hidden="1" customHeight="1" x14ac:dyDescent="0.3">
      <c r="A4469" s="9">
        <v>4721</v>
      </c>
      <c r="B4469" t="s">
        <v>437</v>
      </c>
      <c r="C4469" s="25">
        <v>44702</v>
      </c>
      <c r="D4469" s="26">
        <v>0.81214120370370368</v>
      </c>
      <c r="E4469" t="s">
        <v>28</v>
      </c>
      <c r="F4469" t="s">
        <v>165</v>
      </c>
      <c r="G4469" t="s">
        <v>185</v>
      </c>
      <c r="H4469" t="s">
        <v>438</v>
      </c>
      <c r="I4469">
        <v>436.75</v>
      </c>
      <c r="J4469" s="32">
        <v>0</v>
      </c>
      <c r="K4469" s="89">
        <f t="shared" ref="K4469:K4477" si="274">+L4469-J4736</f>
        <v>1070</v>
      </c>
      <c r="L4469" s="53">
        <v>1070</v>
      </c>
      <c r="M4469" s="10">
        <f t="shared" si="273"/>
        <v>40.817757009345797</v>
      </c>
    </row>
    <row r="4470" spans="1:13" ht="15.75" hidden="1" customHeight="1" x14ac:dyDescent="0.3">
      <c r="A4470" s="9">
        <v>4771</v>
      </c>
      <c r="B4470" t="s">
        <v>437</v>
      </c>
      <c r="C4470" s="25">
        <v>44703</v>
      </c>
      <c r="D4470" s="26">
        <v>0.58255787037037032</v>
      </c>
      <c r="E4470" t="s">
        <v>28</v>
      </c>
      <c r="F4470" t="s">
        <v>210</v>
      </c>
      <c r="G4470" t="s">
        <v>211</v>
      </c>
      <c r="H4470" t="s">
        <v>438</v>
      </c>
      <c r="I4470">
        <v>136.4</v>
      </c>
      <c r="J4470" s="32">
        <v>0</v>
      </c>
      <c r="K4470" s="89">
        <f t="shared" si="274"/>
        <v>521</v>
      </c>
      <c r="L4470" s="53">
        <v>521</v>
      </c>
      <c r="M4470" s="10">
        <f t="shared" si="273"/>
        <v>26.18042226487524</v>
      </c>
    </row>
    <row r="4471" spans="1:13" ht="15.75" hidden="1" customHeight="1" x14ac:dyDescent="0.3">
      <c r="A4471" s="9">
        <v>4881</v>
      </c>
      <c r="B4471" t="s">
        <v>437</v>
      </c>
      <c r="C4471" s="25">
        <v>44705</v>
      </c>
      <c r="D4471" s="26">
        <v>0.39767361111111116</v>
      </c>
      <c r="E4471" t="s">
        <v>28</v>
      </c>
      <c r="F4471" t="s">
        <v>175</v>
      </c>
      <c r="G4471" t="s">
        <v>172</v>
      </c>
      <c r="H4471" t="s">
        <v>438</v>
      </c>
      <c r="I4471">
        <v>352.42</v>
      </c>
      <c r="J4471" s="33">
        <v>0</v>
      </c>
      <c r="K4471" s="89">
        <f t="shared" si="274"/>
        <v>1115</v>
      </c>
      <c r="L4471" s="53">
        <v>1115</v>
      </c>
      <c r="M4471" s="10">
        <f t="shared" si="273"/>
        <v>31.607174887892381</v>
      </c>
    </row>
    <row r="4472" spans="1:13" ht="15.75" hidden="1" customHeight="1" x14ac:dyDescent="0.3">
      <c r="A4472" s="9">
        <v>4935</v>
      </c>
      <c r="B4472" t="s">
        <v>437</v>
      </c>
      <c r="C4472" s="25">
        <v>44706</v>
      </c>
      <c r="D4472" s="26">
        <v>0.77148148148148143</v>
      </c>
      <c r="E4472" t="s">
        <v>28</v>
      </c>
      <c r="F4472" t="s">
        <v>165</v>
      </c>
      <c r="G4472" t="s">
        <v>185</v>
      </c>
      <c r="H4472" t="s">
        <v>438</v>
      </c>
      <c r="I4472">
        <v>244.19</v>
      </c>
      <c r="J4472" s="32">
        <v>0</v>
      </c>
      <c r="K4472" s="89">
        <f t="shared" si="274"/>
        <v>624</v>
      </c>
      <c r="L4472" s="53">
        <v>624</v>
      </c>
      <c r="M4472" s="10">
        <f t="shared" si="273"/>
        <v>39.133012820512818</v>
      </c>
    </row>
    <row r="4473" spans="1:13" ht="15.75" hidden="1" customHeight="1" x14ac:dyDescent="0.3">
      <c r="A4473" s="9">
        <v>4939</v>
      </c>
      <c r="B4473" t="s">
        <v>437</v>
      </c>
      <c r="C4473" s="25">
        <v>44706</v>
      </c>
      <c r="D4473" s="26">
        <v>0.30098379629629629</v>
      </c>
      <c r="E4473" t="s">
        <v>28</v>
      </c>
      <c r="F4473" t="s">
        <v>166</v>
      </c>
      <c r="G4473" t="s">
        <v>161</v>
      </c>
      <c r="H4473" t="s">
        <v>438</v>
      </c>
      <c r="I4473">
        <v>226.14</v>
      </c>
      <c r="J4473" s="41">
        <v>0</v>
      </c>
      <c r="K4473" s="89">
        <f t="shared" si="274"/>
        <v>619</v>
      </c>
      <c r="L4473" s="53">
        <v>619</v>
      </c>
      <c r="M4473" s="10">
        <f t="shared" si="273"/>
        <v>36.53311793214862</v>
      </c>
    </row>
    <row r="4474" spans="1:13" ht="15.75" hidden="1" customHeight="1" x14ac:dyDescent="0.3">
      <c r="A4474" s="9">
        <v>4988</v>
      </c>
      <c r="B4474" t="s">
        <v>437</v>
      </c>
      <c r="C4474" s="25">
        <v>44707</v>
      </c>
      <c r="D4474" s="26">
        <v>0.70265046296296296</v>
      </c>
      <c r="E4474" t="s">
        <v>28</v>
      </c>
      <c r="F4474" t="s">
        <v>635</v>
      </c>
      <c r="G4474" t="s">
        <v>185</v>
      </c>
      <c r="H4474" t="s">
        <v>438</v>
      </c>
      <c r="I4474">
        <v>156.36000000000001</v>
      </c>
      <c r="J4474" s="32">
        <v>0</v>
      </c>
      <c r="K4474" s="89">
        <f t="shared" si="274"/>
        <v>1031</v>
      </c>
      <c r="L4474" s="11">
        <v>1031</v>
      </c>
      <c r="M4474" s="10">
        <f t="shared" si="273"/>
        <v>15.165858389912707</v>
      </c>
    </row>
    <row r="4475" spans="1:13" ht="15.75" hidden="1" customHeight="1" x14ac:dyDescent="0.3">
      <c r="A4475" s="9">
        <v>5032</v>
      </c>
      <c r="B4475" t="s">
        <v>437</v>
      </c>
      <c r="C4475" s="25">
        <v>44708</v>
      </c>
      <c r="D4475" s="26">
        <v>0.87732638888888881</v>
      </c>
      <c r="E4475" t="s">
        <v>28</v>
      </c>
      <c r="F4475" t="s">
        <v>635</v>
      </c>
      <c r="G4475" t="s">
        <v>185</v>
      </c>
      <c r="H4475" t="s">
        <v>438</v>
      </c>
      <c r="I4475">
        <v>193.58</v>
      </c>
      <c r="J4475" s="32">
        <v>0</v>
      </c>
      <c r="K4475" s="89">
        <f t="shared" si="274"/>
        <v>474</v>
      </c>
      <c r="L4475" s="11">
        <v>474</v>
      </c>
      <c r="M4475" s="10">
        <f t="shared" si="273"/>
        <v>40.839662447257382</v>
      </c>
    </row>
    <row r="4476" spans="1:13" ht="15.75" hidden="1" customHeight="1" x14ac:dyDescent="0.3">
      <c r="A4476" s="9">
        <v>5091</v>
      </c>
      <c r="B4476" t="s">
        <v>437</v>
      </c>
      <c r="C4476" s="25">
        <v>44709</v>
      </c>
      <c r="D4476" s="26">
        <v>0.78167824074074066</v>
      </c>
      <c r="E4476" t="s">
        <v>28</v>
      </c>
      <c r="F4476" t="s">
        <v>635</v>
      </c>
      <c r="G4476" t="s">
        <v>185</v>
      </c>
      <c r="H4476" t="s">
        <v>438</v>
      </c>
      <c r="I4476">
        <v>176.66</v>
      </c>
      <c r="J4476" s="32">
        <v>0</v>
      </c>
      <c r="K4476" s="89">
        <f t="shared" si="274"/>
        <v>440</v>
      </c>
      <c r="L4476" s="7">
        <v>440</v>
      </c>
      <c r="M4476" s="10">
        <f t="shared" si="273"/>
        <v>40.15</v>
      </c>
    </row>
    <row r="4477" spans="1:13" ht="15.75" hidden="1" customHeight="1" x14ac:dyDescent="0.3">
      <c r="A4477" s="9">
        <v>5149</v>
      </c>
      <c r="B4477" t="s">
        <v>437</v>
      </c>
      <c r="C4477" s="25">
        <v>44710</v>
      </c>
      <c r="D4477" s="26">
        <v>0.53430555555555559</v>
      </c>
      <c r="E4477" t="s">
        <v>28</v>
      </c>
      <c r="F4477" t="s">
        <v>634</v>
      </c>
      <c r="G4477" t="s">
        <v>211</v>
      </c>
      <c r="H4477" t="s">
        <v>438</v>
      </c>
      <c r="I4477">
        <v>122.11</v>
      </c>
      <c r="J4477" s="32">
        <v>0</v>
      </c>
      <c r="K4477" s="89">
        <f t="shared" si="274"/>
        <v>514</v>
      </c>
      <c r="L4477" s="11">
        <v>514</v>
      </c>
      <c r="M4477" s="10">
        <f t="shared" si="273"/>
        <v>23.7568093385214</v>
      </c>
    </row>
    <row r="4478" spans="1:13" ht="15.75" hidden="1" customHeight="1" x14ac:dyDescent="0.3">
      <c r="A4478" s="9">
        <v>5235</v>
      </c>
      <c r="B4478" t="s">
        <v>437</v>
      </c>
      <c r="C4478" s="25">
        <v>44712</v>
      </c>
      <c r="D4478" s="26">
        <v>0.4004050925925926</v>
      </c>
      <c r="E4478" t="s">
        <v>28</v>
      </c>
      <c r="F4478" t="s">
        <v>651</v>
      </c>
      <c r="G4478" t="s">
        <v>172</v>
      </c>
      <c r="H4478" t="s">
        <v>438</v>
      </c>
      <c r="I4478">
        <v>333.47</v>
      </c>
      <c r="J4478" s="32">
        <v>0</v>
      </c>
      <c r="K4478" s="89">
        <f>+L4478-J4743</f>
        <v>1050</v>
      </c>
      <c r="L4478" s="11">
        <v>1050</v>
      </c>
      <c r="M4478" s="10">
        <f t="shared" si="273"/>
        <v>31.759047619047621</v>
      </c>
    </row>
    <row r="4479" spans="1:13" ht="15.75" hidden="1" customHeight="1" x14ac:dyDescent="0.3">
      <c r="A4479" s="9">
        <v>5236</v>
      </c>
      <c r="B4479" t="s">
        <v>437</v>
      </c>
      <c r="C4479" s="25">
        <v>44712</v>
      </c>
      <c r="D4479" s="26">
        <v>0.86564814814814817</v>
      </c>
      <c r="E4479" t="s">
        <v>28</v>
      </c>
      <c r="F4479" t="s">
        <v>632</v>
      </c>
      <c r="G4479" t="s">
        <v>161</v>
      </c>
      <c r="H4479" t="s">
        <v>438</v>
      </c>
      <c r="I4479">
        <v>226.18</v>
      </c>
      <c r="J4479" s="32">
        <v>0</v>
      </c>
      <c r="K4479" s="89">
        <f>+L4479-J4744</f>
        <v>615</v>
      </c>
      <c r="L4479" s="11">
        <v>615</v>
      </c>
      <c r="M4479" s="10">
        <f t="shared" si="273"/>
        <v>36.777235772357727</v>
      </c>
    </row>
    <row r="4480" spans="1:13" ht="15.75" hidden="1" customHeight="1" x14ac:dyDescent="0.3">
      <c r="A4480" s="9">
        <v>5344</v>
      </c>
      <c r="B4480" t="s">
        <v>437</v>
      </c>
      <c r="C4480" s="25">
        <v>44714</v>
      </c>
      <c r="D4480" s="26">
        <v>0.40848379629629633</v>
      </c>
      <c r="E4480" t="s">
        <v>29</v>
      </c>
      <c r="F4480" t="s">
        <v>632</v>
      </c>
      <c r="G4480" t="s">
        <v>161</v>
      </c>
      <c r="H4480" t="s">
        <v>438</v>
      </c>
      <c r="I4480">
        <v>406.23</v>
      </c>
      <c r="J4480" s="32">
        <v>0</v>
      </c>
      <c r="K4480" s="90" t="e">
        <f>+L4480-#REF!</f>
        <v>#REF!</v>
      </c>
      <c r="L4480" s="7">
        <v>1215</v>
      </c>
      <c r="M4480" s="36" t="e">
        <f t="shared" si="273"/>
        <v>#REF!</v>
      </c>
    </row>
    <row r="4481" spans="1:13" ht="15.75" hidden="1" customHeight="1" x14ac:dyDescent="0.3">
      <c r="A4481" s="9">
        <v>5457</v>
      </c>
      <c r="B4481" t="s">
        <v>437</v>
      </c>
      <c r="C4481" s="25">
        <v>44716</v>
      </c>
      <c r="D4481" s="26">
        <v>0.52236111111111116</v>
      </c>
      <c r="E4481" t="s">
        <v>29</v>
      </c>
      <c r="F4481" t="s">
        <v>639</v>
      </c>
      <c r="G4481" t="s">
        <v>44</v>
      </c>
      <c r="H4481" t="s">
        <v>438</v>
      </c>
      <c r="I4481">
        <v>115.48</v>
      </c>
      <c r="J4481" s="32">
        <v>0</v>
      </c>
      <c r="K4481" s="90">
        <f>+L4481-J4739</f>
        <v>1057</v>
      </c>
      <c r="L4481" s="7">
        <v>1057</v>
      </c>
      <c r="M4481" s="36">
        <f t="shared" si="273"/>
        <v>10.925260170293283</v>
      </c>
    </row>
    <row r="4482" spans="1:13" ht="15.75" hidden="1" customHeight="1" x14ac:dyDescent="0.3">
      <c r="A4482" s="9">
        <v>5458</v>
      </c>
      <c r="B4482" t="s">
        <v>437</v>
      </c>
      <c r="C4482" s="25">
        <v>44716</v>
      </c>
      <c r="D4482" s="26">
        <v>0.67318287037037028</v>
      </c>
      <c r="E4482" t="s">
        <v>29</v>
      </c>
      <c r="F4482" t="s">
        <v>654</v>
      </c>
      <c r="G4482" t="s">
        <v>303</v>
      </c>
      <c r="H4482" t="s">
        <v>438</v>
      </c>
      <c r="I4482">
        <v>316.42</v>
      </c>
      <c r="J4482" s="32">
        <v>0</v>
      </c>
      <c r="K4482" s="90">
        <f>+L4482-J4740</f>
        <v>156</v>
      </c>
      <c r="L4482" s="7">
        <v>156</v>
      </c>
      <c r="M4482" s="36">
        <f t="shared" si="273"/>
        <v>202.83333333333334</v>
      </c>
    </row>
    <row r="4483" spans="1:13" ht="15.75" hidden="1" customHeight="1" x14ac:dyDescent="0.3">
      <c r="A4483" s="9">
        <v>5508</v>
      </c>
      <c r="B4483" t="s">
        <v>437</v>
      </c>
      <c r="C4483" s="25">
        <v>44717</v>
      </c>
      <c r="D4483" s="26">
        <v>0.3473148148148148</v>
      </c>
      <c r="E4483" t="s">
        <v>29</v>
      </c>
      <c r="F4483" t="s">
        <v>632</v>
      </c>
      <c r="G4483" t="s">
        <v>161</v>
      </c>
      <c r="H4483" t="s">
        <v>438</v>
      </c>
      <c r="I4483">
        <v>135.11000000000001</v>
      </c>
      <c r="J4483" s="32">
        <v>0</v>
      </c>
      <c r="K4483" s="90">
        <f>+L4483-J4741</f>
        <v>354</v>
      </c>
      <c r="L4483" s="11">
        <v>354</v>
      </c>
      <c r="M4483" s="36">
        <f t="shared" si="273"/>
        <v>38.166666666666671</v>
      </c>
    </row>
    <row r="4484" spans="1:13" ht="15.75" hidden="1" customHeight="1" x14ac:dyDescent="0.3">
      <c r="A4484" s="9">
        <v>5509</v>
      </c>
      <c r="B4484" t="s">
        <v>437</v>
      </c>
      <c r="C4484" s="25">
        <v>44717</v>
      </c>
      <c r="D4484" s="26">
        <v>0.81019675925925927</v>
      </c>
      <c r="E4484" t="s">
        <v>29</v>
      </c>
      <c r="F4484" t="s">
        <v>635</v>
      </c>
      <c r="G4484" t="s">
        <v>185</v>
      </c>
      <c r="H4484" t="s">
        <v>438</v>
      </c>
      <c r="I4484">
        <v>236.19</v>
      </c>
      <c r="J4484" s="32">
        <v>0</v>
      </c>
      <c r="K4484" s="90">
        <f>+L4484-J4742</f>
        <v>1598</v>
      </c>
      <c r="L4484" s="30">
        <v>1598</v>
      </c>
      <c r="M4484" s="36">
        <f t="shared" ref="M4484:M4495" si="275">I4484/K4484*100</f>
        <v>14.780350438047559</v>
      </c>
    </row>
    <row r="4485" spans="1:13" ht="15.75" hidden="1" customHeight="1" x14ac:dyDescent="0.3">
      <c r="A4485" s="9">
        <v>5554</v>
      </c>
      <c r="B4485" t="s">
        <v>437</v>
      </c>
      <c r="C4485" s="25">
        <v>44718</v>
      </c>
      <c r="D4485" s="26">
        <v>0.37228009259259259</v>
      </c>
      <c r="E4485" t="s">
        <v>29</v>
      </c>
      <c r="F4485" t="s">
        <v>634</v>
      </c>
      <c r="G4485" t="s">
        <v>211</v>
      </c>
      <c r="H4485" t="s">
        <v>438</v>
      </c>
      <c r="I4485">
        <v>148.24</v>
      </c>
      <c r="J4485" s="32">
        <v>0</v>
      </c>
      <c r="K4485" s="90">
        <f>+L4485-J4050</f>
        <v>514</v>
      </c>
      <c r="L4485" s="30">
        <v>514</v>
      </c>
      <c r="M4485" s="10">
        <f t="shared" si="275"/>
        <v>28.840466926070039</v>
      </c>
    </row>
    <row r="4486" spans="1:13" ht="15.75" hidden="1" customHeight="1" x14ac:dyDescent="0.3">
      <c r="A4486" s="9">
        <v>5655</v>
      </c>
      <c r="B4486" t="s">
        <v>437</v>
      </c>
      <c r="C4486" s="25">
        <v>44720</v>
      </c>
      <c r="D4486" s="26">
        <v>0.7521874999999999</v>
      </c>
      <c r="E4486" t="s">
        <v>29</v>
      </c>
      <c r="F4486" t="s">
        <v>672</v>
      </c>
      <c r="G4486" t="s">
        <v>367</v>
      </c>
      <c r="H4486" t="s">
        <v>438</v>
      </c>
      <c r="I4486">
        <v>50</v>
      </c>
      <c r="J4486" s="32">
        <v>0</v>
      </c>
      <c r="K4486" s="90">
        <f>+L4486-J4047</f>
        <v>1600</v>
      </c>
      <c r="L4486" s="11">
        <v>1600</v>
      </c>
      <c r="M4486" s="10">
        <f t="shared" si="275"/>
        <v>3.125</v>
      </c>
    </row>
    <row r="4487" spans="1:13" ht="15.75" hidden="1" customHeight="1" x14ac:dyDescent="0.3">
      <c r="A4487" s="9">
        <v>5656</v>
      </c>
      <c r="B4487" t="s">
        <v>437</v>
      </c>
      <c r="C4487" s="25">
        <v>44720</v>
      </c>
      <c r="D4487" s="26">
        <v>0.83416666666666661</v>
      </c>
      <c r="E4487" t="s">
        <v>29</v>
      </c>
      <c r="F4487" t="s">
        <v>632</v>
      </c>
      <c r="G4487" t="s">
        <v>161</v>
      </c>
      <c r="H4487" t="s">
        <v>438</v>
      </c>
      <c r="I4487">
        <v>300.02999999999997</v>
      </c>
      <c r="J4487" s="32">
        <v>0</v>
      </c>
      <c r="K4487" s="90">
        <f>+L4487-J4048</f>
        <v>123</v>
      </c>
      <c r="L4487" s="11">
        <v>123</v>
      </c>
      <c r="M4487" s="10">
        <f t="shared" si="275"/>
        <v>243.92682926829266</v>
      </c>
    </row>
    <row r="4488" spans="1:13" ht="15.75" hidden="1" customHeight="1" x14ac:dyDescent="0.3">
      <c r="A4488" s="9">
        <v>5657</v>
      </c>
      <c r="B4488" t="s">
        <v>437</v>
      </c>
      <c r="C4488" s="25">
        <v>44720</v>
      </c>
      <c r="D4488" s="26">
        <v>0.92100694444444453</v>
      </c>
      <c r="E4488" t="s">
        <v>29</v>
      </c>
      <c r="F4488" t="s">
        <v>634</v>
      </c>
      <c r="G4488" t="s">
        <v>211</v>
      </c>
      <c r="H4488" t="s">
        <v>438</v>
      </c>
      <c r="I4488">
        <v>251.05</v>
      </c>
      <c r="J4488" s="32">
        <v>0</v>
      </c>
      <c r="K4488" s="90">
        <f>+L4488-J4049</f>
        <v>76</v>
      </c>
      <c r="L4488" s="11">
        <v>76</v>
      </c>
      <c r="M4488" s="10">
        <f t="shared" si="275"/>
        <v>330.3289473684211</v>
      </c>
    </row>
    <row r="4489" spans="1:13" ht="15.75" hidden="1" customHeight="1" x14ac:dyDescent="0.3">
      <c r="A4489" s="9">
        <v>5764</v>
      </c>
      <c r="B4489" t="s">
        <v>437</v>
      </c>
      <c r="C4489" s="25">
        <v>44722</v>
      </c>
      <c r="D4489" s="26">
        <v>0.42542824074074076</v>
      </c>
      <c r="E4489" t="s">
        <v>29</v>
      </c>
      <c r="F4489" t="s">
        <v>634</v>
      </c>
      <c r="G4489" t="s">
        <v>211</v>
      </c>
      <c r="H4489" t="s">
        <v>438</v>
      </c>
      <c r="I4489">
        <v>373.5</v>
      </c>
      <c r="J4489" s="32">
        <v>0</v>
      </c>
      <c r="K4489" s="90">
        <f>+L4489-J4050</f>
        <v>1062</v>
      </c>
      <c r="L4489" s="11">
        <v>1062</v>
      </c>
      <c r="M4489" s="10">
        <f t="shared" si="275"/>
        <v>35.16949152542373</v>
      </c>
    </row>
    <row r="4490" spans="1:13" ht="15.75" hidden="1" customHeight="1" x14ac:dyDescent="0.3">
      <c r="A4490" s="9">
        <v>6297</v>
      </c>
      <c r="B4490" t="s">
        <v>437</v>
      </c>
      <c r="C4490" s="25">
        <v>44733</v>
      </c>
      <c r="D4490" s="26">
        <v>0.40003472222222225</v>
      </c>
      <c r="E4490" t="s">
        <v>29</v>
      </c>
      <c r="F4490" t="s">
        <v>651</v>
      </c>
      <c r="G4490" t="s">
        <v>172</v>
      </c>
      <c r="H4490" t="s">
        <v>438</v>
      </c>
      <c r="I4490">
        <v>287.5</v>
      </c>
      <c r="J4490" s="32">
        <v>0</v>
      </c>
      <c r="K4490" s="90">
        <v>916</v>
      </c>
      <c r="L4490" s="11">
        <v>916</v>
      </c>
      <c r="M4490" s="10">
        <f t="shared" si="275"/>
        <v>31.386462882096072</v>
      </c>
    </row>
    <row r="4491" spans="1:13" ht="15.75" hidden="1" customHeight="1" x14ac:dyDescent="0.3">
      <c r="A4491" s="9">
        <v>6335</v>
      </c>
      <c r="B4491" t="s">
        <v>437</v>
      </c>
      <c r="C4491" s="25">
        <v>44734</v>
      </c>
      <c r="D4491" s="26">
        <v>0.60309027777777779</v>
      </c>
      <c r="E4491" t="s">
        <v>29</v>
      </c>
      <c r="F4491" t="s">
        <v>634</v>
      </c>
      <c r="G4491" t="s">
        <v>211</v>
      </c>
      <c r="H4491" t="s">
        <v>438</v>
      </c>
      <c r="I4491" s="148">
        <v>324.52</v>
      </c>
      <c r="J4491" s="32">
        <v>0</v>
      </c>
      <c r="K4491" s="90">
        <v>831</v>
      </c>
      <c r="L4491" s="11">
        <v>831</v>
      </c>
      <c r="M4491" s="10">
        <f t="shared" si="275"/>
        <v>39.051744885679902</v>
      </c>
    </row>
    <row r="4492" spans="1:13" ht="15.75" hidden="1" customHeight="1" x14ac:dyDescent="0.3">
      <c r="A4492" s="9">
        <v>6383</v>
      </c>
      <c r="B4492" t="s">
        <v>437</v>
      </c>
      <c r="C4492" s="25">
        <v>44735</v>
      </c>
      <c r="D4492" s="26">
        <v>9.9421296296296289E-3</v>
      </c>
      <c r="E4492" t="s">
        <v>29</v>
      </c>
      <c r="F4492" t="s">
        <v>635</v>
      </c>
      <c r="G4492" t="s">
        <v>185</v>
      </c>
      <c r="H4492" t="s">
        <v>438</v>
      </c>
      <c r="I4492" s="148">
        <v>215.76</v>
      </c>
      <c r="J4492" s="32">
        <v>0</v>
      </c>
      <c r="K4492" s="90">
        <v>547</v>
      </c>
      <c r="L4492" s="11">
        <v>547</v>
      </c>
      <c r="M4492" s="10">
        <f t="shared" si="275"/>
        <v>39.444241316270571</v>
      </c>
    </row>
    <row r="4493" spans="1:13" ht="15.75" hidden="1" customHeight="1" x14ac:dyDescent="0.3">
      <c r="A4493" s="9">
        <v>6428</v>
      </c>
      <c r="B4493" t="s">
        <v>437</v>
      </c>
      <c r="C4493" s="25">
        <v>44736</v>
      </c>
      <c r="D4493" s="26">
        <v>0.52306712962962965</v>
      </c>
      <c r="E4493" t="s">
        <v>29</v>
      </c>
      <c r="F4493" t="s">
        <v>758</v>
      </c>
      <c r="G4493" t="s">
        <v>337</v>
      </c>
      <c r="H4493" t="s">
        <v>438</v>
      </c>
      <c r="I4493" s="148">
        <v>240.96</v>
      </c>
      <c r="J4493" s="32">
        <v>0</v>
      </c>
      <c r="K4493" s="90">
        <v>822</v>
      </c>
      <c r="L4493" s="11">
        <v>822</v>
      </c>
      <c r="M4493" s="10">
        <f t="shared" si="275"/>
        <v>29.313868613138688</v>
      </c>
    </row>
    <row r="4494" spans="1:13" ht="15.75" hidden="1" customHeight="1" x14ac:dyDescent="0.3">
      <c r="A4494" s="9">
        <v>6492</v>
      </c>
      <c r="B4494" t="s">
        <v>437</v>
      </c>
      <c r="C4494" s="25">
        <v>44737</v>
      </c>
      <c r="D4494" s="26">
        <v>0.60799768518518515</v>
      </c>
      <c r="E4494" t="s">
        <v>29</v>
      </c>
      <c r="F4494" t="s">
        <v>635</v>
      </c>
      <c r="G4494" t="s">
        <v>185</v>
      </c>
      <c r="H4494" t="s">
        <v>438</v>
      </c>
      <c r="I4494" s="148">
        <v>321.01</v>
      </c>
      <c r="J4494" s="32">
        <v>0</v>
      </c>
      <c r="K4494" s="90">
        <v>803</v>
      </c>
      <c r="L4494" s="11">
        <v>803</v>
      </c>
      <c r="M4494" s="36">
        <f t="shared" si="275"/>
        <v>39.976338729763391</v>
      </c>
    </row>
    <row r="4495" spans="1:13" ht="15.75" hidden="1" customHeight="1" x14ac:dyDescent="0.3">
      <c r="A4495" s="9">
        <v>6543</v>
      </c>
      <c r="B4495" t="s">
        <v>437</v>
      </c>
      <c r="C4495" s="25">
        <v>44738</v>
      </c>
      <c r="D4495" s="26">
        <v>0.47202546296296299</v>
      </c>
      <c r="E4495" t="s">
        <v>29</v>
      </c>
      <c r="F4495" t="s">
        <v>634</v>
      </c>
      <c r="G4495" t="s">
        <v>211</v>
      </c>
      <c r="H4495" t="s">
        <v>438</v>
      </c>
      <c r="I4495" s="148">
        <v>147.66999999999999</v>
      </c>
      <c r="J4495" s="32">
        <v>0</v>
      </c>
      <c r="K4495" s="90">
        <v>514</v>
      </c>
      <c r="L4495" s="11">
        <v>514</v>
      </c>
      <c r="M4495" s="36">
        <f t="shared" si="275"/>
        <v>28.729571984435797</v>
      </c>
    </row>
    <row r="4496" spans="1:13" ht="15.75" hidden="1" customHeight="1" x14ac:dyDescent="0.3">
      <c r="A4496" s="9">
        <v>6751</v>
      </c>
      <c r="B4496" t="s">
        <v>437</v>
      </c>
      <c r="C4496" s="25">
        <v>44742</v>
      </c>
      <c r="D4496" s="26">
        <v>0.51674768518518521</v>
      </c>
      <c r="E4496" t="s">
        <v>29</v>
      </c>
      <c r="F4496" t="s">
        <v>210</v>
      </c>
      <c r="G4496" t="s">
        <v>211</v>
      </c>
      <c r="H4496" t="s">
        <v>438</v>
      </c>
      <c r="I4496" s="148">
        <v>265.45</v>
      </c>
      <c r="J4496" s="54"/>
      <c r="K4496" s="54">
        <v>1211</v>
      </c>
      <c r="L4496" s="56">
        <f>+K4496-J4496</f>
        <v>1211</v>
      </c>
      <c r="M4496" s="121">
        <f>I4496/L4496*100</f>
        <v>21.919900908340214</v>
      </c>
    </row>
    <row r="4497" spans="1:13" ht="15.75" hidden="1" customHeight="1" x14ac:dyDescent="0.3">
      <c r="B4497" t="s">
        <v>384</v>
      </c>
      <c r="C4497" s="25">
        <v>44752</v>
      </c>
      <c r="D4497" s="26">
        <v>4.05787037037037E-2</v>
      </c>
      <c r="E4497" t="s">
        <v>30</v>
      </c>
      <c r="F4497" t="s">
        <v>165</v>
      </c>
      <c r="G4497" t="s">
        <v>185</v>
      </c>
      <c r="H4497" t="s">
        <v>192</v>
      </c>
      <c r="I4497" s="247">
        <v>291.35000000000002</v>
      </c>
      <c r="J4497" s="164">
        <f>374+155+166+100+200+187+292</f>
        <v>1474</v>
      </c>
      <c r="K4497" s="164"/>
      <c r="L4497" s="247">
        <v>3597</v>
      </c>
      <c r="M4497" s="237">
        <f>+J4497/L4497*100</f>
        <v>40.978593272171253</v>
      </c>
    </row>
    <row r="4498" spans="1:13" ht="15.75" hidden="1" customHeight="1" x14ac:dyDescent="0.3">
      <c r="B4498" t="s">
        <v>384</v>
      </c>
      <c r="C4498" s="25">
        <v>44752</v>
      </c>
      <c r="D4498" s="26">
        <v>0.61495370370370372</v>
      </c>
      <c r="E4498" t="s">
        <v>30</v>
      </c>
      <c r="F4498" t="s">
        <v>210</v>
      </c>
      <c r="G4498" t="s">
        <v>211</v>
      </c>
      <c r="H4498" t="s">
        <v>192</v>
      </c>
      <c r="I4498" s="173">
        <v>146</v>
      </c>
      <c r="J4498" s="8"/>
      <c r="K4498" s="8"/>
      <c r="L4498" s="8"/>
      <c r="M4498" s="91" t="e">
        <f>I4498/K4498*100</f>
        <v>#DIV/0!</v>
      </c>
    </row>
    <row r="4499" spans="1:13" ht="15.75" hidden="1" customHeight="1" x14ac:dyDescent="0.3">
      <c r="B4499" t="s">
        <v>384</v>
      </c>
      <c r="C4499" s="25">
        <v>44752</v>
      </c>
      <c r="D4499" s="26">
        <v>0.91079861111111116</v>
      </c>
      <c r="E4499" t="s">
        <v>30</v>
      </c>
      <c r="F4499" t="s">
        <v>169</v>
      </c>
      <c r="G4499" t="s">
        <v>196</v>
      </c>
      <c r="H4499" t="s">
        <v>192</v>
      </c>
      <c r="I4499" s="173">
        <v>140</v>
      </c>
      <c r="J4499" s="8"/>
      <c r="K4499" s="8"/>
      <c r="L4499" s="8"/>
      <c r="M4499" s="91" t="e">
        <f>I4499/K4499*100</f>
        <v>#DIV/0!</v>
      </c>
    </row>
    <row r="4500" spans="1:13" ht="15.75" hidden="1" customHeight="1" x14ac:dyDescent="0.3">
      <c r="B4500" t="s">
        <v>384</v>
      </c>
      <c r="C4500" s="25">
        <v>44753</v>
      </c>
      <c r="D4500" s="26">
        <v>0.86900462962962965</v>
      </c>
      <c r="E4500" t="s">
        <v>30</v>
      </c>
      <c r="F4500" t="s">
        <v>197</v>
      </c>
      <c r="G4500" t="s">
        <v>44</v>
      </c>
      <c r="H4500" t="s">
        <v>192</v>
      </c>
      <c r="I4500" s="173">
        <v>134.77000000000001</v>
      </c>
      <c r="J4500" s="23"/>
      <c r="K4500" s="90"/>
      <c r="L4500" s="23"/>
      <c r="M4500" s="91" t="e">
        <f>I4500/K4500*100</f>
        <v>#DIV/0!</v>
      </c>
    </row>
    <row r="4501" spans="1:13" ht="15.75" hidden="1" customHeight="1" x14ac:dyDescent="0.3">
      <c r="B4501" t="s">
        <v>384</v>
      </c>
      <c r="C4501" s="25">
        <v>44754</v>
      </c>
      <c r="D4501" s="26">
        <v>0.35293981481481485</v>
      </c>
      <c r="E4501" t="s">
        <v>30</v>
      </c>
      <c r="F4501" t="s">
        <v>530</v>
      </c>
      <c r="G4501" t="s">
        <v>489</v>
      </c>
      <c r="H4501" t="s">
        <v>192</v>
      </c>
      <c r="I4501" s="173">
        <v>338.37</v>
      </c>
      <c r="J4501" s="23"/>
      <c r="K4501" s="90"/>
      <c r="L4501" s="23"/>
      <c r="M4501" s="91" t="e">
        <f>I4501/K4501*100</f>
        <v>#DIV/0!</v>
      </c>
    </row>
    <row r="4502" spans="1:13" ht="15.75" hidden="1" customHeight="1" x14ac:dyDescent="0.3">
      <c r="A4502" s="9">
        <v>6020</v>
      </c>
      <c r="B4502" t="s">
        <v>284</v>
      </c>
      <c r="C4502" s="25">
        <v>44726</v>
      </c>
      <c r="D4502" s="26">
        <v>0.74614583333333329</v>
      </c>
      <c r="E4502" t="s">
        <v>29</v>
      </c>
      <c r="F4502" t="s">
        <v>673</v>
      </c>
      <c r="G4502" t="s">
        <v>172</v>
      </c>
      <c r="H4502" t="s">
        <v>7</v>
      </c>
      <c r="I4502" s="148">
        <v>283.19</v>
      </c>
      <c r="J4502" s="193">
        <f>283+256+117+264+354</f>
        <v>1274</v>
      </c>
      <c r="K4502" s="240">
        <v>579</v>
      </c>
      <c r="L4502" s="153">
        <v>2676</v>
      </c>
      <c r="M4502" s="222">
        <f>+J4502/L4502*100</f>
        <v>47.608370702541109</v>
      </c>
    </row>
    <row r="4503" spans="1:13" ht="15.75" hidden="1" customHeight="1" x14ac:dyDescent="0.3">
      <c r="A4503" s="9">
        <v>6751</v>
      </c>
      <c r="B4503" t="s">
        <v>284</v>
      </c>
      <c r="C4503" s="25">
        <v>44742</v>
      </c>
      <c r="D4503" s="26">
        <v>0.88505787037037031</v>
      </c>
      <c r="E4503" t="s">
        <v>29</v>
      </c>
      <c r="F4503" t="s">
        <v>210</v>
      </c>
      <c r="G4503" t="s">
        <v>211</v>
      </c>
      <c r="H4503" t="s">
        <v>7</v>
      </c>
      <c r="I4503" s="148">
        <v>378.8</v>
      </c>
      <c r="J4503" s="164">
        <f>380+100+177+161+158+240+441+366+199+165+417</f>
        <v>2804</v>
      </c>
      <c r="K4503" s="164">
        <v>7780</v>
      </c>
      <c r="L4503" s="164">
        <v>5737</v>
      </c>
      <c r="M4503" s="232">
        <f>+J4503/L4503*100</f>
        <v>48.875719016907794</v>
      </c>
    </row>
    <row r="4504" spans="1:13" ht="15.75" hidden="1" customHeight="1" x14ac:dyDescent="0.3">
      <c r="B4504" t="s">
        <v>384</v>
      </c>
      <c r="C4504" s="25">
        <v>44754</v>
      </c>
      <c r="D4504" s="26">
        <v>0.87300925925925921</v>
      </c>
      <c r="E4504" t="s">
        <v>30</v>
      </c>
      <c r="F4504" t="s">
        <v>876</v>
      </c>
      <c r="G4504" t="s">
        <v>279</v>
      </c>
      <c r="H4504" t="s">
        <v>192</v>
      </c>
      <c r="I4504" s="173">
        <v>372.98</v>
      </c>
      <c r="J4504" s="23"/>
      <c r="K4504" s="90"/>
      <c r="L4504" s="23"/>
      <c r="M4504" s="91" t="e">
        <f t="shared" ref="M4504:M4535" si="276">I4504/K4504*100</f>
        <v>#DIV/0!</v>
      </c>
    </row>
    <row r="4505" spans="1:13" ht="15.75" hidden="1" customHeight="1" x14ac:dyDescent="0.3">
      <c r="B4505" t="s">
        <v>384</v>
      </c>
      <c r="C4505" s="25">
        <v>44755</v>
      </c>
      <c r="D4505" s="26">
        <v>0.44247685185185182</v>
      </c>
      <c r="E4505" t="s">
        <v>30</v>
      </c>
      <c r="F4505" t="s">
        <v>937</v>
      </c>
      <c r="G4505" t="s">
        <v>336</v>
      </c>
      <c r="H4505" t="s">
        <v>192</v>
      </c>
      <c r="I4505" s="173">
        <v>125.27</v>
      </c>
      <c r="J4505" s="23"/>
      <c r="K4505" s="90"/>
      <c r="L4505" s="23"/>
      <c r="M4505" s="91" t="e">
        <f t="shared" si="276"/>
        <v>#DIV/0!</v>
      </c>
    </row>
    <row r="4506" spans="1:13" ht="15.75" hidden="1" customHeight="1" x14ac:dyDescent="0.3">
      <c r="A4506" s="9">
        <v>62</v>
      </c>
      <c r="B4506" t="s">
        <v>284</v>
      </c>
      <c r="C4506" s="25">
        <v>44564</v>
      </c>
      <c r="D4506" s="26">
        <v>9.6064814814814808E-4</v>
      </c>
      <c r="E4506" t="s">
        <v>24</v>
      </c>
      <c r="F4506" t="s">
        <v>210</v>
      </c>
      <c r="G4506" t="s">
        <v>211</v>
      </c>
      <c r="H4506" t="s">
        <v>7</v>
      </c>
      <c r="I4506">
        <v>388.65</v>
      </c>
      <c r="J4506" s="34">
        <v>0</v>
      </c>
      <c r="K4506" s="34">
        <f t="shared" ref="K4506:K4537" si="277">+L4506-J4506</f>
        <v>849.89</v>
      </c>
      <c r="L4506" s="34">
        <v>849.89</v>
      </c>
      <c r="M4506" s="118">
        <f t="shared" si="276"/>
        <v>45.729447340244029</v>
      </c>
    </row>
    <row r="4507" spans="1:13" ht="15.75" hidden="1" customHeight="1" x14ac:dyDescent="0.3">
      <c r="A4507" s="9">
        <v>63</v>
      </c>
      <c r="B4507" t="s">
        <v>284</v>
      </c>
      <c r="C4507" s="25">
        <v>44564</v>
      </c>
      <c r="D4507" s="26">
        <v>0.69233796296296291</v>
      </c>
      <c r="E4507" t="s">
        <v>24</v>
      </c>
      <c r="F4507" t="s">
        <v>165</v>
      </c>
      <c r="G4507" t="s">
        <v>185</v>
      </c>
      <c r="H4507" t="s">
        <v>7</v>
      </c>
      <c r="I4507">
        <v>280.18</v>
      </c>
      <c r="J4507" s="7">
        <v>0</v>
      </c>
      <c r="K4507" s="34">
        <f t="shared" si="277"/>
        <v>547.29999999999995</v>
      </c>
      <c r="L4507" s="30">
        <v>547.29999999999995</v>
      </c>
      <c r="M4507" s="10">
        <f t="shared" si="276"/>
        <v>51.19312991046958</v>
      </c>
    </row>
    <row r="4508" spans="1:13" ht="15.75" hidden="1" customHeight="1" x14ac:dyDescent="0.3">
      <c r="A4508" s="9">
        <v>64</v>
      </c>
      <c r="B4508" t="s">
        <v>284</v>
      </c>
      <c r="C4508" s="25">
        <v>44566</v>
      </c>
      <c r="D4508" s="26">
        <v>0.45206018518518515</v>
      </c>
      <c r="E4508" t="s">
        <v>24</v>
      </c>
      <c r="F4508" t="s">
        <v>340</v>
      </c>
      <c r="G4508" t="s">
        <v>337</v>
      </c>
      <c r="H4508" t="s">
        <v>7</v>
      </c>
      <c r="I4508">
        <v>261.98</v>
      </c>
      <c r="J4508" s="7">
        <v>0</v>
      </c>
      <c r="K4508" s="7">
        <f t="shared" si="277"/>
        <v>832.4</v>
      </c>
      <c r="L4508" s="11">
        <v>832.4</v>
      </c>
      <c r="M4508" s="10">
        <f t="shared" si="276"/>
        <v>31.472849591542527</v>
      </c>
    </row>
    <row r="4509" spans="1:13" ht="15.75" hidden="1" customHeight="1" x14ac:dyDescent="0.3">
      <c r="A4509" s="9">
        <v>65</v>
      </c>
      <c r="B4509" t="s">
        <v>284</v>
      </c>
      <c r="C4509" s="25">
        <v>44567</v>
      </c>
      <c r="D4509" s="26">
        <v>0.67541666666666667</v>
      </c>
      <c r="E4509" t="s">
        <v>24</v>
      </c>
      <c r="F4509" t="s">
        <v>165</v>
      </c>
      <c r="G4509" t="s">
        <v>185</v>
      </c>
      <c r="H4509" t="s">
        <v>7</v>
      </c>
      <c r="I4509">
        <v>343.07</v>
      </c>
      <c r="J4509" s="7">
        <v>0</v>
      </c>
      <c r="K4509" s="7">
        <f t="shared" si="277"/>
        <v>803.94</v>
      </c>
      <c r="L4509" s="7">
        <v>803.94</v>
      </c>
      <c r="M4509" s="36">
        <f t="shared" si="276"/>
        <v>42.673582605667086</v>
      </c>
    </row>
    <row r="4510" spans="1:13" ht="15.75" hidden="1" customHeight="1" x14ac:dyDescent="0.3">
      <c r="A4510" s="9">
        <v>66</v>
      </c>
      <c r="B4510" t="s">
        <v>284</v>
      </c>
      <c r="C4510" s="25">
        <v>44568</v>
      </c>
      <c r="D4510" s="26">
        <v>0.35002314814814817</v>
      </c>
      <c r="E4510" t="s">
        <v>24</v>
      </c>
      <c r="F4510" t="s">
        <v>210</v>
      </c>
      <c r="G4510" t="s">
        <v>211</v>
      </c>
      <c r="H4510" t="s">
        <v>7</v>
      </c>
      <c r="I4510">
        <v>161.4</v>
      </c>
      <c r="J4510" s="7">
        <v>0</v>
      </c>
      <c r="K4510" s="7">
        <f t="shared" si="277"/>
        <v>515.32000000000005</v>
      </c>
      <c r="L4510" s="7">
        <v>515.32000000000005</v>
      </c>
      <c r="M4510" s="36">
        <f t="shared" si="276"/>
        <v>31.320344640223546</v>
      </c>
    </row>
    <row r="4511" spans="1:13" ht="15.75" hidden="1" customHeight="1" x14ac:dyDescent="0.3">
      <c r="A4511" s="9">
        <v>67</v>
      </c>
      <c r="B4511" t="s">
        <v>284</v>
      </c>
      <c r="C4511" s="25">
        <v>44569</v>
      </c>
      <c r="D4511" s="26">
        <v>0.43283564814814812</v>
      </c>
      <c r="E4511" t="s">
        <v>24</v>
      </c>
      <c r="F4511" t="s">
        <v>175</v>
      </c>
      <c r="G4511" t="s">
        <v>172</v>
      </c>
      <c r="H4511" t="s">
        <v>7</v>
      </c>
      <c r="I4511">
        <v>356.96</v>
      </c>
      <c r="J4511" s="31">
        <v>0</v>
      </c>
      <c r="K4511" s="7">
        <f t="shared" si="277"/>
        <v>939.72</v>
      </c>
      <c r="L4511" s="7">
        <v>939.72</v>
      </c>
      <c r="M4511" s="36">
        <f t="shared" si="276"/>
        <v>37.985782999191251</v>
      </c>
    </row>
    <row r="4512" spans="1:13" ht="15.75" hidden="1" customHeight="1" x14ac:dyDescent="0.3">
      <c r="A4512" s="9">
        <v>68</v>
      </c>
      <c r="B4512" t="s">
        <v>284</v>
      </c>
      <c r="C4512" s="25">
        <v>44570</v>
      </c>
      <c r="D4512" s="26">
        <v>0.75364583333333324</v>
      </c>
      <c r="E4512" t="s">
        <v>24</v>
      </c>
      <c r="F4512" t="s">
        <v>210</v>
      </c>
      <c r="G4512" t="s">
        <v>211</v>
      </c>
      <c r="H4512" t="s">
        <v>7</v>
      </c>
      <c r="I4512">
        <v>346.97</v>
      </c>
      <c r="J4512" s="40">
        <v>0</v>
      </c>
      <c r="K4512" s="7">
        <f t="shared" si="277"/>
        <v>828.97</v>
      </c>
      <c r="L4512" s="11">
        <v>828.97</v>
      </c>
      <c r="M4512" s="10">
        <f t="shared" si="276"/>
        <v>41.855555689590702</v>
      </c>
    </row>
    <row r="4513" spans="1:20" ht="15.75" hidden="1" customHeight="1" x14ac:dyDescent="0.3">
      <c r="A4513" s="9">
        <v>69</v>
      </c>
      <c r="B4513" t="s">
        <v>284</v>
      </c>
      <c r="C4513" s="25">
        <v>44571</v>
      </c>
      <c r="D4513" s="26">
        <v>0.89336805555555554</v>
      </c>
      <c r="E4513" t="s">
        <v>24</v>
      </c>
      <c r="F4513" t="s">
        <v>210</v>
      </c>
      <c r="G4513" t="s">
        <v>211</v>
      </c>
      <c r="H4513" t="s">
        <v>7</v>
      </c>
      <c r="I4513">
        <v>400.57</v>
      </c>
      <c r="J4513" s="40">
        <v>0</v>
      </c>
      <c r="K4513" s="7">
        <f t="shared" si="277"/>
        <v>1063.79</v>
      </c>
      <c r="L4513" s="11">
        <v>1063.79</v>
      </c>
      <c r="M4513" s="109">
        <f t="shared" si="276"/>
        <v>37.654988296562294</v>
      </c>
      <c r="N4513" s="108" t="s">
        <v>611</v>
      </c>
      <c r="O4513" s="108"/>
      <c r="P4513" s="108"/>
      <c r="Q4513" s="108"/>
      <c r="R4513" s="108"/>
      <c r="S4513" s="88"/>
      <c r="T4513" s="110"/>
    </row>
    <row r="4514" spans="1:20" ht="15.75" hidden="1" customHeight="1" x14ac:dyDescent="0.3">
      <c r="A4514" s="9">
        <v>70</v>
      </c>
      <c r="B4514" t="s">
        <v>284</v>
      </c>
      <c r="C4514" s="25">
        <v>44573</v>
      </c>
      <c r="D4514" s="26">
        <v>0.55798611111111118</v>
      </c>
      <c r="E4514" t="s">
        <v>24</v>
      </c>
      <c r="F4514" t="s">
        <v>175</v>
      </c>
      <c r="G4514" t="s">
        <v>172</v>
      </c>
      <c r="H4514" t="s">
        <v>7</v>
      </c>
      <c r="I4514">
        <v>379.18</v>
      </c>
      <c r="J4514" s="7">
        <v>0</v>
      </c>
      <c r="K4514" s="11">
        <f t="shared" si="277"/>
        <v>1015.96</v>
      </c>
      <c r="L4514" s="11">
        <v>1015.96</v>
      </c>
      <c r="M4514" s="10">
        <f t="shared" si="276"/>
        <v>37.322335525020669</v>
      </c>
    </row>
    <row r="4515" spans="1:20" ht="15.75" hidden="1" customHeight="1" x14ac:dyDescent="0.3">
      <c r="A4515" s="9">
        <v>71</v>
      </c>
      <c r="B4515" t="s">
        <v>284</v>
      </c>
      <c r="C4515" s="25">
        <v>44575</v>
      </c>
      <c r="D4515" s="26">
        <v>0.72715277777777787</v>
      </c>
      <c r="E4515" t="s">
        <v>24</v>
      </c>
      <c r="F4515" t="s">
        <v>175</v>
      </c>
      <c r="G4515" t="s">
        <v>172</v>
      </c>
      <c r="H4515" t="s">
        <v>7</v>
      </c>
      <c r="I4515">
        <v>309.74</v>
      </c>
      <c r="J4515" s="7">
        <v>0</v>
      </c>
      <c r="K4515" s="11">
        <f t="shared" si="277"/>
        <v>782.61</v>
      </c>
      <c r="L4515" s="11">
        <v>782.61</v>
      </c>
      <c r="M4515" s="10">
        <f t="shared" si="276"/>
        <v>39.577822925850683</v>
      </c>
    </row>
    <row r="4516" spans="1:20" ht="15.75" hidden="1" customHeight="1" x14ac:dyDescent="0.3">
      <c r="A4516" s="9">
        <v>72</v>
      </c>
      <c r="B4516" t="s">
        <v>284</v>
      </c>
      <c r="C4516" s="25">
        <v>44577</v>
      </c>
      <c r="D4516" s="26">
        <v>1.3206018518518518E-2</v>
      </c>
      <c r="E4516" t="s">
        <v>24</v>
      </c>
      <c r="F4516" t="s">
        <v>210</v>
      </c>
      <c r="G4516" t="s">
        <v>211</v>
      </c>
      <c r="H4516" t="s">
        <v>7</v>
      </c>
      <c r="I4516">
        <v>371.49</v>
      </c>
      <c r="J4516" s="7">
        <v>681080</v>
      </c>
      <c r="K4516" s="11">
        <f t="shared" si="277"/>
        <v>834</v>
      </c>
      <c r="L4516" s="11">
        <v>681914</v>
      </c>
      <c r="M4516" s="10">
        <f t="shared" si="276"/>
        <v>44.543165467625897</v>
      </c>
    </row>
    <row r="4517" spans="1:20" ht="15.75" hidden="1" customHeight="1" x14ac:dyDescent="0.3">
      <c r="A4517" s="9">
        <v>73</v>
      </c>
      <c r="B4517" t="s">
        <v>284</v>
      </c>
      <c r="C4517" s="25">
        <v>44577</v>
      </c>
      <c r="D4517" s="26">
        <v>0.66035879629629635</v>
      </c>
      <c r="E4517" t="s">
        <v>24</v>
      </c>
      <c r="F4517" t="s">
        <v>165</v>
      </c>
      <c r="G4517" t="s">
        <v>185</v>
      </c>
      <c r="H4517" t="s">
        <v>7</v>
      </c>
      <c r="I4517">
        <v>290.33999999999997</v>
      </c>
      <c r="J4517" s="39">
        <v>681914</v>
      </c>
      <c r="K4517" s="11">
        <f t="shared" si="277"/>
        <v>550</v>
      </c>
      <c r="L4517" s="11">
        <v>682464</v>
      </c>
      <c r="M4517" s="10">
        <f t="shared" si="276"/>
        <v>52.789090909090909</v>
      </c>
    </row>
    <row r="4518" spans="1:20" ht="15.75" hidden="1" customHeight="1" x14ac:dyDescent="0.3">
      <c r="A4518" s="9">
        <v>74</v>
      </c>
      <c r="B4518" t="s">
        <v>284</v>
      </c>
      <c r="C4518" s="25">
        <v>44578</v>
      </c>
      <c r="D4518" s="26">
        <v>0.87831018518518522</v>
      </c>
      <c r="E4518" t="s">
        <v>24</v>
      </c>
      <c r="F4518" t="s">
        <v>210</v>
      </c>
      <c r="G4518" t="s">
        <v>211</v>
      </c>
      <c r="H4518" t="s">
        <v>7</v>
      </c>
      <c r="I4518">
        <v>261.43</v>
      </c>
      <c r="J4518" s="39">
        <v>682464</v>
      </c>
      <c r="K4518" s="11">
        <f t="shared" si="277"/>
        <v>576</v>
      </c>
      <c r="L4518" s="11">
        <v>683040</v>
      </c>
      <c r="M4518" s="10">
        <f t="shared" si="276"/>
        <v>45.387152777777779</v>
      </c>
    </row>
    <row r="4519" spans="1:20" ht="15.75" hidden="1" customHeight="1" x14ac:dyDescent="0.3">
      <c r="A4519" s="9">
        <v>75</v>
      </c>
      <c r="B4519" t="s">
        <v>284</v>
      </c>
      <c r="C4519" s="25">
        <v>44580</v>
      </c>
      <c r="D4519" s="26">
        <v>0.50934027777777779</v>
      </c>
      <c r="E4519" t="s">
        <v>24</v>
      </c>
      <c r="F4519" t="s">
        <v>175</v>
      </c>
      <c r="G4519" t="s">
        <v>172</v>
      </c>
      <c r="H4519" t="s">
        <v>7</v>
      </c>
      <c r="I4519">
        <v>372.42</v>
      </c>
      <c r="J4519" s="7">
        <v>683040</v>
      </c>
      <c r="K4519" s="11">
        <f t="shared" si="277"/>
        <v>930</v>
      </c>
      <c r="L4519" s="11">
        <v>683970</v>
      </c>
      <c r="M4519" s="10">
        <f t="shared" si="276"/>
        <v>40.045161290322582</v>
      </c>
    </row>
    <row r="4520" spans="1:20" ht="15.75" hidden="1" customHeight="1" x14ac:dyDescent="0.3">
      <c r="A4520" s="9">
        <v>76</v>
      </c>
      <c r="B4520" t="s">
        <v>284</v>
      </c>
      <c r="C4520" s="25">
        <v>44584</v>
      </c>
      <c r="D4520" s="26">
        <v>0.88976851851851846</v>
      </c>
      <c r="E4520" t="s">
        <v>24</v>
      </c>
      <c r="F4520" t="s">
        <v>210</v>
      </c>
      <c r="G4520" t="s">
        <v>211</v>
      </c>
      <c r="H4520" t="s">
        <v>7</v>
      </c>
      <c r="I4520">
        <v>404.59</v>
      </c>
      <c r="J4520" s="34">
        <v>683970</v>
      </c>
      <c r="K4520" s="11">
        <f t="shared" si="277"/>
        <v>858</v>
      </c>
      <c r="L4520" s="11">
        <v>684828</v>
      </c>
      <c r="M4520" s="10">
        <f t="shared" si="276"/>
        <v>47.155011655011656</v>
      </c>
    </row>
    <row r="4521" spans="1:20" ht="15.75" hidden="1" customHeight="1" x14ac:dyDescent="0.3">
      <c r="A4521" s="9">
        <v>77</v>
      </c>
      <c r="B4521" t="s">
        <v>284</v>
      </c>
      <c r="C4521" s="25">
        <v>44585</v>
      </c>
      <c r="D4521" s="26">
        <v>0.71096064814814808</v>
      </c>
      <c r="E4521" t="s">
        <v>24</v>
      </c>
      <c r="F4521" t="s">
        <v>165</v>
      </c>
      <c r="G4521" t="s">
        <v>185</v>
      </c>
      <c r="H4521" t="s">
        <v>7</v>
      </c>
      <c r="I4521">
        <v>254.82</v>
      </c>
      <c r="J4521" s="34">
        <v>684828</v>
      </c>
      <c r="K4521" s="11">
        <f t="shared" si="277"/>
        <v>551</v>
      </c>
      <c r="L4521" s="11">
        <v>685379</v>
      </c>
      <c r="M4521" s="10">
        <f t="shared" si="276"/>
        <v>46.246823956442832</v>
      </c>
    </row>
    <row r="4522" spans="1:20" ht="15.75" hidden="1" customHeight="1" x14ac:dyDescent="0.3">
      <c r="A4522" s="9">
        <v>78</v>
      </c>
      <c r="B4522" t="s">
        <v>284</v>
      </c>
      <c r="C4522" s="25">
        <v>44587</v>
      </c>
      <c r="D4522" s="26">
        <v>0.38253472222222223</v>
      </c>
      <c r="E4522" t="s">
        <v>24</v>
      </c>
      <c r="F4522" t="s">
        <v>210</v>
      </c>
      <c r="G4522" t="s">
        <v>211</v>
      </c>
      <c r="H4522" t="s">
        <v>7</v>
      </c>
      <c r="I4522">
        <v>258.39999999999998</v>
      </c>
      <c r="J4522" s="34">
        <v>685379</v>
      </c>
      <c r="K4522" s="11">
        <f t="shared" si="277"/>
        <v>592</v>
      </c>
      <c r="L4522" s="11">
        <v>685971</v>
      </c>
      <c r="M4522" s="10">
        <f t="shared" si="276"/>
        <v>43.648648648648646</v>
      </c>
    </row>
    <row r="4523" spans="1:20" ht="15.75" hidden="1" customHeight="1" x14ac:dyDescent="0.3">
      <c r="A4523" s="9">
        <v>79</v>
      </c>
      <c r="B4523" t="s">
        <v>284</v>
      </c>
      <c r="C4523" s="25">
        <v>44588</v>
      </c>
      <c r="D4523" s="26">
        <v>0.51072916666666668</v>
      </c>
      <c r="E4523" t="s">
        <v>24</v>
      </c>
      <c r="F4523" t="s">
        <v>175</v>
      </c>
      <c r="G4523" t="s">
        <v>172</v>
      </c>
      <c r="H4523" t="s">
        <v>7</v>
      </c>
      <c r="I4523">
        <v>382.22</v>
      </c>
      <c r="J4523" s="34">
        <v>685971</v>
      </c>
      <c r="K4523" s="11">
        <f t="shared" si="277"/>
        <v>917</v>
      </c>
      <c r="L4523" s="11">
        <v>686888</v>
      </c>
      <c r="M4523" s="10">
        <f t="shared" si="276"/>
        <v>41.68157033805889</v>
      </c>
    </row>
    <row r="4524" spans="1:20" ht="15.75" hidden="1" customHeight="1" x14ac:dyDescent="0.3">
      <c r="A4524" s="9">
        <v>80</v>
      </c>
      <c r="B4524" t="s">
        <v>284</v>
      </c>
      <c r="C4524" s="25">
        <v>44589</v>
      </c>
      <c r="D4524" s="26">
        <v>0.94954861111111111</v>
      </c>
      <c r="E4524" t="s">
        <v>24</v>
      </c>
      <c r="F4524" t="s">
        <v>210</v>
      </c>
      <c r="G4524" t="s">
        <v>211</v>
      </c>
      <c r="H4524" t="s">
        <v>7</v>
      </c>
      <c r="I4524">
        <v>362.84</v>
      </c>
      <c r="J4524" s="7">
        <v>686888</v>
      </c>
      <c r="K4524" s="11">
        <f t="shared" si="277"/>
        <v>834</v>
      </c>
      <c r="L4524" s="11">
        <v>687722</v>
      </c>
      <c r="M4524" s="10">
        <f t="shared" si="276"/>
        <v>43.505995203836925</v>
      </c>
    </row>
    <row r="4525" spans="1:20" ht="15.75" hidden="1" customHeight="1" x14ac:dyDescent="0.3">
      <c r="A4525" s="9">
        <v>81</v>
      </c>
      <c r="B4525" t="s">
        <v>284</v>
      </c>
      <c r="C4525" s="25">
        <v>44590</v>
      </c>
      <c r="D4525" s="26">
        <v>0.73562500000000008</v>
      </c>
      <c r="E4525" t="s">
        <v>24</v>
      </c>
      <c r="F4525" t="s">
        <v>165</v>
      </c>
      <c r="G4525" t="s">
        <v>185</v>
      </c>
      <c r="H4525" t="s">
        <v>7</v>
      </c>
      <c r="I4525">
        <v>281.05</v>
      </c>
      <c r="J4525" s="51">
        <v>687722</v>
      </c>
      <c r="K4525" s="11">
        <f t="shared" si="277"/>
        <v>551</v>
      </c>
      <c r="L4525" s="11">
        <v>688273</v>
      </c>
      <c r="M4525" s="10">
        <f t="shared" si="276"/>
        <v>51.007259528130675</v>
      </c>
    </row>
    <row r="4526" spans="1:20" ht="15.75" hidden="1" customHeight="1" x14ac:dyDescent="0.3">
      <c r="A4526" s="9">
        <v>82</v>
      </c>
      <c r="B4526" t="s">
        <v>284</v>
      </c>
      <c r="C4526" s="25">
        <v>44592</v>
      </c>
      <c r="D4526" s="26">
        <v>0.6580555555555555</v>
      </c>
      <c r="E4526" t="s">
        <v>24</v>
      </c>
      <c r="F4526" t="s">
        <v>340</v>
      </c>
      <c r="G4526" t="s">
        <v>337</v>
      </c>
      <c r="H4526" t="s">
        <v>7</v>
      </c>
      <c r="I4526">
        <v>248.33</v>
      </c>
      <c r="J4526" s="51">
        <v>688273</v>
      </c>
      <c r="K4526" s="11">
        <f t="shared" si="277"/>
        <v>841</v>
      </c>
      <c r="L4526" s="11">
        <v>689114</v>
      </c>
      <c r="M4526" s="10">
        <f t="shared" si="276"/>
        <v>29.527942925089178</v>
      </c>
    </row>
    <row r="4527" spans="1:20" ht="15.75" hidden="1" customHeight="1" x14ac:dyDescent="0.3">
      <c r="A4527" s="9">
        <v>1163</v>
      </c>
      <c r="B4527" t="s">
        <v>284</v>
      </c>
      <c r="C4527" s="25">
        <v>44594</v>
      </c>
      <c r="D4527" s="26">
        <v>0.43447916666666669</v>
      </c>
      <c r="E4527" t="s">
        <v>25</v>
      </c>
      <c r="F4527" t="s">
        <v>210</v>
      </c>
      <c r="G4527" t="s">
        <v>211</v>
      </c>
      <c r="H4527" t="s">
        <v>7</v>
      </c>
      <c r="I4527">
        <v>514.44000000000005</v>
      </c>
      <c r="J4527" s="52">
        <v>689114</v>
      </c>
      <c r="K4527" s="53">
        <f t="shared" si="277"/>
        <v>1324</v>
      </c>
      <c r="L4527" s="11">
        <v>690438</v>
      </c>
      <c r="M4527" s="10">
        <f t="shared" si="276"/>
        <v>38.854984894259829</v>
      </c>
    </row>
    <row r="4528" spans="1:20" ht="15.75" hidden="1" customHeight="1" x14ac:dyDescent="0.3">
      <c r="A4528" s="9">
        <v>1164</v>
      </c>
      <c r="B4528" t="s">
        <v>284</v>
      </c>
      <c r="C4528" s="25">
        <v>44596</v>
      </c>
      <c r="D4528" s="26">
        <v>0.46880787037037036</v>
      </c>
      <c r="E4528" t="s">
        <v>25</v>
      </c>
      <c r="F4528" t="s">
        <v>175</v>
      </c>
      <c r="G4528" t="s">
        <v>172</v>
      </c>
      <c r="H4528" t="s">
        <v>7</v>
      </c>
      <c r="I4528">
        <v>415.87</v>
      </c>
      <c r="J4528" s="51">
        <v>690438</v>
      </c>
      <c r="K4528" s="11">
        <f t="shared" si="277"/>
        <v>983</v>
      </c>
      <c r="L4528" s="11">
        <v>691421</v>
      </c>
      <c r="M4528" s="10">
        <f t="shared" si="276"/>
        <v>42.306205493387587</v>
      </c>
    </row>
    <row r="4529" spans="1:13" ht="15.75" hidden="1" customHeight="1" x14ac:dyDescent="0.3">
      <c r="A4529" s="9">
        <v>1165</v>
      </c>
      <c r="B4529" t="s">
        <v>284</v>
      </c>
      <c r="C4529" s="25">
        <v>44599</v>
      </c>
      <c r="D4529" s="26">
        <v>0.96585648148148151</v>
      </c>
      <c r="E4529" t="s">
        <v>25</v>
      </c>
      <c r="F4529" t="s">
        <v>210</v>
      </c>
      <c r="G4529" t="s">
        <v>211</v>
      </c>
      <c r="H4529" t="s">
        <v>7</v>
      </c>
      <c r="I4529">
        <v>357.32</v>
      </c>
      <c r="J4529" s="52">
        <v>691421</v>
      </c>
      <c r="K4529" s="53">
        <f t="shared" si="277"/>
        <v>843</v>
      </c>
      <c r="L4529" s="28">
        <v>692264</v>
      </c>
      <c r="M4529" s="10">
        <f t="shared" si="276"/>
        <v>42.386714116251483</v>
      </c>
    </row>
    <row r="4530" spans="1:13" ht="15.75" hidden="1" customHeight="1" x14ac:dyDescent="0.3">
      <c r="A4530" s="9">
        <v>1166</v>
      </c>
      <c r="B4530" t="s">
        <v>284</v>
      </c>
      <c r="C4530" s="25">
        <v>44601</v>
      </c>
      <c r="D4530" s="26">
        <v>0.43239583333333331</v>
      </c>
      <c r="E4530" t="s">
        <v>25</v>
      </c>
      <c r="F4530" t="s">
        <v>210</v>
      </c>
      <c r="G4530" t="s">
        <v>211</v>
      </c>
      <c r="H4530" t="s">
        <v>7</v>
      </c>
      <c r="I4530">
        <v>444.44</v>
      </c>
      <c r="J4530" s="7">
        <v>0</v>
      </c>
      <c r="K4530" s="11">
        <f t="shared" si="277"/>
        <v>1062.0999999999999</v>
      </c>
      <c r="L4530" s="7">
        <v>1062.0999999999999</v>
      </c>
      <c r="M4530" s="10">
        <f t="shared" si="276"/>
        <v>41.84540062141042</v>
      </c>
    </row>
    <row r="4531" spans="1:13" ht="15.75" hidden="1" customHeight="1" x14ac:dyDescent="0.3">
      <c r="A4531" s="9">
        <v>1167</v>
      </c>
      <c r="B4531" t="s">
        <v>284</v>
      </c>
      <c r="C4531" s="25">
        <v>44602</v>
      </c>
      <c r="D4531" s="26">
        <v>0.56907407407407407</v>
      </c>
      <c r="E4531" t="s">
        <v>25</v>
      </c>
      <c r="F4531" t="s">
        <v>175</v>
      </c>
      <c r="G4531" t="s">
        <v>172</v>
      </c>
      <c r="H4531" t="s">
        <v>7</v>
      </c>
      <c r="I4531">
        <v>387.66</v>
      </c>
      <c r="J4531" s="7">
        <v>0</v>
      </c>
      <c r="K4531" s="11">
        <f t="shared" si="277"/>
        <v>1018.91</v>
      </c>
      <c r="L4531" s="32">
        <v>1018.91</v>
      </c>
      <c r="M4531" s="10">
        <f t="shared" si="276"/>
        <v>38.046539929925125</v>
      </c>
    </row>
    <row r="4532" spans="1:13" ht="15.75" hidden="1" customHeight="1" x14ac:dyDescent="0.3">
      <c r="A4532" s="9">
        <v>1168</v>
      </c>
      <c r="B4532" t="s">
        <v>284</v>
      </c>
      <c r="C4532" s="25">
        <v>44603</v>
      </c>
      <c r="D4532" s="26">
        <v>0.48067129629629629</v>
      </c>
      <c r="E4532" t="s">
        <v>25</v>
      </c>
      <c r="F4532" t="s">
        <v>210</v>
      </c>
      <c r="G4532" t="s">
        <v>211</v>
      </c>
      <c r="H4532" t="s">
        <v>7</v>
      </c>
      <c r="I4532">
        <v>375.36</v>
      </c>
      <c r="J4532" s="7">
        <v>0</v>
      </c>
      <c r="K4532" s="11">
        <f t="shared" si="277"/>
        <v>828.77</v>
      </c>
      <c r="L4532" s="11">
        <v>828.77</v>
      </c>
      <c r="M4532" s="10">
        <f t="shared" si="276"/>
        <v>45.29121469165149</v>
      </c>
    </row>
    <row r="4533" spans="1:13" ht="15.75" hidden="1" customHeight="1" x14ac:dyDescent="0.3">
      <c r="A4533" s="9">
        <v>1169</v>
      </c>
      <c r="B4533" t="s">
        <v>284</v>
      </c>
      <c r="C4533" s="25">
        <v>44604</v>
      </c>
      <c r="D4533" s="26">
        <v>0.38403935185185184</v>
      </c>
      <c r="E4533" t="s">
        <v>25</v>
      </c>
      <c r="F4533" t="s">
        <v>165</v>
      </c>
      <c r="G4533" t="s">
        <v>185</v>
      </c>
      <c r="H4533" t="s">
        <v>7</v>
      </c>
      <c r="I4533">
        <v>251.86</v>
      </c>
      <c r="J4533" s="7">
        <v>0</v>
      </c>
      <c r="K4533" s="11">
        <f t="shared" si="277"/>
        <v>548.6</v>
      </c>
      <c r="L4533" s="11">
        <v>548.6</v>
      </c>
      <c r="M4533" s="10">
        <f t="shared" si="276"/>
        <v>45.909588042289464</v>
      </c>
    </row>
    <row r="4534" spans="1:13" ht="15.75" hidden="1" customHeight="1" x14ac:dyDescent="0.3">
      <c r="A4534" s="9">
        <v>1170</v>
      </c>
      <c r="B4534" t="s">
        <v>284</v>
      </c>
      <c r="C4534" s="25">
        <v>44606</v>
      </c>
      <c r="D4534" s="26">
        <v>0.71452546296296304</v>
      </c>
      <c r="E4534" t="s">
        <v>25</v>
      </c>
      <c r="F4534" t="s">
        <v>340</v>
      </c>
      <c r="G4534" t="s">
        <v>337</v>
      </c>
      <c r="H4534" t="s">
        <v>7</v>
      </c>
      <c r="I4534">
        <v>269.52999999999997</v>
      </c>
      <c r="J4534" s="51">
        <v>0</v>
      </c>
      <c r="K4534" s="11">
        <f t="shared" si="277"/>
        <v>827.72</v>
      </c>
      <c r="L4534" s="53">
        <v>827.72</v>
      </c>
      <c r="M4534" s="10">
        <f t="shared" si="276"/>
        <v>32.562943990721493</v>
      </c>
    </row>
    <row r="4535" spans="1:13" ht="15.75" hidden="1" customHeight="1" x14ac:dyDescent="0.3">
      <c r="A4535" s="9">
        <v>1171</v>
      </c>
      <c r="B4535" t="s">
        <v>284</v>
      </c>
      <c r="C4535" s="25">
        <v>44608</v>
      </c>
      <c r="D4535" s="26">
        <v>0.58974537037037034</v>
      </c>
      <c r="E4535" t="s">
        <v>25</v>
      </c>
      <c r="F4535" t="s">
        <v>210</v>
      </c>
      <c r="G4535" t="s">
        <v>211</v>
      </c>
      <c r="H4535" t="s">
        <v>7</v>
      </c>
      <c r="I4535">
        <v>507.55</v>
      </c>
      <c r="J4535" s="7">
        <v>0</v>
      </c>
      <c r="K4535" s="11">
        <f t="shared" si="277"/>
        <v>1318.59</v>
      </c>
      <c r="L4535" s="53">
        <v>1318.59</v>
      </c>
      <c r="M4535" s="10">
        <f t="shared" si="276"/>
        <v>38.491873895600612</v>
      </c>
    </row>
    <row r="4536" spans="1:13" ht="15.75" hidden="1" customHeight="1" x14ac:dyDescent="0.3">
      <c r="A4536" s="9">
        <v>1172</v>
      </c>
      <c r="B4536" t="s">
        <v>284</v>
      </c>
      <c r="C4536" s="25">
        <v>44609</v>
      </c>
      <c r="D4536" s="26">
        <v>0.79351851851851851</v>
      </c>
      <c r="E4536" t="s">
        <v>25</v>
      </c>
      <c r="F4536" t="s">
        <v>175</v>
      </c>
      <c r="G4536" t="s">
        <v>172</v>
      </c>
      <c r="H4536" t="s">
        <v>7</v>
      </c>
      <c r="I4536">
        <v>430.68</v>
      </c>
      <c r="J4536" s="28">
        <v>0</v>
      </c>
      <c r="K4536" s="11">
        <f t="shared" si="277"/>
        <v>958.58</v>
      </c>
      <c r="L4536" s="53">
        <v>958.58</v>
      </c>
      <c r="M4536" s="10">
        <f t="shared" ref="M4536:M4567" si="278">I4536/K4536*100</f>
        <v>44.928957416178093</v>
      </c>
    </row>
    <row r="4537" spans="1:13" ht="15.75" hidden="1" customHeight="1" x14ac:dyDescent="0.3">
      <c r="A4537" s="9">
        <v>1173</v>
      </c>
      <c r="B4537" t="s">
        <v>284</v>
      </c>
      <c r="C4537" s="25">
        <v>44615</v>
      </c>
      <c r="D4537" s="26">
        <v>0.71724537037037039</v>
      </c>
      <c r="E4537" t="s">
        <v>25</v>
      </c>
      <c r="F4537" t="s">
        <v>171</v>
      </c>
      <c r="G4537" t="s">
        <v>172</v>
      </c>
      <c r="H4537" t="s">
        <v>7</v>
      </c>
      <c r="I4537">
        <v>256.91000000000003</v>
      </c>
      <c r="J4537" s="7">
        <v>0</v>
      </c>
      <c r="K4537" s="11">
        <f t="shared" si="277"/>
        <v>594.89</v>
      </c>
      <c r="L4537" s="53">
        <v>594.89</v>
      </c>
      <c r="M4537" s="10">
        <f t="shared" si="278"/>
        <v>43.186135251895315</v>
      </c>
    </row>
    <row r="4538" spans="1:13" ht="15.75" hidden="1" customHeight="1" x14ac:dyDescent="0.3">
      <c r="A4538" s="9">
        <v>1174</v>
      </c>
      <c r="B4538" t="s">
        <v>284</v>
      </c>
      <c r="C4538" s="25">
        <v>44616</v>
      </c>
      <c r="D4538" s="26">
        <v>0.56771990740740741</v>
      </c>
      <c r="E4538" t="s">
        <v>25</v>
      </c>
      <c r="F4538" t="s">
        <v>210</v>
      </c>
      <c r="G4538" t="s">
        <v>211</v>
      </c>
      <c r="H4538" t="s">
        <v>7</v>
      </c>
      <c r="I4538">
        <v>329.54</v>
      </c>
      <c r="J4538" s="7">
        <v>0</v>
      </c>
      <c r="K4538" s="11">
        <f t="shared" ref="K4538:K4569" si="279">+L4538-J4538</f>
        <v>689.58</v>
      </c>
      <c r="L4538" s="53">
        <v>689.58</v>
      </c>
      <c r="M4538" s="10">
        <f t="shared" si="278"/>
        <v>47.788508947475272</v>
      </c>
    </row>
    <row r="4539" spans="1:13" ht="15.75" hidden="1" customHeight="1" x14ac:dyDescent="0.3">
      <c r="A4539" s="9">
        <v>1175</v>
      </c>
      <c r="B4539" t="s">
        <v>284</v>
      </c>
      <c r="C4539" s="25">
        <v>44617</v>
      </c>
      <c r="D4539" s="26">
        <v>0.92175925925925928</v>
      </c>
      <c r="E4539" t="s">
        <v>25</v>
      </c>
      <c r="F4539" t="s">
        <v>210</v>
      </c>
      <c r="G4539" t="s">
        <v>211</v>
      </c>
      <c r="H4539" t="s">
        <v>7</v>
      </c>
      <c r="I4539">
        <v>443.79</v>
      </c>
      <c r="J4539" s="7">
        <v>0</v>
      </c>
      <c r="K4539" s="11">
        <f t="shared" si="279"/>
        <v>1064.1199999999999</v>
      </c>
      <c r="L4539" s="53">
        <v>1064.1199999999999</v>
      </c>
      <c r="M4539" s="10">
        <f t="shared" si="278"/>
        <v>41.704882907942718</v>
      </c>
    </row>
    <row r="4540" spans="1:13" ht="15.75" hidden="1" customHeight="1" x14ac:dyDescent="0.3">
      <c r="A4540" s="9">
        <v>1176</v>
      </c>
      <c r="B4540" t="s">
        <v>284</v>
      </c>
      <c r="C4540" s="25">
        <v>44620</v>
      </c>
      <c r="D4540" s="26">
        <v>0.3553587962962963</v>
      </c>
      <c r="E4540" t="s">
        <v>25</v>
      </c>
      <c r="F4540" t="s">
        <v>171</v>
      </c>
      <c r="G4540" t="s">
        <v>172</v>
      </c>
      <c r="H4540" t="s">
        <v>7</v>
      </c>
      <c r="I4540">
        <v>431.19</v>
      </c>
      <c r="J4540" s="40">
        <v>0</v>
      </c>
      <c r="K4540" s="11">
        <f t="shared" si="279"/>
        <v>1060.28</v>
      </c>
      <c r="L4540" s="55">
        <v>1060.28</v>
      </c>
      <c r="M4540" s="10">
        <f t="shared" si="278"/>
        <v>40.667559512581583</v>
      </c>
    </row>
    <row r="4541" spans="1:13" ht="15.75" hidden="1" customHeight="1" x14ac:dyDescent="0.3">
      <c r="A4541" s="9">
        <v>2377</v>
      </c>
      <c r="B4541" t="s">
        <v>284</v>
      </c>
      <c r="C4541" s="25">
        <v>44621</v>
      </c>
      <c r="D4541" s="26">
        <v>0.58787037037037038</v>
      </c>
      <c r="E4541" t="s">
        <v>26</v>
      </c>
      <c r="F4541" t="s">
        <v>210</v>
      </c>
      <c r="G4541" t="s">
        <v>211</v>
      </c>
      <c r="H4541" t="s">
        <v>7</v>
      </c>
      <c r="I4541">
        <v>366.35</v>
      </c>
      <c r="J4541" s="7">
        <v>0</v>
      </c>
      <c r="K4541" s="89">
        <f t="shared" si="279"/>
        <v>830.35</v>
      </c>
      <c r="L4541" s="7">
        <v>830.35</v>
      </c>
      <c r="M4541" s="10">
        <f t="shared" si="278"/>
        <v>44.119949418919738</v>
      </c>
    </row>
    <row r="4542" spans="1:13" ht="15.75" hidden="1" customHeight="1" x14ac:dyDescent="0.3">
      <c r="A4542" s="9">
        <v>2378</v>
      </c>
      <c r="B4542" t="s">
        <v>284</v>
      </c>
      <c r="C4542" s="25">
        <v>44622</v>
      </c>
      <c r="D4542" s="26">
        <v>0.94806712962962969</v>
      </c>
      <c r="E4542" t="s">
        <v>26</v>
      </c>
      <c r="F4542" t="s">
        <v>165</v>
      </c>
      <c r="G4542" t="s">
        <v>185</v>
      </c>
      <c r="H4542" t="s">
        <v>7</v>
      </c>
      <c r="I4542">
        <v>448</v>
      </c>
      <c r="J4542" s="40">
        <v>0</v>
      </c>
      <c r="K4542" s="89">
        <f t="shared" si="279"/>
        <v>981.46</v>
      </c>
      <c r="L4542" s="11">
        <v>981.46</v>
      </c>
      <c r="M4542" s="10">
        <f t="shared" si="278"/>
        <v>45.646282069569821</v>
      </c>
    </row>
    <row r="4543" spans="1:13" ht="15.75" hidden="1" customHeight="1" x14ac:dyDescent="0.3">
      <c r="A4543" s="9">
        <v>2379</v>
      </c>
      <c r="B4543" t="s">
        <v>284</v>
      </c>
      <c r="C4543" s="25">
        <v>44625</v>
      </c>
      <c r="D4543" s="26">
        <v>0.9943171296296297</v>
      </c>
      <c r="E4543" t="s">
        <v>26</v>
      </c>
      <c r="F4543" t="s">
        <v>278</v>
      </c>
      <c r="G4543" t="s">
        <v>279</v>
      </c>
      <c r="H4543" t="s">
        <v>7</v>
      </c>
      <c r="I4543">
        <v>238.77</v>
      </c>
      <c r="J4543" s="7">
        <v>0</v>
      </c>
      <c r="K4543" s="89">
        <f t="shared" si="279"/>
        <v>1056.97</v>
      </c>
      <c r="L4543" s="32">
        <v>1056.97</v>
      </c>
      <c r="M4543" s="10">
        <f t="shared" si="278"/>
        <v>22.590045129000824</v>
      </c>
    </row>
    <row r="4544" spans="1:13" ht="15.75" hidden="1" customHeight="1" x14ac:dyDescent="0.3">
      <c r="A4544" s="9">
        <v>2380</v>
      </c>
      <c r="B4544" t="s">
        <v>284</v>
      </c>
      <c r="C4544" s="25">
        <v>44626</v>
      </c>
      <c r="D4544" s="26">
        <v>0.55722222222222217</v>
      </c>
      <c r="E4544" t="s">
        <v>26</v>
      </c>
      <c r="F4544" t="s">
        <v>210</v>
      </c>
      <c r="G4544" t="s">
        <v>211</v>
      </c>
      <c r="H4544" t="s">
        <v>7</v>
      </c>
      <c r="I4544">
        <v>385.62</v>
      </c>
      <c r="J4544" s="7">
        <v>0</v>
      </c>
      <c r="K4544" s="89">
        <f t="shared" si="279"/>
        <v>350.29</v>
      </c>
      <c r="L4544" s="32">
        <v>350.29</v>
      </c>
      <c r="M4544" s="10">
        <f t="shared" si="278"/>
        <v>110.08592880184989</v>
      </c>
    </row>
    <row r="4545" spans="1:13" ht="15.75" hidden="1" customHeight="1" x14ac:dyDescent="0.3">
      <c r="A4545" s="9">
        <v>2381</v>
      </c>
      <c r="B4545" t="s">
        <v>284</v>
      </c>
      <c r="C4545" s="25">
        <v>44627</v>
      </c>
      <c r="D4545" s="26">
        <v>0.72070601851851857</v>
      </c>
      <c r="E4545" t="s">
        <v>26</v>
      </c>
      <c r="F4545" t="s">
        <v>175</v>
      </c>
      <c r="G4545" t="s">
        <v>172</v>
      </c>
      <c r="H4545" t="s">
        <v>7</v>
      </c>
      <c r="I4545">
        <v>385.71</v>
      </c>
      <c r="J4545" s="7">
        <v>0</v>
      </c>
      <c r="K4545" s="89">
        <f t="shared" si="279"/>
        <v>919.56</v>
      </c>
      <c r="L4545" s="37">
        <v>919.56</v>
      </c>
      <c r="M4545" s="10">
        <f t="shared" si="278"/>
        <v>41.945060681195358</v>
      </c>
    </row>
    <row r="4546" spans="1:13" ht="15.75" hidden="1" customHeight="1" x14ac:dyDescent="0.3">
      <c r="A4546" s="9">
        <v>2382</v>
      </c>
      <c r="B4546" t="s">
        <v>284</v>
      </c>
      <c r="C4546" s="25">
        <v>44634</v>
      </c>
      <c r="D4546" s="26">
        <v>0.78233796296296287</v>
      </c>
      <c r="E4546" t="s">
        <v>26</v>
      </c>
      <c r="F4546" t="s">
        <v>197</v>
      </c>
      <c r="G4546" t="s">
        <v>44</v>
      </c>
      <c r="H4546" t="s">
        <v>7</v>
      </c>
      <c r="I4546">
        <v>300</v>
      </c>
      <c r="J4546" s="40">
        <v>0</v>
      </c>
      <c r="K4546" s="89">
        <f t="shared" si="279"/>
        <v>397.82</v>
      </c>
      <c r="L4546" s="53">
        <v>397.82</v>
      </c>
      <c r="M4546" s="10">
        <f t="shared" si="278"/>
        <v>75.410989894927354</v>
      </c>
    </row>
    <row r="4547" spans="1:13" ht="15.75" hidden="1" customHeight="1" x14ac:dyDescent="0.3">
      <c r="A4547" s="9">
        <v>2383</v>
      </c>
      <c r="B4547" t="s">
        <v>284</v>
      </c>
      <c r="C4547" s="25">
        <v>44635</v>
      </c>
      <c r="D4547" s="26">
        <v>0.78671296296296289</v>
      </c>
      <c r="E4547" t="s">
        <v>26</v>
      </c>
      <c r="F4547" t="s">
        <v>210</v>
      </c>
      <c r="G4547" t="s">
        <v>211</v>
      </c>
      <c r="H4547" t="s">
        <v>7</v>
      </c>
      <c r="I4547">
        <v>329.75</v>
      </c>
      <c r="J4547" s="7">
        <v>0</v>
      </c>
      <c r="K4547" s="89">
        <f t="shared" si="279"/>
        <v>591.44000000000005</v>
      </c>
      <c r="L4547" s="53">
        <v>591.44000000000005</v>
      </c>
      <c r="M4547" s="10">
        <f t="shared" si="278"/>
        <v>55.753753550656015</v>
      </c>
    </row>
    <row r="4548" spans="1:13" ht="15.75" hidden="1" customHeight="1" x14ac:dyDescent="0.3">
      <c r="A4548" s="9">
        <v>2384</v>
      </c>
      <c r="B4548" t="s">
        <v>284</v>
      </c>
      <c r="C4548" s="25">
        <v>44637</v>
      </c>
      <c r="D4548" s="26">
        <v>0.89265046296296291</v>
      </c>
      <c r="E4548" t="s">
        <v>26</v>
      </c>
      <c r="F4548" t="s">
        <v>210</v>
      </c>
      <c r="G4548" t="s">
        <v>211</v>
      </c>
      <c r="H4548" t="s">
        <v>7</v>
      </c>
      <c r="I4548">
        <v>400.25</v>
      </c>
      <c r="J4548" s="7">
        <v>0</v>
      </c>
      <c r="K4548" s="89">
        <f t="shared" si="279"/>
        <v>967.4</v>
      </c>
      <c r="L4548" s="53">
        <v>967.4</v>
      </c>
      <c r="M4548" s="10">
        <f t="shared" si="278"/>
        <v>41.373785404176147</v>
      </c>
    </row>
    <row r="4549" spans="1:13" ht="15.75" hidden="1" customHeight="1" x14ac:dyDescent="0.3">
      <c r="A4549" s="9">
        <v>2385</v>
      </c>
      <c r="B4549" t="s">
        <v>284</v>
      </c>
      <c r="C4549" s="25">
        <v>44639</v>
      </c>
      <c r="D4549" s="26">
        <v>0.27310185185185182</v>
      </c>
      <c r="E4549" t="s">
        <v>26</v>
      </c>
      <c r="F4549" t="s">
        <v>274</v>
      </c>
      <c r="G4549" t="s">
        <v>495</v>
      </c>
      <c r="H4549" t="s">
        <v>7</v>
      </c>
      <c r="I4549">
        <v>100.08</v>
      </c>
      <c r="J4549" s="40">
        <v>0</v>
      </c>
      <c r="K4549" s="89">
        <f t="shared" si="279"/>
        <v>601.87</v>
      </c>
      <c r="L4549" s="53">
        <v>601.87</v>
      </c>
      <c r="M4549" s="10">
        <f t="shared" si="278"/>
        <v>16.628175519630485</v>
      </c>
    </row>
    <row r="4550" spans="1:13" ht="15.75" hidden="1" customHeight="1" x14ac:dyDescent="0.3">
      <c r="A4550" s="9">
        <v>2386</v>
      </c>
      <c r="B4550" t="s">
        <v>284</v>
      </c>
      <c r="C4550" s="25">
        <v>44643</v>
      </c>
      <c r="D4550" s="26">
        <v>0.45344907407407403</v>
      </c>
      <c r="E4550" t="s">
        <v>26</v>
      </c>
      <c r="F4550" t="s">
        <v>171</v>
      </c>
      <c r="G4550" t="s">
        <v>172</v>
      </c>
      <c r="H4550" t="s">
        <v>7</v>
      </c>
      <c r="I4550">
        <v>408.4</v>
      </c>
      <c r="J4550" s="31">
        <v>0</v>
      </c>
      <c r="K4550" s="89">
        <f t="shared" si="279"/>
        <v>386.34</v>
      </c>
      <c r="L4550" s="53">
        <v>386.34</v>
      </c>
      <c r="M4550" s="10">
        <f t="shared" si="278"/>
        <v>105.7099963762489</v>
      </c>
    </row>
    <row r="4551" spans="1:13" ht="15.75" hidden="1" customHeight="1" x14ac:dyDescent="0.3">
      <c r="A4551" s="9">
        <v>2387</v>
      </c>
      <c r="B4551" t="s">
        <v>284</v>
      </c>
      <c r="C4551" s="25">
        <v>44644</v>
      </c>
      <c r="D4551" s="26">
        <v>0.86091435185185183</v>
      </c>
      <c r="E4551" t="s">
        <v>26</v>
      </c>
      <c r="F4551" t="s">
        <v>166</v>
      </c>
      <c r="G4551" t="s">
        <v>161</v>
      </c>
      <c r="H4551" t="s">
        <v>7</v>
      </c>
      <c r="I4551">
        <v>200</v>
      </c>
      <c r="J4551" s="31">
        <v>0</v>
      </c>
      <c r="K4551" s="89">
        <f t="shared" si="279"/>
        <v>766.67</v>
      </c>
      <c r="L4551" s="53">
        <v>766.67</v>
      </c>
      <c r="M4551" s="10">
        <f t="shared" si="278"/>
        <v>26.086843100682174</v>
      </c>
    </row>
    <row r="4552" spans="1:13" ht="15.75" hidden="1" customHeight="1" x14ac:dyDescent="0.3">
      <c r="A4552" s="9">
        <v>2388</v>
      </c>
      <c r="B4552" t="s">
        <v>284</v>
      </c>
      <c r="C4552" s="25">
        <v>44644</v>
      </c>
      <c r="D4552" s="26">
        <v>0.92138888888888892</v>
      </c>
      <c r="E4552" t="s">
        <v>26</v>
      </c>
      <c r="F4552" t="s">
        <v>210</v>
      </c>
      <c r="G4552" t="s">
        <v>211</v>
      </c>
      <c r="H4552" t="s">
        <v>7</v>
      </c>
      <c r="I4552">
        <v>253.02</v>
      </c>
      <c r="J4552" s="7">
        <v>0</v>
      </c>
      <c r="K4552" s="89">
        <f t="shared" si="279"/>
        <v>76</v>
      </c>
      <c r="L4552" s="53">
        <v>76</v>
      </c>
      <c r="M4552" s="10">
        <f t="shared" si="278"/>
        <v>332.92105263157896</v>
      </c>
    </row>
    <row r="4553" spans="1:13" ht="15.75" hidden="1" customHeight="1" x14ac:dyDescent="0.3">
      <c r="A4553" s="9">
        <v>2389</v>
      </c>
      <c r="B4553" t="s">
        <v>284</v>
      </c>
      <c r="C4553" s="25">
        <v>44645</v>
      </c>
      <c r="D4553" s="26">
        <v>0.94004629629629621</v>
      </c>
      <c r="E4553" t="s">
        <v>26</v>
      </c>
      <c r="F4553" t="s">
        <v>278</v>
      </c>
      <c r="G4553" t="s">
        <v>279</v>
      </c>
      <c r="H4553" t="s">
        <v>7</v>
      </c>
      <c r="I4553">
        <v>330.95</v>
      </c>
      <c r="J4553" s="7">
        <v>0</v>
      </c>
      <c r="K4553" s="89">
        <f t="shared" si="279"/>
        <v>715.29</v>
      </c>
      <c r="L4553" s="53">
        <v>715.29</v>
      </c>
      <c r="M4553" s="10">
        <f t="shared" si="278"/>
        <v>46.267947266143807</v>
      </c>
    </row>
    <row r="4554" spans="1:13" ht="15.75" hidden="1" customHeight="1" x14ac:dyDescent="0.3">
      <c r="A4554" s="9">
        <v>2390</v>
      </c>
      <c r="B4554" t="s">
        <v>284</v>
      </c>
      <c r="C4554" s="25">
        <v>44649</v>
      </c>
      <c r="D4554" s="26">
        <v>0.39721064814814816</v>
      </c>
      <c r="E4554" t="s">
        <v>26</v>
      </c>
      <c r="F4554" t="s">
        <v>210</v>
      </c>
      <c r="G4554" t="s">
        <v>211</v>
      </c>
      <c r="H4554" t="s">
        <v>7</v>
      </c>
      <c r="I4554">
        <v>428.47</v>
      </c>
      <c r="J4554" s="39">
        <v>0</v>
      </c>
      <c r="K4554" s="89">
        <f t="shared" si="279"/>
        <v>1241.8800000000001</v>
      </c>
      <c r="L4554" s="53">
        <v>1241.8800000000001</v>
      </c>
      <c r="M4554" s="10">
        <f t="shared" si="278"/>
        <v>34.501723193867363</v>
      </c>
    </row>
    <row r="4555" spans="1:13" ht="15.75" hidden="1" customHeight="1" x14ac:dyDescent="0.3">
      <c r="A4555" s="9">
        <v>2391</v>
      </c>
      <c r="B4555" t="s">
        <v>284</v>
      </c>
      <c r="C4555" s="25">
        <v>44651</v>
      </c>
      <c r="D4555" s="26">
        <v>0.47427083333333336</v>
      </c>
      <c r="E4555" t="s">
        <v>26</v>
      </c>
      <c r="F4555" t="s">
        <v>171</v>
      </c>
      <c r="G4555" t="s">
        <v>172</v>
      </c>
      <c r="H4555" t="s">
        <v>7</v>
      </c>
      <c r="I4555">
        <v>400.07</v>
      </c>
      <c r="J4555" s="7">
        <v>0</v>
      </c>
      <c r="K4555" s="89">
        <f t="shared" si="279"/>
        <v>1256.45</v>
      </c>
      <c r="L4555" s="32">
        <v>1256.45</v>
      </c>
      <c r="M4555" s="10">
        <f t="shared" si="278"/>
        <v>31.841298897687931</v>
      </c>
    </row>
    <row r="4556" spans="1:13" ht="15.75" hidden="1" customHeight="1" x14ac:dyDescent="0.3">
      <c r="A4556" s="9">
        <v>3618</v>
      </c>
      <c r="B4556" t="s">
        <v>284</v>
      </c>
      <c r="C4556" s="25">
        <v>44653</v>
      </c>
      <c r="D4556" s="26">
        <v>0.27004629629629628</v>
      </c>
      <c r="E4556" t="s">
        <v>27</v>
      </c>
      <c r="F4556" t="s">
        <v>210</v>
      </c>
      <c r="G4556" t="s">
        <v>211</v>
      </c>
      <c r="H4556" t="s">
        <v>7</v>
      </c>
      <c r="I4556" s="4">
        <v>365.84</v>
      </c>
      <c r="J4556" s="7">
        <v>0</v>
      </c>
      <c r="K4556" s="89">
        <f t="shared" si="279"/>
        <v>703.29</v>
      </c>
      <c r="L4556" s="53">
        <v>703.29</v>
      </c>
      <c r="M4556" s="10">
        <f t="shared" si="278"/>
        <v>52.01837080009669</v>
      </c>
    </row>
    <row r="4557" spans="1:13" ht="15.75" hidden="1" customHeight="1" x14ac:dyDescent="0.3">
      <c r="A4557" s="9">
        <v>3619</v>
      </c>
      <c r="B4557" t="s">
        <v>284</v>
      </c>
      <c r="C4557" s="25">
        <v>44654</v>
      </c>
      <c r="D4557" s="26">
        <v>0.52199074074074081</v>
      </c>
      <c r="E4557" t="s">
        <v>27</v>
      </c>
      <c r="F4557" t="s">
        <v>210</v>
      </c>
      <c r="G4557" t="s">
        <v>211</v>
      </c>
      <c r="H4557" t="s">
        <v>7</v>
      </c>
      <c r="I4557" s="4">
        <v>403.36</v>
      </c>
      <c r="J4557" s="7">
        <v>0</v>
      </c>
      <c r="K4557" s="89">
        <f t="shared" si="279"/>
        <v>1062.93</v>
      </c>
      <c r="L4557" s="53">
        <v>1062.93</v>
      </c>
      <c r="M4557" s="10">
        <f t="shared" si="278"/>
        <v>37.947936364577153</v>
      </c>
    </row>
    <row r="4558" spans="1:13" ht="15.75" hidden="1" customHeight="1" x14ac:dyDescent="0.3">
      <c r="A4558" s="9">
        <v>3620</v>
      </c>
      <c r="B4558" t="s">
        <v>284</v>
      </c>
      <c r="C4558" s="25">
        <v>44659</v>
      </c>
      <c r="D4558" s="26">
        <v>0.44424768518518515</v>
      </c>
      <c r="E4558" t="s">
        <v>27</v>
      </c>
      <c r="F4558" t="s">
        <v>171</v>
      </c>
      <c r="G4558" t="s">
        <v>172</v>
      </c>
      <c r="H4558" t="s">
        <v>7</v>
      </c>
      <c r="I4558" s="4">
        <v>345.32</v>
      </c>
      <c r="J4558" s="7">
        <v>0</v>
      </c>
      <c r="K4558" s="89">
        <f t="shared" si="279"/>
        <v>987.25</v>
      </c>
      <c r="L4558" s="53">
        <v>987.25</v>
      </c>
      <c r="M4558" s="10">
        <f t="shared" si="278"/>
        <v>34.977969106102805</v>
      </c>
    </row>
    <row r="4559" spans="1:13" ht="15.75" hidden="1" customHeight="1" x14ac:dyDescent="0.3">
      <c r="A4559" s="9">
        <v>3621</v>
      </c>
      <c r="B4559" t="s">
        <v>284</v>
      </c>
      <c r="C4559" s="25">
        <v>44661</v>
      </c>
      <c r="D4559" s="26">
        <v>0.35098379629629628</v>
      </c>
      <c r="E4559" t="s">
        <v>27</v>
      </c>
      <c r="F4559" t="s">
        <v>166</v>
      </c>
      <c r="G4559" t="s">
        <v>161</v>
      </c>
      <c r="H4559" t="s">
        <v>7</v>
      </c>
      <c r="I4559" s="4">
        <v>488</v>
      </c>
      <c r="J4559" s="7">
        <v>0</v>
      </c>
      <c r="K4559" s="89">
        <f t="shared" si="279"/>
        <v>1180.24</v>
      </c>
      <c r="L4559" s="53">
        <v>1180.24</v>
      </c>
      <c r="M4559" s="10">
        <f t="shared" si="278"/>
        <v>41.347522537788919</v>
      </c>
    </row>
    <row r="4560" spans="1:13" ht="15.75" hidden="1" customHeight="1" x14ac:dyDescent="0.3">
      <c r="A4560" s="9">
        <v>3622</v>
      </c>
      <c r="B4560" t="s">
        <v>284</v>
      </c>
      <c r="C4560" s="25">
        <v>44662</v>
      </c>
      <c r="D4560" s="26">
        <v>0.53046296296296302</v>
      </c>
      <c r="E4560" t="s">
        <v>27</v>
      </c>
      <c r="F4560" t="s">
        <v>210</v>
      </c>
      <c r="G4560" t="s">
        <v>211</v>
      </c>
      <c r="H4560" t="s">
        <v>7</v>
      </c>
      <c r="I4560" s="4">
        <v>384.78</v>
      </c>
      <c r="J4560" s="7">
        <v>0</v>
      </c>
      <c r="K4560" s="89">
        <f t="shared" si="279"/>
        <v>1139.71</v>
      </c>
      <c r="L4560" s="53">
        <v>1139.71</v>
      </c>
      <c r="M4560" s="10">
        <f t="shared" si="278"/>
        <v>33.761219959463368</v>
      </c>
    </row>
    <row r="4561" spans="1:13" ht="15.75" hidden="1" customHeight="1" x14ac:dyDescent="0.3">
      <c r="A4561" s="9">
        <v>3623</v>
      </c>
      <c r="B4561" t="s">
        <v>284</v>
      </c>
      <c r="C4561" s="25">
        <v>44663</v>
      </c>
      <c r="D4561" s="26">
        <v>0.8274421296296296</v>
      </c>
      <c r="E4561" t="s">
        <v>27</v>
      </c>
      <c r="F4561" t="s">
        <v>175</v>
      </c>
      <c r="G4561" t="s">
        <v>172</v>
      </c>
      <c r="H4561" t="s">
        <v>7</v>
      </c>
      <c r="I4561" s="4">
        <v>432.57</v>
      </c>
      <c r="J4561" s="7">
        <v>0</v>
      </c>
      <c r="K4561" s="90">
        <f t="shared" si="279"/>
        <v>1081.94</v>
      </c>
      <c r="L4561" s="53">
        <v>1081.94</v>
      </c>
      <c r="M4561" s="10">
        <f t="shared" si="278"/>
        <v>39.980960127178953</v>
      </c>
    </row>
    <row r="4562" spans="1:13" ht="15.75" hidden="1" customHeight="1" x14ac:dyDescent="0.3">
      <c r="A4562" s="9">
        <v>3624</v>
      </c>
      <c r="B4562" t="s">
        <v>284</v>
      </c>
      <c r="C4562" s="25">
        <v>44665</v>
      </c>
      <c r="D4562" s="26">
        <v>0.42918981481481483</v>
      </c>
      <c r="E4562" t="s">
        <v>27</v>
      </c>
      <c r="F4562" t="s">
        <v>210</v>
      </c>
      <c r="G4562" t="s">
        <v>211</v>
      </c>
      <c r="H4562" t="s">
        <v>7</v>
      </c>
      <c r="I4562" s="4">
        <v>354.47</v>
      </c>
      <c r="J4562" s="7">
        <v>0</v>
      </c>
      <c r="K4562" s="90">
        <f t="shared" si="279"/>
        <v>828.82</v>
      </c>
      <c r="L4562" s="53">
        <v>828.82</v>
      </c>
      <c r="M4562" s="10">
        <f t="shared" si="278"/>
        <v>42.768031659467674</v>
      </c>
    </row>
    <row r="4563" spans="1:13" ht="15.75" hidden="1" customHeight="1" x14ac:dyDescent="0.3">
      <c r="A4563" s="9">
        <v>3625</v>
      </c>
      <c r="B4563" t="s">
        <v>284</v>
      </c>
      <c r="C4563" s="25">
        <v>44666</v>
      </c>
      <c r="D4563" s="26">
        <v>0.62714120370370374</v>
      </c>
      <c r="E4563" t="s">
        <v>27</v>
      </c>
      <c r="F4563" t="s">
        <v>210</v>
      </c>
      <c r="G4563" t="s">
        <v>211</v>
      </c>
      <c r="H4563" t="s">
        <v>7</v>
      </c>
      <c r="I4563" s="4">
        <v>398.9</v>
      </c>
      <c r="J4563" s="34">
        <v>0</v>
      </c>
      <c r="K4563" s="90">
        <f t="shared" si="279"/>
        <v>1061.98</v>
      </c>
      <c r="L4563" s="53">
        <v>1061.98</v>
      </c>
      <c r="M4563" s="10">
        <f t="shared" si="278"/>
        <v>37.561912653722288</v>
      </c>
    </row>
    <row r="4564" spans="1:13" ht="15.75" hidden="1" customHeight="1" x14ac:dyDescent="0.3">
      <c r="A4564" s="9">
        <v>3626</v>
      </c>
      <c r="B4564" t="s">
        <v>284</v>
      </c>
      <c r="C4564" s="25">
        <v>44669</v>
      </c>
      <c r="D4564" s="26">
        <v>0.31854166666666667</v>
      </c>
      <c r="E4564" t="s">
        <v>27</v>
      </c>
      <c r="F4564" t="s">
        <v>175</v>
      </c>
      <c r="G4564" t="s">
        <v>172</v>
      </c>
      <c r="H4564" t="s">
        <v>7</v>
      </c>
      <c r="I4564" s="4">
        <v>467.2</v>
      </c>
      <c r="J4564" s="7">
        <v>0</v>
      </c>
      <c r="K4564" s="88">
        <f t="shared" si="279"/>
        <v>1114</v>
      </c>
      <c r="L4564" s="53">
        <v>1114</v>
      </c>
      <c r="M4564" s="36">
        <f t="shared" si="278"/>
        <v>41.938958707360861</v>
      </c>
    </row>
    <row r="4565" spans="1:13" ht="15.75" hidden="1" customHeight="1" x14ac:dyDescent="0.3">
      <c r="A4565" s="9">
        <v>3627</v>
      </c>
      <c r="B4565" t="s">
        <v>284</v>
      </c>
      <c r="C4565" s="25">
        <v>44670</v>
      </c>
      <c r="D4565" s="26">
        <v>0.50247685185185187</v>
      </c>
      <c r="E4565" t="s">
        <v>27</v>
      </c>
      <c r="F4565" t="s">
        <v>210</v>
      </c>
      <c r="G4565" t="s">
        <v>211</v>
      </c>
      <c r="H4565" t="s">
        <v>7</v>
      </c>
      <c r="I4565" s="4">
        <v>346.97</v>
      </c>
      <c r="J4565" s="7">
        <v>0</v>
      </c>
      <c r="K4565" s="90">
        <f t="shared" si="279"/>
        <v>864.75</v>
      </c>
      <c r="L4565" s="53">
        <v>864.75</v>
      </c>
      <c r="M4565" s="10">
        <f t="shared" si="278"/>
        <v>40.123735183579072</v>
      </c>
    </row>
    <row r="4566" spans="1:13" ht="15.75" hidden="1" customHeight="1" x14ac:dyDescent="0.3">
      <c r="A4566" s="9">
        <v>3628</v>
      </c>
      <c r="B4566" t="s">
        <v>284</v>
      </c>
      <c r="C4566" s="25">
        <v>44673</v>
      </c>
      <c r="D4566" s="26">
        <v>0.52119212962962969</v>
      </c>
      <c r="E4566" t="s">
        <v>27</v>
      </c>
      <c r="F4566" t="s">
        <v>533</v>
      </c>
      <c r="G4566" t="s">
        <v>45</v>
      </c>
      <c r="H4566" t="s">
        <v>7</v>
      </c>
      <c r="I4566" s="4">
        <v>468.9</v>
      </c>
      <c r="J4566" s="7">
        <v>0</v>
      </c>
      <c r="K4566" s="90">
        <f t="shared" si="279"/>
        <v>1106</v>
      </c>
      <c r="L4566" s="53">
        <v>1106</v>
      </c>
      <c r="M4566" s="10">
        <f t="shared" si="278"/>
        <v>42.396021699819165</v>
      </c>
    </row>
    <row r="4567" spans="1:13" ht="15.75" hidden="1" customHeight="1" x14ac:dyDescent="0.3">
      <c r="A4567" s="9">
        <v>3629</v>
      </c>
      <c r="B4567" t="s">
        <v>284</v>
      </c>
      <c r="C4567" s="25">
        <v>44675</v>
      </c>
      <c r="D4567" s="26">
        <v>0.49332175925925931</v>
      </c>
      <c r="E4567" t="s">
        <v>27</v>
      </c>
      <c r="F4567" t="s">
        <v>210</v>
      </c>
      <c r="G4567" t="s">
        <v>211</v>
      </c>
      <c r="H4567" t="s">
        <v>7</v>
      </c>
      <c r="I4567" s="4">
        <v>427.91</v>
      </c>
      <c r="J4567" s="7">
        <v>0</v>
      </c>
      <c r="K4567" s="88">
        <f t="shared" si="279"/>
        <v>1077.6600000000001</v>
      </c>
      <c r="L4567" s="53">
        <v>1077.6600000000001</v>
      </c>
      <c r="M4567" s="10">
        <f t="shared" si="278"/>
        <v>39.707328842120894</v>
      </c>
    </row>
    <row r="4568" spans="1:13" ht="15.75" hidden="1" customHeight="1" x14ac:dyDescent="0.3">
      <c r="A4568" s="9">
        <v>3630</v>
      </c>
      <c r="B4568" t="s">
        <v>284</v>
      </c>
      <c r="C4568" s="25">
        <v>44676</v>
      </c>
      <c r="D4568" s="26">
        <v>0.58336805555555549</v>
      </c>
      <c r="E4568" t="s">
        <v>27</v>
      </c>
      <c r="F4568" t="s">
        <v>428</v>
      </c>
      <c r="G4568" t="s">
        <v>429</v>
      </c>
      <c r="H4568" t="s">
        <v>7</v>
      </c>
      <c r="I4568">
        <v>150.41999999999999</v>
      </c>
      <c r="J4568" s="31">
        <v>0</v>
      </c>
      <c r="K4568" s="88">
        <f t="shared" si="279"/>
        <v>949</v>
      </c>
      <c r="L4568" s="7">
        <v>949</v>
      </c>
      <c r="M4568" s="36">
        <f t="shared" ref="M4568:M4599" si="280">I4568/K4568*100</f>
        <v>15.850368809272918</v>
      </c>
    </row>
    <row r="4569" spans="1:13" ht="15.75" hidden="1" customHeight="1" x14ac:dyDescent="0.3">
      <c r="A4569" s="9">
        <v>3631</v>
      </c>
      <c r="B4569" t="s">
        <v>284</v>
      </c>
      <c r="C4569" s="25">
        <v>44677</v>
      </c>
      <c r="D4569" s="26">
        <v>0.92097222222222219</v>
      </c>
      <c r="E4569" t="s">
        <v>27</v>
      </c>
      <c r="F4569" t="s">
        <v>175</v>
      </c>
      <c r="G4569" t="s">
        <v>172</v>
      </c>
      <c r="H4569" t="s">
        <v>7</v>
      </c>
      <c r="I4569">
        <v>378.86</v>
      </c>
      <c r="J4569" s="7">
        <v>0</v>
      </c>
      <c r="K4569" s="89">
        <f t="shared" si="279"/>
        <v>328.65</v>
      </c>
      <c r="L4569" s="7">
        <v>328.65</v>
      </c>
      <c r="M4569" s="36">
        <f t="shared" si="280"/>
        <v>115.27765099650085</v>
      </c>
    </row>
    <row r="4570" spans="1:13" ht="15.75" hidden="1" customHeight="1" x14ac:dyDescent="0.3">
      <c r="A4570" s="9">
        <v>3632</v>
      </c>
      <c r="B4570" t="s">
        <v>284</v>
      </c>
      <c r="C4570" s="25">
        <v>44678</v>
      </c>
      <c r="D4570" s="26">
        <v>0.74135416666666665</v>
      </c>
      <c r="E4570" t="s">
        <v>27</v>
      </c>
      <c r="F4570" t="s">
        <v>210</v>
      </c>
      <c r="G4570" t="s">
        <v>211</v>
      </c>
      <c r="H4570" t="s">
        <v>7</v>
      </c>
      <c r="I4570">
        <v>345.01</v>
      </c>
      <c r="J4570" s="7">
        <v>0</v>
      </c>
      <c r="K4570" s="89">
        <f>+L4570-J4571</f>
        <v>693.93</v>
      </c>
      <c r="L4570" s="11">
        <v>693.93</v>
      </c>
      <c r="M4570" s="10">
        <f t="shared" si="280"/>
        <v>49.718271295375615</v>
      </c>
    </row>
    <row r="4571" spans="1:13" ht="15.75" hidden="1" customHeight="1" x14ac:dyDescent="0.3">
      <c r="A4571" s="9">
        <v>3633</v>
      </c>
      <c r="B4571" t="s">
        <v>284</v>
      </c>
      <c r="C4571" s="25">
        <v>44679</v>
      </c>
      <c r="D4571" s="26">
        <v>0.71612268518518529</v>
      </c>
      <c r="E4571" t="s">
        <v>27</v>
      </c>
      <c r="F4571" t="s">
        <v>210</v>
      </c>
      <c r="G4571" t="s">
        <v>211</v>
      </c>
      <c r="H4571" t="s">
        <v>7</v>
      </c>
      <c r="I4571">
        <v>418.14</v>
      </c>
      <c r="J4571" s="7">
        <v>0</v>
      </c>
      <c r="K4571" s="89">
        <v>1062</v>
      </c>
      <c r="L4571" s="7">
        <v>1062</v>
      </c>
      <c r="M4571" s="91">
        <f t="shared" si="280"/>
        <v>39.372881355932208</v>
      </c>
    </row>
    <row r="4572" spans="1:13" ht="15.75" hidden="1" customHeight="1" x14ac:dyDescent="0.3">
      <c r="A4572" s="9">
        <v>4010</v>
      </c>
      <c r="B4572" t="s">
        <v>284</v>
      </c>
      <c r="C4572" s="25">
        <v>44688</v>
      </c>
      <c r="D4572" s="26">
        <v>0.42054398148148148</v>
      </c>
      <c r="E4572" t="s">
        <v>28</v>
      </c>
      <c r="F4572" t="s">
        <v>518</v>
      </c>
      <c r="G4572" t="s">
        <v>172</v>
      </c>
      <c r="H4572" t="s">
        <v>7</v>
      </c>
      <c r="I4572">
        <v>370.35</v>
      </c>
      <c r="J4572" s="7">
        <v>0</v>
      </c>
      <c r="K4572" s="89">
        <f>+L4572-J4700</f>
        <v>807</v>
      </c>
      <c r="L4572" s="32">
        <v>807</v>
      </c>
      <c r="M4572" s="91">
        <f t="shared" si="280"/>
        <v>45.892193308550191</v>
      </c>
    </row>
    <row r="4573" spans="1:13" ht="15.75" hidden="1" customHeight="1" x14ac:dyDescent="0.3">
      <c r="A4573" s="9">
        <v>4060</v>
      </c>
      <c r="B4573" t="s">
        <v>284</v>
      </c>
      <c r="C4573" s="25">
        <v>44689</v>
      </c>
      <c r="D4573" s="26">
        <v>0.63388888888888884</v>
      </c>
      <c r="E4573" t="s">
        <v>28</v>
      </c>
      <c r="F4573" t="s">
        <v>210</v>
      </c>
      <c r="G4573" t="s">
        <v>211</v>
      </c>
      <c r="H4573" t="s">
        <v>7</v>
      </c>
      <c r="I4573">
        <v>361.18</v>
      </c>
      <c r="J4573" s="7">
        <v>0</v>
      </c>
      <c r="K4573" s="89">
        <f>+L4573-J4701</f>
        <v>829</v>
      </c>
      <c r="L4573" s="32">
        <v>829</v>
      </c>
      <c r="M4573" s="91">
        <f t="shared" si="280"/>
        <v>43.568154402895054</v>
      </c>
    </row>
    <row r="4574" spans="1:13" ht="15.75" hidden="1" customHeight="1" x14ac:dyDescent="0.3">
      <c r="A4574" s="9">
        <v>4149</v>
      </c>
      <c r="B4574" t="s">
        <v>284</v>
      </c>
      <c r="C4574" s="25">
        <v>44691</v>
      </c>
      <c r="D4574" s="26">
        <v>0.70077546296296289</v>
      </c>
      <c r="E4574" t="s">
        <v>28</v>
      </c>
      <c r="F4574" t="s">
        <v>210</v>
      </c>
      <c r="G4574" t="s">
        <v>211</v>
      </c>
      <c r="H4574" t="s">
        <v>7</v>
      </c>
      <c r="I4574">
        <v>473.73</v>
      </c>
      <c r="J4574" s="7">
        <v>0</v>
      </c>
      <c r="K4574" s="89">
        <f t="shared" ref="K4574:K4579" si="281">+L4574-J4703</f>
        <v>1121</v>
      </c>
      <c r="L4574" s="32">
        <v>1121</v>
      </c>
      <c r="M4574" s="91">
        <f t="shared" si="280"/>
        <v>42.259589652096345</v>
      </c>
    </row>
    <row r="4575" spans="1:13" ht="15.75" hidden="1" customHeight="1" x14ac:dyDescent="0.3">
      <c r="A4575" s="9">
        <v>4197</v>
      </c>
      <c r="B4575" t="s">
        <v>284</v>
      </c>
      <c r="C4575" s="25">
        <v>44692</v>
      </c>
      <c r="D4575" s="26">
        <v>0.62033564814814812</v>
      </c>
      <c r="E4575" t="s">
        <v>28</v>
      </c>
      <c r="F4575" t="s">
        <v>428</v>
      </c>
      <c r="G4575" t="s">
        <v>429</v>
      </c>
      <c r="H4575" t="s">
        <v>7</v>
      </c>
      <c r="I4575">
        <v>200.02</v>
      </c>
      <c r="J4575" s="7">
        <v>0</v>
      </c>
      <c r="K4575" s="89">
        <f t="shared" si="281"/>
        <v>954</v>
      </c>
      <c r="L4575" s="32">
        <v>954</v>
      </c>
      <c r="M4575" s="91">
        <f t="shared" si="280"/>
        <v>20.966457023060798</v>
      </c>
    </row>
    <row r="4576" spans="1:13" ht="15.75" hidden="1" customHeight="1" x14ac:dyDescent="0.3">
      <c r="A4576" s="9">
        <v>4244</v>
      </c>
      <c r="B4576" t="s">
        <v>284</v>
      </c>
      <c r="C4576" s="25">
        <v>44693</v>
      </c>
      <c r="D4576" s="26">
        <v>0.41153935185185181</v>
      </c>
      <c r="E4576" t="s">
        <v>28</v>
      </c>
      <c r="F4576" t="s">
        <v>518</v>
      </c>
      <c r="G4576" t="s">
        <v>172</v>
      </c>
      <c r="H4576" t="s">
        <v>7</v>
      </c>
      <c r="I4576">
        <v>322.63</v>
      </c>
      <c r="J4576" s="7">
        <v>0</v>
      </c>
      <c r="K4576" s="89">
        <f t="shared" si="281"/>
        <v>284</v>
      </c>
      <c r="L4576" s="32">
        <v>284</v>
      </c>
      <c r="M4576" s="91">
        <f t="shared" si="280"/>
        <v>113.60211267605634</v>
      </c>
    </row>
    <row r="4577" spans="1:13" ht="15.75" hidden="1" customHeight="1" x14ac:dyDescent="0.3">
      <c r="A4577" s="9">
        <v>4294</v>
      </c>
      <c r="B4577" t="s">
        <v>284</v>
      </c>
      <c r="C4577" s="25">
        <v>44694</v>
      </c>
      <c r="D4577" s="26">
        <v>0.39099537037037035</v>
      </c>
      <c r="E4577" t="s">
        <v>28</v>
      </c>
      <c r="F4577" t="s">
        <v>210</v>
      </c>
      <c r="G4577" t="s">
        <v>211</v>
      </c>
      <c r="H4577" t="s">
        <v>7</v>
      </c>
      <c r="I4577">
        <v>281.66000000000003</v>
      </c>
      <c r="J4577" s="7">
        <v>0</v>
      </c>
      <c r="K4577" s="89">
        <f t="shared" si="281"/>
        <v>689</v>
      </c>
      <c r="L4577" s="67">
        <v>689</v>
      </c>
      <c r="M4577" s="61">
        <f t="shared" si="280"/>
        <v>40.879535558780844</v>
      </c>
    </row>
    <row r="4578" spans="1:13" ht="15.75" hidden="1" customHeight="1" x14ac:dyDescent="0.3">
      <c r="A4578" s="9">
        <v>4362</v>
      </c>
      <c r="B4578" t="s">
        <v>284</v>
      </c>
      <c r="C4578" s="25">
        <v>44695</v>
      </c>
      <c r="D4578" s="26">
        <v>0.54030092592592593</v>
      </c>
      <c r="E4578" t="s">
        <v>28</v>
      </c>
      <c r="F4578" t="s">
        <v>533</v>
      </c>
      <c r="G4578" t="s">
        <v>45</v>
      </c>
      <c r="H4578" t="s">
        <v>7</v>
      </c>
      <c r="I4578">
        <v>391.41</v>
      </c>
      <c r="J4578" s="7">
        <v>0</v>
      </c>
      <c r="K4578" s="89">
        <f t="shared" si="281"/>
        <v>867</v>
      </c>
      <c r="L4578" s="53">
        <v>867</v>
      </c>
      <c r="M4578" s="10">
        <f t="shared" si="280"/>
        <v>45.145328719723189</v>
      </c>
    </row>
    <row r="4579" spans="1:13" ht="15.75" hidden="1" customHeight="1" x14ac:dyDescent="0.3">
      <c r="A4579" s="9">
        <v>4487</v>
      </c>
      <c r="B4579" t="s">
        <v>284</v>
      </c>
      <c r="C4579" s="25">
        <v>44697</v>
      </c>
      <c r="D4579" s="26">
        <v>0.77971064814814817</v>
      </c>
      <c r="E4579" t="s">
        <v>28</v>
      </c>
      <c r="F4579" t="s">
        <v>210</v>
      </c>
      <c r="G4579" t="s">
        <v>211</v>
      </c>
      <c r="H4579" t="s">
        <v>7</v>
      </c>
      <c r="I4579">
        <v>320.49</v>
      </c>
      <c r="J4579" s="7">
        <v>0</v>
      </c>
      <c r="K4579" s="89">
        <f t="shared" si="281"/>
        <v>301</v>
      </c>
      <c r="L4579" s="55">
        <v>301</v>
      </c>
      <c r="M4579" s="10">
        <f t="shared" si="280"/>
        <v>106.47508305647841</v>
      </c>
    </row>
    <row r="4580" spans="1:13" ht="15.75" hidden="1" customHeight="1" x14ac:dyDescent="0.3">
      <c r="A4580" s="9">
        <v>4753</v>
      </c>
      <c r="B4580" t="s">
        <v>284</v>
      </c>
      <c r="C4580" s="25">
        <v>44702</v>
      </c>
      <c r="D4580" s="26">
        <v>0.41556712962962966</v>
      </c>
      <c r="E4580" t="s">
        <v>28</v>
      </c>
      <c r="F4580" t="s">
        <v>518</v>
      </c>
      <c r="G4580" t="s">
        <v>172</v>
      </c>
      <c r="H4580" t="s">
        <v>7</v>
      </c>
      <c r="I4580">
        <v>419.11</v>
      </c>
      <c r="J4580" s="7">
        <v>0</v>
      </c>
      <c r="K4580" s="89">
        <f>+L4580-J4789</f>
        <v>1111</v>
      </c>
      <c r="L4580" s="32">
        <v>1111</v>
      </c>
      <c r="M4580" s="10">
        <f t="shared" si="280"/>
        <v>37.72367236723673</v>
      </c>
    </row>
    <row r="4581" spans="1:13" ht="15.75" hidden="1" customHeight="1" x14ac:dyDescent="0.3">
      <c r="A4581" s="9">
        <v>4915</v>
      </c>
      <c r="B4581" t="s">
        <v>284</v>
      </c>
      <c r="C4581" s="25">
        <v>44705</v>
      </c>
      <c r="D4581" s="26">
        <v>0.37506944444444446</v>
      </c>
      <c r="E4581" t="s">
        <v>28</v>
      </c>
      <c r="F4581" t="s">
        <v>210</v>
      </c>
      <c r="G4581" t="s">
        <v>211</v>
      </c>
      <c r="H4581" t="s">
        <v>7</v>
      </c>
      <c r="I4581">
        <v>397.03</v>
      </c>
      <c r="J4581" s="7">
        <v>0</v>
      </c>
      <c r="K4581" s="89">
        <f>+L4581-J4790</f>
        <v>862</v>
      </c>
      <c r="L4581" s="53">
        <v>862</v>
      </c>
      <c r="M4581" s="10">
        <f t="shared" si="280"/>
        <v>46.059164733178655</v>
      </c>
    </row>
    <row r="4582" spans="1:13" ht="15.75" hidden="1" customHeight="1" x14ac:dyDescent="0.3">
      <c r="A4582" s="9">
        <v>4970</v>
      </c>
      <c r="B4582" t="s">
        <v>284</v>
      </c>
      <c r="C4582" s="25">
        <v>44706</v>
      </c>
      <c r="D4582" s="26">
        <v>0.78833333333333344</v>
      </c>
      <c r="E4582" t="s">
        <v>28</v>
      </c>
      <c r="F4582" t="s">
        <v>210</v>
      </c>
      <c r="G4582" t="s">
        <v>211</v>
      </c>
      <c r="H4582" t="s">
        <v>7</v>
      </c>
      <c r="I4582">
        <v>469.05</v>
      </c>
      <c r="J4582" s="7">
        <v>0</v>
      </c>
      <c r="K4582" s="89">
        <v>1122</v>
      </c>
      <c r="L4582" s="53">
        <v>1122</v>
      </c>
      <c r="M4582" s="10">
        <f t="shared" si="280"/>
        <v>41.804812834224599</v>
      </c>
    </row>
    <row r="4583" spans="1:13" ht="15.75" hidden="1" customHeight="1" x14ac:dyDescent="0.3">
      <c r="A4583" s="9">
        <v>5009</v>
      </c>
      <c r="B4583" t="s">
        <v>284</v>
      </c>
      <c r="C4583" s="25">
        <v>44707</v>
      </c>
      <c r="D4583" s="26">
        <v>0.82813657407407415</v>
      </c>
      <c r="E4583" t="s">
        <v>28</v>
      </c>
      <c r="F4583" t="s">
        <v>649</v>
      </c>
      <c r="G4583" t="s">
        <v>500</v>
      </c>
      <c r="H4583" t="s">
        <v>7</v>
      </c>
      <c r="I4583">
        <v>387.42</v>
      </c>
      <c r="J4583" s="7">
        <v>0</v>
      </c>
      <c r="K4583" s="89">
        <v>1122</v>
      </c>
      <c r="L4583" s="11">
        <v>719</v>
      </c>
      <c r="M4583" s="10">
        <f t="shared" si="280"/>
        <v>34.529411764705884</v>
      </c>
    </row>
    <row r="4584" spans="1:13" ht="15.75" hidden="1" customHeight="1" x14ac:dyDescent="0.3">
      <c r="A4584" s="9">
        <v>5118</v>
      </c>
      <c r="B4584" t="s">
        <v>284</v>
      </c>
      <c r="C4584" s="25">
        <v>44709</v>
      </c>
      <c r="D4584" s="26">
        <v>0.52090277777777783</v>
      </c>
      <c r="E4584" t="s">
        <v>28</v>
      </c>
      <c r="F4584" t="s">
        <v>638</v>
      </c>
      <c r="G4584" t="s">
        <v>263</v>
      </c>
      <c r="H4584" t="s">
        <v>7</v>
      </c>
      <c r="I4584">
        <v>200</v>
      </c>
      <c r="J4584" s="7">
        <v>0</v>
      </c>
      <c r="K4584" s="89">
        <f>+L4584-J4874</f>
        <v>415</v>
      </c>
      <c r="L4584" s="11">
        <v>415</v>
      </c>
      <c r="M4584" s="10">
        <f t="shared" si="280"/>
        <v>48.192771084337352</v>
      </c>
    </row>
    <row r="4585" spans="1:13" ht="15.75" hidden="1" customHeight="1" x14ac:dyDescent="0.3">
      <c r="A4585" s="9">
        <v>5177</v>
      </c>
      <c r="B4585" t="s">
        <v>284</v>
      </c>
      <c r="C4585" s="25">
        <v>44710</v>
      </c>
      <c r="D4585" s="26">
        <v>0.27453703703703702</v>
      </c>
      <c r="E4585" t="s">
        <v>28</v>
      </c>
      <c r="F4585" t="s">
        <v>634</v>
      </c>
      <c r="G4585" t="s">
        <v>211</v>
      </c>
      <c r="H4585" t="s">
        <v>7</v>
      </c>
      <c r="I4585">
        <v>270.02</v>
      </c>
      <c r="J4585" s="7">
        <v>0</v>
      </c>
      <c r="K4585" s="89">
        <f>+L4585-J4875</f>
        <v>635</v>
      </c>
      <c r="L4585" s="11">
        <v>635</v>
      </c>
      <c r="M4585" s="10">
        <f t="shared" si="280"/>
        <v>42.522834645669292</v>
      </c>
    </row>
    <row r="4586" spans="1:13" ht="15.75" hidden="1" customHeight="1" x14ac:dyDescent="0.3">
      <c r="A4586" s="9">
        <v>5224</v>
      </c>
      <c r="B4586" t="s">
        <v>284</v>
      </c>
      <c r="C4586" s="25">
        <v>44711</v>
      </c>
      <c r="D4586" s="26">
        <v>0.38223379629629628</v>
      </c>
      <c r="E4586" t="s">
        <v>28</v>
      </c>
      <c r="F4586" t="s">
        <v>645</v>
      </c>
      <c r="G4586" t="s">
        <v>279</v>
      </c>
      <c r="H4586" t="s">
        <v>7</v>
      </c>
      <c r="I4586">
        <v>144.44</v>
      </c>
      <c r="J4586" s="32">
        <v>0</v>
      </c>
      <c r="K4586" s="88">
        <f>+L4586-J4868</f>
        <v>713</v>
      </c>
      <c r="L4586" s="11">
        <v>713</v>
      </c>
      <c r="M4586" s="10">
        <f t="shared" si="280"/>
        <v>20.258064516129032</v>
      </c>
    </row>
    <row r="4587" spans="1:13" ht="15.75" hidden="1" customHeight="1" x14ac:dyDescent="0.3">
      <c r="A4587" s="9">
        <v>5225</v>
      </c>
      <c r="B4587" t="s">
        <v>284</v>
      </c>
      <c r="C4587" s="25">
        <v>44711</v>
      </c>
      <c r="D4587" s="26">
        <v>0.59706018518518522</v>
      </c>
      <c r="E4587" t="s">
        <v>28</v>
      </c>
      <c r="F4587" t="s">
        <v>634</v>
      </c>
      <c r="G4587" t="s">
        <v>211</v>
      </c>
      <c r="H4587" t="s">
        <v>7</v>
      </c>
      <c r="I4587">
        <v>288.76</v>
      </c>
      <c r="J4587" s="32">
        <v>0</v>
      </c>
      <c r="K4587" s="88">
        <f>+L4587-J4869</f>
        <v>350</v>
      </c>
      <c r="L4587" s="11">
        <v>350</v>
      </c>
      <c r="M4587" s="10">
        <f t="shared" si="280"/>
        <v>82.502857142857138</v>
      </c>
    </row>
    <row r="4588" spans="1:13" ht="15.75" hidden="1" customHeight="1" x14ac:dyDescent="0.3">
      <c r="A4588" s="9">
        <v>5492</v>
      </c>
      <c r="B4588" t="s">
        <v>284</v>
      </c>
      <c r="C4588" s="25">
        <v>44716</v>
      </c>
      <c r="D4588" s="26">
        <v>0.5666782407407408</v>
      </c>
      <c r="E4588" t="s">
        <v>29</v>
      </c>
      <c r="F4588" t="s">
        <v>673</v>
      </c>
      <c r="G4588" t="s">
        <v>172</v>
      </c>
      <c r="H4588" t="s">
        <v>7</v>
      </c>
      <c r="I4588">
        <v>429.12</v>
      </c>
      <c r="J4588" s="32">
        <v>0</v>
      </c>
      <c r="K4588" s="88">
        <f>+L4588-J4852</f>
        <v>227</v>
      </c>
      <c r="L4588" s="11">
        <v>969</v>
      </c>
      <c r="M4588" s="10">
        <f t="shared" si="280"/>
        <v>189.0396475770925</v>
      </c>
    </row>
    <row r="4589" spans="1:13" ht="15.75" hidden="1" customHeight="1" x14ac:dyDescent="0.3">
      <c r="A4589" s="9">
        <v>5536</v>
      </c>
      <c r="B4589" t="s">
        <v>284</v>
      </c>
      <c r="C4589" s="25">
        <v>44717</v>
      </c>
      <c r="D4589" s="26">
        <v>0.7243750000000001</v>
      </c>
      <c r="E4589" t="s">
        <v>29</v>
      </c>
      <c r="F4589" t="s">
        <v>634</v>
      </c>
      <c r="G4589" t="s">
        <v>211</v>
      </c>
      <c r="H4589" t="s">
        <v>7</v>
      </c>
      <c r="I4589" s="125">
        <v>349.94</v>
      </c>
      <c r="J4589" s="32">
        <v>0</v>
      </c>
      <c r="K4589" s="88">
        <f>+L4589-J4853</f>
        <v>728</v>
      </c>
      <c r="L4589" s="7">
        <v>728</v>
      </c>
      <c r="M4589" s="36">
        <f t="shared" si="280"/>
        <v>48.068681318681314</v>
      </c>
    </row>
    <row r="4590" spans="1:13" ht="15.75" hidden="1" customHeight="1" x14ac:dyDescent="0.3">
      <c r="A4590" s="9">
        <v>5567</v>
      </c>
      <c r="B4590" t="s">
        <v>284</v>
      </c>
      <c r="C4590" s="25">
        <v>44718</v>
      </c>
      <c r="D4590" s="26">
        <v>0.55877314814814816</v>
      </c>
      <c r="E4590" t="s">
        <v>29</v>
      </c>
      <c r="F4590" t="s">
        <v>707</v>
      </c>
      <c r="G4590" t="s">
        <v>45</v>
      </c>
      <c r="H4590" t="s">
        <v>7</v>
      </c>
      <c r="I4590" s="125">
        <v>275.8</v>
      </c>
      <c r="J4590" s="32">
        <v>0</v>
      </c>
      <c r="K4590" s="88">
        <f>+L4590-J4152</f>
        <v>609</v>
      </c>
      <c r="L4590" s="7">
        <v>609</v>
      </c>
      <c r="M4590" s="36">
        <f t="shared" si="280"/>
        <v>45.287356321839084</v>
      </c>
    </row>
    <row r="4591" spans="1:13" ht="15.75" hidden="1" customHeight="1" x14ac:dyDescent="0.3">
      <c r="A4591" s="9">
        <v>5635</v>
      </c>
      <c r="B4591" t="s">
        <v>284</v>
      </c>
      <c r="C4591" s="25">
        <v>44719</v>
      </c>
      <c r="D4591" s="26">
        <v>0.71616898148148145</v>
      </c>
      <c r="E4591" t="s">
        <v>29</v>
      </c>
      <c r="F4591" t="s">
        <v>634</v>
      </c>
      <c r="G4591" t="s">
        <v>211</v>
      </c>
      <c r="H4591" t="s">
        <v>7</v>
      </c>
      <c r="I4591" s="125">
        <v>214.35</v>
      </c>
      <c r="J4591" s="32">
        <v>0</v>
      </c>
      <c r="K4591" s="88">
        <f t="shared" ref="K4591:K4598" si="282">+L4591-J4151</f>
        <v>481</v>
      </c>
      <c r="L4591" s="7">
        <v>481</v>
      </c>
      <c r="M4591" s="36">
        <f t="shared" si="280"/>
        <v>44.563409563409564</v>
      </c>
    </row>
    <row r="4592" spans="1:13" ht="15.75" hidden="1" customHeight="1" x14ac:dyDescent="0.3">
      <c r="A4592" s="9">
        <v>5699</v>
      </c>
      <c r="B4592" t="s">
        <v>284</v>
      </c>
      <c r="C4592" s="25">
        <v>44720</v>
      </c>
      <c r="D4592" s="26">
        <v>0.63064814814814818</v>
      </c>
      <c r="E4592" t="s">
        <v>29</v>
      </c>
      <c r="F4592" t="s">
        <v>684</v>
      </c>
      <c r="G4592" t="s">
        <v>620</v>
      </c>
      <c r="H4592" t="s">
        <v>7</v>
      </c>
      <c r="I4592" s="125">
        <v>155.63999999999999</v>
      </c>
      <c r="J4592" s="32">
        <v>0</v>
      </c>
      <c r="K4592" s="88">
        <f t="shared" si="282"/>
        <v>560</v>
      </c>
      <c r="L4592" s="7">
        <v>560</v>
      </c>
      <c r="M4592" s="36">
        <f t="shared" si="280"/>
        <v>27.792857142857141</v>
      </c>
    </row>
    <row r="4593" spans="1:19" ht="15.75" hidden="1" customHeight="1" x14ac:dyDescent="0.3">
      <c r="A4593" s="9">
        <v>5747</v>
      </c>
      <c r="B4593" t="s">
        <v>284</v>
      </c>
      <c r="C4593" s="25">
        <v>44721</v>
      </c>
      <c r="D4593" s="26">
        <v>0.50092592592592589</v>
      </c>
      <c r="E4593" t="s">
        <v>29</v>
      </c>
      <c r="F4593" t="s">
        <v>667</v>
      </c>
      <c r="G4593" t="s">
        <v>429</v>
      </c>
      <c r="H4593" t="s">
        <v>7</v>
      </c>
      <c r="I4593" s="125">
        <v>102.24</v>
      </c>
      <c r="J4593" s="32">
        <v>0</v>
      </c>
      <c r="K4593" s="88">
        <f t="shared" si="282"/>
        <v>465</v>
      </c>
      <c r="L4593" s="7">
        <v>465</v>
      </c>
      <c r="M4593" s="36">
        <f t="shared" si="280"/>
        <v>21.987096774193549</v>
      </c>
    </row>
    <row r="4594" spans="1:19" ht="15.75" hidden="1" customHeight="1" x14ac:dyDescent="0.3">
      <c r="A4594" s="9">
        <v>5748</v>
      </c>
      <c r="B4594" t="s">
        <v>284</v>
      </c>
      <c r="C4594" s="25">
        <v>44721</v>
      </c>
      <c r="D4594" s="26">
        <v>0.61777777777777776</v>
      </c>
      <c r="E4594" t="s">
        <v>29</v>
      </c>
      <c r="F4594" t="s">
        <v>744</v>
      </c>
      <c r="G4594" t="s">
        <v>415</v>
      </c>
      <c r="H4594" t="s">
        <v>7</v>
      </c>
      <c r="I4594" s="125">
        <v>100</v>
      </c>
      <c r="J4594" s="32">
        <v>0</v>
      </c>
      <c r="K4594" s="88">
        <f t="shared" si="282"/>
        <v>43</v>
      </c>
      <c r="L4594" s="7">
        <v>43</v>
      </c>
      <c r="M4594" s="36">
        <f t="shared" si="280"/>
        <v>232.55813953488374</v>
      </c>
    </row>
    <row r="4595" spans="1:19" ht="15.75" hidden="1" customHeight="1" x14ac:dyDescent="0.3">
      <c r="A4595" s="9">
        <v>5786</v>
      </c>
      <c r="B4595" t="s">
        <v>284</v>
      </c>
      <c r="C4595" s="25">
        <v>44722</v>
      </c>
      <c r="D4595" s="26">
        <v>0.31831018518518522</v>
      </c>
      <c r="E4595" t="s">
        <v>29</v>
      </c>
      <c r="F4595" t="s">
        <v>651</v>
      </c>
      <c r="G4595" t="s">
        <v>172</v>
      </c>
      <c r="H4595" t="s">
        <v>7</v>
      </c>
      <c r="I4595" s="125">
        <v>324.79000000000002</v>
      </c>
      <c r="J4595" s="32">
        <v>0</v>
      </c>
      <c r="K4595" s="88">
        <f t="shared" si="282"/>
        <v>248</v>
      </c>
      <c r="L4595" s="7">
        <v>248</v>
      </c>
      <c r="M4595" s="36">
        <f t="shared" si="280"/>
        <v>130.96370967741936</v>
      </c>
    </row>
    <row r="4596" spans="1:19" ht="15.75" hidden="1" customHeight="1" x14ac:dyDescent="0.3">
      <c r="A4596" s="9">
        <v>5853</v>
      </c>
      <c r="B4596" t="s">
        <v>284</v>
      </c>
      <c r="C4596" s="25">
        <v>44723</v>
      </c>
      <c r="D4596" s="26">
        <v>0.44853009259259258</v>
      </c>
      <c r="E4596" t="s">
        <v>29</v>
      </c>
      <c r="F4596" t="s">
        <v>634</v>
      </c>
      <c r="G4596" t="s">
        <v>211</v>
      </c>
      <c r="H4596" t="s">
        <v>7</v>
      </c>
      <c r="I4596" s="148">
        <v>354.92</v>
      </c>
      <c r="J4596" s="32">
        <v>0</v>
      </c>
      <c r="K4596" s="88">
        <f t="shared" si="282"/>
        <v>688</v>
      </c>
      <c r="L4596" s="7">
        <v>688</v>
      </c>
      <c r="M4596" s="36">
        <f t="shared" si="280"/>
        <v>51.58720930232559</v>
      </c>
    </row>
    <row r="4597" spans="1:19" ht="15.75" hidden="1" customHeight="1" x14ac:dyDescent="0.3">
      <c r="A4597" s="9">
        <v>5904</v>
      </c>
      <c r="B4597" t="s">
        <v>284</v>
      </c>
      <c r="C4597" s="25">
        <v>44724</v>
      </c>
      <c r="D4597" s="26">
        <v>0.36049768518518516</v>
      </c>
      <c r="E4597" t="s">
        <v>29</v>
      </c>
      <c r="F4597" t="s">
        <v>645</v>
      </c>
      <c r="G4597" t="s">
        <v>279</v>
      </c>
      <c r="H4597" t="s">
        <v>7</v>
      </c>
      <c r="I4597" s="148">
        <v>264</v>
      </c>
      <c r="J4597" s="32">
        <v>0</v>
      </c>
      <c r="K4597" s="88">
        <f t="shared" si="282"/>
        <v>561</v>
      </c>
      <c r="L4597" s="7">
        <v>561</v>
      </c>
      <c r="M4597" s="36">
        <f t="shared" si="280"/>
        <v>47.058823529411761</v>
      </c>
    </row>
    <row r="4598" spans="1:19" ht="15.75" hidden="1" customHeight="1" x14ac:dyDescent="0.3">
      <c r="A4598" s="9">
        <v>5905</v>
      </c>
      <c r="B4598" t="s">
        <v>284</v>
      </c>
      <c r="C4598" s="25">
        <v>44724</v>
      </c>
      <c r="D4598" s="26">
        <v>0.56468750000000001</v>
      </c>
      <c r="E4598" t="s">
        <v>29</v>
      </c>
      <c r="F4598" t="s">
        <v>634</v>
      </c>
      <c r="G4598" t="s">
        <v>211</v>
      </c>
      <c r="H4598" t="s">
        <v>7</v>
      </c>
      <c r="I4598" s="148">
        <v>117.54</v>
      </c>
      <c r="J4598" s="32">
        <v>0</v>
      </c>
      <c r="K4598" s="88">
        <f t="shared" si="282"/>
        <v>350</v>
      </c>
      <c r="L4598" s="7">
        <v>350</v>
      </c>
      <c r="M4598" s="36">
        <f t="shared" si="280"/>
        <v>33.582857142857144</v>
      </c>
    </row>
    <row r="4599" spans="1:19" ht="15.75" hidden="1" customHeight="1" x14ac:dyDescent="0.3">
      <c r="A4599" s="9">
        <v>5962</v>
      </c>
      <c r="B4599" t="s">
        <v>284</v>
      </c>
      <c r="C4599" s="25">
        <v>44725</v>
      </c>
      <c r="D4599" s="26">
        <v>0.74012731481481486</v>
      </c>
      <c r="E4599" t="s">
        <v>29</v>
      </c>
      <c r="F4599" t="s">
        <v>637</v>
      </c>
      <c r="G4599" t="s">
        <v>196</v>
      </c>
      <c r="H4599" t="s">
        <v>7</v>
      </c>
      <c r="I4599" s="148">
        <v>256.2</v>
      </c>
      <c r="J4599" s="32">
        <v>0</v>
      </c>
      <c r="K4599" s="88">
        <f>+L4599-J4160</f>
        <v>496</v>
      </c>
      <c r="L4599" s="30">
        <v>496</v>
      </c>
      <c r="M4599" s="10">
        <f t="shared" si="280"/>
        <v>51.653225806451609</v>
      </c>
      <c r="N4599" s="2"/>
      <c r="O4599" s="2"/>
      <c r="P4599" s="2"/>
      <c r="Q4599" s="2"/>
      <c r="R4599" s="2"/>
      <c r="S4599" s="2"/>
    </row>
    <row r="4600" spans="1:19" ht="15.75" hidden="1" customHeight="1" x14ac:dyDescent="0.3">
      <c r="A4600" s="9">
        <v>6080</v>
      </c>
      <c r="B4600" t="s">
        <v>284</v>
      </c>
      <c r="C4600" s="25">
        <v>44727</v>
      </c>
      <c r="D4600" s="26">
        <v>0.61030092592592589</v>
      </c>
      <c r="E4600" t="s">
        <v>29</v>
      </c>
      <c r="F4600" t="s">
        <v>634</v>
      </c>
      <c r="G4600" t="s">
        <v>211</v>
      </c>
      <c r="H4600" t="s">
        <v>7</v>
      </c>
      <c r="I4600">
        <v>310.86</v>
      </c>
      <c r="J4600" s="32">
        <v>0</v>
      </c>
      <c r="K4600" s="88">
        <v>693</v>
      </c>
      <c r="L4600" s="11">
        <v>693</v>
      </c>
      <c r="M4600" s="10">
        <f t="shared" ref="M4600:M4612" si="283">I4600/K4600*100</f>
        <v>44.857142857142854</v>
      </c>
    </row>
    <row r="4601" spans="1:19" ht="15.75" hidden="1" customHeight="1" x14ac:dyDescent="0.3">
      <c r="A4601" s="9">
        <v>6131</v>
      </c>
      <c r="B4601" t="s">
        <v>284</v>
      </c>
      <c r="C4601" s="25">
        <v>44728</v>
      </c>
      <c r="D4601" s="26">
        <v>0.99760416666666663</v>
      </c>
      <c r="E4601" t="s">
        <v>29</v>
      </c>
      <c r="F4601" t="s">
        <v>634</v>
      </c>
      <c r="G4601" t="s">
        <v>211</v>
      </c>
      <c r="H4601" t="s">
        <v>7</v>
      </c>
      <c r="I4601">
        <v>416.85</v>
      </c>
      <c r="J4601" s="32">
        <v>0</v>
      </c>
      <c r="K4601" s="88">
        <v>386</v>
      </c>
      <c r="L4601" s="11">
        <v>386</v>
      </c>
      <c r="M4601" s="10">
        <f t="shared" si="283"/>
        <v>107.99222797927462</v>
      </c>
    </row>
    <row r="4602" spans="1:19" ht="15.75" hidden="1" customHeight="1" x14ac:dyDescent="0.3">
      <c r="A4602" s="9">
        <v>6188</v>
      </c>
      <c r="B4602" t="s">
        <v>284</v>
      </c>
      <c r="C4602" s="25">
        <v>44729</v>
      </c>
      <c r="D4602" s="26">
        <v>0.75891203703703702</v>
      </c>
      <c r="E4602" t="s">
        <v>29</v>
      </c>
      <c r="F4602" t="s">
        <v>637</v>
      </c>
      <c r="G4602" t="s">
        <v>196</v>
      </c>
      <c r="H4602" t="s">
        <v>7</v>
      </c>
      <c r="I4602" s="148">
        <v>165.01</v>
      </c>
      <c r="J4602" s="32">
        <v>0</v>
      </c>
      <c r="K4602" s="89">
        <v>1160</v>
      </c>
      <c r="L4602" s="11">
        <v>1160</v>
      </c>
      <c r="M4602" s="10">
        <f t="shared" si="283"/>
        <v>14.224999999999998</v>
      </c>
    </row>
    <row r="4603" spans="1:19" ht="15.75" hidden="1" customHeight="1" x14ac:dyDescent="0.3">
      <c r="A4603" s="9">
        <v>6362</v>
      </c>
      <c r="B4603" t="s">
        <v>284</v>
      </c>
      <c r="C4603" s="25">
        <v>44734</v>
      </c>
      <c r="D4603" s="26">
        <v>0.65905092592592596</v>
      </c>
      <c r="E4603" t="s">
        <v>29</v>
      </c>
      <c r="F4603" t="s">
        <v>651</v>
      </c>
      <c r="G4603" t="s">
        <v>172</v>
      </c>
      <c r="H4603" t="s">
        <v>7</v>
      </c>
      <c r="I4603" s="148">
        <v>199.93</v>
      </c>
      <c r="J4603" s="32">
        <v>0</v>
      </c>
      <c r="K4603" s="89">
        <v>480</v>
      </c>
      <c r="L4603" s="11">
        <v>480</v>
      </c>
      <c r="M4603" s="10">
        <f t="shared" si="283"/>
        <v>41.652083333333337</v>
      </c>
    </row>
    <row r="4604" spans="1:19" ht="15.75" hidden="1" customHeight="1" x14ac:dyDescent="0.3">
      <c r="A4604" s="9">
        <v>6410</v>
      </c>
      <c r="B4604" t="s">
        <v>284</v>
      </c>
      <c r="C4604" s="25">
        <v>44735</v>
      </c>
      <c r="D4604" s="26">
        <v>0.82671296296296293</v>
      </c>
      <c r="E4604" t="s">
        <v>29</v>
      </c>
      <c r="F4604" t="s">
        <v>634</v>
      </c>
      <c r="G4604" t="s">
        <v>211</v>
      </c>
      <c r="H4604" t="s">
        <v>7</v>
      </c>
      <c r="I4604" s="148">
        <v>366.46</v>
      </c>
      <c r="J4604" s="72">
        <v>0</v>
      </c>
      <c r="K4604" s="146">
        <v>830</v>
      </c>
      <c r="L4604" s="180">
        <v>830</v>
      </c>
      <c r="M4604" s="10">
        <f t="shared" si="283"/>
        <v>44.151807228915665</v>
      </c>
    </row>
    <row r="4605" spans="1:19" ht="15.75" hidden="1" customHeight="1" x14ac:dyDescent="0.3">
      <c r="A4605" s="9">
        <v>6518</v>
      </c>
      <c r="B4605" t="s">
        <v>284</v>
      </c>
      <c r="C4605" s="25">
        <v>44737</v>
      </c>
      <c r="D4605" s="26">
        <v>0.47087962962962965</v>
      </c>
      <c r="E4605" t="s">
        <v>29</v>
      </c>
      <c r="F4605" t="s">
        <v>634</v>
      </c>
      <c r="G4605" t="s">
        <v>211</v>
      </c>
      <c r="H4605" t="s">
        <v>7</v>
      </c>
      <c r="I4605" s="148">
        <v>440.51</v>
      </c>
      <c r="J4605" s="72">
        <v>0</v>
      </c>
      <c r="K4605" s="146">
        <v>1063</v>
      </c>
      <c r="L4605" s="123">
        <v>1063</v>
      </c>
      <c r="M4605" s="36">
        <f t="shared" si="283"/>
        <v>41.440263405456257</v>
      </c>
    </row>
    <row r="4606" spans="1:19" ht="15.75" hidden="1" customHeight="1" x14ac:dyDescent="0.3">
      <c r="A4606" s="9">
        <v>6574</v>
      </c>
      <c r="B4606" t="s">
        <v>284</v>
      </c>
      <c r="C4606" s="25">
        <v>44738</v>
      </c>
      <c r="D4606" s="26">
        <v>0.61768518518518511</v>
      </c>
      <c r="E4606" t="s">
        <v>29</v>
      </c>
      <c r="F4606" t="s">
        <v>637</v>
      </c>
      <c r="G4606" t="s">
        <v>196</v>
      </c>
      <c r="H4606" t="s">
        <v>7</v>
      </c>
      <c r="I4606" s="148">
        <v>240.01</v>
      </c>
      <c r="J4606" s="72">
        <v>0</v>
      </c>
      <c r="K4606" s="146">
        <v>486</v>
      </c>
      <c r="L4606" s="123">
        <v>486</v>
      </c>
      <c r="M4606" s="36">
        <f t="shared" si="283"/>
        <v>49.384773662551439</v>
      </c>
    </row>
    <row r="4607" spans="1:19" ht="15.75" hidden="1" customHeight="1" x14ac:dyDescent="0.3">
      <c r="A4607" s="9">
        <v>6625</v>
      </c>
      <c r="B4607" t="s">
        <v>284</v>
      </c>
      <c r="C4607" s="25">
        <v>44739</v>
      </c>
      <c r="D4607" s="26">
        <v>0.71430555555555564</v>
      </c>
      <c r="E4607" t="s">
        <v>29</v>
      </c>
      <c r="F4607" t="s">
        <v>708</v>
      </c>
      <c r="G4607" t="s">
        <v>277</v>
      </c>
      <c r="H4607" t="s">
        <v>7</v>
      </c>
      <c r="I4607" s="148">
        <v>158.6</v>
      </c>
      <c r="J4607" s="32">
        <v>0</v>
      </c>
      <c r="K4607" s="146">
        <v>321</v>
      </c>
      <c r="L4607" s="123">
        <v>321</v>
      </c>
      <c r="M4607" s="36">
        <f t="shared" si="283"/>
        <v>49.40809968847352</v>
      </c>
    </row>
    <row r="4608" spans="1:19" ht="15.75" hidden="1" customHeight="1" x14ac:dyDescent="0.3">
      <c r="A4608" s="9">
        <v>6695</v>
      </c>
      <c r="B4608" t="s">
        <v>284</v>
      </c>
      <c r="C4608" s="25">
        <v>44740</v>
      </c>
      <c r="D4608" s="26">
        <v>0.54108796296296291</v>
      </c>
      <c r="E4608" t="s">
        <v>29</v>
      </c>
      <c r="F4608" t="s">
        <v>639</v>
      </c>
      <c r="G4608" t="s">
        <v>44</v>
      </c>
      <c r="H4608" t="s">
        <v>7</v>
      </c>
      <c r="I4608" s="148">
        <v>161</v>
      </c>
      <c r="J4608" s="32">
        <v>0</v>
      </c>
      <c r="K4608" s="89">
        <v>364</v>
      </c>
      <c r="L4608" s="7">
        <v>364</v>
      </c>
      <c r="M4608" s="36">
        <f t="shared" si="283"/>
        <v>44.230769230769226</v>
      </c>
    </row>
    <row r="4609" spans="1:13" ht="15.75" hidden="1" customHeight="1" x14ac:dyDescent="0.3">
      <c r="A4609" s="9">
        <v>6745</v>
      </c>
      <c r="B4609" t="s">
        <v>284</v>
      </c>
      <c r="C4609" s="25">
        <v>44741</v>
      </c>
      <c r="D4609" s="26">
        <v>0.48846064814814816</v>
      </c>
      <c r="E4609" t="s">
        <v>29</v>
      </c>
      <c r="F4609" t="s">
        <v>634</v>
      </c>
      <c r="G4609" t="s">
        <v>211</v>
      </c>
      <c r="H4609" t="s">
        <v>7</v>
      </c>
      <c r="I4609" s="148">
        <v>177.48</v>
      </c>
      <c r="J4609" s="32">
        <v>0</v>
      </c>
      <c r="K4609" s="89">
        <v>587</v>
      </c>
      <c r="L4609" s="7">
        <v>587</v>
      </c>
      <c r="M4609" s="36">
        <f t="shared" si="283"/>
        <v>30.235093696763197</v>
      </c>
    </row>
    <row r="4610" spans="1:13" ht="15.75" hidden="1" customHeight="1" x14ac:dyDescent="0.3">
      <c r="A4610" s="9">
        <v>6746</v>
      </c>
      <c r="B4610" t="s">
        <v>284</v>
      </c>
      <c r="C4610" s="25">
        <v>44741</v>
      </c>
      <c r="D4610" s="26">
        <v>0.92179398148148151</v>
      </c>
      <c r="E4610" t="s">
        <v>29</v>
      </c>
      <c r="F4610" t="s">
        <v>635</v>
      </c>
      <c r="G4610" t="s">
        <v>185</v>
      </c>
      <c r="H4610" t="s">
        <v>7</v>
      </c>
      <c r="I4610" s="148">
        <v>99.36</v>
      </c>
      <c r="J4610" s="33">
        <v>0</v>
      </c>
      <c r="K4610" s="96">
        <v>547</v>
      </c>
      <c r="L4610" s="31">
        <v>547</v>
      </c>
      <c r="M4610" s="121">
        <f t="shared" si="283"/>
        <v>18.164533820840951</v>
      </c>
    </row>
    <row r="4611" spans="1:13" ht="15.75" hidden="1" customHeight="1" x14ac:dyDescent="0.3">
      <c r="B4611" t="s">
        <v>384</v>
      </c>
      <c r="C4611" s="25">
        <v>44755</v>
      </c>
      <c r="D4611" s="26">
        <v>0.77960648148148148</v>
      </c>
      <c r="E4611" t="s">
        <v>30</v>
      </c>
      <c r="F4611" t="s">
        <v>202</v>
      </c>
      <c r="G4611" t="s">
        <v>203</v>
      </c>
      <c r="H4611" t="s">
        <v>192</v>
      </c>
      <c r="I4611" s="173">
        <v>172.03</v>
      </c>
      <c r="J4611" s="23"/>
      <c r="K4611" s="90"/>
      <c r="L4611" s="23"/>
      <c r="M4611" s="91" t="e">
        <f t="shared" si="283"/>
        <v>#DIV/0!</v>
      </c>
    </row>
    <row r="4612" spans="1:13" ht="15.75" hidden="1" customHeight="1" x14ac:dyDescent="0.3">
      <c r="B4612" t="s">
        <v>384</v>
      </c>
      <c r="C4612" s="25">
        <v>44756</v>
      </c>
      <c r="D4612" s="26">
        <v>0.51001157407407405</v>
      </c>
      <c r="E4612" t="s">
        <v>30</v>
      </c>
      <c r="F4612" t="s">
        <v>165</v>
      </c>
      <c r="G4612" t="s">
        <v>185</v>
      </c>
      <c r="H4612" t="s">
        <v>192</v>
      </c>
      <c r="I4612" s="173">
        <v>260.27999999999997</v>
      </c>
      <c r="J4612" s="23"/>
      <c r="K4612" s="90"/>
      <c r="L4612" s="23"/>
      <c r="M4612" s="139" t="e">
        <f t="shared" si="283"/>
        <v>#DIV/0!</v>
      </c>
    </row>
    <row r="4613" spans="1:13" ht="15.75" hidden="1" customHeight="1" x14ac:dyDescent="0.3">
      <c r="B4613" t="s">
        <v>384</v>
      </c>
      <c r="C4613" s="25">
        <v>44756</v>
      </c>
      <c r="D4613" s="26">
        <v>0.79405092592592597</v>
      </c>
      <c r="E4613" t="s">
        <v>30</v>
      </c>
      <c r="F4613" t="s">
        <v>210</v>
      </c>
      <c r="G4613" t="s">
        <v>211</v>
      </c>
      <c r="H4613" t="s">
        <v>192</v>
      </c>
      <c r="I4613" s="247">
        <v>153.94</v>
      </c>
      <c r="J4613" s="256">
        <f>154+260+172+125+373+338+135+140+146</f>
        <v>1843</v>
      </c>
      <c r="K4613" s="154"/>
      <c r="L4613" s="271">
        <v>4803</v>
      </c>
      <c r="M4613" s="149">
        <f>+J4613/L4613*100</f>
        <v>38.371850926504273</v>
      </c>
    </row>
    <row r="4614" spans="1:13" ht="15.75" hidden="1" customHeight="1" x14ac:dyDescent="0.3">
      <c r="B4614" t="s">
        <v>384</v>
      </c>
      <c r="C4614" s="25">
        <v>44757</v>
      </c>
      <c r="D4614" s="26">
        <v>0.46695601851851848</v>
      </c>
      <c r="E4614" t="s">
        <v>30</v>
      </c>
      <c r="F4614" t="s">
        <v>169</v>
      </c>
      <c r="G4614" t="s">
        <v>196</v>
      </c>
      <c r="H4614" t="s">
        <v>192</v>
      </c>
      <c r="I4614" s="173">
        <v>186.54</v>
      </c>
      <c r="J4614" s="23"/>
      <c r="K4614" s="90"/>
      <c r="L4614" s="23"/>
      <c r="M4614" s="132" t="e">
        <f>I4614/K4614*100</f>
        <v>#DIV/0!</v>
      </c>
    </row>
    <row r="4615" spans="1:13" ht="15.75" hidden="1" customHeight="1" x14ac:dyDescent="0.3">
      <c r="B4615" t="s">
        <v>384</v>
      </c>
      <c r="C4615" s="25">
        <v>44758</v>
      </c>
      <c r="D4615" s="26">
        <v>0.4359837962962963</v>
      </c>
      <c r="E4615" t="s">
        <v>30</v>
      </c>
      <c r="F4615" t="s">
        <v>772</v>
      </c>
      <c r="G4615" t="s">
        <v>44</v>
      </c>
      <c r="H4615" t="s">
        <v>192</v>
      </c>
      <c r="I4615" s="173">
        <v>134.77000000000001</v>
      </c>
      <c r="J4615" s="23"/>
      <c r="K4615" s="90"/>
      <c r="L4615" s="23"/>
      <c r="M4615" s="91" t="e">
        <f>I4615/K4615*100</f>
        <v>#DIV/0!</v>
      </c>
    </row>
    <row r="4616" spans="1:13" ht="15.75" hidden="1" customHeight="1" x14ac:dyDescent="0.3">
      <c r="B4616" t="s">
        <v>384</v>
      </c>
      <c r="C4616" s="25">
        <v>44758</v>
      </c>
      <c r="D4616" s="26">
        <v>0.63462962962962965</v>
      </c>
      <c r="E4616" t="s">
        <v>30</v>
      </c>
      <c r="F4616" t="s">
        <v>949</v>
      </c>
      <c r="G4616" t="s">
        <v>489</v>
      </c>
      <c r="H4616" t="s">
        <v>192</v>
      </c>
      <c r="I4616" s="173">
        <v>331.03</v>
      </c>
      <c r="J4616" s="23"/>
      <c r="K4616" s="90"/>
      <c r="L4616" s="23"/>
      <c r="M4616" s="91" t="e">
        <f>I4616/K4616*100</f>
        <v>#DIV/0!</v>
      </c>
    </row>
    <row r="4617" spans="1:13" ht="15.75" hidden="1" customHeight="1" x14ac:dyDescent="0.3">
      <c r="B4617" t="s">
        <v>384</v>
      </c>
      <c r="C4617" s="25">
        <v>44759</v>
      </c>
      <c r="D4617" s="26">
        <v>0.12012731481481481</v>
      </c>
      <c r="E4617" t="s">
        <v>30</v>
      </c>
      <c r="F4617" t="s">
        <v>165</v>
      </c>
      <c r="G4617" t="s">
        <v>185</v>
      </c>
      <c r="H4617" t="s">
        <v>192</v>
      </c>
      <c r="I4617" s="173">
        <v>361.55</v>
      </c>
      <c r="J4617" s="23"/>
      <c r="K4617" s="90"/>
      <c r="L4617" s="23"/>
      <c r="M4617" s="91" t="e">
        <f>I4617/K4617*100</f>
        <v>#DIV/0!</v>
      </c>
    </row>
    <row r="4618" spans="1:13" ht="15.75" hidden="1" customHeight="1" x14ac:dyDescent="0.3">
      <c r="B4618" t="s">
        <v>384</v>
      </c>
      <c r="C4618" s="25">
        <v>44759</v>
      </c>
      <c r="D4618" s="26">
        <v>0.71821759259259255</v>
      </c>
      <c r="E4618" t="s">
        <v>30</v>
      </c>
      <c r="F4618" t="s">
        <v>774</v>
      </c>
      <c r="G4618" t="s">
        <v>161</v>
      </c>
      <c r="H4618" t="s">
        <v>192</v>
      </c>
      <c r="I4618" s="173">
        <v>180.73</v>
      </c>
      <c r="J4618" s="231">
        <f>181+361+331+135+186</f>
        <v>1194</v>
      </c>
      <c r="K4618" s="151"/>
      <c r="L4618" s="231">
        <v>2885</v>
      </c>
      <c r="M4618" s="237">
        <f>+J4618/L4618*100</f>
        <v>41.386481802426346</v>
      </c>
    </row>
    <row r="4619" spans="1:13" ht="15.75" hidden="1" customHeight="1" x14ac:dyDescent="0.3">
      <c r="B4619" t="s">
        <v>384</v>
      </c>
      <c r="C4619" s="25">
        <v>44760</v>
      </c>
      <c r="D4619" s="26">
        <v>0.8302314814814814</v>
      </c>
      <c r="E4619" t="s">
        <v>30</v>
      </c>
      <c r="F4619" t="s">
        <v>619</v>
      </c>
      <c r="G4619" t="s">
        <v>620</v>
      </c>
      <c r="H4619" t="s">
        <v>192</v>
      </c>
      <c r="I4619" s="160">
        <v>183.6</v>
      </c>
      <c r="J4619" s="8"/>
      <c r="K4619" s="8">
        <v>828133</v>
      </c>
      <c r="L4619" s="24">
        <f>+K4619-J4619</f>
        <v>828133</v>
      </c>
      <c r="M4619" s="254">
        <f>+J4619/L4619*100</f>
        <v>0</v>
      </c>
    </row>
    <row r="4620" spans="1:13" ht="15.75" hidden="1" customHeight="1" x14ac:dyDescent="0.3">
      <c r="A4620" s="9">
        <v>3512</v>
      </c>
      <c r="B4620" t="s">
        <v>576</v>
      </c>
      <c r="C4620" s="25">
        <v>44678</v>
      </c>
      <c r="D4620" s="26">
        <v>0.93913194444444448</v>
      </c>
      <c r="E4620" t="s">
        <v>27</v>
      </c>
      <c r="F4620" t="s">
        <v>262</v>
      </c>
      <c r="G4620" t="s">
        <v>263</v>
      </c>
      <c r="H4620" t="s">
        <v>117</v>
      </c>
      <c r="I4620">
        <v>200</v>
      </c>
      <c r="J4620" s="34">
        <v>0</v>
      </c>
      <c r="K4620" s="92">
        <f>+L4620-J4620</f>
        <v>1206.96</v>
      </c>
      <c r="L4620" s="30">
        <v>1206.96</v>
      </c>
      <c r="M4620" s="61">
        <f t="shared" ref="M4620:M4657" si="284">I4620/K4620*100</f>
        <v>16.570557433552064</v>
      </c>
    </row>
    <row r="4621" spans="1:13" ht="15.75" hidden="1" customHeight="1" x14ac:dyDescent="0.3">
      <c r="A4621" s="9">
        <v>3513</v>
      </c>
      <c r="B4621" t="s">
        <v>576</v>
      </c>
      <c r="C4621" s="25">
        <v>44679</v>
      </c>
      <c r="D4621" s="26">
        <v>0.35592592592592592</v>
      </c>
      <c r="E4621" t="s">
        <v>27</v>
      </c>
      <c r="F4621" t="s">
        <v>456</v>
      </c>
      <c r="G4621" t="s">
        <v>457</v>
      </c>
      <c r="H4621" t="s">
        <v>117</v>
      </c>
      <c r="I4621">
        <v>50</v>
      </c>
      <c r="J4621" s="7">
        <v>0</v>
      </c>
      <c r="K4621" s="89">
        <f>+L4621-J4621</f>
        <v>320</v>
      </c>
      <c r="L4621" s="11">
        <v>320</v>
      </c>
      <c r="M4621" s="10">
        <f t="shared" si="284"/>
        <v>15.625</v>
      </c>
    </row>
    <row r="4622" spans="1:13" ht="15.75" hidden="1" customHeight="1" x14ac:dyDescent="0.3">
      <c r="A4622" s="9">
        <v>3514</v>
      </c>
      <c r="B4622" t="s">
        <v>576</v>
      </c>
      <c r="C4622" s="25">
        <v>44679</v>
      </c>
      <c r="D4622" s="26">
        <v>0.60078703703703706</v>
      </c>
      <c r="E4622" t="s">
        <v>27</v>
      </c>
      <c r="F4622" t="s">
        <v>210</v>
      </c>
      <c r="G4622" t="s">
        <v>211</v>
      </c>
      <c r="H4622" t="s">
        <v>117</v>
      </c>
      <c r="I4622">
        <v>474</v>
      </c>
      <c r="J4622" s="7">
        <v>0</v>
      </c>
      <c r="K4622" s="89">
        <f>+L4622-J4622</f>
        <v>310</v>
      </c>
      <c r="L4622" s="11">
        <v>310</v>
      </c>
      <c r="M4622" s="10">
        <f t="shared" si="284"/>
        <v>152.90322580645162</v>
      </c>
    </row>
    <row r="4623" spans="1:13" ht="15.75" hidden="1" customHeight="1" x14ac:dyDescent="0.3">
      <c r="A4623" s="9">
        <v>3756</v>
      </c>
      <c r="B4623" t="s">
        <v>576</v>
      </c>
      <c r="C4623" s="25">
        <v>44684</v>
      </c>
      <c r="D4623" s="26">
        <v>0.90344907407407404</v>
      </c>
      <c r="E4623" t="s">
        <v>28</v>
      </c>
      <c r="F4623" t="s">
        <v>166</v>
      </c>
      <c r="G4623" t="s">
        <v>161</v>
      </c>
      <c r="H4623" t="s">
        <v>117</v>
      </c>
      <c r="I4623">
        <v>234.28</v>
      </c>
      <c r="J4623" s="7">
        <v>0</v>
      </c>
      <c r="K4623" s="89">
        <f>+L4623-J4756</f>
        <v>615.99</v>
      </c>
      <c r="L4623" s="11">
        <v>615.99</v>
      </c>
      <c r="M4623" s="10">
        <f t="shared" si="284"/>
        <v>38.033084952677804</v>
      </c>
    </row>
    <row r="4624" spans="1:13" ht="15.75" hidden="1" customHeight="1" x14ac:dyDescent="0.3">
      <c r="A4624" s="9">
        <v>3785</v>
      </c>
      <c r="B4624" t="s">
        <v>576</v>
      </c>
      <c r="C4624" s="25">
        <v>44684</v>
      </c>
      <c r="D4624" s="26">
        <v>0.36554398148148143</v>
      </c>
      <c r="E4624" t="s">
        <v>28</v>
      </c>
      <c r="F4624" t="s">
        <v>175</v>
      </c>
      <c r="G4624" t="s">
        <v>172</v>
      </c>
      <c r="H4624" t="s">
        <v>117</v>
      </c>
      <c r="I4624">
        <v>253.83</v>
      </c>
      <c r="J4624" s="7">
        <v>0</v>
      </c>
      <c r="K4624" s="89">
        <f>+L4624-J4757</f>
        <v>698.96</v>
      </c>
      <c r="L4624" s="7">
        <v>698.96</v>
      </c>
      <c r="M4624" s="36">
        <f t="shared" si="284"/>
        <v>36.315382854526725</v>
      </c>
    </row>
    <row r="4625" spans="1:13" ht="15.75" hidden="1" customHeight="1" x14ac:dyDescent="0.3">
      <c r="A4625" s="9">
        <v>3849</v>
      </c>
      <c r="B4625" t="s">
        <v>576</v>
      </c>
      <c r="C4625" s="25">
        <v>44685</v>
      </c>
      <c r="D4625" s="26">
        <v>0.84351851851851845</v>
      </c>
      <c r="E4625" t="s">
        <v>28</v>
      </c>
      <c r="F4625" t="s">
        <v>165</v>
      </c>
      <c r="G4625" t="s">
        <v>185</v>
      </c>
      <c r="H4625" t="s">
        <v>117</v>
      </c>
      <c r="I4625">
        <v>264.02</v>
      </c>
      <c r="J4625" s="7">
        <v>0</v>
      </c>
      <c r="K4625" s="89">
        <f>+L4625-J4754</f>
        <v>626</v>
      </c>
      <c r="L4625" s="32">
        <v>626</v>
      </c>
      <c r="M4625" s="36">
        <f t="shared" si="284"/>
        <v>42.175718849840251</v>
      </c>
    </row>
    <row r="4626" spans="1:13" ht="15.75" hidden="1" customHeight="1" x14ac:dyDescent="0.3">
      <c r="A4626" s="9">
        <v>3902</v>
      </c>
      <c r="B4626" t="s">
        <v>576</v>
      </c>
      <c r="C4626" s="25">
        <v>44686</v>
      </c>
      <c r="D4626" s="26">
        <v>0.48995370370370367</v>
      </c>
      <c r="E4626" t="s">
        <v>28</v>
      </c>
      <c r="F4626" t="s">
        <v>210</v>
      </c>
      <c r="G4626" t="s">
        <v>211</v>
      </c>
      <c r="H4626" t="s">
        <v>117</v>
      </c>
      <c r="I4626">
        <v>122.37</v>
      </c>
      <c r="J4626" s="7">
        <v>0</v>
      </c>
      <c r="K4626" s="89">
        <f>+L4626-J4755</f>
        <v>512</v>
      </c>
      <c r="L4626" s="7">
        <v>512</v>
      </c>
      <c r="M4626" s="36">
        <f t="shared" si="284"/>
        <v>23.900390625</v>
      </c>
    </row>
    <row r="4627" spans="1:13" ht="15.75" hidden="1" customHeight="1" x14ac:dyDescent="0.3">
      <c r="A4627" s="9">
        <v>3959</v>
      </c>
      <c r="B4627" t="s">
        <v>576</v>
      </c>
      <c r="C4627" s="25">
        <v>44687</v>
      </c>
      <c r="D4627" s="26">
        <v>0.71172453703703698</v>
      </c>
      <c r="E4627" t="s">
        <v>28</v>
      </c>
      <c r="F4627" t="s">
        <v>171</v>
      </c>
      <c r="G4627" t="s">
        <v>172</v>
      </c>
      <c r="H4627" t="s">
        <v>117</v>
      </c>
      <c r="I4627">
        <v>288.33999999999997</v>
      </c>
      <c r="J4627" s="7">
        <v>0</v>
      </c>
      <c r="K4627" s="89">
        <f>+L4627-J4756</f>
        <v>917</v>
      </c>
      <c r="L4627" s="32">
        <v>917</v>
      </c>
      <c r="M4627" s="36">
        <f t="shared" si="284"/>
        <v>31.443838604143941</v>
      </c>
    </row>
    <row r="4628" spans="1:13" ht="15.75" hidden="1" customHeight="1" x14ac:dyDescent="0.3">
      <c r="A4628" s="9">
        <v>4007</v>
      </c>
      <c r="B4628" t="s">
        <v>576</v>
      </c>
      <c r="C4628" s="25">
        <v>44688</v>
      </c>
      <c r="D4628" s="26">
        <v>0.75491898148148151</v>
      </c>
      <c r="E4628" t="s">
        <v>28</v>
      </c>
      <c r="F4628" t="s">
        <v>210</v>
      </c>
      <c r="G4628" t="s">
        <v>211</v>
      </c>
      <c r="H4628" t="s">
        <v>117</v>
      </c>
      <c r="I4628">
        <v>320.14</v>
      </c>
      <c r="J4628" s="7">
        <v>0</v>
      </c>
      <c r="K4628" s="89">
        <f>+L4628-J4757</f>
        <v>831</v>
      </c>
      <c r="L4628" s="32">
        <v>831</v>
      </c>
      <c r="M4628" s="36">
        <f t="shared" si="284"/>
        <v>38.524669073405533</v>
      </c>
    </row>
    <row r="4629" spans="1:13" ht="15.75" hidden="1" customHeight="1" x14ac:dyDescent="0.3">
      <c r="A4629" s="9">
        <v>4097</v>
      </c>
      <c r="B4629" t="s">
        <v>576</v>
      </c>
      <c r="C4629" s="25">
        <v>44690</v>
      </c>
      <c r="D4629" s="26">
        <v>0.85244212962962962</v>
      </c>
      <c r="E4629" t="s">
        <v>28</v>
      </c>
      <c r="F4629" t="s">
        <v>210</v>
      </c>
      <c r="G4629" t="s">
        <v>211</v>
      </c>
      <c r="H4629" t="s">
        <v>117</v>
      </c>
      <c r="I4629">
        <v>413.25</v>
      </c>
      <c r="J4629" s="7">
        <v>0</v>
      </c>
      <c r="K4629" s="89">
        <f>+L4629-J5111</f>
        <v>1115</v>
      </c>
      <c r="L4629" s="32">
        <v>1115</v>
      </c>
      <c r="M4629" s="36">
        <f t="shared" si="284"/>
        <v>37.062780269058301</v>
      </c>
    </row>
    <row r="4630" spans="1:13" ht="15.75" hidden="1" customHeight="1" x14ac:dyDescent="0.3">
      <c r="A4630" s="9">
        <v>4353</v>
      </c>
      <c r="B4630" t="s">
        <v>576</v>
      </c>
      <c r="C4630" s="25">
        <v>44695</v>
      </c>
      <c r="D4630" s="26">
        <v>0.39674768518518522</v>
      </c>
      <c r="E4630" t="s">
        <v>28</v>
      </c>
      <c r="F4630" t="s">
        <v>175</v>
      </c>
      <c r="G4630" t="s">
        <v>172</v>
      </c>
      <c r="H4630" t="s">
        <v>117</v>
      </c>
      <c r="I4630">
        <v>290.29000000000002</v>
      </c>
      <c r="J4630" s="7">
        <v>0</v>
      </c>
      <c r="K4630" s="89">
        <f t="shared" ref="K4630:K4636" si="285">+L4630-J5108</f>
        <v>906</v>
      </c>
      <c r="L4630" s="32">
        <v>906</v>
      </c>
      <c r="M4630" s="36">
        <f t="shared" si="284"/>
        <v>32.040838852097131</v>
      </c>
    </row>
    <row r="4631" spans="1:13" ht="15.75" hidden="1" customHeight="1" x14ac:dyDescent="0.3">
      <c r="A4631" s="9">
        <v>4425</v>
      </c>
      <c r="B4631" t="s">
        <v>576</v>
      </c>
      <c r="C4631" s="25">
        <v>44696</v>
      </c>
      <c r="D4631" s="26">
        <v>7.4155092592592592E-2</v>
      </c>
      <c r="E4631" t="s">
        <v>28</v>
      </c>
      <c r="F4631" t="s">
        <v>166</v>
      </c>
      <c r="G4631" t="s">
        <v>161</v>
      </c>
      <c r="H4631" t="s">
        <v>117</v>
      </c>
      <c r="I4631">
        <v>100</v>
      </c>
      <c r="J4631" s="7">
        <v>0</v>
      </c>
      <c r="K4631" s="89">
        <f t="shared" si="285"/>
        <v>715</v>
      </c>
      <c r="L4631" s="67">
        <v>715</v>
      </c>
      <c r="M4631" s="10">
        <f t="shared" si="284"/>
        <v>13.986013986013987</v>
      </c>
    </row>
    <row r="4632" spans="1:13" ht="15.75" hidden="1" customHeight="1" x14ac:dyDescent="0.3">
      <c r="A4632" s="9">
        <v>4429</v>
      </c>
      <c r="B4632" t="s">
        <v>576</v>
      </c>
      <c r="C4632" s="25">
        <v>44696</v>
      </c>
      <c r="D4632" s="26">
        <v>0.13047453703703704</v>
      </c>
      <c r="E4632" t="s">
        <v>28</v>
      </c>
      <c r="F4632" t="s">
        <v>210</v>
      </c>
      <c r="G4632" t="s">
        <v>211</v>
      </c>
      <c r="H4632" t="s">
        <v>117</v>
      </c>
      <c r="I4632">
        <v>211.94</v>
      </c>
      <c r="J4632" s="7">
        <v>0</v>
      </c>
      <c r="K4632" s="89">
        <f t="shared" si="285"/>
        <v>74</v>
      </c>
      <c r="L4632" s="53">
        <v>74</v>
      </c>
      <c r="M4632" s="10">
        <f t="shared" si="284"/>
        <v>286.40540540540542</v>
      </c>
    </row>
    <row r="4633" spans="1:13" ht="15.75" hidden="1" customHeight="1" x14ac:dyDescent="0.3">
      <c r="A4633" s="9">
        <v>4478</v>
      </c>
      <c r="B4633" t="s">
        <v>576</v>
      </c>
      <c r="C4633" s="25">
        <v>44697</v>
      </c>
      <c r="D4633" s="26">
        <v>0.54584490740740743</v>
      </c>
      <c r="E4633" t="s">
        <v>28</v>
      </c>
      <c r="F4633" t="s">
        <v>210</v>
      </c>
      <c r="G4633" t="s">
        <v>211</v>
      </c>
      <c r="H4633" t="s">
        <v>117</v>
      </c>
      <c r="I4633">
        <v>356.52</v>
      </c>
      <c r="J4633" s="7">
        <v>0</v>
      </c>
      <c r="K4633" s="88">
        <f t="shared" si="285"/>
        <v>1060</v>
      </c>
      <c r="L4633" s="53">
        <v>1060</v>
      </c>
      <c r="M4633" s="10">
        <f t="shared" si="284"/>
        <v>33.633962264150938</v>
      </c>
    </row>
    <row r="4634" spans="1:13" ht="15.75" hidden="1" customHeight="1" x14ac:dyDescent="0.3">
      <c r="A4634" s="9">
        <v>4686</v>
      </c>
      <c r="B4634" t="s">
        <v>576</v>
      </c>
      <c r="C4634" s="25">
        <v>44701</v>
      </c>
      <c r="D4634" s="26">
        <v>0.40502314814814816</v>
      </c>
      <c r="E4634" t="s">
        <v>28</v>
      </c>
      <c r="F4634" t="s">
        <v>331</v>
      </c>
      <c r="G4634" t="s">
        <v>277</v>
      </c>
      <c r="H4634" t="s">
        <v>117</v>
      </c>
      <c r="I4634">
        <v>273.54000000000002</v>
      </c>
      <c r="J4634" s="7">
        <v>0</v>
      </c>
      <c r="K4634" s="89">
        <f t="shared" si="285"/>
        <v>787</v>
      </c>
      <c r="L4634" s="33">
        <v>787</v>
      </c>
      <c r="M4634" s="36">
        <f t="shared" si="284"/>
        <v>34.757306226175352</v>
      </c>
    </row>
    <row r="4635" spans="1:13" ht="15.75" hidden="1" customHeight="1" x14ac:dyDescent="0.3">
      <c r="A4635" s="9">
        <v>4746</v>
      </c>
      <c r="B4635" t="s">
        <v>576</v>
      </c>
      <c r="C4635" s="25">
        <v>44702</v>
      </c>
      <c r="D4635" s="26">
        <v>0.56270833333333337</v>
      </c>
      <c r="E4635" t="s">
        <v>28</v>
      </c>
      <c r="F4635" t="s">
        <v>210</v>
      </c>
      <c r="G4635" t="s">
        <v>211</v>
      </c>
      <c r="H4635" t="s">
        <v>117</v>
      </c>
      <c r="I4635">
        <v>340</v>
      </c>
      <c r="J4635" s="7">
        <v>0</v>
      </c>
      <c r="K4635" s="89">
        <f t="shared" si="285"/>
        <v>922</v>
      </c>
      <c r="L4635" s="33">
        <v>922</v>
      </c>
      <c r="M4635" s="36">
        <f t="shared" si="284"/>
        <v>36.876355748373101</v>
      </c>
    </row>
    <row r="4636" spans="1:13" ht="15.75" hidden="1" customHeight="1" x14ac:dyDescent="0.3">
      <c r="A4636" s="9">
        <v>4846</v>
      </c>
      <c r="B4636" t="s">
        <v>576</v>
      </c>
      <c r="C4636" s="25">
        <v>44704</v>
      </c>
      <c r="D4636" s="26">
        <v>0.84877314814814808</v>
      </c>
      <c r="E4636" t="s">
        <v>28</v>
      </c>
      <c r="F4636" t="s">
        <v>210</v>
      </c>
      <c r="G4636" t="s">
        <v>211</v>
      </c>
      <c r="H4636" t="s">
        <v>117</v>
      </c>
      <c r="I4636">
        <v>435.03</v>
      </c>
      <c r="J4636" s="7">
        <v>0</v>
      </c>
      <c r="K4636" s="89">
        <f t="shared" si="285"/>
        <v>1110</v>
      </c>
      <c r="L4636" s="32">
        <v>1110</v>
      </c>
      <c r="M4636" s="36">
        <f t="shared" si="284"/>
        <v>39.191891891891892</v>
      </c>
    </row>
    <row r="4637" spans="1:13" ht="15.75" hidden="1" customHeight="1" x14ac:dyDescent="0.3">
      <c r="A4637" s="9">
        <v>5114</v>
      </c>
      <c r="B4637" t="s">
        <v>576</v>
      </c>
      <c r="C4637" s="25">
        <v>44709</v>
      </c>
      <c r="D4637" s="26">
        <v>0.36160879629629633</v>
      </c>
      <c r="E4637" t="s">
        <v>28</v>
      </c>
      <c r="F4637" t="s">
        <v>651</v>
      </c>
      <c r="G4637" t="s">
        <v>172</v>
      </c>
      <c r="H4637" t="s">
        <v>117</v>
      </c>
      <c r="I4637">
        <v>300.14999999999998</v>
      </c>
      <c r="J4637" s="7">
        <v>0</v>
      </c>
      <c r="K4637" s="89">
        <f>+L4637-J4866</f>
        <v>907</v>
      </c>
      <c r="L4637" s="7">
        <v>907</v>
      </c>
      <c r="M4637" s="36">
        <f t="shared" si="284"/>
        <v>33.092613009922822</v>
      </c>
    </row>
    <row r="4638" spans="1:13" ht="15.75" hidden="1" customHeight="1" x14ac:dyDescent="0.3">
      <c r="A4638" s="9">
        <v>5172</v>
      </c>
      <c r="B4638" t="s">
        <v>576</v>
      </c>
      <c r="C4638" s="25">
        <v>44710</v>
      </c>
      <c r="D4638" s="26">
        <v>0.4772569444444445</v>
      </c>
      <c r="E4638" t="s">
        <v>28</v>
      </c>
      <c r="F4638" t="s">
        <v>634</v>
      </c>
      <c r="G4638" t="s">
        <v>211</v>
      </c>
      <c r="H4638" t="s">
        <v>117</v>
      </c>
      <c r="I4638">
        <v>315.05</v>
      </c>
      <c r="J4638" s="7">
        <v>0</v>
      </c>
      <c r="K4638" s="89">
        <f>+L4638-J4867</f>
        <v>819</v>
      </c>
      <c r="L4638" s="31">
        <v>819</v>
      </c>
      <c r="M4638" s="36">
        <f t="shared" si="284"/>
        <v>38.46764346764347</v>
      </c>
    </row>
    <row r="4639" spans="1:13" ht="15.75" hidden="1" customHeight="1" x14ac:dyDescent="0.3">
      <c r="A4639" s="9">
        <v>5258</v>
      </c>
      <c r="B4639" t="s">
        <v>576</v>
      </c>
      <c r="C4639" s="25">
        <v>44712</v>
      </c>
      <c r="D4639" s="26">
        <v>4.6365740740740742E-2</v>
      </c>
      <c r="E4639" t="s">
        <v>28</v>
      </c>
      <c r="F4639" t="s">
        <v>634</v>
      </c>
      <c r="G4639" t="s">
        <v>211</v>
      </c>
      <c r="H4639" t="s">
        <v>117</v>
      </c>
      <c r="I4639">
        <v>419.1</v>
      </c>
      <c r="J4639" s="7">
        <v>0</v>
      </c>
      <c r="K4639" s="89">
        <f>+L4639-J4862</f>
        <v>1107</v>
      </c>
      <c r="L4639" s="7">
        <v>1107</v>
      </c>
      <c r="M4639" s="36">
        <f t="shared" si="284"/>
        <v>37.859078590785913</v>
      </c>
    </row>
    <row r="4640" spans="1:13" ht="15.75" hidden="1" customHeight="1" x14ac:dyDescent="0.3">
      <c r="A4640" s="9">
        <v>5375</v>
      </c>
      <c r="B4640" t="s">
        <v>576</v>
      </c>
      <c r="C4640" s="25">
        <v>44714</v>
      </c>
      <c r="D4640" s="26">
        <v>0.38759259259259254</v>
      </c>
      <c r="E4640" t="s">
        <v>29</v>
      </c>
      <c r="F4640" t="s">
        <v>651</v>
      </c>
      <c r="G4640" t="s">
        <v>172</v>
      </c>
      <c r="H4640" t="s">
        <v>117</v>
      </c>
      <c r="I4640">
        <v>352.82</v>
      </c>
      <c r="J4640" s="7">
        <v>0</v>
      </c>
      <c r="K4640" s="89">
        <f>+L4640-J4863</f>
        <v>1044</v>
      </c>
      <c r="L4640" s="7">
        <v>1044</v>
      </c>
      <c r="M4640" s="36">
        <f t="shared" si="284"/>
        <v>33.795019157088127</v>
      </c>
    </row>
    <row r="4641" spans="1:19" ht="15.75" hidden="1" customHeight="1" x14ac:dyDescent="0.3">
      <c r="A4641" s="9">
        <v>5376</v>
      </c>
      <c r="B4641" t="s">
        <v>576</v>
      </c>
      <c r="C4641" s="25">
        <v>44714</v>
      </c>
      <c r="D4641" s="26">
        <v>0.8913888888888889</v>
      </c>
      <c r="E4641" t="s">
        <v>29</v>
      </c>
      <c r="F4641" t="s">
        <v>634</v>
      </c>
      <c r="G4641" t="s">
        <v>211</v>
      </c>
      <c r="H4641" t="s">
        <v>117</v>
      </c>
      <c r="I4641">
        <v>255.43</v>
      </c>
      <c r="J4641" s="7">
        <v>0</v>
      </c>
      <c r="K4641" s="89">
        <f>+L4641-J4864</f>
        <v>696</v>
      </c>
      <c r="L4641" s="7">
        <v>696</v>
      </c>
      <c r="M4641" s="36">
        <f t="shared" si="284"/>
        <v>36.699712643678161</v>
      </c>
    </row>
    <row r="4642" spans="1:19" ht="15.75" hidden="1" customHeight="1" x14ac:dyDescent="0.3">
      <c r="A4642" s="9">
        <v>5485</v>
      </c>
      <c r="B4642" t="s">
        <v>576</v>
      </c>
      <c r="C4642" s="25">
        <v>44716</v>
      </c>
      <c r="D4642" s="26">
        <v>0.74170138888888892</v>
      </c>
      <c r="E4642" t="s">
        <v>29</v>
      </c>
      <c r="F4642" t="s">
        <v>634</v>
      </c>
      <c r="G4642" t="s">
        <v>211</v>
      </c>
      <c r="H4642" t="s">
        <v>117</v>
      </c>
      <c r="I4642">
        <v>423.27</v>
      </c>
      <c r="J4642" s="51">
        <v>0</v>
      </c>
      <c r="K4642" s="89">
        <f>+L4642-J4857</f>
        <v>969</v>
      </c>
      <c r="L4642" s="51">
        <v>969</v>
      </c>
      <c r="M4642" s="10">
        <f t="shared" si="284"/>
        <v>43.681114551083589</v>
      </c>
    </row>
    <row r="4643" spans="1:19" ht="15.75" hidden="1" customHeight="1" x14ac:dyDescent="0.3">
      <c r="A4643" s="9">
        <v>5533</v>
      </c>
      <c r="B4643" t="s">
        <v>576</v>
      </c>
      <c r="C4643" s="25">
        <v>44717</v>
      </c>
      <c r="D4643" s="26">
        <v>0.10153935185185185</v>
      </c>
      <c r="E4643" t="s">
        <v>29</v>
      </c>
      <c r="F4643" t="s">
        <v>713</v>
      </c>
      <c r="G4643" t="s">
        <v>196</v>
      </c>
      <c r="H4643" t="s">
        <v>117</v>
      </c>
      <c r="I4643">
        <v>118.68</v>
      </c>
      <c r="J4643" s="7">
        <v>0</v>
      </c>
      <c r="K4643" s="89">
        <f>+L4643-J4858</f>
        <v>453</v>
      </c>
      <c r="L4643" s="7">
        <v>453</v>
      </c>
      <c r="M4643" s="36">
        <f t="shared" si="284"/>
        <v>26.198675496688743</v>
      </c>
    </row>
    <row r="4644" spans="1:19" ht="15.75" hidden="1" customHeight="1" x14ac:dyDescent="0.3">
      <c r="A4644" s="9">
        <v>5781</v>
      </c>
      <c r="B4644" t="s">
        <v>576</v>
      </c>
      <c r="C4644" s="25">
        <v>44722</v>
      </c>
      <c r="D4644" s="26">
        <v>0.4307407407407407</v>
      </c>
      <c r="E4644" t="s">
        <v>29</v>
      </c>
      <c r="F4644" t="s">
        <v>641</v>
      </c>
      <c r="G4644" t="s">
        <v>172</v>
      </c>
      <c r="H4644" t="s">
        <v>117</v>
      </c>
      <c r="I4644">
        <v>176.17</v>
      </c>
      <c r="J4644" s="7">
        <v>0</v>
      </c>
      <c r="K4644" s="89">
        <f>+L4644-J4853</f>
        <v>450</v>
      </c>
      <c r="L4644" s="7">
        <v>450</v>
      </c>
      <c r="M4644" s="36">
        <f t="shared" si="284"/>
        <v>39.148888888888891</v>
      </c>
    </row>
    <row r="4645" spans="1:19" ht="15.75" hidden="1" customHeight="1" x14ac:dyDescent="0.3">
      <c r="A4645" s="9">
        <v>5845</v>
      </c>
      <c r="B4645" t="s">
        <v>576</v>
      </c>
      <c r="C4645" s="25">
        <v>44723</v>
      </c>
      <c r="D4645" s="26">
        <v>0.42980324074074078</v>
      </c>
      <c r="E4645" t="s">
        <v>29</v>
      </c>
      <c r="F4645" t="s">
        <v>632</v>
      </c>
      <c r="G4645" t="s">
        <v>161</v>
      </c>
      <c r="H4645" t="s">
        <v>117</v>
      </c>
      <c r="I4645">
        <v>279.39</v>
      </c>
      <c r="J4645" s="7">
        <v>0</v>
      </c>
      <c r="K4645" s="89">
        <f>+L4645-J4854</f>
        <v>748</v>
      </c>
      <c r="L4645" s="7">
        <v>748</v>
      </c>
      <c r="M4645" s="36">
        <f t="shared" si="284"/>
        <v>37.351604278074859</v>
      </c>
    </row>
    <row r="4646" spans="1:19" ht="15.75" hidden="1" customHeight="1" x14ac:dyDescent="0.3">
      <c r="A4646" s="9">
        <v>5894</v>
      </c>
      <c r="B4646" t="s">
        <v>576</v>
      </c>
      <c r="C4646" s="25">
        <v>44724</v>
      </c>
      <c r="D4646" s="26">
        <v>0.7678124999999999</v>
      </c>
      <c r="E4646" t="s">
        <v>29</v>
      </c>
      <c r="F4646" t="s">
        <v>634</v>
      </c>
      <c r="G4646" t="s">
        <v>211</v>
      </c>
      <c r="H4646" t="s">
        <v>117</v>
      </c>
      <c r="I4646">
        <v>356.85</v>
      </c>
      <c r="J4646" s="7">
        <v>0</v>
      </c>
      <c r="K4646" s="89">
        <f>+L4646-J4855</f>
        <v>989</v>
      </c>
      <c r="L4646" s="7">
        <v>989</v>
      </c>
      <c r="M4646" s="36">
        <f t="shared" si="284"/>
        <v>36.081900910010113</v>
      </c>
    </row>
    <row r="4647" spans="1:19" ht="15.75" hidden="1" customHeight="1" x14ac:dyDescent="0.3">
      <c r="A4647" s="9">
        <v>5954</v>
      </c>
      <c r="B4647" t="s">
        <v>576</v>
      </c>
      <c r="C4647" s="25">
        <v>44725</v>
      </c>
      <c r="D4647" s="26">
        <v>6.2152777777777779E-2</v>
      </c>
      <c r="E4647" t="s">
        <v>29</v>
      </c>
      <c r="F4647" t="s">
        <v>713</v>
      </c>
      <c r="G4647" t="s">
        <v>196</v>
      </c>
      <c r="H4647" t="s">
        <v>117</v>
      </c>
      <c r="I4647">
        <v>135.36000000000001</v>
      </c>
      <c r="J4647" s="7">
        <v>0</v>
      </c>
      <c r="K4647" s="89">
        <f>+L4647-J4853</f>
        <v>451</v>
      </c>
      <c r="L4647" s="7">
        <v>451</v>
      </c>
      <c r="M4647" s="36">
        <f t="shared" si="284"/>
        <v>30.013303769401332</v>
      </c>
      <c r="N4647" s="2"/>
      <c r="O4647" s="2"/>
      <c r="P4647" s="2"/>
      <c r="Q4647" s="2"/>
      <c r="R4647" s="2"/>
      <c r="S4647" s="2"/>
    </row>
    <row r="4648" spans="1:19" ht="15.75" hidden="1" customHeight="1" x14ac:dyDescent="0.3">
      <c r="A4648" s="9">
        <v>6009</v>
      </c>
      <c r="B4648" t="s">
        <v>576</v>
      </c>
      <c r="C4648" s="25">
        <v>44726</v>
      </c>
      <c r="D4648" s="26">
        <v>0.46226851851851852</v>
      </c>
      <c r="E4648" t="s">
        <v>29</v>
      </c>
      <c r="F4648" t="s">
        <v>651</v>
      </c>
      <c r="G4648" t="s">
        <v>172</v>
      </c>
      <c r="H4648" t="s">
        <v>117</v>
      </c>
      <c r="I4648">
        <v>261.86</v>
      </c>
      <c r="J4648" s="32">
        <v>0</v>
      </c>
      <c r="K4648" s="89">
        <v>606</v>
      </c>
      <c r="L4648" s="7">
        <v>606</v>
      </c>
      <c r="M4648" s="36">
        <f t="shared" si="284"/>
        <v>43.211221122112214</v>
      </c>
    </row>
    <row r="4649" spans="1:19" ht="15.75" hidden="1" customHeight="1" x14ac:dyDescent="0.3">
      <c r="A4649" s="9">
        <v>6010</v>
      </c>
      <c r="B4649" t="s">
        <v>576</v>
      </c>
      <c r="C4649" s="25">
        <v>44726</v>
      </c>
      <c r="D4649" s="26">
        <v>0.94010416666666663</v>
      </c>
      <c r="E4649" t="s">
        <v>29</v>
      </c>
      <c r="F4649" t="s">
        <v>634</v>
      </c>
      <c r="G4649" t="s">
        <v>211</v>
      </c>
      <c r="H4649" t="s">
        <v>117</v>
      </c>
      <c r="I4649">
        <v>238.18</v>
      </c>
      <c r="J4649" s="32">
        <v>0</v>
      </c>
      <c r="K4649" s="89">
        <v>692</v>
      </c>
      <c r="L4649" s="31">
        <v>692</v>
      </c>
      <c r="M4649" s="36">
        <f t="shared" si="284"/>
        <v>34.419075144508668</v>
      </c>
    </row>
    <row r="4650" spans="1:19" ht="15.75" hidden="1" customHeight="1" x14ac:dyDescent="0.3">
      <c r="A4650" s="9">
        <v>6123</v>
      </c>
      <c r="B4650" t="s">
        <v>576</v>
      </c>
      <c r="C4650" s="25">
        <v>44728</v>
      </c>
      <c r="D4650" s="26">
        <v>0.46414351851851854</v>
      </c>
      <c r="E4650" t="s">
        <v>29</v>
      </c>
      <c r="F4650" t="s">
        <v>634</v>
      </c>
      <c r="G4650" t="s">
        <v>211</v>
      </c>
      <c r="H4650" t="s">
        <v>117</v>
      </c>
      <c r="I4650">
        <v>394.46</v>
      </c>
      <c r="J4650" s="32">
        <v>0</v>
      </c>
      <c r="K4650" s="89">
        <v>1062</v>
      </c>
      <c r="L4650" s="7">
        <v>1062</v>
      </c>
      <c r="M4650" s="36">
        <f t="shared" si="284"/>
        <v>37.143126177024484</v>
      </c>
    </row>
    <row r="4651" spans="1:19" ht="15.75" hidden="1" customHeight="1" x14ac:dyDescent="0.3">
      <c r="A4651" s="9">
        <v>6176</v>
      </c>
      <c r="B4651" t="s">
        <v>576</v>
      </c>
      <c r="C4651" s="25">
        <v>44729</v>
      </c>
      <c r="D4651" s="26">
        <v>0.49865740740740744</v>
      </c>
      <c r="E4651" t="s">
        <v>29</v>
      </c>
      <c r="F4651" t="s">
        <v>708</v>
      </c>
      <c r="G4651" t="s">
        <v>277</v>
      </c>
      <c r="H4651" t="s">
        <v>117</v>
      </c>
      <c r="I4651">
        <v>244.26</v>
      </c>
      <c r="J4651" s="53">
        <v>0</v>
      </c>
      <c r="K4651" s="89">
        <v>778</v>
      </c>
      <c r="L4651" s="34">
        <v>778</v>
      </c>
      <c r="M4651" s="36">
        <f t="shared" si="284"/>
        <v>31.395886889460151</v>
      </c>
    </row>
    <row r="4652" spans="1:19" ht="15.75" hidden="1" customHeight="1" x14ac:dyDescent="0.3">
      <c r="A4652" s="9">
        <v>6404</v>
      </c>
      <c r="B4652" t="s">
        <v>576</v>
      </c>
      <c r="C4652" s="25">
        <v>44735</v>
      </c>
      <c r="D4652" s="26">
        <v>0.7440162037037038</v>
      </c>
      <c r="E4652" t="s">
        <v>29</v>
      </c>
      <c r="F4652" t="s">
        <v>634</v>
      </c>
      <c r="G4652" t="s">
        <v>211</v>
      </c>
      <c r="H4652" t="s">
        <v>117</v>
      </c>
      <c r="I4652" s="148">
        <v>330.73</v>
      </c>
      <c r="J4652" s="53">
        <v>0</v>
      </c>
      <c r="K4652" s="89">
        <v>939</v>
      </c>
      <c r="L4652" s="7">
        <v>939</v>
      </c>
      <c r="M4652" s="36">
        <f t="shared" si="284"/>
        <v>35.22151224707136</v>
      </c>
    </row>
    <row r="4653" spans="1:19" ht="15.75" hidden="1" customHeight="1" x14ac:dyDescent="0.3">
      <c r="A4653" s="9">
        <v>6462</v>
      </c>
      <c r="B4653" t="s">
        <v>576</v>
      </c>
      <c r="C4653" s="25">
        <v>44736</v>
      </c>
      <c r="D4653" s="26">
        <v>0.90077546296296296</v>
      </c>
      <c r="E4653" t="s">
        <v>29</v>
      </c>
      <c r="F4653" t="s">
        <v>634</v>
      </c>
      <c r="G4653" t="s">
        <v>211</v>
      </c>
      <c r="H4653" t="s">
        <v>117</v>
      </c>
      <c r="I4653" s="148">
        <v>369.34</v>
      </c>
      <c r="J4653" s="32">
        <v>0</v>
      </c>
      <c r="K4653" s="89">
        <v>1057</v>
      </c>
      <c r="L4653" s="7">
        <v>1057</v>
      </c>
      <c r="M4653" s="36">
        <f t="shared" si="284"/>
        <v>34.942289498580884</v>
      </c>
    </row>
    <row r="4654" spans="1:19" ht="15.75" hidden="1" customHeight="1" x14ac:dyDescent="0.3">
      <c r="A4654" s="9">
        <v>6515</v>
      </c>
      <c r="B4654" t="s">
        <v>576</v>
      </c>
      <c r="C4654" s="25">
        <v>44737</v>
      </c>
      <c r="D4654" s="26">
        <v>0.77481481481481485</v>
      </c>
      <c r="E4654" t="s">
        <v>29</v>
      </c>
      <c r="F4654" t="s">
        <v>708</v>
      </c>
      <c r="G4654" t="s">
        <v>277</v>
      </c>
      <c r="H4654" t="s">
        <v>117</v>
      </c>
      <c r="I4654" s="148">
        <v>266.67</v>
      </c>
      <c r="J4654" s="32">
        <v>0</v>
      </c>
      <c r="K4654" s="89">
        <v>766</v>
      </c>
      <c r="L4654" s="7">
        <v>766</v>
      </c>
      <c r="M4654" s="36">
        <f t="shared" si="284"/>
        <v>34.813315926892955</v>
      </c>
    </row>
    <row r="4655" spans="1:19" ht="15.75" hidden="1" customHeight="1" x14ac:dyDescent="0.3">
      <c r="A4655" s="9">
        <v>6566</v>
      </c>
      <c r="B4655" t="s">
        <v>576</v>
      </c>
      <c r="C4655" s="25">
        <v>44738</v>
      </c>
      <c r="D4655" s="26">
        <v>0.93590277777777775</v>
      </c>
      <c r="E4655" t="s">
        <v>29</v>
      </c>
      <c r="F4655" t="s">
        <v>634</v>
      </c>
      <c r="G4655" t="s">
        <v>211</v>
      </c>
      <c r="H4655" t="s">
        <v>117</v>
      </c>
      <c r="I4655" s="148">
        <v>321.45</v>
      </c>
      <c r="J4655" s="32">
        <v>0</v>
      </c>
      <c r="K4655" s="94">
        <v>925</v>
      </c>
      <c r="L4655" s="7">
        <v>925</v>
      </c>
      <c r="M4655" s="36">
        <f t="shared" si="284"/>
        <v>34.751351351351353</v>
      </c>
    </row>
    <row r="4656" spans="1:19" ht="15.75" hidden="1" customHeight="1" x14ac:dyDescent="0.3">
      <c r="A4656" s="9">
        <v>6620</v>
      </c>
      <c r="B4656" t="s">
        <v>576</v>
      </c>
      <c r="C4656" s="25">
        <v>44739</v>
      </c>
      <c r="D4656" s="26">
        <v>0.66932870370370379</v>
      </c>
      <c r="E4656" t="s">
        <v>29</v>
      </c>
      <c r="F4656" t="s">
        <v>635</v>
      </c>
      <c r="G4656" t="s">
        <v>185</v>
      </c>
      <c r="H4656" t="s">
        <v>117</v>
      </c>
      <c r="I4656" s="148">
        <v>255.1</v>
      </c>
      <c r="J4656" s="32">
        <v>0</v>
      </c>
      <c r="K4656" s="89">
        <v>543</v>
      </c>
      <c r="L4656" s="7">
        <v>543</v>
      </c>
      <c r="M4656" s="36">
        <f t="shared" si="284"/>
        <v>46.979742173112335</v>
      </c>
    </row>
    <row r="4657" spans="1:13" ht="15.75" hidden="1" customHeight="1" x14ac:dyDescent="0.3">
      <c r="A4657" s="9">
        <v>6684</v>
      </c>
      <c r="B4657" t="s">
        <v>576</v>
      </c>
      <c r="C4657" s="25">
        <v>44740</v>
      </c>
      <c r="D4657" s="26">
        <v>0.42353009259259261</v>
      </c>
      <c r="E4657" t="s">
        <v>29</v>
      </c>
      <c r="F4657" t="s">
        <v>634</v>
      </c>
      <c r="G4657" t="s">
        <v>211</v>
      </c>
      <c r="H4657" t="s">
        <v>117</v>
      </c>
      <c r="I4657" s="148">
        <v>130.16999999999999</v>
      </c>
      <c r="J4657" s="32">
        <v>0</v>
      </c>
      <c r="K4657" s="89">
        <v>512</v>
      </c>
      <c r="L4657" s="7">
        <v>512</v>
      </c>
      <c r="M4657" s="36">
        <f t="shared" si="284"/>
        <v>25.423828124999996</v>
      </c>
    </row>
    <row r="4658" spans="1:13" ht="15.75" hidden="1" customHeight="1" x14ac:dyDescent="0.3">
      <c r="A4658" s="9">
        <v>6751</v>
      </c>
      <c r="B4658" t="s">
        <v>576</v>
      </c>
      <c r="C4658" s="25">
        <v>44742</v>
      </c>
      <c r="D4658" s="26">
        <v>0.52457175925925925</v>
      </c>
      <c r="E4658" t="s">
        <v>29</v>
      </c>
      <c r="F4658" t="s">
        <v>624</v>
      </c>
      <c r="G4658" t="s">
        <v>277</v>
      </c>
      <c r="H4658" t="s">
        <v>117</v>
      </c>
      <c r="I4658" s="148">
        <v>255.76</v>
      </c>
      <c r="J4658" s="54"/>
      <c r="K4658" s="56">
        <v>552025</v>
      </c>
      <c r="L4658" s="54">
        <f>+K4658-J4658</f>
        <v>552025</v>
      </c>
      <c r="M4658" s="121">
        <f>I4658/L4658*100</f>
        <v>4.6331234998414926E-2</v>
      </c>
    </row>
    <row r="4659" spans="1:13" ht="15.75" hidden="1" customHeight="1" x14ac:dyDescent="0.3">
      <c r="B4659" t="s">
        <v>384</v>
      </c>
      <c r="C4659" s="25">
        <v>44761</v>
      </c>
      <c r="D4659" s="26">
        <v>0.75630787037037039</v>
      </c>
      <c r="E4659" t="s">
        <v>30</v>
      </c>
      <c r="F4659" t="s">
        <v>197</v>
      </c>
      <c r="G4659" t="s">
        <v>44</v>
      </c>
      <c r="H4659" t="s">
        <v>192</v>
      </c>
      <c r="I4659" s="160">
        <v>199.7</v>
      </c>
      <c r="J4659" s="8"/>
      <c r="K4659" s="8">
        <v>828779</v>
      </c>
      <c r="L4659" s="8">
        <f>+K4659-J4659</f>
        <v>828779</v>
      </c>
      <c r="M4659" s="254">
        <f t="shared" ref="M4659:M4665" si="286">+J4659/L4659*100</f>
        <v>0</v>
      </c>
    </row>
    <row r="4660" spans="1:13" ht="15.75" hidden="1" customHeight="1" x14ac:dyDescent="0.3">
      <c r="B4660" t="s">
        <v>384</v>
      </c>
      <c r="C4660" s="25">
        <v>44762</v>
      </c>
      <c r="D4660" s="26">
        <v>0.26997685185185188</v>
      </c>
      <c r="E4660" t="s">
        <v>30</v>
      </c>
      <c r="F4660" t="s">
        <v>530</v>
      </c>
      <c r="G4660" t="s">
        <v>489</v>
      </c>
      <c r="H4660" t="s">
        <v>192</v>
      </c>
      <c r="I4660" s="160">
        <v>208.61</v>
      </c>
      <c r="J4660" s="8"/>
      <c r="K4660" s="8">
        <v>829128</v>
      </c>
      <c r="L4660" s="8">
        <f>+K4660-J4660</f>
        <v>829128</v>
      </c>
      <c r="M4660" s="272">
        <f t="shared" si="286"/>
        <v>0</v>
      </c>
    </row>
    <row r="4661" spans="1:13" ht="15.75" hidden="1" customHeight="1" x14ac:dyDescent="0.3">
      <c r="B4661" t="s">
        <v>384</v>
      </c>
      <c r="C4661" s="25">
        <v>44762</v>
      </c>
      <c r="D4661" s="26">
        <v>0.86692129629629633</v>
      </c>
      <c r="E4661" t="s">
        <v>30</v>
      </c>
      <c r="F4661" t="s">
        <v>165</v>
      </c>
      <c r="G4661" t="s">
        <v>185</v>
      </c>
      <c r="H4661" t="s">
        <v>192</v>
      </c>
      <c r="I4661" s="160">
        <v>369.32</v>
      </c>
      <c r="J4661" s="8"/>
      <c r="K4661" s="8">
        <v>829928</v>
      </c>
      <c r="L4661" s="24">
        <f>+K4661-J4661</f>
        <v>829928</v>
      </c>
      <c r="M4661" s="254">
        <f t="shared" si="286"/>
        <v>0</v>
      </c>
    </row>
    <row r="4662" spans="1:13" ht="15.75" hidden="1" customHeight="1" x14ac:dyDescent="0.3">
      <c r="B4662" t="s">
        <v>384</v>
      </c>
      <c r="C4662" s="25">
        <v>44763</v>
      </c>
      <c r="D4662" s="26">
        <v>0.41740740740740739</v>
      </c>
      <c r="E4662" t="s">
        <v>30</v>
      </c>
      <c r="F4662" t="s">
        <v>210</v>
      </c>
      <c r="G4662" t="s">
        <v>211</v>
      </c>
      <c r="H4662" t="s">
        <v>192</v>
      </c>
      <c r="I4662" s="160">
        <v>147.09</v>
      </c>
      <c r="J4662" s="160">
        <f>147+369+209+200+184</f>
        <v>1109</v>
      </c>
      <c r="K4662" s="160">
        <v>2243</v>
      </c>
      <c r="L4662" s="160">
        <v>2749</v>
      </c>
      <c r="M4662" s="267">
        <f t="shared" si="286"/>
        <v>40.341942524554383</v>
      </c>
    </row>
    <row r="4663" spans="1:13" ht="15.75" hidden="1" customHeight="1" x14ac:dyDescent="0.3">
      <c r="A4663" s="9">
        <v>6512</v>
      </c>
      <c r="B4663" t="s">
        <v>602</v>
      </c>
      <c r="C4663" s="25">
        <v>44737</v>
      </c>
      <c r="D4663" s="26">
        <v>0.85124999999999995</v>
      </c>
      <c r="E4663" t="s">
        <v>29</v>
      </c>
      <c r="F4663" t="s">
        <v>674</v>
      </c>
      <c r="G4663" t="s">
        <v>487</v>
      </c>
      <c r="H4663" t="s">
        <v>131</v>
      </c>
      <c r="I4663" s="148">
        <v>425.67</v>
      </c>
      <c r="J4663" s="152">
        <f>425+221+437+288+175+80+200+150</f>
        <v>1976</v>
      </c>
      <c r="K4663" s="216">
        <v>1024</v>
      </c>
      <c r="L4663" s="216">
        <v>5061</v>
      </c>
      <c r="M4663" s="222">
        <f t="shared" si="286"/>
        <v>39.043667259434898</v>
      </c>
    </row>
    <row r="4664" spans="1:13" ht="15.75" hidden="1" customHeight="1" x14ac:dyDescent="0.3">
      <c r="A4664" s="9">
        <v>6738</v>
      </c>
      <c r="B4664" t="s">
        <v>602</v>
      </c>
      <c r="C4664" s="25">
        <v>44741</v>
      </c>
      <c r="D4664" s="26">
        <v>0.25591435185185185</v>
      </c>
      <c r="E4664" t="s">
        <v>29</v>
      </c>
      <c r="F4664" t="s">
        <v>634</v>
      </c>
      <c r="G4664" t="s">
        <v>211</v>
      </c>
      <c r="H4664" t="s">
        <v>131</v>
      </c>
      <c r="I4664" s="148">
        <v>109.85</v>
      </c>
      <c r="J4664" s="198">
        <f>110+257+104+100+100+389</f>
        <v>1060</v>
      </c>
      <c r="K4664" s="154">
        <v>71</v>
      </c>
      <c r="L4664" s="154">
        <v>2575</v>
      </c>
      <c r="M4664" s="232">
        <f t="shared" si="286"/>
        <v>41.165048543689323</v>
      </c>
    </row>
    <row r="4665" spans="1:13" ht="15.75" hidden="1" customHeight="1" x14ac:dyDescent="0.3">
      <c r="B4665" t="s">
        <v>384</v>
      </c>
      <c r="C4665" s="25">
        <v>44763</v>
      </c>
      <c r="D4665" s="26">
        <v>0.83013888888888887</v>
      </c>
      <c r="E4665" t="s">
        <v>30</v>
      </c>
      <c r="F4665" t="s">
        <v>274</v>
      </c>
      <c r="G4665" t="s">
        <v>495</v>
      </c>
      <c r="H4665" t="s">
        <v>192</v>
      </c>
      <c r="I4665" s="160">
        <v>50</v>
      </c>
      <c r="J4665" s="8"/>
      <c r="K4665" s="8">
        <v>831033</v>
      </c>
      <c r="L4665" s="8">
        <f>+K4665-J4665</f>
        <v>831033</v>
      </c>
      <c r="M4665" s="254">
        <f t="shared" si="286"/>
        <v>0</v>
      </c>
    </row>
    <row r="4666" spans="1:13" ht="15.75" hidden="1" customHeight="1" x14ac:dyDescent="0.3">
      <c r="A4666" s="9">
        <v>4106</v>
      </c>
      <c r="B4666" t="s">
        <v>602</v>
      </c>
      <c r="C4666" s="25">
        <v>44691</v>
      </c>
      <c r="D4666" s="26">
        <v>5.7476851851851855E-2</v>
      </c>
      <c r="E4666" t="s">
        <v>28</v>
      </c>
      <c r="F4666" t="s">
        <v>210</v>
      </c>
      <c r="G4666" t="s">
        <v>211</v>
      </c>
      <c r="H4666" t="s">
        <v>306</v>
      </c>
      <c r="I4666">
        <v>117.04</v>
      </c>
      <c r="J4666" s="37">
        <v>0</v>
      </c>
      <c r="K4666" s="97">
        <f>+L4666-J4666</f>
        <v>713</v>
      </c>
      <c r="L4666" s="37">
        <v>713</v>
      </c>
      <c r="M4666" s="132">
        <f t="shared" ref="M4666:M4709" si="287">I4666/K4666*100</f>
        <v>16.415147265077142</v>
      </c>
    </row>
    <row r="4667" spans="1:13" ht="15.75" hidden="1" customHeight="1" x14ac:dyDescent="0.3">
      <c r="A4667" s="9">
        <v>4107</v>
      </c>
      <c r="B4667" t="s">
        <v>602</v>
      </c>
      <c r="C4667" s="25">
        <v>44691</v>
      </c>
      <c r="D4667" s="26">
        <v>0.72930555555555554</v>
      </c>
      <c r="E4667" t="s">
        <v>28</v>
      </c>
      <c r="F4667" t="s">
        <v>210</v>
      </c>
      <c r="G4667" t="s">
        <v>211</v>
      </c>
      <c r="H4667" t="s">
        <v>306</v>
      </c>
      <c r="I4667">
        <v>163.89</v>
      </c>
      <c r="J4667" s="32">
        <v>0</v>
      </c>
      <c r="K4667" s="90">
        <f>+L4667-J4667</f>
        <v>1053</v>
      </c>
      <c r="L4667" s="32">
        <v>1053</v>
      </c>
      <c r="M4667" s="91">
        <f t="shared" si="287"/>
        <v>15.564102564102564</v>
      </c>
    </row>
    <row r="4668" spans="1:13" ht="15.75" hidden="1" customHeight="1" x14ac:dyDescent="0.3">
      <c r="A4668" s="9">
        <v>4230</v>
      </c>
      <c r="B4668" t="s">
        <v>602</v>
      </c>
      <c r="C4668" s="25">
        <v>44693</v>
      </c>
      <c r="D4668" s="26">
        <v>0.9459953703703704</v>
      </c>
      <c r="E4668" t="s">
        <v>28</v>
      </c>
      <c r="F4668" t="s">
        <v>343</v>
      </c>
      <c r="G4668" t="s">
        <v>344</v>
      </c>
      <c r="H4668" t="s">
        <v>131</v>
      </c>
      <c r="I4668">
        <v>100</v>
      </c>
      <c r="J4668" s="32">
        <v>0</v>
      </c>
      <c r="K4668" s="90">
        <f>+L4668-J4801</f>
        <v>3081</v>
      </c>
      <c r="L4668" s="32">
        <v>3081</v>
      </c>
      <c r="M4668" s="91">
        <f t="shared" si="287"/>
        <v>3.2456994482310937</v>
      </c>
    </row>
    <row r="4669" spans="1:13" ht="15.75" hidden="1" customHeight="1" x14ac:dyDescent="0.3">
      <c r="A4669" s="9">
        <v>4269</v>
      </c>
      <c r="B4669" t="s">
        <v>602</v>
      </c>
      <c r="C4669" s="25">
        <v>44694</v>
      </c>
      <c r="D4669" s="26">
        <v>0.23143518518518516</v>
      </c>
      <c r="E4669" t="s">
        <v>28</v>
      </c>
      <c r="F4669" t="s">
        <v>166</v>
      </c>
      <c r="G4669" t="s">
        <v>161</v>
      </c>
      <c r="H4669" t="s">
        <v>131</v>
      </c>
      <c r="I4669">
        <v>218</v>
      </c>
      <c r="J4669" s="32">
        <v>0</v>
      </c>
      <c r="K4669" s="90">
        <f t="shared" ref="K4669:K4674" si="288">+L4669-J4801</f>
        <v>123</v>
      </c>
      <c r="L4669" s="32">
        <v>123</v>
      </c>
      <c r="M4669" s="91">
        <f t="shared" si="287"/>
        <v>177.23577235772359</v>
      </c>
    </row>
    <row r="4670" spans="1:13" ht="3" hidden="1" customHeight="1" x14ac:dyDescent="0.3">
      <c r="A4670" s="9">
        <v>4286</v>
      </c>
      <c r="B4670" t="s">
        <v>602</v>
      </c>
      <c r="C4670" s="25">
        <v>44694</v>
      </c>
      <c r="D4670" s="26">
        <v>0.11135416666666666</v>
      </c>
      <c r="E4670" t="s">
        <v>28</v>
      </c>
      <c r="F4670" t="s">
        <v>530</v>
      </c>
      <c r="G4670" t="s">
        <v>489</v>
      </c>
      <c r="H4670" t="s">
        <v>131</v>
      </c>
      <c r="I4670">
        <v>253.93</v>
      </c>
      <c r="J4670" s="32">
        <v>0</v>
      </c>
      <c r="K4670" s="90">
        <f t="shared" si="288"/>
        <v>259</v>
      </c>
      <c r="L4670" s="32">
        <v>259</v>
      </c>
      <c r="M4670" s="91">
        <f t="shared" si="287"/>
        <v>98.04247104247105</v>
      </c>
    </row>
    <row r="4671" spans="1:13" hidden="1" x14ac:dyDescent="0.3">
      <c r="A4671" s="9">
        <v>4287</v>
      </c>
      <c r="B4671" t="s">
        <v>602</v>
      </c>
      <c r="C4671" s="25">
        <v>44694</v>
      </c>
      <c r="D4671" s="26">
        <v>0.14903935185185185</v>
      </c>
      <c r="E4671" t="s">
        <v>28</v>
      </c>
      <c r="F4671" t="s">
        <v>366</v>
      </c>
      <c r="G4671" t="s">
        <v>367</v>
      </c>
      <c r="H4671" t="s">
        <v>131</v>
      </c>
      <c r="I4671">
        <v>100.01</v>
      </c>
      <c r="J4671" s="38">
        <v>0</v>
      </c>
      <c r="K4671" s="92">
        <f t="shared" si="288"/>
        <v>46</v>
      </c>
      <c r="L4671" s="37">
        <v>46</v>
      </c>
      <c r="M4671" s="118">
        <f t="shared" si="287"/>
        <v>217.4130434782609</v>
      </c>
    </row>
    <row r="4672" spans="1:13" ht="15.75" hidden="1" customHeight="1" x14ac:dyDescent="0.3">
      <c r="A4672" s="9">
        <v>4288</v>
      </c>
      <c r="B4672" t="s">
        <v>602</v>
      </c>
      <c r="C4672" s="25">
        <v>44694</v>
      </c>
      <c r="D4672" s="26">
        <v>0.57491898148148146</v>
      </c>
      <c r="E4672" t="s">
        <v>28</v>
      </c>
      <c r="F4672" t="s">
        <v>278</v>
      </c>
      <c r="G4672" t="s">
        <v>279</v>
      </c>
      <c r="H4672" t="s">
        <v>131</v>
      </c>
      <c r="I4672">
        <v>209.48</v>
      </c>
      <c r="J4672" s="33">
        <v>0</v>
      </c>
      <c r="K4672" s="89">
        <f t="shared" si="288"/>
        <v>433</v>
      </c>
      <c r="L4672" s="32">
        <v>433</v>
      </c>
      <c r="M4672" s="36">
        <f t="shared" si="287"/>
        <v>48.378752886836025</v>
      </c>
    </row>
    <row r="4673" spans="1:13" ht="15.75" hidden="1" customHeight="1" x14ac:dyDescent="0.3">
      <c r="A4673" s="9">
        <v>4350</v>
      </c>
      <c r="B4673" t="s">
        <v>602</v>
      </c>
      <c r="C4673" s="25">
        <v>44695</v>
      </c>
      <c r="D4673" s="26">
        <v>0.21601851851851853</v>
      </c>
      <c r="E4673" t="s">
        <v>28</v>
      </c>
      <c r="F4673" t="s">
        <v>210</v>
      </c>
      <c r="G4673" t="s">
        <v>211</v>
      </c>
      <c r="H4673" t="s">
        <v>131</v>
      </c>
      <c r="I4673">
        <v>175.32</v>
      </c>
      <c r="J4673" s="33">
        <v>0</v>
      </c>
      <c r="K4673" s="89">
        <f t="shared" si="288"/>
        <v>561</v>
      </c>
      <c r="L4673" s="32">
        <v>561</v>
      </c>
      <c r="M4673" s="36">
        <f t="shared" si="287"/>
        <v>31.251336898395721</v>
      </c>
    </row>
    <row r="4674" spans="1:13" ht="15.75" hidden="1" customHeight="1" x14ac:dyDescent="0.3">
      <c r="A4674" s="9">
        <v>4475</v>
      </c>
      <c r="B4674" t="s">
        <v>602</v>
      </c>
      <c r="C4674" s="25">
        <v>44697</v>
      </c>
      <c r="D4674" s="26">
        <v>5.1064814814814813E-2</v>
      </c>
      <c r="E4674" t="s">
        <v>28</v>
      </c>
      <c r="F4674" t="s">
        <v>339</v>
      </c>
      <c r="G4674" t="s">
        <v>392</v>
      </c>
      <c r="H4674" t="s">
        <v>131</v>
      </c>
      <c r="I4674">
        <v>283.99</v>
      </c>
      <c r="J4674" s="33">
        <v>0</v>
      </c>
      <c r="K4674" s="89">
        <f t="shared" si="288"/>
        <v>905</v>
      </c>
      <c r="L4674" s="32">
        <v>905</v>
      </c>
      <c r="M4674" s="36">
        <f t="shared" si="287"/>
        <v>31.380110497237567</v>
      </c>
    </row>
    <row r="4675" spans="1:13" ht="15.75" hidden="1" customHeight="1" x14ac:dyDescent="0.3">
      <c r="A4675" s="9">
        <v>4521</v>
      </c>
      <c r="B4675" t="s">
        <v>602</v>
      </c>
      <c r="C4675" s="25">
        <v>44698</v>
      </c>
      <c r="D4675" s="26">
        <v>0.17354166666666668</v>
      </c>
      <c r="E4675" t="s">
        <v>28</v>
      </c>
      <c r="F4675" t="s">
        <v>210</v>
      </c>
      <c r="G4675" t="s">
        <v>211</v>
      </c>
      <c r="H4675" t="s">
        <v>131</v>
      </c>
      <c r="I4675">
        <v>378.76</v>
      </c>
      <c r="J4675" s="32">
        <v>0</v>
      </c>
      <c r="K4675" s="89">
        <f t="shared" ref="K4675:K4681" si="289">+L4675-J4946</f>
        <v>861</v>
      </c>
      <c r="L4675" s="32">
        <v>861</v>
      </c>
      <c r="M4675" s="36">
        <f t="shared" si="287"/>
        <v>43.990708478513355</v>
      </c>
    </row>
    <row r="4676" spans="1:13" ht="15.75" hidden="1" customHeight="1" x14ac:dyDescent="0.3">
      <c r="A4676" s="9">
        <v>4632</v>
      </c>
      <c r="B4676" t="s">
        <v>602</v>
      </c>
      <c r="C4676" s="25">
        <v>44700</v>
      </c>
      <c r="D4676" s="26">
        <v>0.91575231481481489</v>
      </c>
      <c r="E4676" t="s">
        <v>28</v>
      </c>
      <c r="F4676" t="s">
        <v>210</v>
      </c>
      <c r="G4676" t="s">
        <v>211</v>
      </c>
      <c r="H4676" t="s">
        <v>131</v>
      </c>
      <c r="I4676">
        <v>433.01</v>
      </c>
      <c r="J4676" s="32">
        <v>0</v>
      </c>
      <c r="K4676" s="89">
        <f t="shared" si="289"/>
        <v>1036</v>
      </c>
      <c r="L4676" s="32">
        <v>1036</v>
      </c>
      <c r="M4676" s="36">
        <f t="shared" si="287"/>
        <v>41.796332046332047</v>
      </c>
    </row>
    <row r="4677" spans="1:13" ht="15.75" hidden="1" customHeight="1" x14ac:dyDescent="0.3">
      <c r="A4677" s="9">
        <v>4905</v>
      </c>
      <c r="B4677" t="s">
        <v>602</v>
      </c>
      <c r="C4677" s="25">
        <v>44705</v>
      </c>
      <c r="D4677" s="26">
        <v>6.5497685185185187E-2</v>
      </c>
      <c r="E4677" t="s">
        <v>28</v>
      </c>
      <c r="F4677" t="s">
        <v>630</v>
      </c>
      <c r="G4677" t="s">
        <v>631</v>
      </c>
      <c r="H4677" t="s">
        <v>131</v>
      </c>
      <c r="I4677">
        <v>50.12</v>
      </c>
      <c r="J4677" s="32">
        <v>0</v>
      </c>
      <c r="K4677" s="89">
        <f t="shared" si="289"/>
        <v>1119</v>
      </c>
      <c r="L4677" s="32">
        <v>1119</v>
      </c>
      <c r="M4677" s="36">
        <f t="shared" si="287"/>
        <v>4.4789991063449506</v>
      </c>
    </row>
    <row r="4678" spans="1:13" ht="15.75" hidden="1" customHeight="1" x14ac:dyDescent="0.3">
      <c r="A4678" s="9">
        <v>4906</v>
      </c>
      <c r="B4678" t="s">
        <v>602</v>
      </c>
      <c r="C4678" s="25">
        <v>44705</v>
      </c>
      <c r="D4678" s="26">
        <v>8.4097222222222226E-2</v>
      </c>
      <c r="E4678" t="s">
        <v>28</v>
      </c>
      <c r="F4678" t="s">
        <v>262</v>
      </c>
      <c r="G4678" t="s">
        <v>263</v>
      </c>
      <c r="H4678" t="s">
        <v>131</v>
      </c>
      <c r="I4678">
        <v>200</v>
      </c>
      <c r="J4678" s="32">
        <v>0</v>
      </c>
      <c r="K4678" s="89">
        <f t="shared" si="289"/>
        <v>20</v>
      </c>
      <c r="L4678" s="32">
        <v>20</v>
      </c>
      <c r="M4678" s="36">
        <f t="shared" si="287"/>
        <v>1000</v>
      </c>
    </row>
    <row r="4679" spans="1:13" ht="15.75" hidden="1" customHeight="1" x14ac:dyDescent="0.3">
      <c r="A4679" s="9">
        <v>4907</v>
      </c>
      <c r="B4679" t="s">
        <v>602</v>
      </c>
      <c r="C4679" s="25">
        <v>44705</v>
      </c>
      <c r="D4679" s="26">
        <v>0.15687500000000001</v>
      </c>
      <c r="E4679" t="s">
        <v>28</v>
      </c>
      <c r="F4679" t="s">
        <v>541</v>
      </c>
      <c r="G4679" t="s">
        <v>542</v>
      </c>
      <c r="H4679" t="s">
        <v>131</v>
      </c>
      <c r="I4679">
        <v>50.02</v>
      </c>
      <c r="J4679" s="32">
        <v>0</v>
      </c>
      <c r="K4679" s="89">
        <f t="shared" si="289"/>
        <v>99</v>
      </c>
      <c r="L4679" s="32">
        <v>99</v>
      </c>
      <c r="M4679" s="36">
        <f t="shared" si="287"/>
        <v>50.525252525252526</v>
      </c>
    </row>
    <row r="4680" spans="1:13" ht="15.75" hidden="1" customHeight="1" x14ac:dyDescent="0.3">
      <c r="A4680" s="9">
        <v>4908</v>
      </c>
      <c r="B4680" t="s">
        <v>602</v>
      </c>
      <c r="C4680" s="25">
        <v>44705</v>
      </c>
      <c r="D4680" s="26">
        <v>0.70747685185185183</v>
      </c>
      <c r="E4680" t="s">
        <v>28</v>
      </c>
      <c r="F4680" t="s">
        <v>210</v>
      </c>
      <c r="G4680" t="s">
        <v>211</v>
      </c>
      <c r="H4680" t="s">
        <v>131</v>
      </c>
      <c r="I4680">
        <v>359.8</v>
      </c>
      <c r="J4680" s="37">
        <v>0</v>
      </c>
      <c r="K4680" s="89">
        <f t="shared" si="289"/>
        <v>535</v>
      </c>
      <c r="L4680" s="37">
        <v>535</v>
      </c>
      <c r="M4680" s="36">
        <f t="shared" si="287"/>
        <v>67.252336448598143</v>
      </c>
    </row>
    <row r="4681" spans="1:13" ht="15.75" hidden="1" customHeight="1" x14ac:dyDescent="0.3">
      <c r="A4681" s="9">
        <v>5003</v>
      </c>
      <c r="B4681" t="s">
        <v>602</v>
      </c>
      <c r="C4681" s="25">
        <v>44707</v>
      </c>
      <c r="D4681" s="26">
        <v>0.71423611111111107</v>
      </c>
      <c r="E4681" t="s">
        <v>28</v>
      </c>
      <c r="F4681" t="s">
        <v>634</v>
      </c>
      <c r="G4681" t="s">
        <v>211</v>
      </c>
      <c r="H4681" t="s">
        <v>131</v>
      </c>
      <c r="I4681">
        <v>500.27</v>
      </c>
      <c r="J4681" s="37">
        <v>0</v>
      </c>
      <c r="K4681" s="89">
        <f t="shared" si="289"/>
        <v>1105</v>
      </c>
      <c r="L4681" s="7">
        <v>1105</v>
      </c>
      <c r="M4681" s="36">
        <f t="shared" si="287"/>
        <v>45.273303167420814</v>
      </c>
    </row>
    <row r="4682" spans="1:13" ht="15.75" hidden="1" customHeight="1" x14ac:dyDescent="0.3">
      <c r="A4682" s="9">
        <v>5110</v>
      </c>
      <c r="B4682" t="s">
        <v>602</v>
      </c>
      <c r="C4682" s="25">
        <v>44709</v>
      </c>
      <c r="D4682" s="26">
        <v>0.42326388888888888</v>
      </c>
      <c r="E4682" t="s">
        <v>28</v>
      </c>
      <c r="F4682" t="s">
        <v>641</v>
      </c>
      <c r="G4682" t="s">
        <v>172</v>
      </c>
      <c r="H4682" t="s">
        <v>131</v>
      </c>
      <c r="I4682">
        <v>376.07</v>
      </c>
      <c r="J4682" s="37">
        <v>0</v>
      </c>
      <c r="K4682" s="89">
        <f>+L4682-J4965</f>
        <v>1094</v>
      </c>
      <c r="L4682" s="7">
        <v>1094</v>
      </c>
      <c r="M4682" s="36">
        <f t="shared" si="287"/>
        <v>34.375685557586841</v>
      </c>
    </row>
    <row r="4683" spans="1:13" ht="15.75" hidden="1" customHeight="1" x14ac:dyDescent="0.3">
      <c r="A4683" s="9">
        <v>5111</v>
      </c>
      <c r="B4683" t="s">
        <v>602</v>
      </c>
      <c r="C4683" s="25">
        <v>44709</v>
      </c>
      <c r="D4683" s="26">
        <v>0.95665509259259263</v>
      </c>
      <c r="E4683" t="s">
        <v>28</v>
      </c>
      <c r="F4683" t="s">
        <v>634</v>
      </c>
      <c r="G4683" t="s">
        <v>211</v>
      </c>
      <c r="H4683" t="s">
        <v>131</v>
      </c>
      <c r="I4683">
        <v>274.14</v>
      </c>
      <c r="J4683" s="32">
        <v>0</v>
      </c>
      <c r="K4683" s="89">
        <f>+L4683-J4966</f>
        <v>691</v>
      </c>
      <c r="L4683" s="35">
        <v>691</v>
      </c>
      <c r="M4683" s="36">
        <f t="shared" si="287"/>
        <v>39.672937771345872</v>
      </c>
    </row>
    <row r="4684" spans="1:13" ht="15.75" hidden="1" customHeight="1" x14ac:dyDescent="0.3">
      <c r="A4684" s="9">
        <v>5221</v>
      </c>
      <c r="B4684" t="s">
        <v>602</v>
      </c>
      <c r="C4684" s="25">
        <v>44711</v>
      </c>
      <c r="D4684" s="26">
        <v>0.84248842592592599</v>
      </c>
      <c r="E4684" t="s">
        <v>28</v>
      </c>
      <c r="F4684" t="s">
        <v>634</v>
      </c>
      <c r="G4684" t="s">
        <v>211</v>
      </c>
      <c r="H4684" t="s">
        <v>131</v>
      </c>
      <c r="I4684">
        <v>471.8</v>
      </c>
      <c r="J4684" s="32">
        <v>0</v>
      </c>
      <c r="K4684" s="94">
        <f>+L4684-J4958</f>
        <v>1122</v>
      </c>
      <c r="L4684" s="7">
        <v>1122</v>
      </c>
      <c r="M4684" s="36">
        <f t="shared" si="287"/>
        <v>42.04991087344029</v>
      </c>
    </row>
    <row r="4685" spans="1:13" ht="15.75" hidden="1" customHeight="1" x14ac:dyDescent="0.3">
      <c r="A4685" s="9">
        <v>5306</v>
      </c>
      <c r="B4685" t="s">
        <v>602</v>
      </c>
      <c r="C4685" s="25">
        <v>44713</v>
      </c>
      <c r="D4685" s="26">
        <v>0.46012731481481484</v>
      </c>
      <c r="E4685" t="s">
        <v>29</v>
      </c>
      <c r="F4685" t="s">
        <v>641</v>
      </c>
      <c r="G4685" t="s">
        <v>172</v>
      </c>
      <c r="H4685" t="s">
        <v>131</v>
      </c>
      <c r="I4685">
        <v>358.16</v>
      </c>
      <c r="J4685" s="32">
        <v>0</v>
      </c>
      <c r="K4685" s="89">
        <f>+L4685-J4909</f>
        <v>1033</v>
      </c>
      <c r="L4685" s="35">
        <v>1033</v>
      </c>
      <c r="M4685" s="36">
        <f t="shared" si="287"/>
        <v>34.671829622458858</v>
      </c>
    </row>
    <row r="4686" spans="1:13" ht="15.75" hidden="1" customHeight="1" x14ac:dyDescent="0.3">
      <c r="A4686" s="9">
        <v>5371</v>
      </c>
      <c r="B4686" t="s">
        <v>602</v>
      </c>
      <c r="C4686" s="25">
        <v>44714</v>
      </c>
      <c r="D4686" s="26">
        <v>0.44568287037037035</v>
      </c>
      <c r="E4686" t="s">
        <v>29</v>
      </c>
      <c r="F4686" t="s">
        <v>645</v>
      </c>
      <c r="G4686" t="s">
        <v>279</v>
      </c>
      <c r="H4686" t="s">
        <v>131</v>
      </c>
      <c r="I4686">
        <v>435.74</v>
      </c>
      <c r="J4686" s="32">
        <v>0</v>
      </c>
      <c r="K4686" s="94">
        <f>+L4686-J4910</f>
        <v>1046</v>
      </c>
      <c r="L4686" s="7">
        <v>1046</v>
      </c>
      <c r="M4686" s="36">
        <f t="shared" si="287"/>
        <v>41.657743785850862</v>
      </c>
    </row>
    <row r="4687" spans="1:13" ht="15.75" hidden="1" customHeight="1" x14ac:dyDescent="0.3">
      <c r="A4687" s="9">
        <v>5428</v>
      </c>
      <c r="B4687" t="s">
        <v>602</v>
      </c>
      <c r="C4687" s="25">
        <v>44715</v>
      </c>
      <c r="D4687" s="26">
        <v>0.29655092592592591</v>
      </c>
      <c r="E4687" t="s">
        <v>29</v>
      </c>
      <c r="F4687" t="s">
        <v>632</v>
      </c>
      <c r="G4687" t="s">
        <v>161</v>
      </c>
      <c r="H4687" t="s">
        <v>131</v>
      </c>
      <c r="I4687">
        <v>130.72</v>
      </c>
      <c r="J4687" s="32">
        <v>0</v>
      </c>
      <c r="K4687" s="94">
        <f>+L4687-J4904</f>
        <v>790</v>
      </c>
      <c r="L4687" s="7">
        <v>790</v>
      </c>
      <c r="M4687" s="36">
        <f t="shared" si="287"/>
        <v>16.546835443037974</v>
      </c>
    </row>
    <row r="4688" spans="1:13" ht="15.75" hidden="1" customHeight="1" x14ac:dyDescent="0.3">
      <c r="A4688" s="9">
        <v>5482</v>
      </c>
      <c r="B4688" t="s">
        <v>602</v>
      </c>
      <c r="C4688" s="25">
        <v>44716</v>
      </c>
      <c r="D4688" s="26">
        <v>0.47795138888888888</v>
      </c>
      <c r="E4688" t="s">
        <v>29</v>
      </c>
      <c r="F4688" t="s">
        <v>708</v>
      </c>
      <c r="G4688" t="s">
        <v>277</v>
      </c>
      <c r="H4688" t="s">
        <v>131</v>
      </c>
      <c r="I4688">
        <v>412.58</v>
      </c>
      <c r="J4688" s="32">
        <v>0</v>
      </c>
      <c r="K4688" s="89">
        <f>+L4688-J4905</f>
        <v>646</v>
      </c>
      <c r="L4688" s="7">
        <v>646</v>
      </c>
      <c r="M4688" s="36">
        <f t="shared" si="287"/>
        <v>63.866873065015476</v>
      </c>
    </row>
    <row r="4689" spans="1:19" ht="15.75" hidden="1" customHeight="1" x14ac:dyDescent="0.3">
      <c r="A4689" s="9">
        <v>5627</v>
      </c>
      <c r="B4689" t="s">
        <v>602</v>
      </c>
      <c r="C4689" s="25">
        <v>44719</v>
      </c>
      <c r="D4689" s="26">
        <v>0.60856481481481484</v>
      </c>
      <c r="E4689" t="s">
        <v>29</v>
      </c>
      <c r="F4689" t="s">
        <v>634</v>
      </c>
      <c r="G4689" t="s">
        <v>211</v>
      </c>
      <c r="H4689" t="s">
        <v>131</v>
      </c>
      <c r="I4689">
        <v>380.6</v>
      </c>
      <c r="J4689" s="32">
        <v>0</v>
      </c>
      <c r="K4689" s="89">
        <f t="shared" ref="K4689:K4694" si="290">+L4689-J4249</f>
        <v>971</v>
      </c>
      <c r="L4689" s="7">
        <v>971</v>
      </c>
      <c r="M4689" s="36">
        <f t="shared" si="287"/>
        <v>39.196704428424304</v>
      </c>
    </row>
    <row r="4690" spans="1:19" ht="15.75" hidden="1" customHeight="1" x14ac:dyDescent="0.3">
      <c r="A4690" s="9">
        <v>5737</v>
      </c>
      <c r="B4690" t="s">
        <v>602</v>
      </c>
      <c r="C4690" s="25">
        <v>44721</v>
      </c>
      <c r="D4690" s="26">
        <v>4.189814814814815E-2</v>
      </c>
      <c r="E4690" t="s">
        <v>29</v>
      </c>
      <c r="F4690" t="s">
        <v>635</v>
      </c>
      <c r="G4690" t="s">
        <v>185</v>
      </c>
      <c r="H4690" t="s">
        <v>131</v>
      </c>
      <c r="I4690">
        <v>203.09</v>
      </c>
      <c r="J4690" s="32">
        <v>0</v>
      </c>
      <c r="K4690" s="89">
        <f t="shared" si="290"/>
        <v>987</v>
      </c>
      <c r="L4690" s="7">
        <v>987</v>
      </c>
      <c r="M4690" s="36">
        <f t="shared" si="287"/>
        <v>20.576494427558259</v>
      </c>
    </row>
    <row r="4691" spans="1:19" ht="15.75" hidden="1" customHeight="1" x14ac:dyDescent="0.3">
      <c r="A4691" s="9">
        <v>5738</v>
      </c>
      <c r="B4691" t="s">
        <v>602</v>
      </c>
      <c r="C4691" s="25">
        <v>44721</v>
      </c>
      <c r="D4691" s="26">
        <v>0.87990740740740747</v>
      </c>
      <c r="E4691" t="s">
        <v>29</v>
      </c>
      <c r="F4691" t="s">
        <v>635</v>
      </c>
      <c r="G4691" t="s">
        <v>185</v>
      </c>
      <c r="H4691" t="s">
        <v>131</v>
      </c>
      <c r="I4691">
        <v>200.51</v>
      </c>
      <c r="J4691" s="32">
        <v>0</v>
      </c>
      <c r="K4691" s="89">
        <f t="shared" si="290"/>
        <v>439</v>
      </c>
      <c r="L4691" s="7">
        <v>439</v>
      </c>
      <c r="M4691" s="36">
        <f t="shared" si="287"/>
        <v>45.674259681093396</v>
      </c>
    </row>
    <row r="4692" spans="1:19" ht="15.75" hidden="1" customHeight="1" x14ac:dyDescent="0.3">
      <c r="A4692" s="9">
        <v>5777</v>
      </c>
      <c r="B4692" t="s">
        <v>602</v>
      </c>
      <c r="C4692" s="25">
        <v>44722</v>
      </c>
      <c r="D4692" s="26">
        <v>0.78331018518518514</v>
      </c>
      <c r="E4692" t="s">
        <v>29</v>
      </c>
      <c r="F4692" t="s">
        <v>635</v>
      </c>
      <c r="G4692" t="s">
        <v>185</v>
      </c>
      <c r="H4692" t="s">
        <v>131</v>
      </c>
      <c r="I4692">
        <v>202.44</v>
      </c>
      <c r="J4692" s="32">
        <v>0</v>
      </c>
      <c r="K4692" s="89">
        <f t="shared" si="290"/>
        <v>440</v>
      </c>
      <c r="L4692" s="7">
        <v>440</v>
      </c>
      <c r="M4692" s="36">
        <f t="shared" si="287"/>
        <v>46.009090909090908</v>
      </c>
    </row>
    <row r="4693" spans="1:19" ht="15.75" hidden="1" customHeight="1" x14ac:dyDescent="0.3">
      <c r="A4693" s="9">
        <v>5842</v>
      </c>
      <c r="B4693" t="s">
        <v>602</v>
      </c>
      <c r="C4693" s="25">
        <v>44723</v>
      </c>
      <c r="D4693" s="26">
        <v>0.82284722222222229</v>
      </c>
      <c r="E4693" t="s">
        <v>29</v>
      </c>
      <c r="F4693" t="s">
        <v>635</v>
      </c>
      <c r="G4693" t="s">
        <v>185</v>
      </c>
      <c r="H4693" t="s">
        <v>131</v>
      </c>
      <c r="I4693">
        <v>386.62</v>
      </c>
      <c r="J4693" s="32">
        <v>0</v>
      </c>
      <c r="K4693" s="89">
        <f t="shared" si="290"/>
        <v>439</v>
      </c>
      <c r="L4693" s="7">
        <v>439</v>
      </c>
      <c r="M4693" s="36">
        <f t="shared" si="287"/>
        <v>88.068337129840543</v>
      </c>
    </row>
    <row r="4694" spans="1:19" ht="15.75" hidden="1" customHeight="1" x14ac:dyDescent="0.3">
      <c r="A4694" s="9">
        <v>5889</v>
      </c>
      <c r="B4694" t="s">
        <v>602</v>
      </c>
      <c r="C4694" s="25">
        <v>44724</v>
      </c>
      <c r="D4694" s="26">
        <v>0.6366087962962963</v>
      </c>
      <c r="E4694" t="s">
        <v>29</v>
      </c>
      <c r="F4694" t="s">
        <v>642</v>
      </c>
      <c r="G4694" t="s">
        <v>203</v>
      </c>
      <c r="H4694" t="s">
        <v>131</v>
      </c>
      <c r="I4694">
        <v>156.6</v>
      </c>
      <c r="J4694" s="32">
        <v>0</v>
      </c>
      <c r="K4694" s="89">
        <f t="shared" si="290"/>
        <v>541</v>
      </c>
      <c r="L4694" s="7">
        <v>541</v>
      </c>
      <c r="M4694" s="36">
        <f t="shared" si="287"/>
        <v>28.946395563770793</v>
      </c>
    </row>
    <row r="4695" spans="1:19" ht="15.75" hidden="1" customHeight="1" x14ac:dyDescent="0.3">
      <c r="A4695" s="9">
        <v>5950</v>
      </c>
      <c r="B4695" t="s">
        <v>602</v>
      </c>
      <c r="C4695" s="25">
        <v>44725</v>
      </c>
      <c r="D4695" s="26">
        <v>0.61269675925925926</v>
      </c>
      <c r="E4695" t="s">
        <v>29</v>
      </c>
      <c r="F4695" t="s">
        <v>642</v>
      </c>
      <c r="G4695" t="s">
        <v>203</v>
      </c>
      <c r="H4695" t="s">
        <v>131</v>
      </c>
      <c r="I4695">
        <v>178.86</v>
      </c>
      <c r="J4695" s="32">
        <v>0</v>
      </c>
      <c r="K4695" s="94">
        <f>+L4695-J4259</f>
        <v>510</v>
      </c>
      <c r="L4695" s="7">
        <v>510</v>
      </c>
      <c r="M4695" s="36">
        <f t="shared" si="287"/>
        <v>35.070588235294117</v>
      </c>
      <c r="N4695" s="2"/>
      <c r="O4695" s="2"/>
      <c r="P4695" s="2"/>
      <c r="Q4695" s="2"/>
      <c r="R4695" s="2"/>
      <c r="S4695" s="2"/>
    </row>
    <row r="4696" spans="1:19" ht="15.75" hidden="1" customHeight="1" x14ac:dyDescent="0.3">
      <c r="A4696" s="9">
        <v>6005</v>
      </c>
      <c r="B4696" t="s">
        <v>602</v>
      </c>
      <c r="C4696" s="25">
        <v>44726</v>
      </c>
      <c r="D4696" s="26">
        <v>0.59096064814814808</v>
      </c>
      <c r="E4696" t="s">
        <v>29</v>
      </c>
      <c r="F4696" t="s">
        <v>635</v>
      </c>
      <c r="G4696" t="s">
        <v>185</v>
      </c>
      <c r="H4696" t="s">
        <v>131</v>
      </c>
      <c r="I4696">
        <v>314.16000000000003</v>
      </c>
      <c r="J4696" s="32">
        <v>0</v>
      </c>
      <c r="K4696" s="89">
        <v>704</v>
      </c>
      <c r="L4696" s="34">
        <v>704</v>
      </c>
      <c r="M4696" s="36">
        <f t="shared" si="287"/>
        <v>44.625</v>
      </c>
    </row>
    <row r="4697" spans="1:19" ht="15.75" hidden="1" customHeight="1" x14ac:dyDescent="0.3">
      <c r="A4697" s="9">
        <v>6070</v>
      </c>
      <c r="B4697" t="s">
        <v>602</v>
      </c>
      <c r="C4697" s="25">
        <v>44727</v>
      </c>
      <c r="D4697" s="26">
        <v>0.27671296296296294</v>
      </c>
      <c r="E4697" t="s">
        <v>29</v>
      </c>
      <c r="F4697" t="s">
        <v>634</v>
      </c>
      <c r="G4697" t="s">
        <v>211</v>
      </c>
      <c r="H4697" t="s">
        <v>131</v>
      </c>
      <c r="I4697" s="148">
        <v>149.41999999999999</v>
      </c>
      <c r="J4697" s="32">
        <v>0</v>
      </c>
      <c r="K4697" s="89">
        <v>514</v>
      </c>
      <c r="L4697" s="7">
        <v>514</v>
      </c>
      <c r="M4697" s="36">
        <f t="shared" si="287"/>
        <v>29.070038910505836</v>
      </c>
    </row>
    <row r="4698" spans="1:19" ht="15.75" hidden="1" customHeight="1" x14ac:dyDescent="0.3">
      <c r="A4698" s="9">
        <v>6309</v>
      </c>
      <c r="B4698" t="s">
        <v>602</v>
      </c>
      <c r="C4698" s="25">
        <v>44733</v>
      </c>
      <c r="D4698" s="26">
        <v>0.87046296296296299</v>
      </c>
      <c r="E4698" t="s">
        <v>29</v>
      </c>
      <c r="F4698" t="s">
        <v>638</v>
      </c>
      <c r="G4698" t="s">
        <v>263</v>
      </c>
      <c r="H4698" t="s">
        <v>131</v>
      </c>
      <c r="I4698" s="148">
        <v>200</v>
      </c>
      <c r="J4698" s="32">
        <v>0</v>
      </c>
      <c r="K4698" s="89">
        <v>1182</v>
      </c>
      <c r="L4698" s="7">
        <v>1182</v>
      </c>
      <c r="M4698" s="36">
        <f t="shared" si="287"/>
        <v>16.920473773265652</v>
      </c>
    </row>
    <row r="4699" spans="1:19" ht="15.75" hidden="1" customHeight="1" x14ac:dyDescent="0.3">
      <c r="A4699" s="9">
        <v>6310</v>
      </c>
      <c r="B4699" t="s">
        <v>602</v>
      </c>
      <c r="C4699" s="25">
        <v>44733</v>
      </c>
      <c r="D4699" s="26">
        <v>0.9377199074074074</v>
      </c>
      <c r="E4699" t="s">
        <v>29</v>
      </c>
      <c r="F4699" t="s">
        <v>662</v>
      </c>
      <c r="G4699" t="s">
        <v>542</v>
      </c>
      <c r="H4699" t="s">
        <v>131</v>
      </c>
      <c r="I4699" s="148">
        <v>80</v>
      </c>
      <c r="J4699" s="32">
        <v>0</v>
      </c>
      <c r="K4699" s="89">
        <v>99</v>
      </c>
      <c r="L4699" s="7">
        <v>99</v>
      </c>
      <c r="M4699" s="36">
        <f t="shared" si="287"/>
        <v>80.808080808080803</v>
      </c>
    </row>
    <row r="4700" spans="1:19" ht="15.75" hidden="1" customHeight="1" x14ac:dyDescent="0.3">
      <c r="A4700" s="9">
        <v>6354</v>
      </c>
      <c r="B4700" t="s">
        <v>602</v>
      </c>
      <c r="C4700" s="25">
        <v>44734</v>
      </c>
      <c r="D4700" s="26">
        <v>0.4739814814814815</v>
      </c>
      <c r="E4700" t="s">
        <v>29</v>
      </c>
      <c r="F4700" t="s">
        <v>672</v>
      </c>
      <c r="G4700" t="s">
        <v>367</v>
      </c>
      <c r="H4700" t="s">
        <v>131</v>
      </c>
      <c r="I4700" s="148">
        <v>175.15</v>
      </c>
      <c r="J4700" s="32">
        <v>0</v>
      </c>
      <c r="K4700" s="89">
        <v>336</v>
      </c>
      <c r="L4700" s="7">
        <v>336</v>
      </c>
      <c r="M4700" s="36">
        <f t="shared" si="287"/>
        <v>52.12797619047619</v>
      </c>
    </row>
    <row r="4701" spans="1:19" ht="15.75" hidden="1" customHeight="1" x14ac:dyDescent="0.3">
      <c r="A4701" s="9">
        <v>6355</v>
      </c>
      <c r="B4701" t="s">
        <v>602</v>
      </c>
      <c r="C4701" s="25">
        <v>44734</v>
      </c>
      <c r="D4701" s="26">
        <v>0.64142361111111112</v>
      </c>
      <c r="E4701" t="s">
        <v>29</v>
      </c>
      <c r="F4701" t="s">
        <v>634</v>
      </c>
      <c r="G4701" t="s">
        <v>211</v>
      </c>
      <c r="H4701" t="s">
        <v>131</v>
      </c>
      <c r="I4701" s="148">
        <v>288.95999999999998</v>
      </c>
      <c r="J4701" s="32">
        <v>0</v>
      </c>
      <c r="K4701" s="146">
        <v>186</v>
      </c>
      <c r="L4701" s="123">
        <v>186</v>
      </c>
      <c r="M4701" s="36">
        <f t="shared" si="287"/>
        <v>155.35483870967741</v>
      </c>
    </row>
    <row r="4702" spans="1:19" ht="15.75" hidden="1" customHeight="1" x14ac:dyDescent="0.3">
      <c r="A4702" s="9">
        <v>6402</v>
      </c>
      <c r="B4702" t="s">
        <v>602</v>
      </c>
      <c r="C4702" s="25">
        <v>44735</v>
      </c>
      <c r="D4702" s="26">
        <v>0.74513888888888891</v>
      </c>
      <c r="E4702" t="s">
        <v>29</v>
      </c>
      <c r="F4702" t="s">
        <v>634</v>
      </c>
      <c r="G4702" t="s">
        <v>211</v>
      </c>
      <c r="H4702" t="s">
        <v>131</v>
      </c>
      <c r="I4702" s="148">
        <v>437.93</v>
      </c>
      <c r="J4702" s="32">
        <v>0</v>
      </c>
      <c r="K4702" s="146">
        <v>1062</v>
      </c>
      <c r="L4702" s="123">
        <v>1062</v>
      </c>
      <c r="M4702" s="36">
        <f t="shared" si="287"/>
        <v>41.236346516007529</v>
      </c>
    </row>
    <row r="4703" spans="1:19" ht="15.75" hidden="1" customHeight="1" x14ac:dyDescent="0.3">
      <c r="A4703" s="9">
        <v>6458</v>
      </c>
      <c r="B4703" t="s">
        <v>602</v>
      </c>
      <c r="C4703" s="25">
        <v>44736</v>
      </c>
      <c r="D4703" s="26">
        <v>0.49107638888888888</v>
      </c>
      <c r="E4703" t="s">
        <v>29</v>
      </c>
      <c r="F4703" t="s">
        <v>680</v>
      </c>
      <c r="G4703" t="s">
        <v>402</v>
      </c>
      <c r="H4703" t="s">
        <v>131</v>
      </c>
      <c r="I4703" s="148">
        <v>221.72</v>
      </c>
      <c r="J4703" s="32">
        <v>0</v>
      </c>
      <c r="K4703" s="146">
        <v>655</v>
      </c>
      <c r="L4703" s="123">
        <v>655</v>
      </c>
      <c r="M4703" s="36">
        <f t="shared" si="287"/>
        <v>33.850381679389315</v>
      </c>
    </row>
    <row r="4704" spans="1:19" ht="15.75" hidden="1" customHeight="1" x14ac:dyDescent="0.3">
      <c r="A4704" s="9">
        <v>6564</v>
      </c>
      <c r="B4704" t="s">
        <v>602</v>
      </c>
      <c r="C4704" s="25">
        <v>44738</v>
      </c>
      <c r="D4704" s="26">
        <v>0.84039351851851851</v>
      </c>
      <c r="E4704" t="s">
        <v>29</v>
      </c>
      <c r="F4704" t="s">
        <v>634</v>
      </c>
      <c r="G4704" t="s">
        <v>211</v>
      </c>
      <c r="H4704" t="s">
        <v>131</v>
      </c>
      <c r="I4704" s="148">
        <v>389</v>
      </c>
      <c r="J4704" s="32">
        <v>0</v>
      </c>
      <c r="K4704" s="146">
        <v>982</v>
      </c>
      <c r="L4704" s="123">
        <v>982</v>
      </c>
      <c r="M4704" s="36">
        <f t="shared" si="287"/>
        <v>39.613034623217928</v>
      </c>
    </row>
    <row r="4705" spans="1:13" ht="15.75" hidden="1" customHeight="1" x14ac:dyDescent="0.3">
      <c r="A4705" s="9">
        <v>6681</v>
      </c>
      <c r="B4705" t="s">
        <v>602</v>
      </c>
      <c r="C4705" s="25">
        <v>44740</v>
      </c>
      <c r="D4705" s="26">
        <v>0.8381481481481482</v>
      </c>
      <c r="E4705" t="s">
        <v>29</v>
      </c>
      <c r="F4705" t="s">
        <v>662</v>
      </c>
      <c r="G4705" t="s">
        <v>542</v>
      </c>
      <c r="H4705" t="s">
        <v>131</v>
      </c>
      <c r="I4705" s="148">
        <v>100.07</v>
      </c>
      <c r="J4705" s="32">
        <v>0</v>
      </c>
      <c r="K4705" s="146">
        <v>1068</v>
      </c>
      <c r="L4705" s="123">
        <v>1068</v>
      </c>
      <c r="M4705" s="36">
        <f t="shared" si="287"/>
        <v>9.3698501872659179</v>
      </c>
    </row>
    <row r="4706" spans="1:13" ht="15.75" hidden="1" customHeight="1" x14ac:dyDescent="0.3">
      <c r="A4706" s="9">
        <v>6682</v>
      </c>
      <c r="B4706" t="s">
        <v>602</v>
      </c>
      <c r="C4706" s="25">
        <v>44740</v>
      </c>
      <c r="D4706" s="26">
        <v>0.86791666666666656</v>
      </c>
      <c r="E4706" t="s">
        <v>29</v>
      </c>
      <c r="F4706" t="s">
        <v>663</v>
      </c>
      <c r="G4706" t="s">
        <v>344</v>
      </c>
      <c r="H4706" t="s">
        <v>131</v>
      </c>
      <c r="I4706" s="148">
        <v>100</v>
      </c>
      <c r="J4706" s="32">
        <v>0</v>
      </c>
      <c r="K4706" s="146">
        <v>30</v>
      </c>
      <c r="L4706" s="123">
        <v>30</v>
      </c>
      <c r="M4706" s="36">
        <f t="shared" si="287"/>
        <v>333.33333333333337</v>
      </c>
    </row>
    <row r="4707" spans="1:13" ht="15.75" hidden="1" customHeight="1" x14ac:dyDescent="0.3">
      <c r="A4707" s="9">
        <v>6736</v>
      </c>
      <c r="B4707" t="s">
        <v>602</v>
      </c>
      <c r="C4707" s="25">
        <v>44741</v>
      </c>
      <c r="D4707" s="26">
        <v>5.9884259259259255E-2</v>
      </c>
      <c r="E4707" t="s">
        <v>29</v>
      </c>
      <c r="F4707" t="s">
        <v>661</v>
      </c>
      <c r="G4707" t="s">
        <v>457</v>
      </c>
      <c r="H4707" t="s">
        <v>131</v>
      </c>
      <c r="I4707" s="148">
        <v>103.86</v>
      </c>
      <c r="J4707" s="32">
        <v>0</v>
      </c>
      <c r="K4707" s="89">
        <v>193</v>
      </c>
      <c r="L4707" s="7">
        <v>193</v>
      </c>
      <c r="M4707" s="36">
        <f t="shared" si="287"/>
        <v>53.813471502590673</v>
      </c>
    </row>
    <row r="4708" spans="1:13" ht="15.75" hidden="1" customHeight="1" x14ac:dyDescent="0.3">
      <c r="A4708" s="9">
        <v>6737</v>
      </c>
      <c r="B4708" t="s">
        <v>602</v>
      </c>
      <c r="C4708" s="25">
        <v>44741</v>
      </c>
      <c r="D4708" s="26">
        <v>0.20284722222222221</v>
      </c>
      <c r="E4708" t="s">
        <v>29</v>
      </c>
      <c r="F4708" t="s">
        <v>674</v>
      </c>
      <c r="G4708" t="s">
        <v>487</v>
      </c>
      <c r="H4708" t="s">
        <v>131</v>
      </c>
      <c r="I4708" s="148">
        <v>257.44</v>
      </c>
      <c r="J4708" s="32">
        <v>0</v>
      </c>
      <c r="K4708" s="89">
        <v>228</v>
      </c>
      <c r="L4708" s="7">
        <v>228</v>
      </c>
      <c r="M4708" s="36">
        <f t="shared" si="287"/>
        <v>112.91228070175438</v>
      </c>
    </row>
    <row r="4709" spans="1:13" ht="15.75" hidden="1" customHeight="1" x14ac:dyDescent="0.3">
      <c r="A4709" s="9">
        <v>6739</v>
      </c>
      <c r="B4709" t="s">
        <v>602</v>
      </c>
      <c r="C4709" s="25">
        <v>44741</v>
      </c>
      <c r="D4709" s="26">
        <v>0.93450231481481483</v>
      </c>
      <c r="E4709" t="s">
        <v>29</v>
      </c>
      <c r="F4709" t="s">
        <v>635</v>
      </c>
      <c r="G4709" t="s">
        <v>185</v>
      </c>
      <c r="H4709" t="s">
        <v>131</v>
      </c>
      <c r="I4709" s="148">
        <v>39.51</v>
      </c>
      <c r="J4709" s="33">
        <v>0</v>
      </c>
      <c r="K4709" s="96">
        <v>548</v>
      </c>
      <c r="L4709" s="31">
        <v>548</v>
      </c>
      <c r="M4709" s="121">
        <f t="shared" si="287"/>
        <v>7.2098540145985393</v>
      </c>
    </row>
    <row r="4710" spans="1:13" ht="15.75" hidden="1" customHeight="1" x14ac:dyDescent="0.3">
      <c r="B4710" t="s">
        <v>384</v>
      </c>
      <c r="C4710" s="25">
        <v>44765</v>
      </c>
      <c r="D4710" s="26">
        <v>4.0046296296296297E-3</v>
      </c>
      <c r="E4710" t="s">
        <v>30</v>
      </c>
      <c r="F4710" t="s">
        <v>197</v>
      </c>
      <c r="G4710" t="s">
        <v>44</v>
      </c>
      <c r="H4710" t="s">
        <v>192</v>
      </c>
      <c r="I4710" s="160">
        <v>415.96</v>
      </c>
      <c r="J4710" s="8"/>
      <c r="K4710" s="8">
        <v>831691</v>
      </c>
      <c r="L4710" s="24">
        <f>+K4710-J4710</f>
        <v>831691</v>
      </c>
      <c r="M4710" s="254">
        <f t="shared" ref="M4710:M4718" si="291">+J4710/L4710*100</f>
        <v>0</v>
      </c>
    </row>
    <row r="4711" spans="1:13" ht="15.75" hidden="1" customHeight="1" x14ac:dyDescent="0.3">
      <c r="B4711" t="s">
        <v>384</v>
      </c>
      <c r="C4711" s="25">
        <v>44765</v>
      </c>
      <c r="D4711" s="26">
        <v>0.60994212962962957</v>
      </c>
      <c r="E4711" t="s">
        <v>30</v>
      </c>
      <c r="F4711" t="s">
        <v>490</v>
      </c>
      <c r="G4711" t="s">
        <v>487</v>
      </c>
      <c r="H4711" t="s">
        <v>192</v>
      </c>
      <c r="I4711" s="284">
        <v>223.01</v>
      </c>
      <c r="J4711" s="44"/>
      <c r="K4711" s="44">
        <v>832200</v>
      </c>
      <c r="L4711" s="44">
        <f>+K4711-J4711</f>
        <v>832200</v>
      </c>
      <c r="M4711" s="267">
        <f t="shared" si="291"/>
        <v>0</v>
      </c>
    </row>
    <row r="4712" spans="1:13" ht="15.75" hidden="1" customHeight="1" x14ac:dyDescent="0.3">
      <c r="B4712" t="s">
        <v>384</v>
      </c>
      <c r="C4712" s="25">
        <v>44765</v>
      </c>
      <c r="D4712" s="26">
        <v>0.98642361111111121</v>
      </c>
      <c r="E4712" t="s">
        <v>30</v>
      </c>
      <c r="F4712" t="s">
        <v>165</v>
      </c>
      <c r="G4712" t="s">
        <v>185</v>
      </c>
      <c r="H4712" t="s">
        <v>192</v>
      </c>
      <c r="I4712" s="160">
        <v>275.22000000000003</v>
      </c>
      <c r="J4712" s="8"/>
      <c r="K4712" s="8">
        <v>832838</v>
      </c>
      <c r="L4712" s="8">
        <f>+K4712-J4712</f>
        <v>832838</v>
      </c>
      <c r="M4712" s="254">
        <f t="shared" si="291"/>
        <v>0</v>
      </c>
    </row>
    <row r="4713" spans="1:13" ht="15.75" hidden="1" customHeight="1" x14ac:dyDescent="0.3">
      <c r="B4713" t="s">
        <v>384</v>
      </c>
      <c r="C4713" s="25">
        <v>44766</v>
      </c>
      <c r="D4713" s="26">
        <v>0.69075231481481481</v>
      </c>
      <c r="E4713" t="s">
        <v>30</v>
      </c>
      <c r="F4713" t="s">
        <v>210</v>
      </c>
      <c r="G4713" t="s">
        <v>211</v>
      </c>
      <c r="H4713" t="s">
        <v>192</v>
      </c>
      <c r="I4713" s="160">
        <v>156.94</v>
      </c>
      <c r="J4713" s="160">
        <f>157+275+223+416+50</f>
        <v>1121</v>
      </c>
      <c r="K4713" s="160">
        <v>833363</v>
      </c>
      <c r="L4713" s="160">
        <v>2850</v>
      </c>
      <c r="M4713" s="254">
        <f t="shared" si="291"/>
        <v>39.333333333333329</v>
      </c>
    </row>
    <row r="4714" spans="1:13" ht="15.75" hidden="1" customHeight="1" x14ac:dyDescent="0.3">
      <c r="B4714" t="s">
        <v>384</v>
      </c>
      <c r="C4714" s="25">
        <v>44768</v>
      </c>
      <c r="D4714" s="26">
        <v>0.81105324074074081</v>
      </c>
      <c r="E4714" t="s">
        <v>30</v>
      </c>
      <c r="F4714" t="s">
        <v>169</v>
      </c>
      <c r="G4714" t="s">
        <v>196</v>
      </c>
      <c r="H4714" t="s">
        <v>192</v>
      </c>
      <c r="I4714" s="160">
        <v>205.7</v>
      </c>
      <c r="J4714" s="8"/>
      <c r="K4714" s="8">
        <v>98568</v>
      </c>
      <c r="L4714" s="8">
        <f>+K4714-J4714</f>
        <v>98568</v>
      </c>
      <c r="M4714" s="254">
        <f t="shared" si="291"/>
        <v>0</v>
      </c>
    </row>
    <row r="4715" spans="1:13" ht="15.75" hidden="1" customHeight="1" x14ac:dyDescent="0.3">
      <c r="A4715" s="9">
        <v>6717</v>
      </c>
      <c r="B4715" t="s">
        <v>254</v>
      </c>
      <c r="C4715" s="25">
        <v>44741</v>
      </c>
      <c r="D4715" s="26">
        <v>0.83134259259259258</v>
      </c>
      <c r="E4715" t="s">
        <v>29</v>
      </c>
      <c r="F4715" t="s">
        <v>632</v>
      </c>
      <c r="G4715" t="s">
        <v>161</v>
      </c>
      <c r="H4715" t="s">
        <v>581</v>
      </c>
      <c r="I4715" s="148">
        <v>253.58</v>
      </c>
      <c r="J4715" s="193">
        <f>253+601+644+211+615+671</f>
        <v>2995</v>
      </c>
      <c r="K4715" s="264">
        <v>1048</v>
      </c>
      <c r="L4715" s="203">
        <v>9231</v>
      </c>
      <c r="M4715" s="265">
        <f t="shared" si="291"/>
        <v>32.445022207778138</v>
      </c>
    </row>
    <row r="4716" spans="1:13" ht="15.75" hidden="1" customHeight="1" x14ac:dyDescent="0.3">
      <c r="B4716" t="s">
        <v>384</v>
      </c>
      <c r="C4716" s="25">
        <v>44769</v>
      </c>
      <c r="D4716" s="26">
        <v>0.90358796296296295</v>
      </c>
      <c r="E4716" t="s">
        <v>30</v>
      </c>
      <c r="F4716" t="s">
        <v>197</v>
      </c>
      <c r="G4716" t="s">
        <v>44</v>
      </c>
      <c r="H4716" t="s">
        <v>192</v>
      </c>
      <c r="I4716" s="160">
        <v>303.05</v>
      </c>
      <c r="J4716" s="8"/>
      <c r="K4716" s="8">
        <v>889999</v>
      </c>
      <c r="L4716" s="8">
        <f>+K4716-J4716</f>
        <v>889999</v>
      </c>
      <c r="M4716" s="254">
        <f t="shared" si="291"/>
        <v>0</v>
      </c>
    </row>
    <row r="4717" spans="1:13" ht="15.75" hidden="1" customHeight="1" x14ac:dyDescent="0.3">
      <c r="B4717" t="s">
        <v>384</v>
      </c>
      <c r="C4717" s="25">
        <v>44770</v>
      </c>
      <c r="D4717" s="26">
        <v>0.44216435185185188</v>
      </c>
      <c r="E4717" t="s">
        <v>30</v>
      </c>
      <c r="F4717" t="s">
        <v>530</v>
      </c>
      <c r="G4717" t="s">
        <v>489</v>
      </c>
      <c r="H4717" t="s">
        <v>192</v>
      </c>
      <c r="I4717" s="160">
        <v>184.01</v>
      </c>
      <c r="J4717" s="8"/>
      <c r="K4717" s="8">
        <v>834926</v>
      </c>
      <c r="L4717" s="8">
        <f>+K4717-J4717</f>
        <v>834926</v>
      </c>
      <c r="M4717" s="254">
        <f t="shared" si="291"/>
        <v>0</v>
      </c>
    </row>
    <row r="4718" spans="1:13" ht="15.75" hidden="1" customHeight="1" x14ac:dyDescent="0.3">
      <c r="B4718" t="s">
        <v>384</v>
      </c>
      <c r="C4718" s="25">
        <v>44770</v>
      </c>
      <c r="D4718" s="26">
        <v>0.96836805555555561</v>
      </c>
      <c r="E4718" t="s">
        <v>30</v>
      </c>
      <c r="F4718" t="s">
        <v>165</v>
      </c>
      <c r="G4718" t="s">
        <v>185</v>
      </c>
      <c r="H4718" t="s">
        <v>192</v>
      </c>
      <c r="I4718" s="160">
        <v>390.75</v>
      </c>
      <c r="J4718" s="8"/>
      <c r="K4718" s="8">
        <v>835733</v>
      </c>
      <c r="L4718" s="8">
        <f>+K4718-J4718</f>
        <v>835733</v>
      </c>
      <c r="M4718" s="254">
        <f t="shared" si="291"/>
        <v>0</v>
      </c>
    </row>
    <row r="4719" spans="1:13" ht="15.75" hidden="1" customHeight="1" x14ac:dyDescent="0.3">
      <c r="B4719" t="s">
        <v>254</v>
      </c>
      <c r="C4719" s="25">
        <v>44566</v>
      </c>
      <c r="D4719" s="26">
        <v>0.48168981481481482</v>
      </c>
      <c r="E4719" t="s">
        <v>24</v>
      </c>
      <c r="F4719" t="s">
        <v>210</v>
      </c>
      <c r="G4719" t="s">
        <v>211</v>
      </c>
      <c r="H4719" t="s">
        <v>255</v>
      </c>
      <c r="I4719">
        <v>382.97</v>
      </c>
      <c r="J4719" s="34">
        <v>0</v>
      </c>
      <c r="K4719" s="50">
        <f t="shared" ref="K4719:K4750" si="292">+L4719-J4719</f>
        <v>833.32</v>
      </c>
      <c r="L4719" s="34">
        <v>833.32</v>
      </c>
      <c r="M4719" s="118">
        <f t="shared" ref="M4719:M4750" si="293">I4719/K4719*100</f>
        <v>45.957135314165029</v>
      </c>
    </row>
    <row r="4720" spans="1:13" ht="15.75" hidden="1" customHeight="1" x14ac:dyDescent="0.3">
      <c r="B4720" t="s">
        <v>254</v>
      </c>
      <c r="C4720" s="25">
        <v>44567</v>
      </c>
      <c r="D4720" s="26">
        <v>0.5056018518518518</v>
      </c>
      <c r="E4720" t="s">
        <v>24</v>
      </c>
      <c r="F4720" t="s">
        <v>210</v>
      </c>
      <c r="G4720" t="s">
        <v>211</v>
      </c>
      <c r="H4720" t="s">
        <v>255</v>
      </c>
      <c r="I4720">
        <v>431.12</v>
      </c>
      <c r="J4720" s="7">
        <v>0</v>
      </c>
      <c r="K4720" s="73">
        <f t="shared" si="292"/>
        <v>1062.19</v>
      </c>
      <c r="L4720" s="7">
        <v>1062.19</v>
      </c>
      <c r="M4720" s="36">
        <f t="shared" si="293"/>
        <v>40.587842099812647</v>
      </c>
    </row>
    <row r="4721" spans="2:13" ht="15.75" hidden="1" customHeight="1" x14ac:dyDescent="0.3">
      <c r="B4721" t="s">
        <v>254</v>
      </c>
      <c r="C4721" s="25">
        <v>44569</v>
      </c>
      <c r="D4721" s="26">
        <v>0.32743055555555556</v>
      </c>
      <c r="E4721" t="s">
        <v>24</v>
      </c>
      <c r="F4721" t="s">
        <v>205</v>
      </c>
      <c r="G4721" t="s">
        <v>206</v>
      </c>
      <c r="H4721" t="s">
        <v>255</v>
      </c>
      <c r="I4721">
        <v>425.14</v>
      </c>
      <c r="J4721" s="7">
        <v>0</v>
      </c>
      <c r="K4721" s="11">
        <f t="shared" si="292"/>
        <v>1040.92</v>
      </c>
      <c r="L4721" s="7">
        <v>1040.92</v>
      </c>
      <c r="M4721" s="36">
        <f t="shared" si="293"/>
        <v>40.842716058870991</v>
      </c>
    </row>
    <row r="4722" spans="2:13" ht="15.75" hidden="1" customHeight="1" x14ac:dyDescent="0.3">
      <c r="B4722" t="s">
        <v>254</v>
      </c>
      <c r="C4722" s="25">
        <v>44570</v>
      </c>
      <c r="D4722" s="26">
        <v>3.1643518518518522E-2</v>
      </c>
      <c r="E4722" t="s">
        <v>24</v>
      </c>
      <c r="F4722" t="s">
        <v>210</v>
      </c>
      <c r="G4722" t="s">
        <v>211</v>
      </c>
      <c r="H4722" t="s">
        <v>255</v>
      </c>
      <c r="I4722">
        <v>312.57</v>
      </c>
      <c r="J4722" s="7">
        <v>0</v>
      </c>
      <c r="K4722" s="11">
        <f t="shared" si="292"/>
        <v>705.67</v>
      </c>
      <c r="L4722" s="7">
        <v>705.67</v>
      </c>
      <c r="M4722" s="36">
        <f t="shared" si="293"/>
        <v>44.294075134269562</v>
      </c>
    </row>
    <row r="4723" spans="2:13" ht="15.75" hidden="1" customHeight="1" x14ac:dyDescent="0.3">
      <c r="B4723" t="s">
        <v>254</v>
      </c>
      <c r="C4723" s="25">
        <v>44570</v>
      </c>
      <c r="D4723" s="26">
        <v>0.66120370370370374</v>
      </c>
      <c r="E4723" t="s">
        <v>24</v>
      </c>
      <c r="F4723" t="s">
        <v>165</v>
      </c>
      <c r="G4723" t="s">
        <v>185</v>
      </c>
      <c r="H4723" t="s">
        <v>255</v>
      </c>
      <c r="I4723">
        <v>261.89999999999998</v>
      </c>
      <c r="J4723" s="7">
        <v>0</v>
      </c>
      <c r="K4723" s="11">
        <f t="shared" si="292"/>
        <v>548.52</v>
      </c>
      <c r="L4723" s="34">
        <v>548.52</v>
      </c>
      <c r="M4723" s="36">
        <f t="shared" si="293"/>
        <v>47.746663749726537</v>
      </c>
    </row>
    <row r="4724" spans="2:13" ht="15.75" hidden="1" customHeight="1" x14ac:dyDescent="0.3">
      <c r="B4724" t="s">
        <v>254</v>
      </c>
      <c r="C4724" s="25">
        <v>44571</v>
      </c>
      <c r="D4724" s="26">
        <v>5.9780092592592593E-2</v>
      </c>
      <c r="E4724" t="s">
        <v>24</v>
      </c>
      <c r="F4724" t="s">
        <v>202</v>
      </c>
      <c r="G4724" t="s">
        <v>203</v>
      </c>
      <c r="H4724" t="s">
        <v>255</v>
      </c>
      <c r="I4724">
        <v>150</v>
      </c>
      <c r="J4724" s="7">
        <v>0</v>
      </c>
      <c r="K4724" s="11">
        <f t="shared" si="292"/>
        <v>539.62</v>
      </c>
      <c r="L4724" s="7">
        <v>539.62</v>
      </c>
      <c r="M4724" s="36">
        <f t="shared" si="293"/>
        <v>27.797338868092357</v>
      </c>
    </row>
    <row r="4725" spans="2:13" ht="15.75" hidden="1" customHeight="1" x14ac:dyDescent="0.3">
      <c r="B4725" t="s">
        <v>254</v>
      </c>
      <c r="C4725" s="25">
        <v>44572</v>
      </c>
      <c r="D4725" s="26">
        <v>0.51951388888888894</v>
      </c>
      <c r="E4725" t="s">
        <v>24</v>
      </c>
      <c r="F4725" t="s">
        <v>165</v>
      </c>
      <c r="G4725" t="s">
        <v>185</v>
      </c>
      <c r="H4725" t="s">
        <v>255</v>
      </c>
      <c r="I4725">
        <v>434.38</v>
      </c>
      <c r="J4725" s="7">
        <v>0</v>
      </c>
      <c r="K4725" s="11">
        <f t="shared" si="292"/>
        <v>1086.6600000000001</v>
      </c>
      <c r="L4725" s="7">
        <v>1086.6600000000001</v>
      </c>
      <c r="M4725" s="36">
        <f t="shared" si="293"/>
        <v>39.97386487033662</v>
      </c>
    </row>
    <row r="4726" spans="2:13" ht="15.75" hidden="1" customHeight="1" x14ac:dyDescent="0.3">
      <c r="B4726" t="s">
        <v>254</v>
      </c>
      <c r="C4726" s="25">
        <v>44573</v>
      </c>
      <c r="D4726" s="26">
        <v>0.4178587962962963</v>
      </c>
      <c r="E4726" t="s">
        <v>24</v>
      </c>
      <c r="F4726" t="s">
        <v>210</v>
      </c>
      <c r="G4726" t="s">
        <v>211</v>
      </c>
      <c r="H4726" t="s">
        <v>255</v>
      </c>
      <c r="I4726">
        <v>231.99</v>
      </c>
      <c r="J4726" s="7">
        <v>0</v>
      </c>
      <c r="K4726" s="11">
        <f t="shared" si="292"/>
        <v>572.62</v>
      </c>
      <c r="L4726" s="7">
        <v>572.62</v>
      </c>
      <c r="M4726" s="36">
        <f t="shared" si="293"/>
        <v>40.513778771261919</v>
      </c>
    </row>
    <row r="4727" spans="2:13" ht="15.75" hidden="1" customHeight="1" x14ac:dyDescent="0.3">
      <c r="B4727" t="s">
        <v>254</v>
      </c>
      <c r="C4727" s="25">
        <v>44574</v>
      </c>
      <c r="D4727" s="26">
        <v>0.84317129629629628</v>
      </c>
      <c r="E4727" t="s">
        <v>24</v>
      </c>
      <c r="F4727" t="s">
        <v>175</v>
      </c>
      <c r="G4727" t="s">
        <v>172</v>
      </c>
      <c r="H4727" t="s">
        <v>255</v>
      </c>
      <c r="I4727">
        <v>367.63</v>
      </c>
      <c r="J4727" s="7">
        <v>0</v>
      </c>
      <c r="K4727" s="11">
        <f t="shared" si="292"/>
        <v>946.48</v>
      </c>
      <c r="L4727" s="7">
        <v>946.48</v>
      </c>
      <c r="M4727" s="36">
        <f t="shared" si="293"/>
        <v>38.841813878793005</v>
      </c>
    </row>
    <row r="4728" spans="2:13" ht="15.75" hidden="1" customHeight="1" x14ac:dyDescent="0.3">
      <c r="B4728" t="s">
        <v>254</v>
      </c>
      <c r="C4728" s="25">
        <v>44576</v>
      </c>
      <c r="D4728" s="26">
        <v>1.0671296296296297E-2</v>
      </c>
      <c r="E4728" t="s">
        <v>24</v>
      </c>
      <c r="F4728" t="s">
        <v>210</v>
      </c>
      <c r="G4728" t="s">
        <v>211</v>
      </c>
      <c r="H4728" t="s">
        <v>255</v>
      </c>
      <c r="I4728">
        <v>368.46</v>
      </c>
      <c r="J4728" s="7">
        <v>0</v>
      </c>
      <c r="K4728" s="11">
        <f t="shared" si="292"/>
        <v>903.13</v>
      </c>
      <c r="L4728" s="7">
        <v>903.13</v>
      </c>
      <c r="M4728" s="36">
        <f t="shared" si="293"/>
        <v>40.798113228438872</v>
      </c>
    </row>
    <row r="4729" spans="2:13" ht="15.75" hidden="1" customHeight="1" x14ac:dyDescent="0.3">
      <c r="B4729" t="s">
        <v>254</v>
      </c>
      <c r="C4729" s="25">
        <v>44577</v>
      </c>
      <c r="D4729" s="26">
        <v>0.70407407407407396</v>
      </c>
      <c r="E4729" t="s">
        <v>24</v>
      </c>
      <c r="F4729" t="s">
        <v>210</v>
      </c>
      <c r="G4729" t="s">
        <v>211</v>
      </c>
      <c r="H4729" t="s">
        <v>255</v>
      </c>
      <c r="I4729">
        <v>424.08</v>
      </c>
      <c r="J4729" s="7">
        <v>0</v>
      </c>
      <c r="K4729" s="11">
        <f t="shared" si="292"/>
        <v>1064.27</v>
      </c>
      <c r="L4729" s="7">
        <v>1064.27</v>
      </c>
      <c r="M4729" s="36">
        <f t="shared" si="293"/>
        <v>39.847031298448698</v>
      </c>
    </row>
    <row r="4730" spans="2:13" ht="15.75" hidden="1" customHeight="1" x14ac:dyDescent="0.3">
      <c r="B4730" t="s">
        <v>254</v>
      </c>
      <c r="C4730" s="25">
        <v>44579</v>
      </c>
      <c r="D4730" s="26">
        <v>0.59008101851851846</v>
      </c>
      <c r="E4730" t="s">
        <v>24</v>
      </c>
      <c r="F4730" t="s">
        <v>262</v>
      </c>
      <c r="G4730" t="s">
        <v>263</v>
      </c>
      <c r="H4730" t="s">
        <v>255</v>
      </c>
      <c r="I4730">
        <v>100</v>
      </c>
      <c r="J4730" s="31">
        <v>0</v>
      </c>
      <c r="K4730" s="11">
        <f t="shared" si="292"/>
        <v>1129.7</v>
      </c>
      <c r="L4730" s="51">
        <v>1129.7</v>
      </c>
      <c r="M4730" s="10">
        <f t="shared" si="293"/>
        <v>8.8519075860848009</v>
      </c>
    </row>
    <row r="4731" spans="2:13" ht="15.75" hidden="1" customHeight="1" x14ac:dyDescent="0.3">
      <c r="B4731" t="s">
        <v>254</v>
      </c>
      <c r="C4731" s="25">
        <v>44579</v>
      </c>
      <c r="D4731" s="26">
        <v>0.79672453703703694</v>
      </c>
      <c r="E4731" t="s">
        <v>24</v>
      </c>
      <c r="F4731" t="s">
        <v>343</v>
      </c>
      <c r="G4731" t="s">
        <v>344</v>
      </c>
      <c r="H4731" t="s">
        <v>255</v>
      </c>
      <c r="I4731">
        <v>420.01</v>
      </c>
      <c r="J4731" s="7">
        <v>0</v>
      </c>
      <c r="K4731" s="11">
        <f t="shared" si="292"/>
        <v>129.83000000000001</v>
      </c>
      <c r="L4731" s="7">
        <v>129.83000000000001</v>
      </c>
      <c r="M4731" s="36">
        <f t="shared" si="293"/>
        <v>323.50766386813518</v>
      </c>
    </row>
    <row r="4732" spans="2:13" ht="15.75" hidden="1" customHeight="1" x14ac:dyDescent="0.3">
      <c r="B4732" t="s">
        <v>254</v>
      </c>
      <c r="C4732" s="25">
        <v>44580</v>
      </c>
      <c r="D4732" s="26">
        <v>0.35296296296296298</v>
      </c>
      <c r="E4732" t="s">
        <v>24</v>
      </c>
      <c r="F4732" t="s">
        <v>210</v>
      </c>
      <c r="G4732" t="s">
        <v>211</v>
      </c>
      <c r="H4732" t="s">
        <v>255</v>
      </c>
      <c r="I4732">
        <v>232.03</v>
      </c>
      <c r="J4732" s="7">
        <v>0</v>
      </c>
      <c r="K4732" s="11">
        <f t="shared" si="292"/>
        <v>505.21</v>
      </c>
      <c r="L4732" s="7">
        <v>505.21</v>
      </c>
      <c r="M4732" s="36">
        <f t="shared" si="293"/>
        <v>45.927436115674674</v>
      </c>
    </row>
    <row r="4733" spans="2:13" ht="15.75" hidden="1" customHeight="1" x14ac:dyDescent="0.3">
      <c r="B4733" t="s">
        <v>254</v>
      </c>
      <c r="C4733" s="25">
        <v>44581</v>
      </c>
      <c r="D4733" s="26">
        <v>0.40162037037037041</v>
      </c>
      <c r="E4733" t="s">
        <v>24</v>
      </c>
      <c r="F4733" t="s">
        <v>210</v>
      </c>
      <c r="G4733" t="s">
        <v>211</v>
      </c>
      <c r="H4733" t="s">
        <v>255</v>
      </c>
      <c r="I4733">
        <v>408.45</v>
      </c>
      <c r="J4733" s="7">
        <v>0</v>
      </c>
      <c r="K4733" s="11">
        <f t="shared" si="292"/>
        <v>1062.96</v>
      </c>
      <c r="L4733" s="7">
        <v>1062.96</v>
      </c>
      <c r="M4733" s="36">
        <f t="shared" si="293"/>
        <v>38.425716866109724</v>
      </c>
    </row>
    <row r="4734" spans="2:13" ht="15.75" hidden="1" customHeight="1" x14ac:dyDescent="0.3">
      <c r="B4734" t="s">
        <v>254</v>
      </c>
      <c r="C4734" s="25">
        <v>44582</v>
      </c>
      <c r="D4734" s="26">
        <v>0.68035879629629636</v>
      </c>
      <c r="E4734" t="s">
        <v>24</v>
      </c>
      <c r="F4734" t="s">
        <v>175</v>
      </c>
      <c r="G4734" t="s">
        <v>172</v>
      </c>
      <c r="H4734" t="s">
        <v>255</v>
      </c>
      <c r="I4734">
        <f>132.61+223.64</f>
        <v>356.25</v>
      </c>
      <c r="J4734" s="7">
        <v>0</v>
      </c>
      <c r="K4734" s="11">
        <f t="shared" si="292"/>
        <v>932.97</v>
      </c>
      <c r="L4734" s="7">
        <v>932.97</v>
      </c>
      <c r="M4734" s="36">
        <f t="shared" si="293"/>
        <v>38.184507540435384</v>
      </c>
    </row>
    <row r="4735" spans="2:13" ht="15.75" hidden="1" customHeight="1" x14ac:dyDescent="0.3">
      <c r="B4735" t="s">
        <v>254</v>
      </c>
      <c r="C4735" s="25">
        <v>44583</v>
      </c>
      <c r="D4735" s="26">
        <v>0.77298611111111104</v>
      </c>
      <c r="E4735" t="s">
        <v>24</v>
      </c>
      <c r="F4735" t="s">
        <v>210</v>
      </c>
      <c r="G4735" t="s">
        <v>211</v>
      </c>
      <c r="H4735" t="s">
        <v>255</v>
      </c>
      <c r="I4735">
        <v>364.62</v>
      </c>
      <c r="J4735" s="7">
        <v>0</v>
      </c>
      <c r="K4735" s="11">
        <f t="shared" si="292"/>
        <v>830.49</v>
      </c>
      <c r="L4735" s="7">
        <v>830.49</v>
      </c>
      <c r="M4735" s="36">
        <f t="shared" si="293"/>
        <v>43.904201134270131</v>
      </c>
    </row>
    <row r="4736" spans="2:13" ht="15.75" hidden="1" customHeight="1" x14ac:dyDescent="0.3">
      <c r="B4736" t="s">
        <v>254</v>
      </c>
      <c r="C4736" s="25">
        <v>44585</v>
      </c>
      <c r="D4736" s="26">
        <v>3.3217592592592591E-3</v>
      </c>
      <c r="E4736" t="s">
        <v>24</v>
      </c>
      <c r="F4736" t="s">
        <v>202</v>
      </c>
      <c r="G4736" t="s">
        <v>203</v>
      </c>
      <c r="H4736" t="s">
        <v>255</v>
      </c>
      <c r="I4736">
        <v>408.38</v>
      </c>
      <c r="J4736" s="7">
        <v>0</v>
      </c>
      <c r="K4736" s="11">
        <f t="shared" si="292"/>
        <v>1087.95</v>
      </c>
      <c r="L4736" s="7">
        <v>1087.95</v>
      </c>
      <c r="M4736" s="36">
        <f t="shared" si="293"/>
        <v>37.536651500528521</v>
      </c>
    </row>
    <row r="4737" spans="1:13" ht="15.75" hidden="1" customHeight="1" x14ac:dyDescent="0.3">
      <c r="B4737" t="s">
        <v>254</v>
      </c>
      <c r="C4737" s="25">
        <v>44586</v>
      </c>
      <c r="D4737" s="26">
        <v>0.58643518518518511</v>
      </c>
      <c r="E4737" t="s">
        <v>24</v>
      </c>
      <c r="F4737" t="s">
        <v>278</v>
      </c>
      <c r="G4737" t="s">
        <v>279</v>
      </c>
      <c r="H4737" t="s">
        <v>255</v>
      </c>
      <c r="I4737">
        <v>150</v>
      </c>
      <c r="J4737" s="7">
        <v>0</v>
      </c>
      <c r="K4737" s="11">
        <f t="shared" si="292"/>
        <v>1250.57</v>
      </c>
      <c r="L4737" s="7">
        <v>1250.57</v>
      </c>
      <c r="M4737" s="36">
        <f t="shared" si="293"/>
        <v>11.994530494094693</v>
      </c>
    </row>
    <row r="4738" spans="1:13" ht="15.75" hidden="1" customHeight="1" x14ac:dyDescent="0.3">
      <c r="B4738" t="s">
        <v>254</v>
      </c>
      <c r="C4738" s="25">
        <v>44586</v>
      </c>
      <c r="D4738" s="26">
        <v>0.80239583333333331</v>
      </c>
      <c r="E4738" t="s">
        <v>24</v>
      </c>
      <c r="F4738" t="s">
        <v>210</v>
      </c>
      <c r="G4738" t="s">
        <v>211</v>
      </c>
      <c r="H4738" t="s">
        <v>255</v>
      </c>
      <c r="I4738">
        <v>437.05</v>
      </c>
      <c r="J4738" s="7">
        <v>0</v>
      </c>
      <c r="K4738" s="11">
        <f t="shared" si="292"/>
        <v>350.47</v>
      </c>
      <c r="L4738" s="7">
        <v>350.47</v>
      </c>
      <c r="M4738" s="36">
        <f t="shared" si="293"/>
        <v>124.70396895597339</v>
      </c>
    </row>
    <row r="4739" spans="1:13" ht="15.75" hidden="1" customHeight="1" x14ac:dyDescent="0.3">
      <c r="B4739" t="s">
        <v>254</v>
      </c>
      <c r="C4739" s="25">
        <v>44587</v>
      </c>
      <c r="D4739" s="26">
        <v>0.83831018518518519</v>
      </c>
      <c r="E4739" t="s">
        <v>24</v>
      </c>
      <c r="F4739" t="s">
        <v>205</v>
      </c>
      <c r="G4739" t="s">
        <v>206</v>
      </c>
      <c r="H4739" t="s">
        <v>255</v>
      </c>
      <c r="I4739">
        <v>396.92</v>
      </c>
      <c r="J4739" s="7">
        <v>0</v>
      </c>
      <c r="K4739" s="11">
        <f t="shared" si="292"/>
        <v>953.19</v>
      </c>
      <c r="L4739" s="7">
        <v>953.19</v>
      </c>
      <c r="M4739" s="36">
        <f t="shared" si="293"/>
        <v>41.641225778700992</v>
      </c>
    </row>
    <row r="4740" spans="1:13" ht="15.75" hidden="1" customHeight="1" x14ac:dyDescent="0.3">
      <c r="B4740" t="s">
        <v>254</v>
      </c>
      <c r="C4740" s="25">
        <v>44588</v>
      </c>
      <c r="D4740" s="26">
        <v>0.52645833333333336</v>
      </c>
      <c r="E4740" t="s">
        <v>24</v>
      </c>
      <c r="F4740" t="s">
        <v>210</v>
      </c>
      <c r="G4740" t="s">
        <v>211</v>
      </c>
      <c r="H4740" t="s">
        <v>255</v>
      </c>
      <c r="I4740">
        <v>325.25</v>
      </c>
      <c r="J4740" s="35">
        <v>0</v>
      </c>
      <c r="K4740" s="11">
        <f t="shared" si="292"/>
        <v>704.81</v>
      </c>
      <c r="L4740" s="35">
        <v>704.81</v>
      </c>
      <c r="M4740" s="36">
        <f t="shared" si="293"/>
        <v>46.147188604020947</v>
      </c>
    </row>
    <row r="4741" spans="1:13" ht="15.75" hidden="1" customHeight="1" x14ac:dyDescent="0.3">
      <c r="B4741" t="s">
        <v>254</v>
      </c>
      <c r="C4741" s="25">
        <v>44589</v>
      </c>
      <c r="D4741" s="26">
        <v>0.48724537037037036</v>
      </c>
      <c r="E4741" t="s">
        <v>24</v>
      </c>
      <c r="F4741" t="s">
        <v>210</v>
      </c>
      <c r="G4741" t="s">
        <v>211</v>
      </c>
      <c r="H4741" t="s">
        <v>255</v>
      </c>
      <c r="I4741">
        <v>437.97</v>
      </c>
      <c r="J4741" s="7">
        <v>0</v>
      </c>
      <c r="K4741" s="11">
        <f t="shared" si="292"/>
        <v>1062.1300000000001</v>
      </c>
      <c r="L4741" s="7">
        <v>1062.1300000000001</v>
      </c>
      <c r="M4741" s="36">
        <f t="shared" si="293"/>
        <v>41.235065387476105</v>
      </c>
    </row>
    <row r="4742" spans="1:13" ht="15.75" hidden="1" customHeight="1" x14ac:dyDescent="0.3">
      <c r="B4742" t="s">
        <v>254</v>
      </c>
      <c r="C4742" s="25">
        <v>44590</v>
      </c>
      <c r="D4742" s="26">
        <v>0.40690972222222221</v>
      </c>
      <c r="E4742" t="s">
        <v>24</v>
      </c>
      <c r="F4742" t="s">
        <v>175</v>
      </c>
      <c r="G4742" t="s">
        <v>172</v>
      </c>
      <c r="H4742" t="s">
        <v>255</v>
      </c>
      <c r="I4742">
        <v>348.23</v>
      </c>
      <c r="J4742" s="7">
        <v>0</v>
      </c>
      <c r="K4742" s="11">
        <f t="shared" si="292"/>
        <v>904.88</v>
      </c>
      <c r="L4742" s="7">
        <v>904.88</v>
      </c>
      <c r="M4742" s="36">
        <f t="shared" si="293"/>
        <v>38.483555830607372</v>
      </c>
    </row>
    <row r="4743" spans="1:13" ht="15.75" hidden="1" customHeight="1" x14ac:dyDescent="0.3">
      <c r="B4743" t="s">
        <v>254</v>
      </c>
      <c r="C4743" s="25">
        <v>44591</v>
      </c>
      <c r="D4743" s="26">
        <v>0.39067129629629632</v>
      </c>
      <c r="E4743" t="s">
        <v>24</v>
      </c>
      <c r="F4743" t="s">
        <v>210</v>
      </c>
      <c r="G4743" t="s">
        <v>211</v>
      </c>
      <c r="H4743" t="s">
        <v>255</v>
      </c>
      <c r="I4743">
        <v>368.72</v>
      </c>
      <c r="J4743" s="7">
        <v>0</v>
      </c>
      <c r="K4743" s="11">
        <f t="shared" si="292"/>
        <v>830.94</v>
      </c>
      <c r="L4743" s="34">
        <v>830.94</v>
      </c>
      <c r="M4743" s="36">
        <f t="shared" si="293"/>
        <v>44.373841673285675</v>
      </c>
    </row>
    <row r="4744" spans="1:13" ht="15.75" hidden="1" customHeight="1" x14ac:dyDescent="0.3">
      <c r="B4744" t="s">
        <v>254</v>
      </c>
      <c r="C4744" s="25">
        <v>44592</v>
      </c>
      <c r="D4744" s="26">
        <v>0.1657986111111111</v>
      </c>
      <c r="E4744" t="s">
        <v>24</v>
      </c>
      <c r="F4744" t="s">
        <v>210</v>
      </c>
      <c r="G4744" t="s">
        <v>211</v>
      </c>
      <c r="H4744" t="s">
        <v>255</v>
      </c>
      <c r="I4744">
        <v>443.13</v>
      </c>
      <c r="J4744" s="31">
        <v>0</v>
      </c>
      <c r="K4744" s="73">
        <f t="shared" si="292"/>
        <v>1062.1300000000001</v>
      </c>
      <c r="L4744" s="7">
        <v>1062.1300000000001</v>
      </c>
      <c r="M4744" s="36">
        <f t="shared" si="293"/>
        <v>41.720881624659881</v>
      </c>
    </row>
    <row r="4745" spans="1:13" ht="15.75" hidden="1" customHeight="1" x14ac:dyDescent="0.3">
      <c r="B4745" t="s">
        <v>254</v>
      </c>
      <c r="C4745" s="25">
        <v>44592</v>
      </c>
      <c r="D4745" s="26">
        <v>0.82824074074074072</v>
      </c>
      <c r="E4745" t="s">
        <v>24</v>
      </c>
      <c r="F4745" t="s">
        <v>175</v>
      </c>
      <c r="G4745" t="s">
        <v>172</v>
      </c>
      <c r="H4745" t="s">
        <v>255</v>
      </c>
      <c r="I4745">
        <v>366.54</v>
      </c>
      <c r="J4745" s="31">
        <v>0</v>
      </c>
      <c r="K4745" s="73">
        <f t="shared" si="292"/>
        <v>983.23</v>
      </c>
      <c r="L4745" s="7">
        <v>983.23</v>
      </c>
      <c r="M4745" s="36">
        <f t="shared" si="293"/>
        <v>37.279171709569482</v>
      </c>
    </row>
    <row r="4746" spans="1:13" ht="15.75" hidden="1" customHeight="1" x14ac:dyDescent="0.3">
      <c r="A4746" s="9">
        <v>811</v>
      </c>
      <c r="B4746" t="s">
        <v>254</v>
      </c>
      <c r="C4746" s="25">
        <v>44593</v>
      </c>
      <c r="D4746" s="26">
        <v>0.85953703703703699</v>
      </c>
      <c r="E4746" t="s">
        <v>25</v>
      </c>
      <c r="F4746" t="s">
        <v>210</v>
      </c>
      <c r="G4746" t="s">
        <v>211</v>
      </c>
      <c r="H4746" t="s">
        <v>255</v>
      </c>
      <c r="I4746">
        <v>371.47</v>
      </c>
      <c r="J4746" s="7">
        <v>0</v>
      </c>
      <c r="K4746" s="11">
        <f t="shared" si="292"/>
        <v>823.51</v>
      </c>
      <c r="L4746" s="7">
        <v>823.51</v>
      </c>
      <c r="M4746" s="36">
        <f t="shared" si="293"/>
        <v>45.108134691746308</v>
      </c>
    </row>
    <row r="4747" spans="1:13" ht="15.75" hidden="1" customHeight="1" x14ac:dyDescent="0.3">
      <c r="A4747" s="9">
        <v>812</v>
      </c>
      <c r="B4747" t="s">
        <v>254</v>
      </c>
      <c r="C4747" s="25">
        <v>44594</v>
      </c>
      <c r="D4747" s="26">
        <v>0.8184027777777777</v>
      </c>
      <c r="E4747" t="s">
        <v>25</v>
      </c>
      <c r="F4747" t="s">
        <v>210</v>
      </c>
      <c r="G4747" t="s">
        <v>211</v>
      </c>
      <c r="H4747" t="s">
        <v>255</v>
      </c>
      <c r="I4747">
        <v>400.04</v>
      </c>
      <c r="J4747" s="7">
        <v>0</v>
      </c>
      <c r="K4747" s="11">
        <f t="shared" si="292"/>
        <v>1062.67</v>
      </c>
      <c r="L4747" s="7">
        <v>1062.67</v>
      </c>
      <c r="M4747" s="36">
        <f t="shared" si="293"/>
        <v>37.644800361353944</v>
      </c>
    </row>
    <row r="4748" spans="1:13" ht="15.75" hidden="1" customHeight="1" x14ac:dyDescent="0.3">
      <c r="A4748" s="9">
        <v>813</v>
      </c>
      <c r="B4748" t="s">
        <v>254</v>
      </c>
      <c r="C4748" s="25">
        <v>44595</v>
      </c>
      <c r="D4748" s="26">
        <v>0.71275462962962965</v>
      </c>
      <c r="E4748" t="s">
        <v>25</v>
      </c>
      <c r="F4748" t="s">
        <v>175</v>
      </c>
      <c r="G4748" t="s">
        <v>172</v>
      </c>
      <c r="H4748" t="s">
        <v>255</v>
      </c>
      <c r="I4748">
        <v>341.66</v>
      </c>
      <c r="J4748" s="76">
        <v>0</v>
      </c>
      <c r="K4748" s="39">
        <f t="shared" si="292"/>
        <v>899.47</v>
      </c>
      <c r="L4748" s="7">
        <v>899.47</v>
      </c>
      <c r="M4748" s="36">
        <f t="shared" si="293"/>
        <v>37.984590925767399</v>
      </c>
    </row>
    <row r="4749" spans="1:13" ht="15.75" hidden="1" customHeight="1" x14ac:dyDescent="0.3">
      <c r="A4749" s="9">
        <v>814</v>
      </c>
      <c r="B4749" t="s">
        <v>254</v>
      </c>
      <c r="C4749" s="25">
        <v>44597</v>
      </c>
      <c r="D4749" s="26">
        <v>0.52653935185185186</v>
      </c>
      <c r="E4749" t="s">
        <v>25</v>
      </c>
      <c r="F4749" t="s">
        <v>210</v>
      </c>
      <c r="G4749" t="s">
        <v>211</v>
      </c>
      <c r="H4749" t="s">
        <v>255</v>
      </c>
      <c r="I4749">
        <v>408.71</v>
      </c>
      <c r="J4749" s="76">
        <v>0</v>
      </c>
      <c r="K4749" s="39">
        <f t="shared" si="292"/>
        <v>849.16</v>
      </c>
      <c r="L4749" s="7">
        <v>849.16</v>
      </c>
      <c r="M4749" s="36">
        <f t="shared" si="293"/>
        <v>48.131094257854826</v>
      </c>
    </row>
    <row r="4750" spans="1:13" ht="15.75" hidden="1" customHeight="1" x14ac:dyDescent="0.3">
      <c r="A4750" s="9">
        <v>815</v>
      </c>
      <c r="B4750" t="s">
        <v>254</v>
      </c>
      <c r="C4750" s="25">
        <v>44598</v>
      </c>
      <c r="D4750" s="26">
        <v>0.68877314814814816</v>
      </c>
      <c r="E4750" t="s">
        <v>25</v>
      </c>
      <c r="F4750" t="s">
        <v>210</v>
      </c>
      <c r="G4750" t="s">
        <v>211</v>
      </c>
      <c r="H4750" t="s">
        <v>255</v>
      </c>
      <c r="I4750">
        <v>439.4</v>
      </c>
      <c r="J4750" s="76">
        <v>0</v>
      </c>
      <c r="K4750" s="39">
        <f t="shared" si="292"/>
        <v>1062.8699999999999</v>
      </c>
      <c r="L4750" s="7">
        <v>1062.8699999999999</v>
      </c>
      <c r="M4750" s="36">
        <f t="shared" si="293"/>
        <v>41.340897757957229</v>
      </c>
    </row>
    <row r="4751" spans="1:13" ht="15.75" hidden="1" customHeight="1" x14ac:dyDescent="0.3">
      <c r="A4751" s="9">
        <v>816</v>
      </c>
      <c r="B4751" t="s">
        <v>254</v>
      </c>
      <c r="C4751" s="25">
        <v>44599</v>
      </c>
      <c r="D4751" s="26">
        <v>0.65297453703703701</v>
      </c>
      <c r="E4751" t="s">
        <v>25</v>
      </c>
      <c r="F4751" t="s">
        <v>175</v>
      </c>
      <c r="G4751" t="s">
        <v>172</v>
      </c>
      <c r="H4751" t="s">
        <v>255</v>
      </c>
      <c r="I4751">
        <v>349.54</v>
      </c>
      <c r="J4751" s="76">
        <v>0</v>
      </c>
      <c r="K4751" s="30">
        <f t="shared" ref="K4751:K4782" si="294">+L4751-J4751</f>
        <v>902.59</v>
      </c>
      <c r="L4751" s="34">
        <v>902.59</v>
      </c>
      <c r="M4751" s="36">
        <f t="shared" ref="M4751:M4782" si="295">I4751/K4751*100</f>
        <v>38.726332000132949</v>
      </c>
    </row>
    <row r="4752" spans="1:13" ht="15.75" hidden="1" customHeight="1" x14ac:dyDescent="0.3">
      <c r="A4752" s="9">
        <v>817</v>
      </c>
      <c r="B4752" t="s">
        <v>254</v>
      </c>
      <c r="C4752" s="25">
        <v>44607</v>
      </c>
      <c r="D4752" s="26">
        <v>0.95166666666666666</v>
      </c>
      <c r="E4752" t="s">
        <v>25</v>
      </c>
      <c r="F4752" t="s">
        <v>210</v>
      </c>
      <c r="G4752" t="s">
        <v>211</v>
      </c>
      <c r="H4752" t="s">
        <v>255</v>
      </c>
      <c r="I4752">
        <v>404.15</v>
      </c>
      <c r="J4752" s="76">
        <v>0</v>
      </c>
      <c r="K4752" s="11">
        <f t="shared" si="294"/>
        <v>847.22</v>
      </c>
      <c r="L4752" s="32">
        <v>847.22</v>
      </c>
      <c r="M4752" s="36">
        <f t="shared" si="295"/>
        <v>47.703075942494273</v>
      </c>
    </row>
    <row r="4753" spans="1:13" ht="15.75" hidden="1" customHeight="1" x14ac:dyDescent="0.3">
      <c r="A4753" s="9">
        <v>818</v>
      </c>
      <c r="B4753" t="s">
        <v>254</v>
      </c>
      <c r="C4753" s="25">
        <v>44608</v>
      </c>
      <c r="D4753" s="26">
        <v>0.92966435185185192</v>
      </c>
      <c r="E4753" t="s">
        <v>25</v>
      </c>
      <c r="F4753" t="s">
        <v>210</v>
      </c>
      <c r="G4753" t="s">
        <v>211</v>
      </c>
      <c r="H4753" t="s">
        <v>255</v>
      </c>
      <c r="I4753">
        <v>429.59</v>
      </c>
      <c r="J4753" s="7">
        <v>0</v>
      </c>
      <c r="K4753" s="11">
        <f t="shared" si="294"/>
        <v>1062.4100000000001</v>
      </c>
      <c r="L4753" s="32">
        <v>1062.4100000000001</v>
      </c>
      <c r="M4753" s="36">
        <f t="shared" si="295"/>
        <v>40.435425118362964</v>
      </c>
    </row>
    <row r="4754" spans="1:13" ht="15.75" hidden="1" customHeight="1" x14ac:dyDescent="0.3">
      <c r="A4754" s="9">
        <v>819</v>
      </c>
      <c r="B4754" t="s">
        <v>254</v>
      </c>
      <c r="C4754" s="25">
        <v>44610</v>
      </c>
      <c r="D4754" s="26">
        <v>0.40377314814814813</v>
      </c>
      <c r="E4754" t="s">
        <v>25</v>
      </c>
      <c r="F4754" t="s">
        <v>175</v>
      </c>
      <c r="G4754" t="s">
        <v>172</v>
      </c>
      <c r="H4754" t="s">
        <v>255</v>
      </c>
      <c r="I4754">
        <v>446.4</v>
      </c>
      <c r="J4754" s="7">
        <v>0</v>
      </c>
      <c r="K4754" s="11">
        <f t="shared" si="294"/>
        <v>1039.9000000000001</v>
      </c>
      <c r="L4754" s="7">
        <v>1039.9000000000001</v>
      </c>
      <c r="M4754" s="36">
        <f t="shared" si="295"/>
        <v>42.927204538897968</v>
      </c>
    </row>
    <row r="4755" spans="1:13" ht="15.75" hidden="1" customHeight="1" x14ac:dyDescent="0.3">
      <c r="A4755" s="9">
        <v>820</v>
      </c>
      <c r="B4755" t="s">
        <v>254</v>
      </c>
      <c r="C4755" s="25">
        <v>44611</v>
      </c>
      <c r="D4755" s="26">
        <v>0.60119212962962965</v>
      </c>
      <c r="E4755" t="s">
        <v>25</v>
      </c>
      <c r="F4755" t="s">
        <v>210</v>
      </c>
      <c r="G4755" t="s">
        <v>211</v>
      </c>
      <c r="H4755" t="s">
        <v>255</v>
      </c>
      <c r="I4755">
        <v>463.42</v>
      </c>
      <c r="J4755" s="7">
        <v>0</v>
      </c>
      <c r="K4755" s="11">
        <f t="shared" si="294"/>
        <v>1089.8499999999999</v>
      </c>
      <c r="L4755" s="7">
        <v>1089.8499999999999</v>
      </c>
      <c r="M4755" s="36">
        <f t="shared" si="295"/>
        <v>42.521447905675096</v>
      </c>
    </row>
    <row r="4756" spans="1:13" ht="15.75" hidden="1" customHeight="1" x14ac:dyDescent="0.3">
      <c r="A4756" s="9">
        <v>821</v>
      </c>
      <c r="B4756" t="s">
        <v>254</v>
      </c>
      <c r="C4756" s="25">
        <v>44612</v>
      </c>
      <c r="D4756" s="26">
        <v>0.75474537037037026</v>
      </c>
      <c r="E4756" t="s">
        <v>25</v>
      </c>
      <c r="F4756" t="s">
        <v>210</v>
      </c>
      <c r="G4756" t="s">
        <v>211</v>
      </c>
      <c r="H4756" t="s">
        <v>255</v>
      </c>
      <c r="I4756">
        <v>427.78</v>
      </c>
      <c r="J4756" s="31">
        <v>0</v>
      </c>
      <c r="K4756" s="28">
        <f t="shared" si="294"/>
        <v>1062.5899999999999</v>
      </c>
      <c r="L4756" s="7">
        <v>1062.5899999999999</v>
      </c>
      <c r="M4756" s="36">
        <f t="shared" si="295"/>
        <v>40.258236949340763</v>
      </c>
    </row>
    <row r="4757" spans="1:13" ht="15.75" hidden="1" customHeight="1" x14ac:dyDescent="0.3">
      <c r="A4757" s="9">
        <v>822</v>
      </c>
      <c r="B4757" t="s">
        <v>254</v>
      </c>
      <c r="C4757" s="25">
        <v>44614</v>
      </c>
      <c r="D4757" s="26">
        <v>0.35678240740740735</v>
      </c>
      <c r="E4757" t="s">
        <v>25</v>
      </c>
      <c r="F4757" t="s">
        <v>175</v>
      </c>
      <c r="G4757" t="s">
        <v>172</v>
      </c>
      <c r="H4757" t="s">
        <v>255</v>
      </c>
      <c r="I4757">
        <v>432.69</v>
      </c>
      <c r="J4757" s="7">
        <v>0</v>
      </c>
      <c r="K4757" s="7">
        <f t="shared" si="294"/>
        <v>1046.3699999999999</v>
      </c>
      <c r="L4757" s="34">
        <v>1046.3699999999999</v>
      </c>
      <c r="M4757" s="36">
        <f t="shared" si="295"/>
        <v>41.351529573668969</v>
      </c>
    </row>
    <row r="4758" spans="1:13" ht="15.75" hidden="1" customHeight="1" x14ac:dyDescent="0.3">
      <c r="A4758" s="9">
        <v>823</v>
      </c>
      <c r="B4758" t="s">
        <v>254</v>
      </c>
      <c r="C4758" s="25">
        <v>44614</v>
      </c>
      <c r="D4758" s="26">
        <v>0.88760416666666664</v>
      </c>
      <c r="E4758" t="s">
        <v>25</v>
      </c>
      <c r="F4758" t="s">
        <v>210</v>
      </c>
      <c r="G4758" t="s">
        <v>211</v>
      </c>
      <c r="H4758" t="s">
        <v>255</v>
      </c>
      <c r="I4758">
        <v>331.63</v>
      </c>
      <c r="J4758" s="7">
        <v>0</v>
      </c>
      <c r="K4758" s="39">
        <f t="shared" si="294"/>
        <v>694.36</v>
      </c>
      <c r="L4758" s="7">
        <v>694.36</v>
      </c>
      <c r="M4758" s="36">
        <f t="shared" si="295"/>
        <v>47.760527680165907</v>
      </c>
    </row>
    <row r="4759" spans="1:13" ht="15.75" hidden="1" customHeight="1" x14ac:dyDescent="0.3">
      <c r="A4759" s="9">
        <v>824</v>
      </c>
      <c r="B4759" t="s">
        <v>254</v>
      </c>
      <c r="C4759" s="25">
        <v>44615</v>
      </c>
      <c r="D4759" s="26">
        <v>0.96184027777777781</v>
      </c>
      <c r="E4759" t="s">
        <v>25</v>
      </c>
      <c r="F4759" t="s">
        <v>210</v>
      </c>
      <c r="G4759" t="s">
        <v>211</v>
      </c>
      <c r="H4759" t="s">
        <v>255</v>
      </c>
      <c r="I4759">
        <v>441.71</v>
      </c>
      <c r="J4759" s="7">
        <v>0</v>
      </c>
      <c r="K4759" s="30">
        <f t="shared" si="294"/>
        <v>1063.3</v>
      </c>
      <c r="L4759" s="7">
        <v>1063.3</v>
      </c>
      <c r="M4759" s="36">
        <f t="shared" si="295"/>
        <v>41.541427630960222</v>
      </c>
    </row>
    <row r="4760" spans="1:13" ht="15.75" hidden="1" customHeight="1" x14ac:dyDescent="0.3">
      <c r="A4760" s="9">
        <v>825</v>
      </c>
      <c r="B4760" t="s">
        <v>254</v>
      </c>
      <c r="C4760" s="25">
        <v>44618</v>
      </c>
      <c r="D4760" s="26">
        <v>0.11170138888888888</v>
      </c>
      <c r="E4760" t="s">
        <v>25</v>
      </c>
      <c r="F4760" t="s">
        <v>171</v>
      </c>
      <c r="G4760" t="s">
        <v>172</v>
      </c>
      <c r="H4760" t="s">
        <v>255</v>
      </c>
      <c r="I4760">
        <v>150.01</v>
      </c>
      <c r="J4760" s="7">
        <v>0</v>
      </c>
      <c r="K4760" s="30">
        <f t="shared" si="294"/>
        <v>1055.1500000000001</v>
      </c>
      <c r="L4760" s="7">
        <v>1055.1500000000001</v>
      </c>
      <c r="M4760" s="36">
        <f t="shared" si="295"/>
        <v>14.216935980666253</v>
      </c>
    </row>
    <row r="4761" spans="1:13" ht="15.75" hidden="1" customHeight="1" x14ac:dyDescent="0.3">
      <c r="A4761" s="9">
        <v>826</v>
      </c>
      <c r="B4761" t="s">
        <v>254</v>
      </c>
      <c r="C4761" s="25">
        <v>44618</v>
      </c>
      <c r="D4761" s="26">
        <v>0.49853009259259262</v>
      </c>
      <c r="E4761" t="s">
        <v>25</v>
      </c>
      <c r="F4761" t="s">
        <v>343</v>
      </c>
      <c r="G4761" t="s">
        <v>344</v>
      </c>
      <c r="H4761" t="s">
        <v>255</v>
      </c>
      <c r="I4761">
        <v>379.09</v>
      </c>
      <c r="J4761" s="7">
        <v>0</v>
      </c>
      <c r="K4761" s="11">
        <f t="shared" si="294"/>
        <v>187.56</v>
      </c>
      <c r="L4761" s="7">
        <v>187.56</v>
      </c>
      <c r="M4761" s="36">
        <f t="shared" si="295"/>
        <v>202.11665600341223</v>
      </c>
    </row>
    <row r="4762" spans="1:13" ht="15.75" hidden="1" customHeight="1" x14ac:dyDescent="0.3">
      <c r="A4762" s="9">
        <v>827</v>
      </c>
      <c r="B4762" t="s">
        <v>254</v>
      </c>
      <c r="C4762" s="25">
        <v>44618</v>
      </c>
      <c r="D4762" s="26">
        <v>0.82609953703703709</v>
      </c>
      <c r="E4762" t="s">
        <v>25</v>
      </c>
      <c r="F4762" t="s">
        <v>210</v>
      </c>
      <c r="G4762" t="s">
        <v>211</v>
      </c>
      <c r="H4762" t="s">
        <v>255</v>
      </c>
      <c r="I4762">
        <v>226.17</v>
      </c>
      <c r="J4762" s="7">
        <v>0</v>
      </c>
      <c r="K4762" s="11">
        <f t="shared" si="294"/>
        <v>504.2</v>
      </c>
      <c r="L4762" s="34">
        <v>504.2</v>
      </c>
      <c r="M4762" s="36">
        <f t="shared" si="295"/>
        <v>44.857199523998418</v>
      </c>
    </row>
    <row r="4763" spans="1:13" ht="15.75" hidden="1" customHeight="1" x14ac:dyDescent="0.3">
      <c r="A4763" s="9">
        <v>828</v>
      </c>
      <c r="B4763" t="s">
        <v>254</v>
      </c>
      <c r="C4763" s="25">
        <v>44619</v>
      </c>
      <c r="D4763" s="26">
        <v>0.929224537037037</v>
      </c>
      <c r="E4763" t="s">
        <v>25</v>
      </c>
      <c r="F4763" t="s">
        <v>202</v>
      </c>
      <c r="G4763" t="s">
        <v>203</v>
      </c>
      <c r="H4763" t="s">
        <v>255</v>
      </c>
      <c r="I4763">
        <v>439.26</v>
      </c>
      <c r="J4763" s="7">
        <v>0</v>
      </c>
      <c r="K4763" s="11">
        <f t="shared" si="294"/>
        <v>103.73</v>
      </c>
      <c r="L4763" s="7">
        <v>103.73</v>
      </c>
      <c r="M4763" s="36">
        <f t="shared" si="295"/>
        <v>423.46476429191171</v>
      </c>
    </row>
    <row r="4764" spans="1:13" ht="15.75" hidden="1" customHeight="1" x14ac:dyDescent="0.3">
      <c r="A4764" s="9">
        <v>1940</v>
      </c>
      <c r="B4764" t="s">
        <v>254</v>
      </c>
      <c r="C4764" s="25">
        <v>44643</v>
      </c>
      <c r="D4764" s="26">
        <v>0.99758101851851855</v>
      </c>
      <c r="E4764" t="s">
        <v>26</v>
      </c>
      <c r="F4764" t="s">
        <v>202</v>
      </c>
      <c r="G4764" t="s">
        <v>203</v>
      </c>
      <c r="H4764" t="s">
        <v>121</v>
      </c>
      <c r="I4764">
        <v>150</v>
      </c>
      <c r="J4764" s="7">
        <v>0</v>
      </c>
      <c r="K4764" s="94">
        <f t="shared" si="294"/>
        <v>537.75</v>
      </c>
      <c r="L4764" s="37">
        <v>537.75</v>
      </c>
      <c r="M4764" s="36">
        <f t="shared" si="295"/>
        <v>27.894002789400279</v>
      </c>
    </row>
    <row r="4765" spans="1:13" ht="15.75" hidden="1" customHeight="1" x14ac:dyDescent="0.3">
      <c r="A4765" s="9">
        <v>1941</v>
      </c>
      <c r="B4765" t="s">
        <v>254</v>
      </c>
      <c r="C4765" s="25">
        <v>44645</v>
      </c>
      <c r="D4765" s="26">
        <v>0.48472222222222222</v>
      </c>
      <c r="E4765" t="s">
        <v>26</v>
      </c>
      <c r="F4765" t="s">
        <v>165</v>
      </c>
      <c r="G4765" t="s">
        <v>185</v>
      </c>
      <c r="H4765" t="s">
        <v>121</v>
      </c>
      <c r="I4765">
        <v>464.27</v>
      </c>
      <c r="J4765" s="7">
        <v>0</v>
      </c>
      <c r="K4765" s="89">
        <f t="shared" si="294"/>
        <v>1086.9100000000001</v>
      </c>
      <c r="L4765" s="37">
        <v>1086.9100000000001</v>
      </c>
      <c r="M4765" s="36">
        <f t="shared" si="295"/>
        <v>42.714668187798431</v>
      </c>
    </row>
    <row r="4766" spans="1:13" ht="15.75" hidden="1" customHeight="1" x14ac:dyDescent="0.3">
      <c r="A4766" s="9">
        <v>1953</v>
      </c>
      <c r="B4766" t="s">
        <v>254</v>
      </c>
      <c r="C4766" s="25">
        <v>44621</v>
      </c>
      <c r="D4766" s="26">
        <v>0.39803240740740736</v>
      </c>
      <c r="E4766" t="s">
        <v>26</v>
      </c>
      <c r="F4766" t="s">
        <v>165</v>
      </c>
      <c r="G4766" t="s">
        <v>185</v>
      </c>
      <c r="H4766" t="s">
        <v>255</v>
      </c>
      <c r="I4766">
        <v>439.01</v>
      </c>
      <c r="J4766" s="7">
        <v>0</v>
      </c>
      <c r="K4766" s="94">
        <f t="shared" si="294"/>
        <v>1086.42</v>
      </c>
      <c r="L4766" s="7">
        <v>1086.42</v>
      </c>
      <c r="M4766" s="36">
        <f t="shared" si="295"/>
        <v>40.408865816166859</v>
      </c>
    </row>
    <row r="4767" spans="1:13" ht="15.75" hidden="1" customHeight="1" x14ac:dyDescent="0.3">
      <c r="A4767" s="9">
        <v>1954</v>
      </c>
      <c r="B4767" t="s">
        <v>254</v>
      </c>
      <c r="C4767" s="25">
        <v>44621</v>
      </c>
      <c r="D4767" s="26">
        <v>0.75494212962962959</v>
      </c>
      <c r="E4767" t="s">
        <v>26</v>
      </c>
      <c r="F4767" t="s">
        <v>210</v>
      </c>
      <c r="G4767" t="s">
        <v>211</v>
      </c>
      <c r="H4767" t="s">
        <v>255</v>
      </c>
      <c r="I4767">
        <v>139.85</v>
      </c>
      <c r="J4767" s="7">
        <v>0</v>
      </c>
      <c r="K4767" s="89">
        <f t="shared" si="294"/>
        <v>514.57000000000005</v>
      </c>
      <c r="L4767" s="7">
        <v>514.57000000000005</v>
      </c>
      <c r="M4767" s="36">
        <f t="shared" si="295"/>
        <v>27.178032143342985</v>
      </c>
    </row>
    <row r="4768" spans="1:13" ht="15.75" hidden="1" customHeight="1" x14ac:dyDescent="0.3">
      <c r="A4768" s="9">
        <v>1955</v>
      </c>
      <c r="B4768" t="s">
        <v>254</v>
      </c>
      <c r="C4768" s="25">
        <v>44622</v>
      </c>
      <c r="D4768" s="26">
        <v>0.75274305555555554</v>
      </c>
      <c r="E4768" t="s">
        <v>26</v>
      </c>
      <c r="F4768" t="s">
        <v>205</v>
      </c>
      <c r="G4768" t="s">
        <v>206</v>
      </c>
      <c r="H4768" t="s">
        <v>255</v>
      </c>
      <c r="I4768">
        <v>410.02</v>
      </c>
      <c r="J4768" s="7">
        <v>0</v>
      </c>
      <c r="K4768" s="89">
        <f t="shared" si="294"/>
        <v>1053.29</v>
      </c>
      <c r="L4768" s="7">
        <v>1053.29</v>
      </c>
      <c r="M4768" s="36">
        <f t="shared" si="295"/>
        <v>38.927550816963993</v>
      </c>
    </row>
    <row r="4769" spans="1:13" ht="15.75" hidden="1" customHeight="1" x14ac:dyDescent="0.3">
      <c r="A4769" s="9">
        <v>1956</v>
      </c>
      <c r="B4769" t="s">
        <v>254</v>
      </c>
      <c r="C4769" s="25">
        <v>44623</v>
      </c>
      <c r="D4769" s="26">
        <v>0.4727777777777778</v>
      </c>
      <c r="E4769" t="s">
        <v>26</v>
      </c>
      <c r="F4769" t="s">
        <v>210</v>
      </c>
      <c r="G4769" t="s">
        <v>211</v>
      </c>
      <c r="H4769" t="s">
        <v>255</v>
      </c>
      <c r="I4769">
        <v>310.64</v>
      </c>
      <c r="J4769" s="7">
        <v>0</v>
      </c>
      <c r="K4769" s="89">
        <f t="shared" si="294"/>
        <v>704.75</v>
      </c>
      <c r="L4769" s="7">
        <v>704.75</v>
      </c>
      <c r="M4769" s="36">
        <f t="shared" si="295"/>
        <v>44.078041858815183</v>
      </c>
    </row>
    <row r="4770" spans="1:13" ht="15.75" hidden="1" customHeight="1" x14ac:dyDescent="0.3">
      <c r="A4770" s="9">
        <v>1957</v>
      </c>
      <c r="B4770" t="s">
        <v>254</v>
      </c>
      <c r="C4770" s="25">
        <v>44624</v>
      </c>
      <c r="D4770" s="26">
        <v>0.19973379629629628</v>
      </c>
      <c r="E4770" t="s">
        <v>26</v>
      </c>
      <c r="F4770" t="s">
        <v>210</v>
      </c>
      <c r="G4770" t="s">
        <v>211</v>
      </c>
      <c r="H4770" t="s">
        <v>255</v>
      </c>
      <c r="I4770">
        <v>421.15</v>
      </c>
      <c r="J4770" s="51">
        <v>0</v>
      </c>
      <c r="K4770" s="89">
        <f t="shared" si="294"/>
        <v>1062.48</v>
      </c>
      <c r="L4770" s="51">
        <v>1062.48</v>
      </c>
      <c r="M4770" s="10">
        <f t="shared" si="295"/>
        <v>39.638393193283633</v>
      </c>
    </row>
    <row r="4771" spans="1:13" ht="15.75" hidden="1" customHeight="1" x14ac:dyDescent="0.3">
      <c r="A4771" s="9">
        <v>1958</v>
      </c>
      <c r="B4771" t="s">
        <v>254</v>
      </c>
      <c r="C4771" s="25">
        <v>44625</v>
      </c>
      <c r="D4771" s="26">
        <v>0.56101851851851847</v>
      </c>
      <c r="E4771" t="s">
        <v>26</v>
      </c>
      <c r="F4771" t="s">
        <v>205</v>
      </c>
      <c r="G4771" t="s">
        <v>206</v>
      </c>
      <c r="H4771" t="s">
        <v>255</v>
      </c>
      <c r="I4771">
        <v>418.67</v>
      </c>
      <c r="J4771" s="51">
        <v>0</v>
      </c>
      <c r="K4771" s="89">
        <f t="shared" si="294"/>
        <v>1052.23</v>
      </c>
      <c r="L4771" s="51">
        <v>1052.23</v>
      </c>
      <c r="M4771" s="10">
        <f t="shared" si="295"/>
        <v>39.78882943843076</v>
      </c>
    </row>
    <row r="4772" spans="1:13" ht="15.75" hidden="1" customHeight="1" x14ac:dyDescent="0.3">
      <c r="A4772" s="9">
        <v>1959</v>
      </c>
      <c r="B4772" t="s">
        <v>254</v>
      </c>
      <c r="C4772" s="25">
        <v>44625</v>
      </c>
      <c r="D4772" s="26">
        <v>0.99884259259259256</v>
      </c>
      <c r="E4772" t="s">
        <v>26</v>
      </c>
      <c r="F4772" t="s">
        <v>210</v>
      </c>
      <c r="G4772" t="s">
        <v>211</v>
      </c>
      <c r="H4772" t="s">
        <v>255</v>
      </c>
      <c r="I4772">
        <v>328.93</v>
      </c>
      <c r="J4772" s="7">
        <v>0</v>
      </c>
      <c r="K4772" s="90">
        <f t="shared" si="294"/>
        <v>703.8</v>
      </c>
      <c r="L4772" s="7">
        <v>703.8</v>
      </c>
      <c r="M4772" s="36">
        <f t="shared" si="295"/>
        <v>46.736288718385907</v>
      </c>
    </row>
    <row r="4773" spans="1:13" ht="15.75" hidden="1" customHeight="1" x14ac:dyDescent="0.3">
      <c r="A4773" s="9">
        <v>1960</v>
      </c>
      <c r="B4773" t="s">
        <v>254</v>
      </c>
      <c r="C4773" s="25">
        <v>44627</v>
      </c>
      <c r="D4773" s="26">
        <v>5.3055555555555557E-2</v>
      </c>
      <c r="E4773" t="s">
        <v>26</v>
      </c>
      <c r="F4773" t="s">
        <v>202</v>
      </c>
      <c r="G4773" t="s">
        <v>203</v>
      </c>
      <c r="H4773" t="s">
        <v>255</v>
      </c>
      <c r="I4773">
        <v>428.63</v>
      </c>
      <c r="J4773" s="7">
        <v>0</v>
      </c>
      <c r="K4773" s="90">
        <f t="shared" si="294"/>
        <v>1088.43</v>
      </c>
      <c r="L4773" s="7">
        <v>1088.43</v>
      </c>
      <c r="M4773" s="36">
        <f t="shared" si="295"/>
        <v>39.380575691592476</v>
      </c>
    </row>
    <row r="4774" spans="1:13" ht="15.75" hidden="1" customHeight="1" x14ac:dyDescent="0.3">
      <c r="A4774" s="9">
        <v>1961</v>
      </c>
      <c r="B4774" t="s">
        <v>254</v>
      </c>
      <c r="C4774" s="25">
        <v>44628</v>
      </c>
      <c r="D4774" s="26">
        <v>0.51586805555555559</v>
      </c>
      <c r="E4774" t="s">
        <v>26</v>
      </c>
      <c r="F4774" t="s">
        <v>165</v>
      </c>
      <c r="G4774" t="s">
        <v>185</v>
      </c>
      <c r="H4774" t="s">
        <v>255</v>
      </c>
      <c r="I4774">
        <v>200</v>
      </c>
      <c r="J4774" s="7">
        <v>0</v>
      </c>
      <c r="K4774" s="90">
        <f t="shared" si="294"/>
        <v>1086.3900000000001</v>
      </c>
      <c r="L4774" s="7">
        <v>1086.3900000000001</v>
      </c>
      <c r="M4774" s="36">
        <f t="shared" si="295"/>
        <v>18.409595080956194</v>
      </c>
    </row>
    <row r="4775" spans="1:13" ht="15.75" hidden="1" customHeight="1" x14ac:dyDescent="0.3">
      <c r="A4775" s="9">
        <v>1962</v>
      </c>
      <c r="B4775" t="s">
        <v>254</v>
      </c>
      <c r="C4775" s="25">
        <v>44628</v>
      </c>
      <c r="D4775" s="26">
        <v>0.84368055555555566</v>
      </c>
      <c r="E4775" t="s">
        <v>26</v>
      </c>
      <c r="F4775" t="s">
        <v>210</v>
      </c>
      <c r="G4775" t="s">
        <v>211</v>
      </c>
      <c r="H4775" t="s">
        <v>255</v>
      </c>
      <c r="I4775">
        <v>414.83</v>
      </c>
      <c r="J4775" s="7">
        <v>0</v>
      </c>
      <c r="K4775" s="90">
        <f t="shared" si="294"/>
        <v>514.45000000000005</v>
      </c>
      <c r="L4775" s="7">
        <v>514.45000000000005</v>
      </c>
      <c r="M4775" s="36">
        <f t="shared" si="295"/>
        <v>80.63563028477013</v>
      </c>
    </row>
    <row r="4776" spans="1:13" ht="15.75" hidden="1" customHeight="1" x14ac:dyDescent="0.3">
      <c r="A4776" s="9">
        <v>1963</v>
      </c>
      <c r="B4776" t="s">
        <v>254</v>
      </c>
      <c r="C4776" s="25">
        <v>44629</v>
      </c>
      <c r="D4776" s="26">
        <v>0.75034722222222217</v>
      </c>
      <c r="E4776" t="s">
        <v>26</v>
      </c>
      <c r="F4776" t="s">
        <v>175</v>
      </c>
      <c r="G4776" t="s">
        <v>172</v>
      </c>
      <c r="H4776" t="s">
        <v>255</v>
      </c>
      <c r="I4776">
        <v>344.56</v>
      </c>
      <c r="J4776" s="7">
        <v>0</v>
      </c>
      <c r="K4776" s="90">
        <f t="shared" si="294"/>
        <v>904.2</v>
      </c>
      <c r="L4776" s="31">
        <v>904.2</v>
      </c>
      <c r="M4776" s="36">
        <f t="shared" si="295"/>
        <v>38.106613581066135</v>
      </c>
    </row>
    <row r="4777" spans="1:13" ht="15.75" hidden="1" customHeight="1" x14ac:dyDescent="0.3">
      <c r="A4777" s="9">
        <v>1964</v>
      </c>
      <c r="B4777" t="s">
        <v>254</v>
      </c>
      <c r="C4777" s="25">
        <v>44637</v>
      </c>
      <c r="D4777" s="26">
        <v>0.44634259259259257</v>
      </c>
      <c r="E4777" t="s">
        <v>26</v>
      </c>
      <c r="F4777" t="s">
        <v>210</v>
      </c>
      <c r="G4777" t="s">
        <v>211</v>
      </c>
      <c r="H4777" t="s">
        <v>255</v>
      </c>
      <c r="I4777">
        <v>398.54</v>
      </c>
      <c r="J4777" s="7">
        <v>0</v>
      </c>
      <c r="K4777" s="90">
        <f t="shared" si="294"/>
        <v>844.31</v>
      </c>
      <c r="L4777" s="7">
        <v>844.31</v>
      </c>
      <c r="M4777" s="36">
        <f t="shared" si="295"/>
        <v>47.20304153687627</v>
      </c>
    </row>
    <row r="4778" spans="1:13" ht="15.75" hidden="1" customHeight="1" x14ac:dyDescent="0.3">
      <c r="A4778" s="9">
        <v>1965</v>
      </c>
      <c r="B4778" t="s">
        <v>254</v>
      </c>
      <c r="C4778" s="25">
        <v>44638</v>
      </c>
      <c r="D4778" s="26">
        <v>0.65163194444444439</v>
      </c>
      <c r="E4778" t="s">
        <v>26</v>
      </c>
      <c r="F4778" t="s">
        <v>165</v>
      </c>
      <c r="G4778" t="s">
        <v>185</v>
      </c>
      <c r="H4778" t="s">
        <v>255</v>
      </c>
      <c r="I4778">
        <v>288.06</v>
      </c>
      <c r="J4778" s="7">
        <v>0</v>
      </c>
      <c r="K4778" s="90">
        <f t="shared" si="294"/>
        <v>553.83000000000004</v>
      </c>
      <c r="L4778" s="7">
        <v>553.83000000000004</v>
      </c>
      <c r="M4778" s="36">
        <f t="shared" si="295"/>
        <v>52.012350360218839</v>
      </c>
    </row>
    <row r="4779" spans="1:13" ht="15.75" hidden="1" customHeight="1" x14ac:dyDescent="0.3">
      <c r="A4779" s="9">
        <v>1966</v>
      </c>
      <c r="B4779" t="s">
        <v>254</v>
      </c>
      <c r="C4779" s="25">
        <v>44640</v>
      </c>
      <c r="D4779" s="26">
        <v>0.31666666666666665</v>
      </c>
      <c r="E4779" t="s">
        <v>26</v>
      </c>
      <c r="F4779" t="s">
        <v>169</v>
      </c>
      <c r="G4779" t="s">
        <v>196</v>
      </c>
      <c r="H4779" t="s">
        <v>255</v>
      </c>
      <c r="I4779">
        <v>350</v>
      </c>
      <c r="J4779" s="7">
        <v>0</v>
      </c>
      <c r="K4779" s="90">
        <f t="shared" si="294"/>
        <v>1015.51</v>
      </c>
      <c r="L4779" s="7">
        <v>1015.51</v>
      </c>
      <c r="M4779" s="36">
        <f t="shared" si="295"/>
        <v>34.465441009935894</v>
      </c>
    </row>
    <row r="4780" spans="1:13" ht="15.75" hidden="1" customHeight="1" x14ac:dyDescent="0.3">
      <c r="A4780" s="9">
        <v>1967</v>
      </c>
      <c r="B4780" t="s">
        <v>254</v>
      </c>
      <c r="C4780" s="25">
        <v>44642</v>
      </c>
      <c r="D4780" s="26">
        <v>0.51299768518518518</v>
      </c>
      <c r="E4780" t="s">
        <v>26</v>
      </c>
      <c r="F4780" t="s">
        <v>459</v>
      </c>
      <c r="G4780" t="s">
        <v>303</v>
      </c>
      <c r="H4780" t="s">
        <v>255</v>
      </c>
      <c r="I4780">
        <v>250.19</v>
      </c>
      <c r="J4780" s="7">
        <v>0</v>
      </c>
      <c r="K4780" s="90">
        <f t="shared" si="294"/>
        <v>977.73</v>
      </c>
      <c r="L4780" s="7">
        <v>977.73</v>
      </c>
      <c r="M4780" s="36">
        <f t="shared" si="295"/>
        <v>25.588864001309155</v>
      </c>
    </row>
    <row r="4781" spans="1:13" ht="16.5" hidden="1" customHeight="1" x14ac:dyDescent="0.3">
      <c r="A4781" s="9">
        <v>1968</v>
      </c>
      <c r="B4781" t="s">
        <v>254</v>
      </c>
      <c r="C4781" s="25">
        <v>44642</v>
      </c>
      <c r="D4781" s="26">
        <v>0.82603009259259252</v>
      </c>
      <c r="E4781" t="s">
        <v>26</v>
      </c>
      <c r="F4781" t="s">
        <v>210</v>
      </c>
      <c r="G4781" t="s">
        <v>211</v>
      </c>
      <c r="H4781" t="s">
        <v>255</v>
      </c>
      <c r="I4781">
        <v>357.07</v>
      </c>
      <c r="J4781" s="7">
        <v>0</v>
      </c>
      <c r="K4781" s="90">
        <f t="shared" si="294"/>
        <v>431.39</v>
      </c>
      <c r="L4781" s="7">
        <v>431.39</v>
      </c>
      <c r="M4781" s="36">
        <f t="shared" si="295"/>
        <v>82.771969679408429</v>
      </c>
    </row>
    <row r="4782" spans="1:13" ht="15.75" hidden="1" customHeight="1" x14ac:dyDescent="0.3">
      <c r="A4782" s="9">
        <v>1969</v>
      </c>
      <c r="B4782" t="s">
        <v>254</v>
      </c>
      <c r="C4782" s="25">
        <v>44643</v>
      </c>
      <c r="D4782" s="26">
        <v>0.65923611111111113</v>
      </c>
      <c r="E4782" t="s">
        <v>26</v>
      </c>
      <c r="F4782" t="s">
        <v>165</v>
      </c>
      <c r="G4782" t="s">
        <v>185</v>
      </c>
      <c r="H4782" t="s">
        <v>255</v>
      </c>
      <c r="I4782">
        <v>271.01</v>
      </c>
      <c r="J4782" s="7">
        <v>0</v>
      </c>
      <c r="K4782" s="89">
        <f t="shared" si="294"/>
        <v>552.29999999999995</v>
      </c>
      <c r="L4782" s="34">
        <v>552.29999999999995</v>
      </c>
      <c r="M4782" s="36">
        <f t="shared" si="295"/>
        <v>49.069346369726603</v>
      </c>
    </row>
    <row r="4783" spans="1:13" ht="15.75" hidden="1" customHeight="1" x14ac:dyDescent="0.3">
      <c r="A4783" s="9">
        <v>1971</v>
      </c>
      <c r="B4783" t="s">
        <v>254</v>
      </c>
      <c r="C4783" s="25">
        <v>44645</v>
      </c>
      <c r="D4783" s="26">
        <v>0.91575231481481489</v>
      </c>
      <c r="E4783" t="s">
        <v>26</v>
      </c>
      <c r="F4783" t="s">
        <v>166</v>
      </c>
      <c r="G4783" t="s">
        <v>161</v>
      </c>
      <c r="H4783" t="s">
        <v>255</v>
      </c>
      <c r="I4783">
        <v>632.24</v>
      </c>
      <c r="J4783" s="7">
        <v>0</v>
      </c>
      <c r="K4783" s="94">
        <f t="shared" ref="K4783:K4813" si="296">+L4783-J4783</f>
        <v>1676.92</v>
      </c>
      <c r="L4783" s="34">
        <v>1676.92</v>
      </c>
      <c r="M4783" s="36">
        <f t="shared" ref="M4783:M4814" si="297">I4783/K4783*100</f>
        <v>37.702454499916513</v>
      </c>
    </row>
    <row r="4784" spans="1:13" ht="15.75" hidden="1" customHeight="1" x14ac:dyDescent="0.3">
      <c r="A4784" s="9">
        <v>1972</v>
      </c>
      <c r="B4784" t="s">
        <v>254</v>
      </c>
      <c r="C4784" s="25">
        <v>44648</v>
      </c>
      <c r="D4784" s="26">
        <v>0.61598379629629629</v>
      </c>
      <c r="E4784" t="s">
        <v>26</v>
      </c>
      <c r="F4784" t="s">
        <v>339</v>
      </c>
      <c r="G4784" t="s">
        <v>392</v>
      </c>
      <c r="H4784" t="s">
        <v>255</v>
      </c>
      <c r="I4784">
        <v>458.5</v>
      </c>
      <c r="J4784" s="7">
        <v>0</v>
      </c>
      <c r="K4784" s="89">
        <f t="shared" si="296"/>
        <v>1216.93</v>
      </c>
      <c r="L4784" s="32">
        <v>1216.93</v>
      </c>
      <c r="M4784" s="36">
        <f t="shared" si="297"/>
        <v>37.676776807211589</v>
      </c>
    </row>
    <row r="4785" spans="1:13" ht="15.75" hidden="1" customHeight="1" x14ac:dyDescent="0.3">
      <c r="A4785" s="9">
        <v>1973</v>
      </c>
      <c r="B4785" t="s">
        <v>254</v>
      </c>
      <c r="C4785" s="25">
        <v>44649</v>
      </c>
      <c r="D4785" s="26">
        <v>7.9317129629629626E-2</v>
      </c>
      <c r="E4785" t="s">
        <v>26</v>
      </c>
      <c r="F4785" t="s">
        <v>210</v>
      </c>
      <c r="G4785" t="s">
        <v>211</v>
      </c>
      <c r="H4785" t="s">
        <v>255</v>
      </c>
      <c r="I4785">
        <v>301.91000000000003</v>
      </c>
      <c r="J4785" s="34">
        <v>0</v>
      </c>
      <c r="K4785" s="94">
        <f t="shared" si="296"/>
        <v>699.18</v>
      </c>
      <c r="L4785" s="7">
        <v>699.18</v>
      </c>
      <c r="M4785" s="36">
        <f t="shared" si="297"/>
        <v>43.180582968620392</v>
      </c>
    </row>
    <row r="4786" spans="1:13" ht="15.75" hidden="1" customHeight="1" x14ac:dyDescent="0.3">
      <c r="A4786" s="9">
        <v>1974</v>
      </c>
      <c r="B4786" t="s">
        <v>254</v>
      </c>
      <c r="C4786" s="25">
        <v>44650</v>
      </c>
      <c r="D4786" s="26">
        <v>0.10553240740740739</v>
      </c>
      <c r="E4786" t="s">
        <v>26</v>
      </c>
      <c r="F4786" t="s">
        <v>278</v>
      </c>
      <c r="G4786" t="s">
        <v>279</v>
      </c>
      <c r="H4786" t="s">
        <v>255</v>
      </c>
      <c r="I4786">
        <v>307.01</v>
      </c>
      <c r="J4786" s="34">
        <v>0</v>
      </c>
      <c r="K4786" s="89">
        <f t="shared" si="296"/>
        <v>825.91</v>
      </c>
      <c r="L4786" s="7">
        <v>825.91</v>
      </c>
      <c r="M4786" s="36">
        <f t="shared" si="297"/>
        <v>37.172331125667448</v>
      </c>
    </row>
    <row r="4787" spans="1:13" ht="15.75" hidden="1" customHeight="1" x14ac:dyDescent="0.3">
      <c r="A4787" s="9">
        <v>1975</v>
      </c>
      <c r="B4787" t="s">
        <v>254</v>
      </c>
      <c r="C4787" s="25">
        <v>44650</v>
      </c>
      <c r="D4787" s="26">
        <v>0.49436342592592591</v>
      </c>
      <c r="E4787" t="s">
        <v>26</v>
      </c>
      <c r="F4787" t="s">
        <v>202</v>
      </c>
      <c r="G4787" t="s">
        <v>203</v>
      </c>
      <c r="H4787" t="s">
        <v>255</v>
      </c>
      <c r="I4787">
        <v>116.31</v>
      </c>
      <c r="J4787" s="7">
        <v>0</v>
      </c>
      <c r="K4787" s="94">
        <f t="shared" si="296"/>
        <v>435.66</v>
      </c>
      <c r="L4787" s="7">
        <v>435.66</v>
      </c>
      <c r="M4787" s="36">
        <f t="shared" si="297"/>
        <v>26.697424597162922</v>
      </c>
    </row>
    <row r="4788" spans="1:13" ht="15.75" hidden="1" customHeight="1" x14ac:dyDescent="0.3">
      <c r="A4788" s="9">
        <v>1976</v>
      </c>
      <c r="B4788" t="s">
        <v>254</v>
      </c>
      <c r="C4788" s="25">
        <v>44651</v>
      </c>
      <c r="D4788" s="26">
        <v>0.75973379629629623</v>
      </c>
      <c r="E4788" t="s">
        <v>26</v>
      </c>
      <c r="F4788" t="s">
        <v>278</v>
      </c>
      <c r="G4788" t="s">
        <v>279</v>
      </c>
      <c r="H4788" t="s">
        <v>255</v>
      </c>
      <c r="I4788">
        <v>476.21</v>
      </c>
      <c r="J4788" s="7">
        <v>0</v>
      </c>
      <c r="K4788" s="89">
        <f t="shared" si="296"/>
        <v>1125.1500000000001</v>
      </c>
      <c r="L4788" s="32">
        <v>1125.1500000000001</v>
      </c>
      <c r="M4788" s="36">
        <f t="shared" si="297"/>
        <v>42.324134559836466</v>
      </c>
    </row>
    <row r="4789" spans="1:13" ht="15.75" hidden="1" customHeight="1" x14ac:dyDescent="0.3">
      <c r="A4789" s="9">
        <v>2786</v>
      </c>
      <c r="B4789" t="s">
        <v>254</v>
      </c>
      <c r="C4789" s="25">
        <v>44670</v>
      </c>
      <c r="D4789" s="26">
        <v>0.54246527777777775</v>
      </c>
      <c r="E4789" t="s">
        <v>27</v>
      </c>
      <c r="F4789" t="s">
        <v>175</v>
      </c>
      <c r="G4789" t="s">
        <v>172</v>
      </c>
      <c r="H4789" t="s">
        <v>216</v>
      </c>
      <c r="I4789" s="4">
        <v>407.36</v>
      </c>
      <c r="J4789" s="32">
        <v>0</v>
      </c>
      <c r="K4789" s="94">
        <f t="shared" si="296"/>
        <v>1114.19</v>
      </c>
      <c r="L4789" s="32">
        <v>1114.19</v>
      </c>
      <c r="M4789" s="36">
        <f t="shared" si="297"/>
        <v>36.561089221766487</v>
      </c>
    </row>
    <row r="4790" spans="1:13" ht="15.75" hidden="1" customHeight="1" x14ac:dyDescent="0.3">
      <c r="A4790" s="9">
        <v>2787</v>
      </c>
      <c r="B4790" t="s">
        <v>254</v>
      </c>
      <c r="C4790" s="25">
        <v>44671</v>
      </c>
      <c r="D4790" s="26">
        <v>0.55745370370370373</v>
      </c>
      <c r="E4790" t="s">
        <v>27</v>
      </c>
      <c r="F4790" t="s">
        <v>210</v>
      </c>
      <c r="G4790" t="s">
        <v>211</v>
      </c>
      <c r="H4790" t="s">
        <v>216</v>
      </c>
      <c r="I4790" s="4">
        <v>345.1</v>
      </c>
      <c r="J4790" s="32">
        <v>0</v>
      </c>
      <c r="K4790" s="89">
        <f t="shared" si="296"/>
        <v>665</v>
      </c>
      <c r="L4790" s="32">
        <v>665</v>
      </c>
      <c r="M4790" s="36">
        <f t="shared" si="297"/>
        <v>51.894736842105274</v>
      </c>
    </row>
    <row r="4791" spans="1:13" ht="15.75" hidden="1" customHeight="1" x14ac:dyDescent="0.3">
      <c r="A4791" s="9">
        <v>2788</v>
      </c>
      <c r="B4791" t="s">
        <v>254</v>
      </c>
      <c r="C4791" s="25">
        <v>44671</v>
      </c>
      <c r="D4791" s="26">
        <v>0.97733796296296294</v>
      </c>
      <c r="E4791" t="s">
        <v>27</v>
      </c>
      <c r="F4791" t="s">
        <v>165</v>
      </c>
      <c r="G4791" t="s">
        <v>185</v>
      </c>
      <c r="H4791" t="s">
        <v>216</v>
      </c>
      <c r="I4791" s="4">
        <v>239.2</v>
      </c>
      <c r="J4791" s="32">
        <v>0</v>
      </c>
      <c r="K4791" s="96">
        <f t="shared" si="296"/>
        <v>1383</v>
      </c>
      <c r="L4791" s="32">
        <v>1383</v>
      </c>
      <c r="M4791" s="36">
        <f t="shared" si="297"/>
        <v>17.29573391178597</v>
      </c>
    </row>
    <row r="4792" spans="1:13" ht="15.75" hidden="1" customHeight="1" x14ac:dyDescent="0.3">
      <c r="A4792" s="9">
        <v>2789</v>
      </c>
      <c r="B4792" t="s">
        <v>254</v>
      </c>
      <c r="C4792" s="25">
        <v>44672</v>
      </c>
      <c r="D4792" s="26">
        <v>0.50045138888888896</v>
      </c>
      <c r="E4792" t="s">
        <v>27</v>
      </c>
      <c r="F4792" t="s">
        <v>202</v>
      </c>
      <c r="G4792" t="s">
        <v>203</v>
      </c>
      <c r="H4792" t="s">
        <v>216</v>
      </c>
      <c r="I4792" s="4">
        <v>333</v>
      </c>
      <c r="J4792" s="32">
        <v>0</v>
      </c>
      <c r="K4792" s="90">
        <f t="shared" si="296"/>
        <v>1088</v>
      </c>
      <c r="L4792" s="37">
        <v>1088</v>
      </c>
      <c r="M4792" s="36">
        <f t="shared" si="297"/>
        <v>30.606617647058826</v>
      </c>
    </row>
    <row r="4793" spans="1:13" ht="15.75" hidden="1" customHeight="1" x14ac:dyDescent="0.3">
      <c r="A4793" s="9">
        <v>2790</v>
      </c>
      <c r="B4793" t="s">
        <v>254</v>
      </c>
      <c r="C4793" s="25">
        <v>44674</v>
      </c>
      <c r="D4793" s="26">
        <v>3.5694444444444445E-2</v>
      </c>
      <c r="E4793" t="s">
        <v>27</v>
      </c>
      <c r="F4793" t="s">
        <v>210</v>
      </c>
      <c r="G4793" t="s">
        <v>211</v>
      </c>
      <c r="H4793" t="s">
        <v>216</v>
      </c>
      <c r="I4793" s="4">
        <v>373.37</v>
      </c>
      <c r="J4793" s="32">
        <v>0</v>
      </c>
      <c r="K4793" s="90">
        <f t="shared" si="296"/>
        <v>1601</v>
      </c>
      <c r="L4793" s="32">
        <v>1601</v>
      </c>
      <c r="M4793" s="36">
        <f t="shared" si="297"/>
        <v>23.321049344159899</v>
      </c>
    </row>
    <row r="4794" spans="1:13" ht="15.75" hidden="1" customHeight="1" x14ac:dyDescent="0.3">
      <c r="A4794" s="9">
        <v>2791</v>
      </c>
      <c r="B4794" t="s">
        <v>254</v>
      </c>
      <c r="C4794" s="25">
        <v>44675</v>
      </c>
      <c r="D4794" s="26">
        <v>0.35961805555555554</v>
      </c>
      <c r="E4794" t="s">
        <v>27</v>
      </c>
      <c r="F4794" t="s">
        <v>428</v>
      </c>
      <c r="G4794" t="s">
        <v>429</v>
      </c>
      <c r="H4794" t="s">
        <v>216</v>
      </c>
      <c r="I4794" s="4">
        <v>150</v>
      </c>
      <c r="J4794" s="32">
        <v>0</v>
      </c>
      <c r="K4794" s="90">
        <f t="shared" si="296"/>
        <v>938.67</v>
      </c>
      <c r="L4794" s="32">
        <v>938.67</v>
      </c>
      <c r="M4794" s="36">
        <f t="shared" si="297"/>
        <v>15.980056889002526</v>
      </c>
    </row>
    <row r="4795" spans="1:13" ht="15.75" hidden="1" customHeight="1" x14ac:dyDescent="0.3">
      <c r="A4795" s="9">
        <v>2792</v>
      </c>
      <c r="B4795" t="s">
        <v>254</v>
      </c>
      <c r="C4795" s="25">
        <v>44676</v>
      </c>
      <c r="D4795" s="26">
        <v>0.22263888888888891</v>
      </c>
      <c r="E4795" t="s">
        <v>27</v>
      </c>
      <c r="F4795" t="s">
        <v>428</v>
      </c>
      <c r="G4795" t="s">
        <v>429</v>
      </c>
      <c r="H4795" t="s">
        <v>216</v>
      </c>
      <c r="I4795">
        <v>150.07</v>
      </c>
      <c r="J4795" s="32">
        <v>0</v>
      </c>
      <c r="K4795" s="90">
        <f t="shared" si="296"/>
        <v>281</v>
      </c>
      <c r="L4795" s="7">
        <v>281</v>
      </c>
      <c r="M4795" s="36">
        <f t="shared" si="297"/>
        <v>53.405693950177934</v>
      </c>
    </row>
    <row r="4796" spans="1:13" ht="15.75" hidden="1" customHeight="1" x14ac:dyDescent="0.3">
      <c r="A4796" s="9">
        <v>2793</v>
      </c>
      <c r="B4796" t="s">
        <v>254</v>
      </c>
      <c r="C4796" s="25">
        <v>44676</v>
      </c>
      <c r="D4796" s="26">
        <v>0.97962962962962974</v>
      </c>
      <c r="E4796" t="s">
        <v>27</v>
      </c>
      <c r="F4796" t="s">
        <v>210</v>
      </c>
      <c r="G4796" t="s">
        <v>211</v>
      </c>
      <c r="H4796" t="s">
        <v>216</v>
      </c>
      <c r="I4796">
        <v>370.55</v>
      </c>
      <c r="J4796" s="32">
        <v>0</v>
      </c>
      <c r="K4796" s="90">
        <f t="shared" si="296"/>
        <v>827.53</v>
      </c>
      <c r="L4796" s="7">
        <v>827.53</v>
      </c>
      <c r="M4796" s="36">
        <f t="shared" si="297"/>
        <v>44.777832827812894</v>
      </c>
    </row>
    <row r="4797" spans="1:13" ht="15.75" hidden="1" customHeight="1" x14ac:dyDescent="0.3">
      <c r="A4797" s="9">
        <v>2794</v>
      </c>
      <c r="B4797" t="s">
        <v>254</v>
      </c>
      <c r="C4797" s="25">
        <v>44677</v>
      </c>
      <c r="D4797" s="26">
        <v>0.995</v>
      </c>
      <c r="E4797" t="s">
        <v>27</v>
      </c>
      <c r="F4797" t="s">
        <v>210</v>
      </c>
      <c r="G4797" t="s">
        <v>211</v>
      </c>
      <c r="H4797" t="s">
        <v>216</v>
      </c>
      <c r="I4797">
        <v>378.3</v>
      </c>
      <c r="J4797" s="32">
        <v>0</v>
      </c>
      <c r="K4797" s="90">
        <f t="shared" si="296"/>
        <v>1063.82</v>
      </c>
      <c r="L4797" s="7">
        <v>1063.82</v>
      </c>
      <c r="M4797" s="36">
        <f t="shared" si="297"/>
        <v>35.560527156849844</v>
      </c>
    </row>
    <row r="4798" spans="1:13" ht="15.75" hidden="1" customHeight="1" x14ac:dyDescent="0.3">
      <c r="A4798" s="9">
        <v>2795</v>
      </c>
      <c r="B4798" t="s">
        <v>254</v>
      </c>
      <c r="C4798" s="25">
        <v>44679</v>
      </c>
      <c r="D4798" s="26">
        <v>0.63843749999999999</v>
      </c>
      <c r="E4798" t="s">
        <v>27</v>
      </c>
      <c r="F4798" t="s">
        <v>331</v>
      </c>
      <c r="G4798" t="s">
        <v>277</v>
      </c>
      <c r="H4798" t="s">
        <v>216</v>
      </c>
      <c r="I4798">
        <v>407.5</v>
      </c>
      <c r="J4798" s="32">
        <v>0</v>
      </c>
      <c r="K4798" s="89">
        <f t="shared" si="296"/>
        <v>1160.8900000000001</v>
      </c>
      <c r="L4798" s="34">
        <v>1160.8900000000001</v>
      </c>
      <c r="M4798" s="36">
        <f t="shared" si="297"/>
        <v>35.102378347647061</v>
      </c>
    </row>
    <row r="4799" spans="1:13" ht="15.75" hidden="1" customHeight="1" x14ac:dyDescent="0.3">
      <c r="A4799" s="9">
        <v>3251</v>
      </c>
      <c r="B4799" t="s">
        <v>254</v>
      </c>
      <c r="C4799" s="25">
        <v>44652</v>
      </c>
      <c r="D4799" s="26">
        <v>0.62513888888888891</v>
      </c>
      <c r="E4799" t="s">
        <v>27</v>
      </c>
      <c r="F4799" t="s">
        <v>169</v>
      </c>
      <c r="G4799" t="s">
        <v>196</v>
      </c>
      <c r="H4799" t="s">
        <v>255</v>
      </c>
      <c r="I4799" s="4">
        <v>150</v>
      </c>
      <c r="J4799" s="7">
        <v>0</v>
      </c>
      <c r="K4799" s="89">
        <f t="shared" si="296"/>
        <v>845.42</v>
      </c>
      <c r="L4799" s="7">
        <v>845.42</v>
      </c>
      <c r="M4799" s="36">
        <f t="shared" si="297"/>
        <v>17.742660452792698</v>
      </c>
    </row>
    <row r="4800" spans="1:13" ht="15.75" hidden="1" customHeight="1" x14ac:dyDescent="0.3">
      <c r="A4800" s="9">
        <v>3252</v>
      </c>
      <c r="B4800" t="s">
        <v>254</v>
      </c>
      <c r="C4800" s="25">
        <v>44653</v>
      </c>
      <c r="D4800" s="26">
        <v>0.33869212962962963</v>
      </c>
      <c r="E4800" t="s">
        <v>27</v>
      </c>
      <c r="F4800" t="s">
        <v>391</v>
      </c>
      <c r="G4800" t="s">
        <v>392</v>
      </c>
      <c r="H4800" t="s">
        <v>255</v>
      </c>
      <c r="I4800" s="4">
        <v>315.94</v>
      </c>
      <c r="J4800" s="7">
        <v>0</v>
      </c>
      <c r="K4800" s="89">
        <f t="shared" si="296"/>
        <v>398.72</v>
      </c>
      <c r="L4800" s="7">
        <v>398.72</v>
      </c>
      <c r="M4800" s="36">
        <f t="shared" si="297"/>
        <v>79.238563402889241</v>
      </c>
    </row>
    <row r="4801" spans="1:13" ht="15.75" hidden="1" customHeight="1" x14ac:dyDescent="0.3">
      <c r="A4801" s="9">
        <v>3253</v>
      </c>
      <c r="B4801" t="s">
        <v>254</v>
      </c>
      <c r="C4801" s="25">
        <v>44653</v>
      </c>
      <c r="D4801" s="26">
        <v>0.95072916666666663</v>
      </c>
      <c r="E4801" t="s">
        <v>27</v>
      </c>
      <c r="F4801" t="s">
        <v>210</v>
      </c>
      <c r="G4801" t="s">
        <v>211</v>
      </c>
      <c r="H4801" t="s">
        <v>255</v>
      </c>
      <c r="I4801" s="4">
        <v>361.43</v>
      </c>
      <c r="J4801" s="7">
        <v>0</v>
      </c>
      <c r="K4801" s="94">
        <f t="shared" si="296"/>
        <v>842.24</v>
      </c>
      <c r="L4801" s="7">
        <v>842.24</v>
      </c>
      <c r="M4801" s="36">
        <f t="shared" si="297"/>
        <v>42.912946428571431</v>
      </c>
    </row>
    <row r="4802" spans="1:13" ht="15.75" hidden="1" customHeight="1" x14ac:dyDescent="0.3">
      <c r="A4802" s="9">
        <v>3254</v>
      </c>
      <c r="B4802" t="s">
        <v>254</v>
      </c>
      <c r="C4802" s="25">
        <v>44654</v>
      </c>
      <c r="D4802" s="26">
        <v>0.72905092592592602</v>
      </c>
      <c r="E4802" t="s">
        <v>27</v>
      </c>
      <c r="F4802" t="s">
        <v>278</v>
      </c>
      <c r="G4802" t="s">
        <v>279</v>
      </c>
      <c r="H4802" t="s">
        <v>255</v>
      </c>
      <c r="I4802" s="4">
        <v>346</v>
      </c>
      <c r="J4802" s="7">
        <v>0</v>
      </c>
      <c r="K4802" s="89">
        <f t="shared" si="296"/>
        <v>712.61</v>
      </c>
      <c r="L4802" s="7">
        <v>712.61</v>
      </c>
      <c r="M4802" s="36">
        <f t="shared" si="297"/>
        <v>48.553907466917387</v>
      </c>
    </row>
    <row r="4803" spans="1:13" ht="15.75" hidden="1" customHeight="1" x14ac:dyDescent="0.3">
      <c r="A4803" s="9">
        <v>3255</v>
      </c>
      <c r="B4803" t="s">
        <v>254</v>
      </c>
      <c r="C4803" s="25">
        <v>44654</v>
      </c>
      <c r="D4803" s="26">
        <v>0.93483796296296295</v>
      </c>
      <c r="E4803" t="s">
        <v>27</v>
      </c>
      <c r="F4803" t="s">
        <v>210</v>
      </c>
      <c r="G4803" t="s">
        <v>211</v>
      </c>
      <c r="H4803" t="s">
        <v>255</v>
      </c>
      <c r="I4803" s="4">
        <v>100.04</v>
      </c>
      <c r="J4803" s="7">
        <v>0</v>
      </c>
      <c r="K4803" s="94">
        <f t="shared" si="296"/>
        <v>349.89</v>
      </c>
      <c r="L4803" s="7">
        <v>349.89</v>
      </c>
      <c r="M4803" s="36">
        <f t="shared" si="297"/>
        <v>28.591843150704509</v>
      </c>
    </row>
    <row r="4804" spans="1:13" ht="15.75" hidden="1" customHeight="1" x14ac:dyDescent="0.3">
      <c r="A4804" s="9">
        <v>3256</v>
      </c>
      <c r="B4804" t="s">
        <v>254</v>
      </c>
      <c r="C4804" s="25">
        <v>44655</v>
      </c>
      <c r="D4804" s="26">
        <v>0.51431712962962961</v>
      </c>
      <c r="E4804" t="s">
        <v>27</v>
      </c>
      <c r="F4804" t="s">
        <v>169</v>
      </c>
      <c r="G4804" t="s">
        <v>196</v>
      </c>
      <c r="H4804" t="s">
        <v>255</v>
      </c>
      <c r="I4804" s="4">
        <v>150.06</v>
      </c>
      <c r="J4804" s="32">
        <v>0</v>
      </c>
      <c r="K4804" s="89">
        <f t="shared" si="296"/>
        <v>494.67</v>
      </c>
      <c r="L4804" s="37">
        <v>494.67</v>
      </c>
      <c r="M4804" s="36">
        <f t="shared" si="297"/>
        <v>30.33537509855055</v>
      </c>
    </row>
    <row r="4805" spans="1:13" ht="15.75" hidden="1" customHeight="1" x14ac:dyDescent="0.3">
      <c r="A4805" s="9">
        <v>3257</v>
      </c>
      <c r="B4805" t="s">
        <v>254</v>
      </c>
      <c r="C4805" s="25">
        <v>44656</v>
      </c>
      <c r="D4805" s="26">
        <v>0.3253240740740741</v>
      </c>
      <c r="E4805" t="s">
        <v>27</v>
      </c>
      <c r="F4805" t="s">
        <v>197</v>
      </c>
      <c r="G4805" t="s">
        <v>44</v>
      </c>
      <c r="H4805" t="s">
        <v>255</v>
      </c>
      <c r="I4805" s="4">
        <v>580</v>
      </c>
      <c r="J4805" s="32">
        <v>0</v>
      </c>
      <c r="K4805" s="89">
        <f t="shared" si="296"/>
        <v>676.96</v>
      </c>
      <c r="L4805" s="7">
        <v>676.96</v>
      </c>
      <c r="M4805" s="36">
        <f t="shared" si="297"/>
        <v>85.677144883006378</v>
      </c>
    </row>
    <row r="4806" spans="1:13" ht="15.75" hidden="1" customHeight="1" x14ac:dyDescent="0.3">
      <c r="A4806" s="9">
        <v>3258</v>
      </c>
      <c r="B4806" t="s">
        <v>254</v>
      </c>
      <c r="C4806" s="25">
        <v>44657</v>
      </c>
      <c r="D4806" s="26">
        <v>0.2751851851851852</v>
      </c>
      <c r="E4806" t="s">
        <v>27</v>
      </c>
      <c r="F4806" t="s">
        <v>165</v>
      </c>
      <c r="G4806" t="s">
        <v>185</v>
      </c>
      <c r="H4806" t="s">
        <v>255</v>
      </c>
      <c r="I4806" s="4">
        <v>250.28</v>
      </c>
      <c r="J4806" s="32">
        <v>0</v>
      </c>
      <c r="K4806" s="89">
        <f t="shared" si="296"/>
        <v>1135.51</v>
      </c>
      <c r="L4806" s="32">
        <v>1135.51</v>
      </c>
      <c r="M4806" s="36">
        <f t="shared" si="297"/>
        <v>22.041197347447401</v>
      </c>
    </row>
    <row r="4807" spans="1:13" ht="15.75" hidden="1" customHeight="1" x14ac:dyDescent="0.3">
      <c r="A4807" s="9">
        <v>3259</v>
      </c>
      <c r="B4807" t="s">
        <v>254</v>
      </c>
      <c r="C4807" s="25">
        <v>44658</v>
      </c>
      <c r="D4807" s="26">
        <v>0.16421296296296298</v>
      </c>
      <c r="E4807" t="s">
        <v>27</v>
      </c>
      <c r="F4807" t="s">
        <v>210</v>
      </c>
      <c r="G4807" t="s">
        <v>211</v>
      </c>
      <c r="H4807" t="s">
        <v>255</v>
      </c>
      <c r="I4807" s="4">
        <v>222.63</v>
      </c>
      <c r="J4807" s="32">
        <v>0</v>
      </c>
      <c r="K4807" s="89">
        <f t="shared" si="296"/>
        <v>572.14</v>
      </c>
      <c r="L4807" s="31">
        <v>572.14</v>
      </c>
      <c r="M4807" s="36">
        <f t="shared" si="297"/>
        <v>38.911804803020239</v>
      </c>
    </row>
    <row r="4808" spans="1:13" ht="15.75" hidden="1" customHeight="1" x14ac:dyDescent="0.3">
      <c r="A4808" s="9">
        <v>3260</v>
      </c>
      <c r="B4808" t="s">
        <v>254</v>
      </c>
      <c r="C4808" s="25">
        <v>44658</v>
      </c>
      <c r="D4808" s="26">
        <v>0.78690972222222222</v>
      </c>
      <c r="E4808" t="s">
        <v>27</v>
      </c>
      <c r="F4808" t="s">
        <v>169</v>
      </c>
      <c r="G4808" t="s">
        <v>511</v>
      </c>
      <c r="H4808" t="s">
        <v>255</v>
      </c>
      <c r="I4808" s="4">
        <v>150</v>
      </c>
      <c r="J4808" s="32">
        <v>0</v>
      </c>
      <c r="K4808" s="94">
        <f t="shared" si="296"/>
        <v>506.35</v>
      </c>
      <c r="L4808" s="32">
        <v>506.35</v>
      </c>
      <c r="M4808" s="36">
        <f t="shared" si="297"/>
        <v>29.62377801915671</v>
      </c>
    </row>
    <row r="4809" spans="1:13" ht="15.75" hidden="1" customHeight="1" x14ac:dyDescent="0.3">
      <c r="A4809" s="9">
        <v>3261</v>
      </c>
      <c r="B4809" t="s">
        <v>254</v>
      </c>
      <c r="C4809" s="25">
        <v>44660</v>
      </c>
      <c r="D4809" s="26">
        <v>0.45177083333333329</v>
      </c>
      <c r="E4809" t="s">
        <v>27</v>
      </c>
      <c r="F4809" t="s">
        <v>541</v>
      </c>
      <c r="G4809" t="s">
        <v>542</v>
      </c>
      <c r="H4809" t="s">
        <v>255</v>
      </c>
      <c r="I4809" s="4">
        <v>70</v>
      </c>
      <c r="J4809" s="32">
        <v>0</v>
      </c>
      <c r="K4809" s="89">
        <f t="shared" si="296"/>
        <v>880.33</v>
      </c>
      <c r="L4809" s="7">
        <v>880.33</v>
      </c>
      <c r="M4809" s="36">
        <f t="shared" si="297"/>
        <v>7.9515636181886338</v>
      </c>
    </row>
    <row r="4810" spans="1:13" ht="15.75" hidden="1" customHeight="1" x14ac:dyDescent="0.3">
      <c r="A4810" s="9">
        <v>3262</v>
      </c>
      <c r="B4810" t="s">
        <v>254</v>
      </c>
      <c r="C4810" s="25">
        <v>44660</v>
      </c>
      <c r="D4810" s="26">
        <v>0.68946759259259249</v>
      </c>
      <c r="E4810" t="s">
        <v>27</v>
      </c>
      <c r="F4810" t="s">
        <v>530</v>
      </c>
      <c r="G4810" t="s">
        <v>489</v>
      </c>
      <c r="H4810" t="s">
        <v>255</v>
      </c>
      <c r="I4810" s="4">
        <v>419.94</v>
      </c>
      <c r="J4810" s="32">
        <v>0</v>
      </c>
      <c r="K4810" s="89">
        <f t="shared" si="296"/>
        <v>1173.23</v>
      </c>
      <c r="L4810" s="32">
        <v>1173.23</v>
      </c>
      <c r="M4810" s="36">
        <f t="shared" si="297"/>
        <v>35.793493176955927</v>
      </c>
    </row>
    <row r="4811" spans="1:13" ht="15.75" hidden="1" customHeight="1" x14ac:dyDescent="0.3">
      <c r="A4811" s="9">
        <v>3263</v>
      </c>
      <c r="B4811" t="s">
        <v>254</v>
      </c>
      <c r="C4811" s="25">
        <v>44660</v>
      </c>
      <c r="D4811" s="26">
        <v>0.89908564814814806</v>
      </c>
      <c r="E4811" t="s">
        <v>27</v>
      </c>
      <c r="F4811" t="s">
        <v>210</v>
      </c>
      <c r="G4811" t="s">
        <v>211</v>
      </c>
      <c r="H4811" t="s">
        <v>255</v>
      </c>
      <c r="I4811" s="4">
        <v>107.68</v>
      </c>
      <c r="J4811" s="32">
        <v>0</v>
      </c>
      <c r="K4811" s="89">
        <f t="shared" si="296"/>
        <v>245.64</v>
      </c>
      <c r="L4811" s="7">
        <v>245.64</v>
      </c>
      <c r="M4811" s="36">
        <f t="shared" si="297"/>
        <v>43.836508711936176</v>
      </c>
    </row>
    <row r="4812" spans="1:13" ht="15.75" hidden="1" customHeight="1" x14ac:dyDescent="0.3">
      <c r="A4812" s="9">
        <v>3264</v>
      </c>
      <c r="B4812" t="s">
        <v>254</v>
      </c>
      <c r="C4812" s="25">
        <v>44661</v>
      </c>
      <c r="D4812" s="26">
        <v>0.85303240740740749</v>
      </c>
      <c r="E4812" t="s">
        <v>27</v>
      </c>
      <c r="F4812" t="s">
        <v>210</v>
      </c>
      <c r="G4812" t="s">
        <v>211</v>
      </c>
      <c r="H4812" t="s">
        <v>255</v>
      </c>
      <c r="I4812" s="4">
        <v>416.17</v>
      </c>
      <c r="J4812" s="32">
        <v>0</v>
      </c>
      <c r="K4812" s="93">
        <f t="shared" si="296"/>
        <v>1062.8900000000001</v>
      </c>
      <c r="L4812" s="32">
        <v>1062.8900000000001</v>
      </c>
      <c r="M4812" s="36">
        <f t="shared" si="297"/>
        <v>39.154569146383913</v>
      </c>
    </row>
    <row r="4813" spans="1:13" ht="15.75" hidden="1" customHeight="1" x14ac:dyDescent="0.3">
      <c r="A4813" s="9">
        <v>3265</v>
      </c>
      <c r="B4813" t="s">
        <v>254</v>
      </c>
      <c r="C4813" s="25">
        <v>44662</v>
      </c>
      <c r="D4813" s="26">
        <v>0.39575231481481482</v>
      </c>
      <c r="E4813" t="s">
        <v>27</v>
      </c>
      <c r="F4813" t="s">
        <v>169</v>
      </c>
      <c r="G4813" t="s">
        <v>196</v>
      </c>
      <c r="H4813" t="s">
        <v>255</v>
      </c>
      <c r="I4813" s="4">
        <v>150</v>
      </c>
      <c r="J4813" s="32">
        <v>0</v>
      </c>
      <c r="K4813" s="90">
        <f t="shared" si="296"/>
        <v>431.38</v>
      </c>
      <c r="L4813" s="32">
        <v>431.38</v>
      </c>
      <c r="M4813" s="36">
        <f t="shared" si="297"/>
        <v>34.772126663266725</v>
      </c>
    </row>
    <row r="4814" spans="1:13" ht="15.75" hidden="1" customHeight="1" x14ac:dyDescent="0.3">
      <c r="A4814" s="9">
        <v>3728</v>
      </c>
      <c r="B4814" t="s">
        <v>254</v>
      </c>
      <c r="C4814" s="25">
        <v>44683</v>
      </c>
      <c r="D4814" s="26">
        <v>2.1099537037037038E-2</v>
      </c>
      <c r="E4814" t="s">
        <v>28</v>
      </c>
      <c r="F4814" t="s">
        <v>210</v>
      </c>
      <c r="G4814" t="s">
        <v>211</v>
      </c>
      <c r="H4814" t="s">
        <v>581</v>
      </c>
      <c r="I4814">
        <v>366.7</v>
      </c>
      <c r="J4814" s="7">
        <v>0</v>
      </c>
      <c r="K4814" s="89">
        <f>+L4814-J4947</f>
        <v>1066</v>
      </c>
      <c r="L4814" s="42">
        <v>1066</v>
      </c>
      <c r="M4814" s="36">
        <f t="shared" si="297"/>
        <v>34.399624765478421</v>
      </c>
    </row>
    <row r="4815" spans="1:13" ht="15.75" hidden="1" customHeight="1" x14ac:dyDescent="0.3">
      <c r="A4815" s="9">
        <v>3767</v>
      </c>
      <c r="B4815" t="s">
        <v>254</v>
      </c>
      <c r="C4815" s="25">
        <v>44684</v>
      </c>
      <c r="D4815" s="26">
        <v>0.97203703703703714</v>
      </c>
      <c r="E4815" t="s">
        <v>28</v>
      </c>
      <c r="F4815" t="s">
        <v>210</v>
      </c>
      <c r="G4815" t="s">
        <v>211</v>
      </c>
      <c r="H4815" t="s">
        <v>581</v>
      </c>
      <c r="I4815">
        <v>620.94000000000005</v>
      </c>
      <c r="J4815" s="7">
        <v>0</v>
      </c>
      <c r="K4815" s="89">
        <f>+L4815-J4949</f>
        <v>4017</v>
      </c>
      <c r="L4815" s="42">
        <v>4017</v>
      </c>
      <c r="M4815" s="36">
        <f t="shared" ref="M4815:M4840" si="298">I4815/K4815*100</f>
        <v>15.45780433159074</v>
      </c>
    </row>
    <row r="4816" spans="1:13" ht="15.75" hidden="1" customHeight="1" x14ac:dyDescent="0.3">
      <c r="A4816" s="9">
        <v>3878</v>
      </c>
      <c r="B4816" t="s">
        <v>254</v>
      </c>
      <c r="C4816" s="25">
        <v>44686</v>
      </c>
      <c r="D4816" s="26">
        <v>0.12884259259259259</v>
      </c>
      <c r="E4816" t="s">
        <v>28</v>
      </c>
      <c r="F4816" t="s">
        <v>210</v>
      </c>
      <c r="G4816" t="s">
        <v>211</v>
      </c>
      <c r="H4816" t="s">
        <v>581</v>
      </c>
      <c r="I4816">
        <v>352.3</v>
      </c>
      <c r="J4816" s="7">
        <v>0</v>
      </c>
      <c r="K4816" s="94">
        <f>+L4816-J4948</f>
        <v>1069</v>
      </c>
      <c r="L4816" s="37">
        <v>1069</v>
      </c>
      <c r="M4816" s="36">
        <f t="shared" si="298"/>
        <v>32.956033676333021</v>
      </c>
    </row>
    <row r="4817" spans="1:13" ht="15.75" hidden="1" customHeight="1" x14ac:dyDescent="0.3">
      <c r="A4817" s="9">
        <v>3934</v>
      </c>
      <c r="B4817" t="s">
        <v>254</v>
      </c>
      <c r="C4817" s="25">
        <v>44687</v>
      </c>
      <c r="D4817" s="26">
        <v>0.99884259259259256</v>
      </c>
      <c r="E4817" t="s">
        <v>28</v>
      </c>
      <c r="F4817" t="s">
        <v>210</v>
      </c>
      <c r="G4817" t="s">
        <v>211</v>
      </c>
      <c r="H4817" t="s">
        <v>581</v>
      </c>
      <c r="I4817">
        <v>622.01</v>
      </c>
      <c r="J4817" s="31">
        <v>0</v>
      </c>
      <c r="K4817" s="89">
        <f>+L4817-J4947</f>
        <v>795</v>
      </c>
      <c r="L4817" s="32">
        <v>795</v>
      </c>
      <c r="M4817" s="36">
        <f t="shared" si="298"/>
        <v>78.24025157232704</v>
      </c>
    </row>
    <row r="4818" spans="1:13" ht="15.75" hidden="1" customHeight="1" x14ac:dyDescent="0.3">
      <c r="A4818" s="9">
        <v>4079</v>
      </c>
      <c r="B4818" t="s">
        <v>254</v>
      </c>
      <c r="C4818" s="25">
        <v>44690</v>
      </c>
      <c r="D4818" s="26">
        <v>0.75484953703703705</v>
      </c>
      <c r="E4818" t="s">
        <v>28</v>
      </c>
      <c r="F4818" t="s">
        <v>210</v>
      </c>
      <c r="G4818" t="s">
        <v>211</v>
      </c>
      <c r="H4818" t="s">
        <v>581</v>
      </c>
      <c r="I4818">
        <v>464.74</v>
      </c>
      <c r="J4818" s="7">
        <v>0</v>
      </c>
      <c r="K4818" s="94">
        <f>+L4818-J4948</f>
        <v>2091</v>
      </c>
      <c r="L4818" s="32">
        <v>2091</v>
      </c>
      <c r="M4818" s="36">
        <f t="shared" si="298"/>
        <v>22.225729316116691</v>
      </c>
    </row>
    <row r="4819" spans="1:13" ht="15.75" hidden="1" customHeight="1" x14ac:dyDescent="0.3">
      <c r="A4819" s="9">
        <v>4170</v>
      </c>
      <c r="B4819" t="s">
        <v>254</v>
      </c>
      <c r="C4819" s="25">
        <v>44692</v>
      </c>
      <c r="D4819" s="26">
        <v>0.52732638888888894</v>
      </c>
      <c r="E4819" t="s">
        <v>28</v>
      </c>
      <c r="F4819" t="s">
        <v>210</v>
      </c>
      <c r="G4819" t="s">
        <v>211</v>
      </c>
      <c r="H4819" t="s">
        <v>581</v>
      </c>
      <c r="I4819">
        <v>638</v>
      </c>
      <c r="J4819" s="31">
        <v>0</v>
      </c>
      <c r="K4819" s="94">
        <f>+L4819-J4952</f>
        <v>1765</v>
      </c>
      <c r="L4819" s="32">
        <v>1765</v>
      </c>
      <c r="M4819" s="36">
        <f t="shared" si="298"/>
        <v>36.147308781869683</v>
      </c>
    </row>
    <row r="4820" spans="1:13" ht="15.75" hidden="1" customHeight="1" x14ac:dyDescent="0.3">
      <c r="A4820" s="9">
        <v>4213</v>
      </c>
      <c r="B4820" t="s">
        <v>254</v>
      </c>
      <c r="C4820" s="25">
        <v>44693</v>
      </c>
      <c r="D4820" s="26">
        <v>0.59496527777777775</v>
      </c>
      <c r="E4820" t="s">
        <v>28</v>
      </c>
      <c r="F4820" t="s">
        <v>210</v>
      </c>
      <c r="G4820" t="s">
        <v>211</v>
      </c>
      <c r="H4820" t="s">
        <v>581</v>
      </c>
      <c r="I4820">
        <v>366.63</v>
      </c>
      <c r="J4820" s="31">
        <v>0</v>
      </c>
      <c r="K4820" s="89">
        <f>+L4820-J4954</f>
        <v>1066</v>
      </c>
      <c r="L4820" s="32">
        <v>1066</v>
      </c>
      <c r="M4820" s="36">
        <f t="shared" si="298"/>
        <v>34.393058161350844</v>
      </c>
    </row>
    <row r="4821" spans="1:13" ht="15.75" hidden="1" customHeight="1" x14ac:dyDescent="0.3">
      <c r="A4821" s="9">
        <v>4323</v>
      </c>
      <c r="B4821" t="s">
        <v>254</v>
      </c>
      <c r="C4821" s="25">
        <v>44695</v>
      </c>
      <c r="D4821" s="26">
        <v>0.53932870370370367</v>
      </c>
      <c r="E4821" t="s">
        <v>28</v>
      </c>
      <c r="F4821" t="s">
        <v>210</v>
      </c>
      <c r="G4821" t="s">
        <v>211</v>
      </c>
      <c r="H4821" t="s">
        <v>581</v>
      </c>
      <c r="I4821">
        <v>616</v>
      </c>
      <c r="J4821" s="7">
        <v>0</v>
      </c>
      <c r="K4821" s="90">
        <f>+L4821-J4955</f>
        <v>1756</v>
      </c>
      <c r="L4821" s="32">
        <v>1756</v>
      </c>
      <c r="M4821" s="36">
        <f t="shared" si="298"/>
        <v>35.079726651480634</v>
      </c>
    </row>
    <row r="4822" spans="1:13" ht="15.75" hidden="1" customHeight="1" x14ac:dyDescent="0.3">
      <c r="A4822" s="9">
        <v>4455</v>
      </c>
      <c r="B4822" t="s">
        <v>254</v>
      </c>
      <c r="C4822" s="25">
        <v>44697</v>
      </c>
      <c r="D4822" s="26">
        <v>0.73771990740740734</v>
      </c>
      <c r="E4822" t="s">
        <v>28</v>
      </c>
      <c r="F4822" t="s">
        <v>210</v>
      </c>
      <c r="G4822" t="s">
        <v>211</v>
      </c>
      <c r="H4822" t="s">
        <v>581</v>
      </c>
      <c r="I4822">
        <v>451.78</v>
      </c>
      <c r="J4822" s="7">
        <v>0</v>
      </c>
      <c r="K4822" s="90">
        <f>+L4822-J5095</f>
        <v>1125</v>
      </c>
      <c r="L4822" s="32">
        <v>1125</v>
      </c>
      <c r="M4822" s="36">
        <f t="shared" si="298"/>
        <v>40.158222222222214</v>
      </c>
    </row>
    <row r="4823" spans="1:13" ht="15.75" hidden="1" customHeight="1" x14ac:dyDescent="0.3">
      <c r="A4823" s="9">
        <v>4888</v>
      </c>
      <c r="B4823" t="s">
        <v>254</v>
      </c>
      <c r="C4823" s="25">
        <v>44705</v>
      </c>
      <c r="D4823" s="26">
        <v>2.4108796296296298E-2</v>
      </c>
      <c r="E4823" t="s">
        <v>28</v>
      </c>
      <c r="F4823" t="s">
        <v>210</v>
      </c>
      <c r="G4823" t="s">
        <v>211</v>
      </c>
      <c r="H4823" t="s">
        <v>581</v>
      </c>
      <c r="I4823" s="126">
        <v>604.80999999999995</v>
      </c>
      <c r="J4823" s="7">
        <v>0</v>
      </c>
      <c r="K4823" s="90">
        <f>+L4823-J5096</f>
        <v>1766</v>
      </c>
      <c r="L4823" s="32">
        <v>1766</v>
      </c>
      <c r="M4823" s="121">
        <f t="shared" si="298"/>
        <v>34.247451868629668</v>
      </c>
    </row>
    <row r="4824" spans="1:13" ht="15.75" hidden="1" customHeight="1" x14ac:dyDescent="0.3">
      <c r="A4824" s="9">
        <v>4943</v>
      </c>
      <c r="B4824" t="s">
        <v>254</v>
      </c>
      <c r="C4824" s="25">
        <v>44706</v>
      </c>
      <c r="D4824" s="26">
        <v>0.89481481481481484</v>
      </c>
      <c r="E4824" t="s">
        <v>28</v>
      </c>
      <c r="F4824" t="s">
        <v>210</v>
      </c>
      <c r="G4824" t="s">
        <v>211</v>
      </c>
      <c r="H4824" t="s">
        <v>581</v>
      </c>
      <c r="I4824" s="126">
        <v>494.43</v>
      </c>
      <c r="J4824" s="34">
        <v>0</v>
      </c>
      <c r="K4824" s="97">
        <f>+L4824-J5097</f>
        <v>1127</v>
      </c>
      <c r="L4824" s="37">
        <v>1127</v>
      </c>
      <c r="M4824" s="91">
        <f t="shared" si="298"/>
        <v>43.871339840283937</v>
      </c>
    </row>
    <row r="4825" spans="1:13" ht="15.75" hidden="1" customHeight="1" x14ac:dyDescent="0.3">
      <c r="A4825" s="9">
        <v>5040</v>
      </c>
      <c r="B4825" t="s">
        <v>254</v>
      </c>
      <c r="C4825" s="25">
        <v>44708</v>
      </c>
      <c r="D4825" s="26">
        <v>0.73359953703703706</v>
      </c>
      <c r="E4825" t="s">
        <v>28</v>
      </c>
      <c r="F4825" t="s">
        <v>641</v>
      </c>
      <c r="G4825" t="s">
        <v>172</v>
      </c>
      <c r="H4825" t="s">
        <v>581</v>
      </c>
      <c r="I4825" s="126">
        <v>476.19</v>
      </c>
      <c r="J4825" s="7">
        <v>0</v>
      </c>
      <c r="K4825" s="90">
        <f>+L4825-J5056</f>
        <v>1425</v>
      </c>
      <c r="L4825" s="7">
        <v>1425</v>
      </c>
      <c r="M4825" s="91">
        <f t="shared" si="298"/>
        <v>33.416842105263157</v>
      </c>
    </row>
    <row r="4826" spans="1:13" ht="15.75" hidden="1" customHeight="1" x14ac:dyDescent="0.3">
      <c r="A4826" s="9">
        <v>5156</v>
      </c>
      <c r="B4826" t="s">
        <v>254</v>
      </c>
      <c r="C4826" s="25">
        <v>44710</v>
      </c>
      <c r="D4826" s="26">
        <v>0.69858796296296299</v>
      </c>
      <c r="E4826" t="s">
        <v>28</v>
      </c>
      <c r="F4826" t="s">
        <v>634</v>
      </c>
      <c r="G4826" t="s">
        <v>211</v>
      </c>
      <c r="H4826" t="s">
        <v>581</v>
      </c>
      <c r="I4826">
        <v>284.58</v>
      </c>
      <c r="J4826" s="7">
        <v>0</v>
      </c>
      <c r="K4826" s="90">
        <f>+L4826-J5057</f>
        <v>696</v>
      </c>
      <c r="L4826" s="7">
        <v>696</v>
      </c>
      <c r="M4826" s="91">
        <f t="shared" si="298"/>
        <v>40.887931034482754</v>
      </c>
    </row>
    <row r="4827" spans="1:13" ht="15.75" hidden="1" customHeight="1" x14ac:dyDescent="0.3">
      <c r="A4827" s="9">
        <v>5204</v>
      </c>
      <c r="B4827" t="s">
        <v>254</v>
      </c>
      <c r="C4827" s="25">
        <v>44711</v>
      </c>
      <c r="D4827" s="26">
        <v>0.13104166666666667</v>
      </c>
      <c r="E4827" t="s">
        <v>28</v>
      </c>
      <c r="F4827" t="s">
        <v>635</v>
      </c>
      <c r="G4827" t="s">
        <v>185</v>
      </c>
      <c r="H4827" t="s">
        <v>581</v>
      </c>
      <c r="I4827">
        <v>230.84</v>
      </c>
      <c r="J4827" s="32">
        <v>0</v>
      </c>
      <c r="K4827" s="90">
        <v>550</v>
      </c>
      <c r="L4827" s="7">
        <v>550</v>
      </c>
      <c r="M4827" s="91">
        <f t="shared" si="298"/>
        <v>41.970909090909089</v>
      </c>
    </row>
    <row r="4828" spans="1:13" ht="15.75" hidden="1" customHeight="1" x14ac:dyDescent="0.3">
      <c r="A4828" s="9">
        <v>5283</v>
      </c>
      <c r="B4828" t="s">
        <v>254</v>
      </c>
      <c r="C4828" s="25">
        <v>44713</v>
      </c>
      <c r="D4828" s="26">
        <v>0.60835648148148147</v>
      </c>
      <c r="E4828" t="s">
        <v>29</v>
      </c>
      <c r="F4828" t="s">
        <v>634</v>
      </c>
      <c r="G4828" t="s">
        <v>211</v>
      </c>
      <c r="H4828" t="s">
        <v>581</v>
      </c>
      <c r="I4828">
        <v>670</v>
      </c>
      <c r="J4828" s="32">
        <v>0</v>
      </c>
      <c r="K4828" s="90">
        <v>1982</v>
      </c>
      <c r="L4828" s="7">
        <v>1982</v>
      </c>
      <c r="M4828" s="91">
        <f t="shared" si="298"/>
        <v>33.804238143289602</v>
      </c>
    </row>
    <row r="4829" spans="1:13" ht="15.75" hidden="1" customHeight="1" x14ac:dyDescent="0.3">
      <c r="A4829" s="9">
        <v>5414</v>
      </c>
      <c r="B4829" t="s">
        <v>254</v>
      </c>
      <c r="C4829" s="25">
        <v>44715</v>
      </c>
      <c r="D4829" s="26">
        <v>0.36620370370370375</v>
      </c>
      <c r="E4829" t="s">
        <v>29</v>
      </c>
      <c r="F4829" t="s">
        <v>634</v>
      </c>
      <c r="G4829" t="s">
        <v>211</v>
      </c>
      <c r="H4829" t="s">
        <v>581</v>
      </c>
      <c r="I4829">
        <v>614.07000000000005</v>
      </c>
      <c r="J4829" s="32">
        <v>0</v>
      </c>
      <c r="K4829" s="90">
        <v>1754</v>
      </c>
      <c r="L4829" s="7">
        <v>1754</v>
      </c>
      <c r="M4829" s="119">
        <f t="shared" si="298"/>
        <v>35.009692132269102</v>
      </c>
    </row>
    <row r="4830" spans="1:13" ht="15.75" hidden="1" customHeight="1" x14ac:dyDescent="0.3">
      <c r="A4830" s="9">
        <v>5465</v>
      </c>
      <c r="B4830" t="s">
        <v>254</v>
      </c>
      <c r="C4830" s="25">
        <v>44716</v>
      </c>
      <c r="D4830" s="26">
        <v>0.79206018518518517</v>
      </c>
      <c r="E4830" t="s">
        <v>29</v>
      </c>
      <c r="F4830" t="s">
        <v>634</v>
      </c>
      <c r="G4830" t="s">
        <v>211</v>
      </c>
      <c r="H4830" t="s">
        <v>581</v>
      </c>
      <c r="I4830">
        <v>443.04</v>
      </c>
      <c r="J4830" s="32">
        <v>0</v>
      </c>
      <c r="K4830" s="90">
        <v>1117</v>
      </c>
      <c r="L4830" s="7">
        <v>1117</v>
      </c>
      <c r="M4830" s="119">
        <f t="shared" si="298"/>
        <v>39.66338406445837</v>
      </c>
    </row>
    <row r="4831" spans="1:13" ht="15.75" hidden="1" customHeight="1" x14ac:dyDescent="0.3">
      <c r="A4831" s="9">
        <v>5605</v>
      </c>
      <c r="B4831" t="s">
        <v>254</v>
      </c>
      <c r="C4831" s="25">
        <v>44719</v>
      </c>
      <c r="D4831" s="26">
        <v>0.55980324074074073</v>
      </c>
      <c r="E4831" t="s">
        <v>29</v>
      </c>
      <c r="F4831" t="s">
        <v>634</v>
      </c>
      <c r="G4831" t="s">
        <v>211</v>
      </c>
      <c r="H4831" t="s">
        <v>581</v>
      </c>
      <c r="I4831">
        <v>615.53</v>
      </c>
      <c r="J4831" s="32">
        <v>0</v>
      </c>
      <c r="K4831" s="90">
        <f>+L4831-J4390</f>
        <v>1764</v>
      </c>
      <c r="L4831" s="7">
        <v>1764</v>
      </c>
      <c r="M4831" s="119">
        <f t="shared" si="298"/>
        <v>34.893990929705218</v>
      </c>
    </row>
    <row r="4832" spans="1:13" ht="15.75" hidden="1" customHeight="1" x14ac:dyDescent="0.3">
      <c r="A4832" s="9">
        <v>5666</v>
      </c>
      <c r="B4832" t="s">
        <v>254</v>
      </c>
      <c r="C4832" s="25">
        <v>44720</v>
      </c>
      <c r="D4832" s="26">
        <v>4.8726851851851856E-3</v>
      </c>
      <c r="E4832" t="s">
        <v>29</v>
      </c>
      <c r="F4832" t="s">
        <v>635</v>
      </c>
      <c r="G4832" t="s">
        <v>185</v>
      </c>
      <c r="H4832" t="s">
        <v>581</v>
      </c>
      <c r="I4832">
        <v>203.44</v>
      </c>
      <c r="J4832" s="32">
        <v>0</v>
      </c>
      <c r="K4832" s="88">
        <f>+L4832-J4392</f>
        <v>548</v>
      </c>
      <c r="L4832" s="51">
        <v>548</v>
      </c>
      <c r="M4832" s="10">
        <f t="shared" si="298"/>
        <v>37.124087591240873</v>
      </c>
    </row>
    <row r="4833" spans="1:19" ht="15.75" hidden="1" customHeight="1" x14ac:dyDescent="0.3">
      <c r="A4833" s="9">
        <v>5720</v>
      </c>
      <c r="B4833" t="s">
        <v>254</v>
      </c>
      <c r="C4833" s="25">
        <v>44721</v>
      </c>
      <c r="D4833" s="26">
        <v>0.89354166666666668</v>
      </c>
      <c r="E4833" t="s">
        <v>29</v>
      </c>
      <c r="F4833" t="s">
        <v>634</v>
      </c>
      <c r="G4833" t="s">
        <v>211</v>
      </c>
      <c r="H4833" t="s">
        <v>581</v>
      </c>
      <c r="I4833">
        <v>705</v>
      </c>
      <c r="J4833" s="32">
        <v>0</v>
      </c>
      <c r="K4833" s="89">
        <f>+L4833-J4393</f>
        <v>2146</v>
      </c>
      <c r="L4833" s="7">
        <v>2146</v>
      </c>
      <c r="M4833" s="36">
        <f t="shared" si="298"/>
        <v>32.851817334575955</v>
      </c>
    </row>
    <row r="4834" spans="1:19" ht="15.75" hidden="1" customHeight="1" x14ac:dyDescent="0.3">
      <c r="A4834" s="9">
        <v>5819</v>
      </c>
      <c r="B4834" t="s">
        <v>254</v>
      </c>
      <c r="C4834" s="25">
        <v>44723</v>
      </c>
      <c r="D4834" s="26">
        <v>0.7098726851851852</v>
      </c>
      <c r="E4834" t="s">
        <v>29</v>
      </c>
      <c r="F4834" t="s">
        <v>634</v>
      </c>
      <c r="G4834" t="s">
        <v>211</v>
      </c>
      <c r="H4834" t="s">
        <v>581</v>
      </c>
      <c r="I4834">
        <v>615.47</v>
      </c>
      <c r="J4834" s="32">
        <v>0</v>
      </c>
      <c r="K4834" s="89">
        <f>+L4834-J4394</f>
        <v>1754</v>
      </c>
      <c r="L4834" s="7">
        <v>1754</v>
      </c>
      <c r="M4834" s="36">
        <f t="shared" si="298"/>
        <v>35.089509692132268</v>
      </c>
    </row>
    <row r="4835" spans="1:19" ht="15.75" hidden="1" customHeight="1" x14ac:dyDescent="0.3">
      <c r="A4835" s="9">
        <v>5940</v>
      </c>
      <c r="B4835" t="s">
        <v>254</v>
      </c>
      <c r="C4835" s="25">
        <v>44725</v>
      </c>
      <c r="D4835" s="26">
        <v>0.97921296296296301</v>
      </c>
      <c r="E4835" t="s">
        <v>29</v>
      </c>
      <c r="F4835" t="s">
        <v>635</v>
      </c>
      <c r="G4835" t="s">
        <v>185</v>
      </c>
      <c r="H4835" t="s">
        <v>581</v>
      </c>
      <c r="I4835">
        <v>694</v>
      </c>
      <c r="J4835" s="33">
        <v>0</v>
      </c>
      <c r="K4835" s="94">
        <f>+L4835-J4399</f>
        <v>2028</v>
      </c>
      <c r="L4835" s="7">
        <v>2028</v>
      </c>
      <c r="M4835" s="36">
        <f t="shared" si="298"/>
        <v>34.220907297830379</v>
      </c>
      <c r="N4835" s="2"/>
      <c r="O4835" s="2"/>
      <c r="P4835" s="2"/>
      <c r="Q4835" s="2"/>
      <c r="R4835" s="2"/>
      <c r="S4835" s="2"/>
    </row>
    <row r="4836" spans="1:19" ht="15.75" hidden="1" customHeight="1" x14ac:dyDescent="0.3">
      <c r="A4836" s="9">
        <v>6049</v>
      </c>
      <c r="B4836" t="s">
        <v>254</v>
      </c>
      <c r="C4836" s="25">
        <v>44727</v>
      </c>
      <c r="D4836" s="26">
        <v>0.92881944444444453</v>
      </c>
      <c r="E4836" t="s">
        <v>29</v>
      </c>
      <c r="F4836" t="s">
        <v>634</v>
      </c>
      <c r="G4836" t="s">
        <v>211</v>
      </c>
      <c r="H4836" t="s">
        <v>581</v>
      </c>
      <c r="I4836" s="148">
        <v>671</v>
      </c>
      <c r="J4836" s="32">
        <v>0</v>
      </c>
      <c r="K4836" s="89">
        <v>2145</v>
      </c>
      <c r="L4836" s="34">
        <v>2145</v>
      </c>
      <c r="M4836" s="36">
        <f t="shared" si="298"/>
        <v>31.282051282051281</v>
      </c>
    </row>
    <row r="4837" spans="1:19" ht="15.75" hidden="1" customHeight="1" x14ac:dyDescent="0.3">
      <c r="A4837" s="9">
        <v>6436</v>
      </c>
      <c r="B4837" t="s">
        <v>254</v>
      </c>
      <c r="C4837" s="25">
        <v>44736</v>
      </c>
      <c r="D4837" s="26">
        <v>7.273148148148148E-2</v>
      </c>
      <c r="E4837" t="s">
        <v>29</v>
      </c>
      <c r="F4837" t="s">
        <v>634</v>
      </c>
      <c r="G4837" t="s">
        <v>211</v>
      </c>
      <c r="H4837" t="s">
        <v>581</v>
      </c>
      <c r="I4837" s="148">
        <v>615</v>
      </c>
      <c r="J4837" s="32">
        <v>0</v>
      </c>
      <c r="K4837" s="89">
        <v>1772</v>
      </c>
      <c r="L4837" s="7">
        <v>1772</v>
      </c>
      <c r="M4837" s="36">
        <f t="shared" si="298"/>
        <v>34.706546275395034</v>
      </c>
    </row>
    <row r="4838" spans="1:19" ht="15.75" hidden="1" customHeight="1" x14ac:dyDescent="0.3">
      <c r="A4838" s="9">
        <v>6437</v>
      </c>
      <c r="B4838" t="s">
        <v>254</v>
      </c>
      <c r="C4838" s="25">
        <v>44736</v>
      </c>
      <c r="D4838" s="26">
        <v>0.68709490740740742</v>
      </c>
      <c r="E4838" t="s">
        <v>29</v>
      </c>
      <c r="F4838" t="s">
        <v>645</v>
      </c>
      <c r="G4838" t="s">
        <v>279</v>
      </c>
      <c r="H4838" t="s">
        <v>581</v>
      </c>
      <c r="I4838" s="148">
        <v>211.13</v>
      </c>
      <c r="J4838" s="71">
        <v>0</v>
      </c>
      <c r="K4838" s="94">
        <v>563</v>
      </c>
      <c r="L4838" s="7">
        <v>563</v>
      </c>
      <c r="M4838" s="36">
        <f t="shared" si="298"/>
        <v>37.50088809946714</v>
      </c>
    </row>
    <row r="4839" spans="1:19" ht="15.75" hidden="1" customHeight="1" x14ac:dyDescent="0.3">
      <c r="A4839" s="9">
        <v>6547</v>
      </c>
      <c r="B4839" t="s">
        <v>254</v>
      </c>
      <c r="C4839" s="25">
        <v>44738</v>
      </c>
      <c r="D4839" s="26">
        <v>0.71777777777777774</v>
      </c>
      <c r="E4839" t="s">
        <v>29</v>
      </c>
      <c r="F4839" t="s">
        <v>634</v>
      </c>
      <c r="G4839" t="s">
        <v>211</v>
      </c>
      <c r="H4839" t="s">
        <v>581</v>
      </c>
      <c r="I4839" s="148">
        <v>644</v>
      </c>
      <c r="J4839" s="32">
        <v>0</v>
      </c>
      <c r="K4839" s="89">
        <v>1980</v>
      </c>
      <c r="L4839" s="34">
        <v>1980</v>
      </c>
      <c r="M4839" s="36">
        <f t="shared" si="298"/>
        <v>32.525252525252526</v>
      </c>
    </row>
    <row r="4840" spans="1:19" ht="15.75" hidden="1" customHeight="1" x14ac:dyDescent="0.3">
      <c r="A4840" s="9">
        <v>6658</v>
      </c>
      <c r="B4840" t="s">
        <v>254</v>
      </c>
      <c r="C4840" s="25">
        <v>44740</v>
      </c>
      <c r="D4840" s="26">
        <v>0.50043981481481481</v>
      </c>
      <c r="E4840" t="s">
        <v>29</v>
      </c>
      <c r="F4840" t="s">
        <v>634</v>
      </c>
      <c r="G4840" t="s">
        <v>211</v>
      </c>
      <c r="H4840" t="s">
        <v>581</v>
      </c>
      <c r="I4840" s="148">
        <v>601</v>
      </c>
      <c r="J4840" s="33">
        <v>0</v>
      </c>
      <c r="K4840" s="96">
        <v>1721</v>
      </c>
      <c r="L4840" s="35">
        <v>1721</v>
      </c>
      <c r="M4840" s="121">
        <f t="shared" si="298"/>
        <v>34.921557234166187</v>
      </c>
    </row>
    <row r="4841" spans="1:19" ht="15.75" hidden="1" customHeight="1" x14ac:dyDescent="0.3">
      <c r="B4841" t="s">
        <v>384</v>
      </c>
      <c r="C4841" s="25">
        <v>44771</v>
      </c>
      <c r="D4841" s="26">
        <v>0.63736111111111116</v>
      </c>
      <c r="E4841" t="s">
        <v>30</v>
      </c>
      <c r="F4841" t="s">
        <v>166</v>
      </c>
      <c r="G4841" t="s">
        <v>161</v>
      </c>
      <c r="H4841" t="s">
        <v>192</v>
      </c>
      <c r="I4841" s="160">
        <v>159.94999999999999</v>
      </c>
      <c r="J4841" s="160">
        <f>160+391+184+303+206</f>
        <v>1244</v>
      </c>
      <c r="K4841" s="160">
        <v>836336</v>
      </c>
      <c r="L4841" s="160">
        <v>2908</v>
      </c>
      <c r="M4841" s="254">
        <f>+J4841/L4841*100</f>
        <v>42.778541953232462</v>
      </c>
    </row>
    <row r="4842" spans="1:19" ht="15.75" hidden="1" customHeight="1" x14ac:dyDescent="0.3">
      <c r="B4842" t="s">
        <v>384</v>
      </c>
      <c r="C4842" s="25">
        <v>44772</v>
      </c>
      <c r="D4842" s="26">
        <v>0.27826388888888892</v>
      </c>
      <c r="E4842" t="s">
        <v>30</v>
      </c>
      <c r="F4842" t="s">
        <v>274</v>
      </c>
      <c r="G4842" t="s">
        <v>495</v>
      </c>
      <c r="H4842" t="s">
        <v>192</v>
      </c>
      <c r="I4842" s="160">
        <v>169.03</v>
      </c>
      <c r="J4842" s="8"/>
      <c r="K4842" s="8">
        <v>836861</v>
      </c>
      <c r="L4842" s="8">
        <f>+K4842-J4842</f>
        <v>836861</v>
      </c>
      <c r="M4842" s="254"/>
    </row>
    <row r="4843" spans="1:19" ht="15.75" hidden="1" customHeight="1" x14ac:dyDescent="0.3">
      <c r="B4843" t="s">
        <v>384</v>
      </c>
      <c r="C4843" s="25">
        <v>44772</v>
      </c>
      <c r="D4843" s="26">
        <v>0.47348379629629633</v>
      </c>
      <c r="E4843" t="s">
        <v>30</v>
      </c>
      <c r="F4843" t="s">
        <v>428</v>
      </c>
      <c r="G4843" t="s">
        <v>429</v>
      </c>
      <c r="H4843" t="s">
        <v>192</v>
      </c>
      <c r="I4843" s="160">
        <v>100.03</v>
      </c>
      <c r="J4843" s="8"/>
      <c r="K4843" s="8">
        <v>837193</v>
      </c>
      <c r="L4843" s="8">
        <f>+K4843-J4843</f>
        <v>837193</v>
      </c>
      <c r="M4843" s="254">
        <f>+J4843/L4843*100</f>
        <v>0</v>
      </c>
    </row>
    <row r="4844" spans="1:19" ht="15.75" hidden="1" customHeight="1" x14ac:dyDescent="0.3">
      <c r="B4844" t="s">
        <v>384</v>
      </c>
      <c r="C4844" s="25">
        <v>44773</v>
      </c>
      <c r="D4844" s="26">
        <v>0.50454861111111116</v>
      </c>
      <c r="E4844" t="s">
        <v>30</v>
      </c>
      <c r="F4844" t="s">
        <v>197</v>
      </c>
      <c r="G4844" t="s">
        <v>44</v>
      </c>
      <c r="H4844" t="s">
        <v>192</v>
      </c>
      <c r="I4844" s="160">
        <v>208.87</v>
      </c>
      <c r="J4844" s="8"/>
      <c r="K4844" s="8">
        <v>111122</v>
      </c>
      <c r="L4844" s="8">
        <f>+K4844-J4844</f>
        <v>111122</v>
      </c>
      <c r="M4844" s="254">
        <f>+J4844/L4844*100</f>
        <v>0</v>
      </c>
    </row>
    <row r="4845" spans="1:19" ht="15.75" hidden="1" customHeight="1" x14ac:dyDescent="0.3">
      <c r="B4845" t="s">
        <v>384</v>
      </c>
      <c r="C4845" s="25">
        <v>44773</v>
      </c>
      <c r="D4845" s="26">
        <v>0.70464120370370376</v>
      </c>
      <c r="E4845" t="s">
        <v>30</v>
      </c>
      <c r="F4845" t="s">
        <v>530</v>
      </c>
      <c r="G4845" t="s">
        <v>489</v>
      </c>
      <c r="H4845" t="s">
        <v>192</v>
      </c>
      <c r="I4845" s="160">
        <v>130.94999999999999</v>
      </c>
      <c r="J4845" s="160">
        <f>169+100+209+131</f>
        <v>609</v>
      </c>
      <c r="K4845" s="160">
        <v>837974</v>
      </c>
      <c r="L4845" s="160">
        <v>1603</v>
      </c>
      <c r="M4845" s="254">
        <f>+J4845/L4845*100</f>
        <v>37.991266375545848</v>
      </c>
    </row>
    <row r="4846" spans="1:19" ht="15.75" hidden="1" customHeight="1" x14ac:dyDescent="0.3">
      <c r="A4846" s="9">
        <v>6751</v>
      </c>
      <c r="B4846" t="s">
        <v>275</v>
      </c>
      <c r="C4846" s="25">
        <v>44743</v>
      </c>
      <c r="D4846" s="26">
        <v>0.59444444444444444</v>
      </c>
      <c r="E4846" t="s">
        <v>30</v>
      </c>
      <c r="F4846" t="s">
        <v>169</v>
      </c>
      <c r="G4846" t="s">
        <v>196</v>
      </c>
      <c r="H4846" t="s">
        <v>193</v>
      </c>
      <c r="I4846" s="148">
        <v>158</v>
      </c>
      <c r="J4846" s="45"/>
      <c r="K4846" s="45">
        <v>855966</v>
      </c>
      <c r="L4846" s="45">
        <f>+K4846-J4846</f>
        <v>855966</v>
      </c>
      <c r="M4846" s="183">
        <f>I4846/L4846*100</f>
        <v>1.8458677096987498E-2</v>
      </c>
    </row>
    <row r="4847" spans="1:19" ht="15.75" hidden="1" customHeight="1" x14ac:dyDescent="0.3">
      <c r="A4847" s="9">
        <v>6751</v>
      </c>
      <c r="B4847" t="s">
        <v>275</v>
      </c>
      <c r="C4847" s="25">
        <v>44744</v>
      </c>
      <c r="D4847" s="26">
        <v>0.41688657407407409</v>
      </c>
      <c r="E4847" t="s">
        <v>30</v>
      </c>
      <c r="F4847" t="s">
        <v>391</v>
      </c>
      <c r="G4847" t="s">
        <v>392</v>
      </c>
      <c r="H4847" t="s">
        <v>193</v>
      </c>
      <c r="I4847" s="159">
        <v>165.45</v>
      </c>
      <c r="J4847" s="236"/>
      <c r="K4847" s="236">
        <v>10000</v>
      </c>
      <c r="L4847" s="236">
        <f>+K4847-J4847</f>
        <v>10000</v>
      </c>
      <c r="M4847" s="91">
        <f>I4847/L4847*100</f>
        <v>1.6544999999999996</v>
      </c>
    </row>
    <row r="4848" spans="1:19" ht="15.75" hidden="1" customHeight="1" x14ac:dyDescent="0.3">
      <c r="A4848" s="9">
        <v>6751</v>
      </c>
      <c r="B4848" t="s">
        <v>275</v>
      </c>
      <c r="C4848" s="25">
        <v>44745</v>
      </c>
      <c r="D4848" s="26">
        <v>0.61004629629629636</v>
      </c>
      <c r="E4848" t="s">
        <v>30</v>
      </c>
      <c r="F4848" t="s">
        <v>210</v>
      </c>
      <c r="G4848" t="s">
        <v>211</v>
      </c>
      <c r="H4848" t="s">
        <v>193</v>
      </c>
      <c r="I4848" s="159">
        <v>369.8</v>
      </c>
      <c r="J4848" s="245"/>
      <c r="K4848" s="245">
        <v>3689</v>
      </c>
      <c r="L4848" s="245">
        <f>+K4848-J4848</f>
        <v>3689</v>
      </c>
      <c r="M4848" s="118">
        <f>I4848/L4848*100</f>
        <v>10.0243968555164</v>
      </c>
    </row>
    <row r="4849" spans="1:13" ht="15.75" hidden="1" customHeight="1" x14ac:dyDescent="0.3">
      <c r="A4849" s="9">
        <v>6751</v>
      </c>
      <c r="B4849" t="s">
        <v>275</v>
      </c>
      <c r="C4849" s="25">
        <v>44746</v>
      </c>
      <c r="D4849" s="26">
        <v>0.47180555555555559</v>
      </c>
      <c r="E4849" t="s">
        <v>30</v>
      </c>
      <c r="F4849" t="s">
        <v>210</v>
      </c>
      <c r="G4849" t="s">
        <v>211</v>
      </c>
      <c r="H4849" t="s">
        <v>193</v>
      </c>
      <c r="I4849" s="159">
        <v>315.02</v>
      </c>
      <c r="J4849" s="247">
        <f>370+158+165+369+315</f>
        <v>1377</v>
      </c>
      <c r="K4849" s="247">
        <v>1211</v>
      </c>
      <c r="L4849" s="159">
        <v>3578</v>
      </c>
      <c r="M4849" s="229">
        <f>+J4849/L4849*100</f>
        <v>38.485187255449972</v>
      </c>
    </row>
    <row r="4850" spans="1:13" ht="15.75" hidden="1" customHeight="1" x14ac:dyDescent="0.3">
      <c r="A4850" s="9">
        <v>6751</v>
      </c>
      <c r="B4850" t="s">
        <v>275</v>
      </c>
      <c r="C4850" s="25">
        <v>44747</v>
      </c>
      <c r="D4850" s="26">
        <v>0.2804976851851852</v>
      </c>
      <c r="E4850" t="s">
        <v>30</v>
      </c>
      <c r="F4850" t="s">
        <v>169</v>
      </c>
      <c r="G4850" t="s">
        <v>196</v>
      </c>
      <c r="H4850" t="s">
        <v>193</v>
      </c>
      <c r="I4850" s="173">
        <v>152.13</v>
      </c>
      <c r="J4850" s="236"/>
      <c r="K4850" s="236">
        <v>988899</v>
      </c>
      <c r="L4850" s="236">
        <f>+K4850-J4850</f>
        <v>988899</v>
      </c>
      <c r="M4850" s="91">
        <f>I4850/L4850*100</f>
        <v>1.5383775289488612E-2</v>
      </c>
    </row>
    <row r="4851" spans="1:13" ht="15.75" hidden="1" customHeight="1" x14ac:dyDescent="0.3">
      <c r="A4851" s="9">
        <v>6751</v>
      </c>
      <c r="B4851" t="s">
        <v>275</v>
      </c>
      <c r="C4851" s="25">
        <v>44757</v>
      </c>
      <c r="D4851" s="26">
        <v>0.5007638888888889</v>
      </c>
      <c r="E4851" t="s">
        <v>30</v>
      </c>
      <c r="F4851" t="s">
        <v>783</v>
      </c>
      <c r="G4851" t="s">
        <v>392</v>
      </c>
      <c r="H4851" t="s">
        <v>193</v>
      </c>
      <c r="I4851" s="173" t="s">
        <v>991</v>
      </c>
      <c r="J4851" s="233"/>
      <c r="K4851" s="233"/>
      <c r="L4851" s="233"/>
      <c r="M4851" s="254"/>
    </row>
    <row r="4852" spans="1:13" ht="15.75" hidden="1" customHeight="1" x14ac:dyDescent="0.3">
      <c r="A4852" s="9">
        <v>6751</v>
      </c>
      <c r="B4852" t="s">
        <v>275</v>
      </c>
      <c r="C4852" s="25">
        <v>44758</v>
      </c>
      <c r="D4852" s="26">
        <v>0.72986111111111107</v>
      </c>
      <c r="E4852" t="s">
        <v>30</v>
      </c>
      <c r="F4852" t="s">
        <v>210</v>
      </c>
      <c r="G4852" t="s">
        <v>211</v>
      </c>
      <c r="H4852" t="s">
        <v>193</v>
      </c>
      <c r="I4852" s="159" t="s">
        <v>990</v>
      </c>
      <c r="J4852" s="275">
        <f>387+203+152</f>
        <v>742</v>
      </c>
      <c r="K4852" s="268"/>
      <c r="L4852" s="268">
        <v>1773</v>
      </c>
      <c r="M4852" s="306">
        <f>+J4852/L4852*100</f>
        <v>41.84997179921038</v>
      </c>
    </row>
    <row r="4853" spans="1:13" ht="15.75" hidden="1" customHeight="1" x14ac:dyDescent="0.3">
      <c r="B4853" t="s">
        <v>275</v>
      </c>
      <c r="C4853" s="25">
        <v>44760</v>
      </c>
      <c r="D4853" s="26">
        <v>0.9705787037037038</v>
      </c>
      <c r="E4853" t="s">
        <v>30</v>
      </c>
      <c r="F4853" t="s">
        <v>165</v>
      </c>
      <c r="G4853" t="s">
        <v>185</v>
      </c>
      <c r="H4853" t="s">
        <v>193</v>
      </c>
      <c r="I4853" s="148">
        <v>296.23</v>
      </c>
      <c r="J4853" s="82"/>
      <c r="K4853" s="8">
        <v>1234</v>
      </c>
      <c r="L4853" s="8">
        <v>988</v>
      </c>
      <c r="M4853" s="301">
        <f>+I4853/L4853*100</f>
        <v>29.982793522267208</v>
      </c>
    </row>
    <row r="4854" spans="1:13" ht="15.75" hidden="1" customHeight="1" x14ac:dyDescent="0.3">
      <c r="B4854" t="s">
        <v>275</v>
      </c>
      <c r="C4854" s="25">
        <v>44760</v>
      </c>
      <c r="D4854" s="26">
        <v>0.98167824074074073</v>
      </c>
      <c r="E4854" t="s">
        <v>30</v>
      </c>
      <c r="F4854" t="s">
        <v>165</v>
      </c>
      <c r="G4854" t="s">
        <v>185</v>
      </c>
      <c r="H4854" t="s">
        <v>193</v>
      </c>
      <c r="I4854" s="148">
        <v>139.09</v>
      </c>
      <c r="J4854" s="56"/>
      <c r="K4854" s="54">
        <v>54321</v>
      </c>
      <c r="L4854" s="54">
        <f>+K4854-J4854</f>
        <v>54321</v>
      </c>
      <c r="M4854" s="300">
        <f>+J4854/L4854*100</f>
        <v>0</v>
      </c>
    </row>
    <row r="4855" spans="1:13" ht="15.75" hidden="1" customHeight="1" x14ac:dyDescent="0.3">
      <c r="B4855" t="s">
        <v>275</v>
      </c>
      <c r="C4855" s="25">
        <v>44763</v>
      </c>
      <c r="D4855" s="26">
        <v>0.25487268518518519</v>
      </c>
      <c r="E4855" t="s">
        <v>30</v>
      </c>
      <c r="F4855" t="s">
        <v>165</v>
      </c>
      <c r="G4855" t="s">
        <v>185</v>
      </c>
      <c r="H4855" t="s">
        <v>193</v>
      </c>
      <c r="I4855" s="160">
        <v>403.77</v>
      </c>
      <c r="J4855" s="8"/>
      <c r="K4855" s="8">
        <v>12345</v>
      </c>
      <c r="L4855" s="8">
        <f>+K4855-J4855</f>
        <v>12345</v>
      </c>
      <c r="M4855" s="254">
        <f>+J4855/L4855*100</f>
        <v>0</v>
      </c>
    </row>
    <row r="4856" spans="1:13" ht="15.75" hidden="1" customHeight="1" x14ac:dyDescent="0.3">
      <c r="B4856" t="s">
        <v>271</v>
      </c>
      <c r="C4856" s="25">
        <v>44569</v>
      </c>
      <c r="D4856" s="26">
        <v>0.38252314814814814</v>
      </c>
      <c r="E4856" t="s">
        <v>24</v>
      </c>
      <c r="F4856" t="s">
        <v>175</v>
      </c>
      <c r="G4856" t="s">
        <v>172</v>
      </c>
      <c r="H4856" t="s">
        <v>131</v>
      </c>
      <c r="I4856">
        <v>133.35</v>
      </c>
      <c r="J4856" s="34">
        <v>0</v>
      </c>
      <c r="K4856" s="30">
        <f t="shared" ref="K4856:K4887" si="299">+L4856-J4856</f>
        <v>218.83</v>
      </c>
      <c r="L4856" s="51">
        <v>218.83</v>
      </c>
      <c r="M4856" s="61">
        <f t="shared" ref="M4856:M4887" si="300">I4856/K4856*100</f>
        <v>60.937714207375585</v>
      </c>
    </row>
    <row r="4857" spans="1:13" ht="15.75" hidden="1" customHeight="1" x14ac:dyDescent="0.3">
      <c r="B4857" t="s">
        <v>271</v>
      </c>
      <c r="C4857" s="25">
        <v>44569</v>
      </c>
      <c r="D4857" s="26">
        <v>0.97141203703703705</v>
      </c>
      <c r="E4857" t="s">
        <v>24</v>
      </c>
      <c r="F4857" t="s">
        <v>166</v>
      </c>
      <c r="G4857" t="s">
        <v>161</v>
      </c>
      <c r="H4857" t="s">
        <v>131</v>
      </c>
      <c r="I4857">
        <v>260.20999999999998</v>
      </c>
      <c r="J4857" s="7">
        <v>0</v>
      </c>
      <c r="K4857" s="11">
        <f t="shared" si="299"/>
        <v>631.52</v>
      </c>
      <c r="L4857" s="7">
        <v>631.52</v>
      </c>
      <c r="M4857" s="36">
        <f t="shared" si="300"/>
        <v>41.203762351152776</v>
      </c>
    </row>
    <row r="4858" spans="1:13" ht="15.75" hidden="1" customHeight="1" x14ac:dyDescent="0.3">
      <c r="B4858" t="s">
        <v>271</v>
      </c>
      <c r="C4858" s="25">
        <v>44570</v>
      </c>
      <c r="D4858" s="26">
        <v>0.83437499999999998</v>
      </c>
      <c r="E4858" t="s">
        <v>24</v>
      </c>
      <c r="F4858" t="s">
        <v>165</v>
      </c>
      <c r="G4858" t="s">
        <v>185</v>
      </c>
      <c r="H4858" t="s">
        <v>131</v>
      </c>
      <c r="I4858">
        <v>306.11</v>
      </c>
      <c r="J4858" s="7">
        <v>0</v>
      </c>
      <c r="K4858" s="11">
        <f t="shared" si="299"/>
        <v>631.94000000000005</v>
      </c>
      <c r="L4858" s="7">
        <v>631.94000000000005</v>
      </c>
      <c r="M4858" s="36">
        <f t="shared" si="300"/>
        <v>48.439725290375669</v>
      </c>
    </row>
    <row r="4859" spans="1:13" ht="15.75" hidden="1" customHeight="1" x14ac:dyDescent="0.3">
      <c r="B4859" t="s">
        <v>271</v>
      </c>
      <c r="C4859" s="25">
        <v>44571</v>
      </c>
      <c r="D4859" s="26">
        <v>0.98965277777777771</v>
      </c>
      <c r="E4859" t="s">
        <v>24</v>
      </c>
      <c r="F4859" t="s">
        <v>202</v>
      </c>
      <c r="G4859" t="s">
        <v>203</v>
      </c>
      <c r="H4859" t="s">
        <v>131</v>
      </c>
      <c r="I4859">
        <v>343.72</v>
      </c>
      <c r="J4859" s="7">
        <v>0</v>
      </c>
      <c r="K4859" s="11">
        <f t="shared" si="299"/>
        <v>1056.6600000000001</v>
      </c>
      <c r="L4859" s="7">
        <v>1056.6600000000001</v>
      </c>
      <c r="M4859" s="36">
        <f t="shared" si="300"/>
        <v>32.528911854333465</v>
      </c>
    </row>
    <row r="4860" spans="1:13" ht="15.75" hidden="1" customHeight="1" x14ac:dyDescent="0.3">
      <c r="B4860" t="s">
        <v>271</v>
      </c>
      <c r="C4860" s="25">
        <v>44572</v>
      </c>
      <c r="D4860" s="26">
        <v>0.81229166666666675</v>
      </c>
      <c r="E4860" t="s">
        <v>24</v>
      </c>
      <c r="F4860" t="s">
        <v>278</v>
      </c>
      <c r="G4860" t="s">
        <v>279</v>
      </c>
      <c r="H4860" t="s">
        <v>131</v>
      </c>
      <c r="I4860">
        <v>100</v>
      </c>
      <c r="J4860" s="7">
        <v>0</v>
      </c>
      <c r="K4860" s="11">
        <f t="shared" si="299"/>
        <v>739.29</v>
      </c>
      <c r="L4860" s="7">
        <v>739.29</v>
      </c>
      <c r="M4860" s="36">
        <f t="shared" si="300"/>
        <v>13.526491633864927</v>
      </c>
    </row>
    <row r="4861" spans="1:13" ht="15.75" hidden="1" customHeight="1" x14ac:dyDescent="0.3">
      <c r="B4861" t="s">
        <v>271</v>
      </c>
      <c r="C4861" s="25">
        <v>44573</v>
      </c>
      <c r="D4861" s="26">
        <v>4.8101851851851847E-2</v>
      </c>
      <c r="E4861" t="s">
        <v>24</v>
      </c>
      <c r="F4861" t="s">
        <v>166</v>
      </c>
      <c r="G4861" t="s">
        <v>161</v>
      </c>
      <c r="H4861" t="s">
        <v>131</v>
      </c>
      <c r="I4861">
        <v>327.73</v>
      </c>
      <c r="J4861" s="7">
        <v>0</v>
      </c>
      <c r="K4861" s="11">
        <f t="shared" si="299"/>
        <v>426.37</v>
      </c>
      <c r="L4861" s="7">
        <v>426.37</v>
      </c>
      <c r="M4861" s="36">
        <f t="shared" si="300"/>
        <v>76.865164059385052</v>
      </c>
    </row>
    <row r="4862" spans="1:13" ht="15.75" hidden="1" customHeight="1" x14ac:dyDescent="0.3">
      <c r="B4862" t="s">
        <v>271</v>
      </c>
      <c r="C4862" s="25">
        <v>44574</v>
      </c>
      <c r="D4862" s="26">
        <v>0.53909722222222223</v>
      </c>
      <c r="E4862" t="s">
        <v>24</v>
      </c>
      <c r="F4862" t="s">
        <v>175</v>
      </c>
      <c r="G4862" t="s">
        <v>172</v>
      </c>
      <c r="H4862" t="s">
        <v>131</v>
      </c>
      <c r="I4862">
        <v>363.02</v>
      </c>
      <c r="J4862" s="7">
        <v>0</v>
      </c>
      <c r="K4862" s="11">
        <f t="shared" si="299"/>
        <v>947.21</v>
      </c>
      <c r="L4862" s="7">
        <v>947.21</v>
      </c>
      <c r="M4862" s="36">
        <f t="shared" si="300"/>
        <v>38.325186600648216</v>
      </c>
    </row>
    <row r="4863" spans="1:13" ht="15.75" hidden="1" customHeight="1" x14ac:dyDescent="0.3">
      <c r="B4863" t="s">
        <v>271</v>
      </c>
      <c r="C4863" s="25">
        <v>44575</v>
      </c>
      <c r="D4863" s="26">
        <v>0.45252314814814815</v>
      </c>
      <c r="E4863" t="s">
        <v>24</v>
      </c>
      <c r="F4863" t="s">
        <v>166</v>
      </c>
      <c r="G4863" t="s">
        <v>161</v>
      </c>
      <c r="H4863" t="s">
        <v>131</v>
      </c>
      <c r="I4863">
        <v>291.47000000000003</v>
      </c>
      <c r="J4863" s="7">
        <v>0</v>
      </c>
      <c r="K4863" s="73">
        <f t="shared" si="299"/>
        <v>614.77</v>
      </c>
      <c r="L4863" s="7">
        <v>614.77</v>
      </c>
      <c r="M4863" s="36">
        <f t="shared" si="300"/>
        <v>47.411226962929234</v>
      </c>
    </row>
    <row r="4864" spans="1:13" ht="15.75" hidden="1" customHeight="1" x14ac:dyDescent="0.3">
      <c r="B4864" t="s">
        <v>271</v>
      </c>
      <c r="C4864" s="25">
        <v>44576</v>
      </c>
      <c r="D4864" s="26">
        <v>4.3124999999999997E-2</v>
      </c>
      <c r="E4864" t="s">
        <v>24</v>
      </c>
      <c r="F4864" t="s">
        <v>165</v>
      </c>
      <c r="G4864" t="s">
        <v>185</v>
      </c>
      <c r="H4864" t="s">
        <v>131</v>
      </c>
      <c r="I4864">
        <v>281.27999999999997</v>
      </c>
      <c r="J4864" s="7">
        <v>0</v>
      </c>
      <c r="K4864" s="73">
        <f t="shared" si="299"/>
        <v>634.19000000000005</v>
      </c>
      <c r="L4864" s="7">
        <v>634.19000000000005</v>
      </c>
      <c r="M4864" s="36">
        <f t="shared" si="300"/>
        <v>44.352638799098052</v>
      </c>
    </row>
    <row r="4865" spans="2:13" ht="15.75" hidden="1" customHeight="1" x14ac:dyDescent="0.3">
      <c r="B4865" t="s">
        <v>271</v>
      </c>
      <c r="C4865" s="25">
        <v>44576</v>
      </c>
      <c r="D4865" s="26">
        <v>0.72363425925925917</v>
      </c>
      <c r="E4865" t="s">
        <v>24</v>
      </c>
      <c r="F4865" t="s">
        <v>169</v>
      </c>
      <c r="G4865" t="s">
        <v>196</v>
      </c>
      <c r="H4865" t="s">
        <v>131</v>
      </c>
      <c r="I4865">
        <f>178.83+165.23</f>
        <v>344.06</v>
      </c>
      <c r="J4865" s="7">
        <v>0</v>
      </c>
      <c r="K4865" s="11">
        <f t="shared" si="299"/>
        <v>1004.27</v>
      </c>
      <c r="L4865" s="7">
        <v>1004.27</v>
      </c>
      <c r="M4865" s="36">
        <f t="shared" si="300"/>
        <v>34.25971103388531</v>
      </c>
    </row>
    <row r="4866" spans="2:13" ht="15.75" hidden="1" customHeight="1" x14ac:dyDescent="0.3">
      <c r="B4866" t="s">
        <v>271</v>
      </c>
      <c r="C4866" s="25">
        <v>44577</v>
      </c>
      <c r="D4866" s="26">
        <v>0.58788194444444442</v>
      </c>
      <c r="E4866" t="s">
        <v>24</v>
      </c>
      <c r="F4866" t="s">
        <v>175</v>
      </c>
      <c r="G4866" t="s">
        <v>172</v>
      </c>
      <c r="H4866" t="s">
        <v>131</v>
      </c>
      <c r="I4866">
        <v>248.45</v>
      </c>
      <c r="J4866" s="34">
        <v>0</v>
      </c>
      <c r="K4866" s="11">
        <f t="shared" si="299"/>
        <v>549.74</v>
      </c>
      <c r="L4866" s="51">
        <v>549.74</v>
      </c>
      <c r="M4866" s="10">
        <f t="shared" si="300"/>
        <v>45.1940917524648</v>
      </c>
    </row>
    <row r="4867" spans="2:13" ht="15.75" hidden="1" customHeight="1" x14ac:dyDescent="0.3">
      <c r="B4867" t="s">
        <v>271</v>
      </c>
      <c r="C4867" s="25">
        <v>44578</v>
      </c>
      <c r="D4867" s="26">
        <v>0.96650462962962969</v>
      </c>
      <c r="E4867" t="s">
        <v>24</v>
      </c>
      <c r="F4867" t="s">
        <v>166</v>
      </c>
      <c r="G4867" t="s">
        <v>161</v>
      </c>
      <c r="H4867" t="s">
        <v>131</v>
      </c>
      <c r="I4867">
        <v>349.29</v>
      </c>
      <c r="J4867" s="7">
        <v>0</v>
      </c>
      <c r="K4867" s="28">
        <f t="shared" si="299"/>
        <v>784.46</v>
      </c>
      <c r="L4867" s="31">
        <v>784.46</v>
      </c>
      <c r="M4867" s="36">
        <f t="shared" si="300"/>
        <v>44.526170869132912</v>
      </c>
    </row>
    <row r="4868" spans="2:13" ht="15.75" hidden="1" customHeight="1" x14ac:dyDescent="0.3">
      <c r="B4868" t="s">
        <v>271</v>
      </c>
      <c r="C4868" s="25">
        <v>44579</v>
      </c>
      <c r="D4868" s="26">
        <v>0.7464467592592593</v>
      </c>
      <c r="E4868" t="s">
        <v>24</v>
      </c>
      <c r="F4868" t="s">
        <v>165</v>
      </c>
      <c r="G4868" t="s">
        <v>185</v>
      </c>
      <c r="H4868" t="s">
        <v>131</v>
      </c>
      <c r="I4868">
        <v>316.8</v>
      </c>
      <c r="J4868" s="39">
        <v>0</v>
      </c>
      <c r="K4868" s="7">
        <f t="shared" si="299"/>
        <v>631.46</v>
      </c>
      <c r="L4868" s="7">
        <v>631.46</v>
      </c>
      <c r="M4868" s="36">
        <f t="shared" si="300"/>
        <v>50.16944857948247</v>
      </c>
    </row>
    <row r="4869" spans="2:13" ht="15.75" hidden="1" customHeight="1" x14ac:dyDescent="0.3">
      <c r="B4869" t="s">
        <v>271</v>
      </c>
      <c r="C4869" s="25">
        <v>44582</v>
      </c>
      <c r="D4869" s="26">
        <v>0.94217592592592592</v>
      </c>
      <c r="E4869" t="s">
        <v>24</v>
      </c>
      <c r="F4869" t="s">
        <v>166</v>
      </c>
      <c r="G4869" t="s">
        <v>161</v>
      </c>
      <c r="H4869" t="s">
        <v>131</v>
      </c>
      <c r="I4869">
        <v>259.57</v>
      </c>
      <c r="J4869" s="7">
        <v>0</v>
      </c>
      <c r="K4869" s="11">
        <f t="shared" si="299"/>
        <v>644.72</v>
      </c>
      <c r="L4869" s="7">
        <v>644.72</v>
      </c>
      <c r="M4869" s="36">
        <f t="shared" si="300"/>
        <v>40.260888447698221</v>
      </c>
    </row>
    <row r="4870" spans="2:13" ht="15.75" hidden="1" customHeight="1" x14ac:dyDescent="0.3">
      <c r="B4870" t="s">
        <v>271</v>
      </c>
      <c r="C4870" s="25">
        <v>44583</v>
      </c>
      <c r="D4870" s="26">
        <v>0.69337962962962962</v>
      </c>
      <c r="E4870" t="s">
        <v>24</v>
      </c>
      <c r="F4870" t="s">
        <v>175</v>
      </c>
      <c r="G4870" t="s">
        <v>172</v>
      </c>
      <c r="H4870" t="s">
        <v>131</v>
      </c>
      <c r="I4870">
        <v>388.32</v>
      </c>
      <c r="J4870" s="7">
        <v>0</v>
      </c>
      <c r="K4870" s="11">
        <f t="shared" si="299"/>
        <v>963.21</v>
      </c>
      <c r="L4870" s="7">
        <v>963.21</v>
      </c>
      <c r="M4870" s="36">
        <f t="shared" si="300"/>
        <v>40.315196063163796</v>
      </c>
    </row>
    <row r="4871" spans="2:13" ht="15.75" hidden="1" customHeight="1" x14ac:dyDescent="0.3">
      <c r="B4871" t="s">
        <v>271</v>
      </c>
      <c r="C4871" s="25">
        <v>44584</v>
      </c>
      <c r="D4871" s="26">
        <v>0.71328703703703711</v>
      </c>
      <c r="E4871" t="s">
        <v>24</v>
      </c>
      <c r="F4871" t="s">
        <v>166</v>
      </c>
      <c r="G4871" t="s">
        <v>161</v>
      </c>
      <c r="H4871" t="s">
        <v>131</v>
      </c>
      <c r="I4871">
        <v>335.35</v>
      </c>
      <c r="J4871" s="7">
        <v>0</v>
      </c>
      <c r="K4871" s="11">
        <f t="shared" si="299"/>
        <v>752.35</v>
      </c>
      <c r="L4871" s="7">
        <v>752.35</v>
      </c>
      <c r="M4871" s="36">
        <f t="shared" si="300"/>
        <v>44.573669169934213</v>
      </c>
    </row>
    <row r="4872" spans="2:13" ht="15.75" hidden="1" customHeight="1" x14ac:dyDescent="0.3">
      <c r="B4872" t="s">
        <v>271</v>
      </c>
      <c r="C4872" s="25">
        <v>44585</v>
      </c>
      <c r="D4872" s="26">
        <v>0.19452546296296294</v>
      </c>
      <c r="E4872" t="s">
        <v>24</v>
      </c>
      <c r="F4872" t="s">
        <v>165</v>
      </c>
      <c r="G4872" t="s">
        <v>185</v>
      </c>
      <c r="H4872" t="s">
        <v>131</v>
      </c>
      <c r="I4872">
        <v>282.18</v>
      </c>
      <c r="J4872" s="7">
        <v>0</v>
      </c>
      <c r="K4872" s="11">
        <f t="shared" si="299"/>
        <v>631.29999999999995</v>
      </c>
      <c r="L4872" s="7">
        <v>631.29999999999995</v>
      </c>
      <c r="M4872" s="36">
        <f t="shared" si="300"/>
        <v>44.698241723427849</v>
      </c>
    </row>
    <row r="4873" spans="2:13" ht="15.75" hidden="1" customHeight="1" x14ac:dyDescent="0.3">
      <c r="B4873" t="s">
        <v>271</v>
      </c>
      <c r="C4873" s="25">
        <v>44585</v>
      </c>
      <c r="D4873" s="26">
        <v>0.74532407407407408</v>
      </c>
      <c r="E4873" t="s">
        <v>24</v>
      </c>
      <c r="F4873" t="s">
        <v>166</v>
      </c>
      <c r="G4873" t="s">
        <v>161</v>
      </c>
      <c r="H4873" t="s">
        <v>131</v>
      </c>
      <c r="I4873">
        <v>189.28</v>
      </c>
      <c r="J4873" s="34">
        <v>0</v>
      </c>
      <c r="K4873" s="11">
        <f t="shared" si="299"/>
        <v>551.79999999999995</v>
      </c>
      <c r="L4873" s="7">
        <v>551.79999999999995</v>
      </c>
      <c r="M4873" s="36">
        <f t="shared" si="300"/>
        <v>34.302283436027551</v>
      </c>
    </row>
    <row r="4874" spans="2:13" ht="15.75" hidden="1" customHeight="1" x14ac:dyDescent="0.3">
      <c r="B4874" t="s">
        <v>271</v>
      </c>
      <c r="C4874" s="25">
        <v>44586</v>
      </c>
      <c r="D4874" s="26">
        <v>0.64631944444444445</v>
      </c>
      <c r="E4874" t="s">
        <v>24</v>
      </c>
      <c r="F4874" t="s">
        <v>175</v>
      </c>
      <c r="G4874" t="s">
        <v>172</v>
      </c>
      <c r="H4874" t="s">
        <v>131</v>
      </c>
      <c r="I4874">
        <v>331.64</v>
      </c>
      <c r="J4874" s="34">
        <v>0</v>
      </c>
      <c r="K4874" s="11">
        <f t="shared" si="299"/>
        <v>888.6</v>
      </c>
      <c r="L4874" s="7">
        <v>888.6</v>
      </c>
      <c r="M4874" s="36">
        <f t="shared" si="300"/>
        <v>37.321629529597118</v>
      </c>
    </row>
    <row r="4875" spans="2:13" ht="15.75" hidden="1" customHeight="1" x14ac:dyDescent="0.3">
      <c r="B4875" t="s">
        <v>271</v>
      </c>
      <c r="C4875" s="25">
        <v>44587</v>
      </c>
      <c r="D4875" s="26">
        <v>0.8006712962962963</v>
      </c>
      <c r="E4875" t="s">
        <v>24</v>
      </c>
      <c r="F4875" t="s">
        <v>166</v>
      </c>
      <c r="G4875" t="s">
        <v>161</v>
      </c>
      <c r="H4875" t="s">
        <v>131</v>
      </c>
      <c r="I4875">
        <v>334.81</v>
      </c>
      <c r="J4875" s="7">
        <v>0</v>
      </c>
      <c r="K4875" s="11">
        <f t="shared" si="299"/>
        <v>747.99</v>
      </c>
      <c r="L4875" s="34">
        <v>747.99</v>
      </c>
      <c r="M4875" s="36">
        <f t="shared" si="300"/>
        <v>44.761293600181823</v>
      </c>
    </row>
    <row r="4876" spans="2:13" ht="15.75" hidden="1" customHeight="1" x14ac:dyDescent="0.3">
      <c r="B4876" t="s">
        <v>271</v>
      </c>
      <c r="C4876" s="25">
        <v>44588</v>
      </c>
      <c r="D4876" s="26">
        <v>0.85228009259259263</v>
      </c>
      <c r="E4876" t="s">
        <v>24</v>
      </c>
      <c r="F4876" t="s">
        <v>278</v>
      </c>
      <c r="G4876" t="s">
        <v>279</v>
      </c>
      <c r="H4876" t="s">
        <v>131</v>
      </c>
      <c r="I4876">
        <v>100</v>
      </c>
      <c r="J4876" s="7">
        <v>0</v>
      </c>
      <c r="K4876" s="11">
        <f t="shared" si="299"/>
        <v>797.69</v>
      </c>
      <c r="L4876" s="7">
        <v>797.69</v>
      </c>
      <c r="M4876" s="36">
        <f t="shared" si="300"/>
        <v>12.536198272511879</v>
      </c>
    </row>
    <row r="4877" spans="2:13" ht="15.75" hidden="1" customHeight="1" x14ac:dyDescent="0.3">
      <c r="B4877" t="s">
        <v>271</v>
      </c>
      <c r="C4877" s="25">
        <v>44589</v>
      </c>
      <c r="D4877" s="26">
        <v>0.39491898148148147</v>
      </c>
      <c r="E4877" t="s">
        <v>24</v>
      </c>
      <c r="F4877" t="s">
        <v>166</v>
      </c>
      <c r="G4877" t="s">
        <v>161</v>
      </c>
      <c r="H4877" t="s">
        <v>131</v>
      </c>
      <c r="I4877">
        <v>402.6</v>
      </c>
      <c r="J4877" s="7">
        <v>0</v>
      </c>
      <c r="K4877" s="11">
        <f t="shared" si="299"/>
        <v>425.74</v>
      </c>
      <c r="L4877" s="7">
        <v>425.74</v>
      </c>
      <c r="M4877" s="36">
        <f t="shared" si="300"/>
        <v>94.564757833419463</v>
      </c>
    </row>
    <row r="4878" spans="2:13" ht="15.75" hidden="1" customHeight="1" x14ac:dyDescent="0.3">
      <c r="B4878" t="s">
        <v>271</v>
      </c>
      <c r="C4878" s="25">
        <v>44590</v>
      </c>
      <c r="D4878" s="26">
        <v>0.50699074074074069</v>
      </c>
      <c r="E4878" t="s">
        <v>24</v>
      </c>
      <c r="F4878" t="s">
        <v>175</v>
      </c>
      <c r="G4878" t="s">
        <v>172</v>
      </c>
      <c r="H4878" t="s">
        <v>131</v>
      </c>
      <c r="I4878">
        <v>383.1</v>
      </c>
      <c r="J4878" s="7">
        <v>0</v>
      </c>
      <c r="K4878" s="11">
        <f t="shared" si="299"/>
        <v>980.2</v>
      </c>
      <c r="L4878" s="7">
        <v>980.2</v>
      </c>
      <c r="M4878" s="36">
        <f t="shared" si="300"/>
        <v>39.083860436645587</v>
      </c>
    </row>
    <row r="4879" spans="2:13" ht="15.75" hidden="1" customHeight="1" x14ac:dyDescent="0.3">
      <c r="B4879" t="s">
        <v>271</v>
      </c>
      <c r="C4879" s="25">
        <v>44591</v>
      </c>
      <c r="D4879" s="26">
        <v>0.18884259259259259</v>
      </c>
      <c r="E4879" t="s">
        <v>24</v>
      </c>
      <c r="F4879" t="s">
        <v>166</v>
      </c>
      <c r="G4879" t="s">
        <v>161</v>
      </c>
      <c r="H4879" t="s">
        <v>131</v>
      </c>
      <c r="I4879">
        <v>308.64</v>
      </c>
      <c r="J4879" s="7">
        <v>0</v>
      </c>
      <c r="K4879" s="73">
        <f t="shared" si="299"/>
        <v>747.28</v>
      </c>
      <c r="L4879" s="35">
        <v>747.28</v>
      </c>
      <c r="M4879" s="36">
        <f t="shared" si="300"/>
        <v>41.301787817150199</v>
      </c>
    </row>
    <row r="4880" spans="2:13" ht="15.75" hidden="1" customHeight="1" x14ac:dyDescent="0.3">
      <c r="B4880" t="s">
        <v>271</v>
      </c>
      <c r="C4880" s="25">
        <v>44592</v>
      </c>
      <c r="D4880" s="26">
        <v>0.15700231481481483</v>
      </c>
      <c r="E4880" t="s">
        <v>24</v>
      </c>
      <c r="F4880" t="s">
        <v>278</v>
      </c>
      <c r="G4880" t="s">
        <v>279</v>
      </c>
      <c r="H4880" t="s">
        <v>131</v>
      </c>
      <c r="I4880">
        <v>100</v>
      </c>
      <c r="J4880" s="31">
        <v>0</v>
      </c>
      <c r="K4880" s="11">
        <f t="shared" si="299"/>
        <v>796.73</v>
      </c>
      <c r="L4880" s="7">
        <v>796.73</v>
      </c>
      <c r="M4880" s="36">
        <f t="shared" si="300"/>
        <v>12.55130345286358</v>
      </c>
    </row>
    <row r="4881" spans="1:13" ht="15.75" hidden="1" customHeight="1" x14ac:dyDescent="0.3">
      <c r="B4881" t="s">
        <v>271</v>
      </c>
      <c r="C4881" s="25">
        <v>44592</v>
      </c>
      <c r="D4881" s="26">
        <v>0.85787037037037039</v>
      </c>
      <c r="E4881" t="s">
        <v>24</v>
      </c>
      <c r="F4881" t="s">
        <v>166</v>
      </c>
      <c r="G4881" t="s">
        <v>161</v>
      </c>
      <c r="H4881" t="s">
        <v>131</v>
      </c>
      <c r="I4881">
        <v>381.07</v>
      </c>
      <c r="J4881" s="7">
        <v>0</v>
      </c>
      <c r="K4881" s="11">
        <f t="shared" si="299"/>
        <v>435.19</v>
      </c>
      <c r="L4881" s="7">
        <v>435.19</v>
      </c>
      <c r="M4881" s="36">
        <f t="shared" si="300"/>
        <v>87.564052482823598</v>
      </c>
    </row>
    <row r="4882" spans="1:13" ht="15.75" hidden="1" customHeight="1" x14ac:dyDescent="0.3">
      <c r="A4882" s="9">
        <v>969</v>
      </c>
      <c r="B4882" t="s">
        <v>271</v>
      </c>
      <c r="C4882" s="25">
        <v>44593</v>
      </c>
      <c r="D4882" s="26">
        <v>0.7254976851851852</v>
      </c>
      <c r="E4882" t="s">
        <v>25</v>
      </c>
      <c r="F4882" t="s">
        <v>175</v>
      </c>
      <c r="G4882" t="s">
        <v>172</v>
      </c>
      <c r="H4882" t="s">
        <v>131</v>
      </c>
      <c r="I4882">
        <v>389.13</v>
      </c>
      <c r="J4882" s="51">
        <v>0</v>
      </c>
      <c r="K4882" s="51">
        <f t="shared" si="299"/>
        <v>934.88</v>
      </c>
      <c r="L4882" s="51">
        <v>934.88</v>
      </c>
      <c r="M4882" s="10">
        <f t="shared" si="300"/>
        <v>41.62352387472189</v>
      </c>
    </row>
    <row r="4883" spans="1:13" ht="15.75" hidden="1" customHeight="1" x14ac:dyDescent="0.3">
      <c r="A4883" s="9">
        <v>970</v>
      </c>
      <c r="B4883" t="s">
        <v>271</v>
      </c>
      <c r="C4883" s="25">
        <v>44597</v>
      </c>
      <c r="D4883" s="26">
        <v>0.7219444444444445</v>
      </c>
      <c r="E4883" t="s">
        <v>25</v>
      </c>
      <c r="F4883" t="s">
        <v>175</v>
      </c>
      <c r="G4883" t="s">
        <v>172</v>
      </c>
      <c r="H4883" t="s">
        <v>131</v>
      </c>
      <c r="I4883">
        <v>24.82</v>
      </c>
      <c r="J4883" s="34">
        <v>0</v>
      </c>
      <c r="K4883" s="73">
        <f t="shared" si="299"/>
        <v>19.600000000000001</v>
      </c>
      <c r="L4883" s="7">
        <v>19.600000000000001</v>
      </c>
      <c r="M4883" s="36">
        <f t="shared" si="300"/>
        <v>126.63265306122449</v>
      </c>
    </row>
    <row r="4884" spans="1:13" ht="15.75" hidden="1" customHeight="1" x14ac:dyDescent="0.3">
      <c r="A4884" s="9">
        <v>971</v>
      </c>
      <c r="B4884" t="s">
        <v>271</v>
      </c>
      <c r="C4884" s="25">
        <v>44598</v>
      </c>
      <c r="D4884" s="26">
        <v>0.52584490740740741</v>
      </c>
      <c r="E4884" t="s">
        <v>25</v>
      </c>
      <c r="F4884" t="s">
        <v>166</v>
      </c>
      <c r="G4884" t="s">
        <v>161</v>
      </c>
      <c r="H4884" t="s">
        <v>131</v>
      </c>
      <c r="I4884">
        <v>334.76</v>
      </c>
      <c r="J4884" s="34">
        <v>0</v>
      </c>
      <c r="K4884" s="73">
        <f t="shared" si="299"/>
        <v>753.79</v>
      </c>
      <c r="L4884" s="7">
        <v>753.79</v>
      </c>
      <c r="M4884" s="36">
        <f t="shared" si="300"/>
        <v>44.410246885737408</v>
      </c>
    </row>
    <row r="4885" spans="1:13" ht="15.75" hidden="1" customHeight="1" x14ac:dyDescent="0.3">
      <c r="A4885" s="9">
        <v>972</v>
      </c>
      <c r="B4885" t="s">
        <v>271</v>
      </c>
      <c r="C4885" s="25">
        <v>44599</v>
      </c>
      <c r="D4885" s="26">
        <v>0.44611111111111112</v>
      </c>
      <c r="E4885" t="s">
        <v>25</v>
      </c>
      <c r="F4885" t="s">
        <v>165</v>
      </c>
      <c r="G4885" t="s">
        <v>185</v>
      </c>
      <c r="H4885" t="s">
        <v>131</v>
      </c>
      <c r="I4885">
        <v>300.2</v>
      </c>
      <c r="J4885" s="34">
        <v>0</v>
      </c>
      <c r="K4885" s="73">
        <f t="shared" si="299"/>
        <v>631.84</v>
      </c>
      <c r="L4885" s="7">
        <v>631.84</v>
      </c>
      <c r="M4885" s="36">
        <f t="shared" si="300"/>
        <v>47.512028361610533</v>
      </c>
    </row>
    <row r="4886" spans="1:13" ht="15.75" hidden="1" customHeight="1" x14ac:dyDescent="0.3">
      <c r="A4886" s="9">
        <v>973</v>
      </c>
      <c r="B4886" t="s">
        <v>271</v>
      </c>
      <c r="C4886" s="25">
        <v>44599</v>
      </c>
      <c r="D4886" s="26">
        <v>0.96637731481481481</v>
      </c>
      <c r="E4886" t="s">
        <v>25</v>
      </c>
      <c r="F4886" t="s">
        <v>166</v>
      </c>
      <c r="G4886" t="s">
        <v>161</v>
      </c>
      <c r="H4886" t="s">
        <v>131</v>
      </c>
      <c r="I4886">
        <v>202.56</v>
      </c>
      <c r="J4886" s="34">
        <v>0</v>
      </c>
      <c r="K4886" s="11">
        <f t="shared" si="299"/>
        <v>590.94000000000005</v>
      </c>
      <c r="L4886" s="7">
        <v>590.94000000000005</v>
      </c>
      <c r="M4886" s="36">
        <f t="shared" si="300"/>
        <v>34.277591633668393</v>
      </c>
    </row>
    <row r="4887" spans="1:13" ht="15.75" hidden="1" customHeight="1" x14ac:dyDescent="0.3">
      <c r="A4887" s="9">
        <v>974</v>
      </c>
      <c r="B4887" t="s">
        <v>271</v>
      </c>
      <c r="C4887" s="25">
        <v>44600</v>
      </c>
      <c r="D4887" s="26">
        <v>0.88232638888888892</v>
      </c>
      <c r="E4887" t="s">
        <v>25</v>
      </c>
      <c r="F4887" t="s">
        <v>309</v>
      </c>
      <c r="G4887" t="s">
        <v>310</v>
      </c>
      <c r="H4887" t="s">
        <v>131</v>
      </c>
      <c r="I4887">
        <v>350.25</v>
      </c>
      <c r="J4887" s="34">
        <v>0</v>
      </c>
      <c r="K4887" s="11">
        <f t="shared" si="299"/>
        <v>867.84</v>
      </c>
      <c r="L4887" s="7">
        <v>867.84</v>
      </c>
      <c r="M4887" s="36">
        <f t="shared" si="300"/>
        <v>40.358821902654867</v>
      </c>
    </row>
    <row r="4888" spans="1:13" ht="15.75" hidden="1" customHeight="1" x14ac:dyDescent="0.3">
      <c r="A4888" s="9">
        <v>975</v>
      </c>
      <c r="B4888" t="s">
        <v>271</v>
      </c>
      <c r="C4888" s="25">
        <v>44601</v>
      </c>
      <c r="D4888" s="26">
        <v>0.52218750000000003</v>
      </c>
      <c r="E4888" t="s">
        <v>25</v>
      </c>
      <c r="F4888" t="s">
        <v>166</v>
      </c>
      <c r="G4888" t="s">
        <v>161</v>
      </c>
      <c r="H4888" t="s">
        <v>131</v>
      </c>
      <c r="I4888">
        <v>262.11</v>
      </c>
      <c r="J4888" s="7">
        <v>0</v>
      </c>
      <c r="K4888" s="73">
        <f t="shared" ref="K4888:K4919" si="301">+L4888-J4888</f>
        <v>628.88</v>
      </c>
      <c r="L4888" s="32">
        <v>628.88</v>
      </c>
      <c r="M4888" s="36">
        <f t="shared" ref="M4888:M4919" si="302">I4888/K4888*100</f>
        <v>41.678857651698259</v>
      </c>
    </row>
    <row r="4889" spans="1:13" ht="15.75" hidden="1" customHeight="1" x14ac:dyDescent="0.3">
      <c r="A4889" s="9">
        <v>976</v>
      </c>
      <c r="B4889" t="s">
        <v>271</v>
      </c>
      <c r="C4889" s="25">
        <v>44602</v>
      </c>
      <c r="D4889" s="26">
        <v>0.60780092592592594</v>
      </c>
      <c r="E4889" t="s">
        <v>25</v>
      </c>
      <c r="F4889" t="s">
        <v>278</v>
      </c>
      <c r="G4889" t="s">
        <v>279</v>
      </c>
      <c r="H4889" t="s">
        <v>131</v>
      </c>
      <c r="I4889">
        <v>100.01</v>
      </c>
      <c r="J4889" s="31">
        <v>0</v>
      </c>
      <c r="K4889" s="73">
        <f t="shared" si="301"/>
        <v>796.48</v>
      </c>
      <c r="L4889" s="7">
        <v>796.48</v>
      </c>
      <c r="M4889" s="36">
        <f t="shared" si="302"/>
        <v>12.556498593812776</v>
      </c>
    </row>
    <row r="4890" spans="1:13" ht="15.75" hidden="1" customHeight="1" x14ac:dyDescent="0.3">
      <c r="A4890" s="9">
        <v>977</v>
      </c>
      <c r="B4890" t="s">
        <v>271</v>
      </c>
      <c r="C4890" s="25">
        <v>44602</v>
      </c>
      <c r="D4890" s="26">
        <v>0.91579861111111116</v>
      </c>
      <c r="E4890" t="s">
        <v>25</v>
      </c>
      <c r="F4890" t="s">
        <v>166</v>
      </c>
      <c r="G4890" t="s">
        <v>161</v>
      </c>
      <c r="H4890" t="s">
        <v>131</v>
      </c>
      <c r="I4890">
        <v>398.87</v>
      </c>
      <c r="J4890" s="31">
        <v>0</v>
      </c>
      <c r="K4890" s="73">
        <f t="shared" si="301"/>
        <v>433.56</v>
      </c>
      <c r="L4890" s="7">
        <v>433.56</v>
      </c>
      <c r="M4890" s="36">
        <f t="shared" si="302"/>
        <v>91.998800627364147</v>
      </c>
    </row>
    <row r="4891" spans="1:13" ht="15.75" hidden="1" customHeight="1" x14ac:dyDescent="0.3">
      <c r="A4891" s="9">
        <v>978</v>
      </c>
      <c r="B4891" t="s">
        <v>271</v>
      </c>
      <c r="C4891" s="25">
        <v>44603</v>
      </c>
      <c r="D4891" s="26">
        <v>0.76388888888888884</v>
      </c>
      <c r="E4891" t="s">
        <v>25</v>
      </c>
      <c r="F4891" t="s">
        <v>175</v>
      </c>
      <c r="G4891" t="s">
        <v>172</v>
      </c>
      <c r="H4891" t="s">
        <v>131</v>
      </c>
      <c r="I4891">
        <v>385.41</v>
      </c>
      <c r="J4891" s="7">
        <v>0</v>
      </c>
      <c r="K4891" s="73">
        <f t="shared" si="301"/>
        <v>912.96</v>
      </c>
      <c r="L4891" s="34">
        <v>912.96</v>
      </c>
      <c r="M4891" s="36">
        <f t="shared" si="302"/>
        <v>42.215431125131445</v>
      </c>
    </row>
    <row r="4892" spans="1:13" ht="15.75" hidden="1" customHeight="1" x14ac:dyDescent="0.3">
      <c r="A4892" s="9">
        <v>979</v>
      </c>
      <c r="B4892" t="s">
        <v>271</v>
      </c>
      <c r="C4892" s="25">
        <v>44604</v>
      </c>
      <c r="D4892" s="26">
        <v>0.75929398148148142</v>
      </c>
      <c r="E4892" t="s">
        <v>25</v>
      </c>
      <c r="F4892" t="s">
        <v>166</v>
      </c>
      <c r="G4892" t="s">
        <v>161</v>
      </c>
      <c r="H4892" t="s">
        <v>131</v>
      </c>
      <c r="I4892">
        <v>333.44</v>
      </c>
      <c r="J4892" s="7">
        <v>0</v>
      </c>
      <c r="K4892" s="11">
        <f t="shared" si="301"/>
        <v>751.86</v>
      </c>
      <c r="L4892" s="7">
        <v>751.86</v>
      </c>
      <c r="M4892" s="36">
        <f t="shared" si="302"/>
        <v>44.348681935466708</v>
      </c>
    </row>
    <row r="4893" spans="1:13" ht="15.75" hidden="1" customHeight="1" x14ac:dyDescent="0.3">
      <c r="A4893" s="9">
        <v>980</v>
      </c>
      <c r="B4893" t="s">
        <v>271</v>
      </c>
      <c r="C4893" s="25">
        <v>44605</v>
      </c>
      <c r="D4893" s="26">
        <v>0.24421296296296294</v>
      </c>
      <c r="E4893" t="s">
        <v>25</v>
      </c>
      <c r="F4893" t="s">
        <v>165</v>
      </c>
      <c r="G4893" t="s">
        <v>185</v>
      </c>
      <c r="H4893" t="s">
        <v>131</v>
      </c>
      <c r="I4893">
        <v>298.91000000000003</v>
      </c>
      <c r="J4893" s="7">
        <v>0</v>
      </c>
      <c r="K4893" s="11">
        <f t="shared" si="301"/>
        <v>632.82000000000005</v>
      </c>
      <c r="L4893" s="7">
        <v>632.82000000000005</v>
      </c>
      <c r="M4893" s="36">
        <f t="shared" si="302"/>
        <v>47.234600676337664</v>
      </c>
    </row>
    <row r="4894" spans="1:13" ht="15.75" hidden="1" customHeight="1" x14ac:dyDescent="0.3">
      <c r="A4894" s="9">
        <v>981</v>
      </c>
      <c r="B4894" t="s">
        <v>271</v>
      </c>
      <c r="C4894" s="25">
        <v>44606</v>
      </c>
      <c r="D4894" s="26">
        <v>0.66568287037037044</v>
      </c>
      <c r="E4894" t="s">
        <v>25</v>
      </c>
      <c r="F4894" t="s">
        <v>202</v>
      </c>
      <c r="G4894" t="s">
        <v>203</v>
      </c>
      <c r="H4894" t="s">
        <v>131</v>
      </c>
      <c r="I4894">
        <v>367.95</v>
      </c>
      <c r="J4894" s="7">
        <v>0</v>
      </c>
      <c r="K4894" s="11">
        <f t="shared" si="301"/>
        <v>1053.1199999999999</v>
      </c>
      <c r="L4894" s="7">
        <v>1053.1199999999999</v>
      </c>
      <c r="M4894" s="36">
        <f t="shared" si="302"/>
        <v>34.939038286235188</v>
      </c>
    </row>
    <row r="4895" spans="1:13" ht="15.75" hidden="1" customHeight="1" x14ac:dyDescent="0.3">
      <c r="A4895" s="9">
        <v>982</v>
      </c>
      <c r="B4895" t="s">
        <v>271</v>
      </c>
      <c r="C4895" s="25">
        <v>44607</v>
      </c>
      <c r="D4895" s="26">
        <v>0.53616898148148151</v>
      </c>
      <c r="E4895" t="s">
        <v>25</v>
      </c>
      <c r="F4895" t="s">
        <v>278</v>
      </c>
      <c r="G4895" t="s">
        <v>279</v>
      </c>
      <c r="H4895" t="s">
        <v>131</v>
      </c>
      <c r="I4895">
        <v>100</v>
      </c>
      <c r="J4895" s="7">
        <v>0</v>
      </c>
      <c r="K4895" s="11">
        <f t="shared" si="301"/>
        <v>738.39</v>
      </c>
      <c r="L4895" s="7">
        <v>738.39</v>
      </c>
      <c r="M4895" s="36">
        <f t="shared" si="302"/>
        <v>13.54297864272268</v>
      </c>
    </row>
    <row r="4896" spans="1:13" ht="15.75" hidden="1" customHeight="1" x14ac:dyDescent="0.3">
      <c r="A4896" s="9">
        <v>983</v>
      </c>
      <c r="B4896" t="s">
        <v>271</v>
      </c>
      <c r="C4896" s="25">
        <v>44607</v>
      </c>
      <c r="D4896" s="26">
        <v>0.84122685185185186</v>
      </c>
      <c r="E4896" t="s">
        <v>25</v>
      </c>
      <c r="F4896" t="s">
        <v>166</v>
      </c>
      <c r="G4896" t="s">
        <v>161</v>
      </c>
      <c r="H4896" t="s">
        <v>131</v>
      </c>
      <c r="I4896">
        <v>343.62</v>
      </c>
      <c r="J4896" s="7">
        <v>0</v>
      </c>
      <c r="K4896" s="73">
        <f t="shared" si="301"/>
        <v>427.73</v>
      </c>
      <c r="L4896" s="7">
        <v>427.73</v>
      </c>
      <c r="M4896" s="36">
        <f t="shared" si="302"/>
        <v>80.335725808337031</v>
      </c>
    </row>
    <row r="4897" spans="1:13" ht="15.75" hidden="1" customHeight="1" x14ac:dyDescent="0.3">
      <c r="A4897" s="9">
        <v>984</v>
      </c>
      <c r="B4897" t="s">
        <v>271</v>
      </c>
      <c r="C4897" s="25">
        <v>44609</v>
      </c>
      <c r="D4897" s="26">
        <v>0.33075231481481482</v>
      </c>
      <c r="E4897" t="s">
        <v>25</v>
      </c>
      <c r="F4897" t="s">
        <v>414</v>
      </c>
      <c r="G4897" t="s">
        <v>449</v>
      </c>
      <c r="H4897" t="s">
        <v>131</v>
      </c>
      <c r="I4897">
        <v>353.2</v>
      </c>
      <c r="J4897" s="7">
        <v>0</v>
      </c>
      <c r="K4897" s="11">
        <f t="shared" si="301"/>
        <v>1121.9100000000001</v>
      </c>
      <c r="L4897" s="32">
        <v>1121.9100000000001</v>
      </c>
      <c r="M4897" s="36">
        <f t="shared" si="302"/>
        <v>31.482026187483843</v>
      </c>
    </row>
    <row r="4898" spans="1:13" ht="15.75" hidden="1" customHeight="1" x14ac:dyDescent="0.3">
      <c r="A4898" s="9">
        <v>985</v>
      </c>
      <c r="B4898" t="s">
        <v>271</v>
      </c>
      <c r="C4898" s="25">
        <v>44609</v>
      </c>
      <c r="D4898" s="26">
        <v>0.92363425925925924</v>
      </c>
      <c r="E4898" t="s">
        <v>25</v>
      </c>
      <c r="F4898" t="s">
        <v>166</v>
      </c>
      <c r="G4898" t="s">
        <v>161</v>
      </c>
      <c r="H4898" t="s">
        <v>131</v>
      </c>
      <c r="I4898">
        <v>317.3</v>
      </c>
      <c r="J4898" s="7">
        <v>0</v>
      </c>
      <c r="K4898" s="11">
        <f t="shared" si="301"/>
        <v>451.78</v>
      </c>
      <c r="L4898" s="32">
        <v>451.78</v>
      </c>
      <c r="M4898" s="36">
        <f t="shared" si="302"/>
        <v>70.233299393510123</v>
      </c>
    </row>
    <row r="4899" spans="1:13" ht="15.75" hidden="1" customHeight="1" x14ac:dyDescent="0.3">
      <c r="A4899" s="9">
        <v>986</v>
      </c>
      <c r="B4899" t="s">
        <v>271</v>
      </c>
      <c r="C4899" s="25">
        <v>44610</v>
      </c>
      <c r="D4899" s="26">
        <v>0.51343749999999999</v>
      </c>
      <c r="E4899" t="s">
        <v>25</v>
      </c>
      <c r="F4899" t="s">
        <v>165</v>
      </c>
      <c r="G4899" t="s">
        <v>185</v>
      </c>
      <c r="H4899" t="s">
        <v>131</v>
      </c>
      <c r="I4899">
        <v>296.93</v>
      </c>
      <c r="J4899" s="7">
        <v>0</v>
      </c>
      <c r="K4899" s="11">
        <f t="shared" si="301"/>
        <v>631.38</v>
      </c>
      <c r="L4899" s="31">
        <v>631.38</v>
      </c>
      <c r="M4899" s="36">
        <f t="shared" si="302"/>
        <v>47.028730716842475</v>
      </c>
    </row>
    <row r="4900" spans="1:13" ht="15.75" hidden="1" customHeight="1" x14ac:dyDescent="0.3">
      <c r="A4900" s="9">
        <v>987</v>
      </c>
      <c r="B4900" t="s">
        <v>271</v>
      </c>
      <c r="C4900" s="25">
        <v>44611</v>
      </c>
      <c r="D4900" s="26">
        <v>2.7141203703703706E-2</v>
      </c>
      <c r="E4900" t="s">
        <v>25</v>
      </c>
      <c r="F4900" t="s">
        <v>166</v>
      </c>
      <c r="G4900" t="s">
        <v>161</v>
      </c>
      <c r="H4900" t="s">
        <v>131</v>
      </c>
      <c r="I4900">
        <v>198.15</v>
      </c>
      <c r="J4900" s="7">
        <v>0</v>
      </c>
      <c r="K4900" s="11">
        <f t="shared" si="301"/>
        <v>604.1</v>
      </c>
      <c r="L4900" s="7">
        <v>604.1</v>
      </c>
      <c r="M4900" s="36">
        <f t="shared" si="302"/>
        <v>32.800860784638303</v>
      </c>
    </row>
    <row r="4901" spans="1:13" ht="15.75" hidden="1" customHeight="1" x14ac:dyDescent="0.3">
      <c r="A4901" s="9">
        <v>988</v>
      </c>
      <c r="B4901" t="s">
        <v>271</v>
      </c>
      <c r="C4901" s="25">
        <v>44611</v>
      </c>
      <c r="D4901" s="26">
        <v>0.74557870370370372</v>
      </c>
      <c r="E4901" t="s">
        <v>25</v>
      </c>
      <c r="F4901" t="s">
        <v>175</v>
      </c>
      <c r="G4901" t="s">
        <v>172</v>
      </c>
      <c r="H4901" t="s">
        <v>131</v>
      </c>
      <c r="I4901">
        <v>380.18</v>
      </c>
      <c r="J4901" s="7">
        <v>0</v>
      </c>
      <c r="K4901" s="7">
        <f t="shared" si="301"/>
        <v>956.22</v>
      </c>
      <c r="L4901" s="34">
        <v>956.22</v>
      </c>
      <c r="M4901" s="91">
        <f t="shared" si="302"/>
        <v>39.758632950576228</v>
      </c>
    </row>
    <row r="4902" spans="1:13" ht="15.75" hidden="1" customHeight="1" x14ac:dyDescent="0.3">
      <c r="A4902" s="9">
        <v>989</v>
      </c>
      <c r="B4902" t="s">
        <v>271</v>
      </c>
      <c r="C4902" s="25">
        <v>44612</v>
      </c>
      <c r="D4902" s="26">
        <v>0.67620370370370375</v>
      </c>
      <c r="E4902" t="s">
        <v>25</v>
      </c>
      <c r="F4902" t="s">
        <v>166</v>
      </c>
      <c r="G4902" t="s">
        <v>161</v>
      </c>
      <c r="H4902" t="s">
        <v>131</v>
      </c>
      <c r="I4902">
        <v>324.56</v>
      </c>
      <c r="J4902" s="7">
        <v>0</v>
      </c>
      <c r="K4902" s="7">
        <f t="shared" si="301"/>
        <v>755.76</v>
      </c>
      <c r="L4902" s="7">
        <v>755.76</v>
      </c>
      <c r="M4902" s="91">
        <f t="shared" si="302"/>
        <v>42.944850217000109</v>
      </c>
    </row>
    <row r="4903" spans="1:13" ht="15.75" hidden="1" customHeight="1" x14ac:dyDescent="0.3">
      <c r="A4903" s="9">
        <v>990</v>
      </c>
      <c r="B4903" t="s">
        <v>271</v>
      </c>
      <c r="C4903" s="25">
        <v>44613</v>
      </c>
      <c r="D4903" s="26">
        <v>0.72560185185185189</v>
      </c>
      <c r="E4903" t="s">
        <v>25</v>
      </c>
      <c r="F4903" t="s">
        <v>278</v>
      </c>
      <c r="G4903" t="s">
        <v>279</v>
      </c>
      <c r="H4903" t="s">
        <v>131</v>
      </c>
      <c r="I4903">
        <v>100</v>
      </c>
      <c r="J4903" s="7">
        <v>0</v>
      </c>
      <c r="K4903" s="7">
        <f t="shared" si="301"/>
        <v>796.63</v>
      </c>
      <c r="L4903" s="7">
        <v>796.63</v>
      </c>
      <c r="M4903" s="91">
        <f t="shared" si="302"/>
        <v>12.552879002799292</v>
      </c>
    </row>
    <row r="4904" spans="1:13" ht="15.75" hidden="1" customHeight="1" x14ac:dyDescent="0.3">
      <c r="A4904" s="9">
        <v>991</v>
      </c>
      <c r="B4904" t="s">
        <v>271</v>
      </c>
      <c r="C4904" s="25">
        <v>44614</v>
      </c>
      <c r="D4904" s="26">
        <v>7.1365740740740743E-2</v>
      </c>
      <c r="E4904" t="s">
        <v>25</v>
      </c>
      <c r="F4904" t="s">
        <v>166</v>
      </c>
      <c r="G4904" t="s">
        <v>161</v>
      </c>
      <c r="H4904" t="s">
        <v>131</v>
      </c>
      <c r="I4904">
        <v>440.84699999999998</v>
      </c>
      <c r="J4904" s="7">
        <v>0</v>
      </c>
      <c r="K4904" s="7">
        <f t="shared" si="301"/>
        <v>433.75</v>
      </c>
      <c r="L4904" s="7">
        <v>433.75</v>
      </c>
      <c r="M4904" s="91">
        <f t="shared" si="302"/>
        <v>101.63619596541787</v>
      </c>
    </row>
    <row r="4905" spans="1:13" ht="15.75" hidden="1" customHeight="1" x14ac:dyDescent="0.3">
      <c r="A4905" s="9">
        <v>992</v>
      </c>
      <c r="B4905" t="s">
        <v>271</v>
      </c>
      <c r="C4905" s="25">
        <v>44614</v>
      </c>
      <c r="D4905" s="26">
        <v>0.96574074074074068</v>
      </c>
      <c r="E4905" t="s">
        <v>25</v>
      </c>
      <c r="F4905" t="s">
        <v>205</v>
      </c>
      <c r="G4905" t="s">
        <v>206</v>
      </c>
      <c r="H4905" t="s">
        <v>131</v>
      </c>
      <c r="I4905">
        <v>380</v>
      </c>
      <c r="J4905" s="7">
        <v>0</v>
      </c>
      <c r="K4905" s="7">
        <f t="shared" si="301"/>
        <v>941.24</v>
      </c>
      <c r="L4905" s="31">
        <v>941.24</v>
      </c>
      <c r="M4905" s="91">
        <f t="shared" si="302"/>
        <v>40.37227487144618</v>
      </c>
    </row>
    <row r="4906" spans="1:13" ht="15.75" hidden="1" customHeight="1" x14ac:dyDescent="0.3">
      <c r="A4906" s="9">
        <v>993</v>
      </c>
      <c r="B4906" t="s">
        <v>271</v>
      </c>
      <c r="C4906" s="25">
        <v>44615</v>
      </c>
      <c r="D4906" s="26">
        <v>0.69109953703703697</v>
      </c>
      <c r="E4906" t="s">
        <v>25</v>
      </c>
      <c r="F4906" t="s">
        <v>166</v>
      </c>
      <c r="G4906" t="s">
        <v>161</v>
      </c>
      <c r="H4906" t="s">
        <v>131</v>
      </c>
      <c r="I4906">
        <v>261.58</v>
      </c>
      <c r="J4906" s="7">
        <v>0</v>
      </c>
      <c r="K4906" s="7">
        <f t="shared" si="301"/>
        <v>615.59</v>
      </c>
      <c r="L4906" s="7">
        <v>615.59</v>
      </c>
      <c r="M4906" s="119">
        <f t="shared" si="302"/>
        <v>42.492568105394817</v>
      </c>
    </row>
    <row r="4907" spans="1:13" ht="15.75" hidden="1" customHeight="1" x14ac:dyDescent="0.3">
      <c r="A4907" s="9">
        <v>994</v>
      </c>
      <c r="B4907" t="s">
        <v>271</v>
      </c>
      <c r="C4907" s="25">
        <v>44616</v>
      </c>
      <c r="D4907" s="26">
        <v>0.74105324074074075</v>
      </c>
      <c r="E4907" t="s">
        <v>25</v>
      </c>
      <c r="F4907" t="s">
        <v>278</v>
      </c>
      <c r="G4907" t="s">
        <v>279</v>
      </c>
      <c r="H4907" t="s">
        <v>131</v>
      </c>
      <c r="I4907">
        <v>100</v>
      </c>
      <c r="J4907" s="7">
        <v>0</v>
      </c>
      <c r="K4907" s="7">
        <f t="shared" si="301"/>
        <v>796.54</v>
      </c>
      <c r="L4907" s="7">
        <v>796.54</v>
      </c>
      <c r="M4907" s="119">
        <f t="shared" si="302"/>
        <v>12.554297335978108</v>
      </c>
    </row>
    <row r="4908" spans="1:13" ht="15.75" hidden="1" customHeight="1" x14ac:dyDescent="0.3">
      <c r="A4908" s="9">
        <v>995</v>
      </c>
      <c r="B4908" t="s">
        <v>271</v>
      </c>
      <c r="C4908" s="25">
        <v>44617</v>
      </c>
      <c r="D4908" s="26">
        <v>1.2997685185185183E-2</v>
      </c>
      <c r="E4908" t="s">
        <v>25</v>
      </c>
      <c r="F4908" t="s">
        <v>166</v>
      </c>
      <c r="G4908" t="s">
        <v>161</v>
      </c>
      <c r="H4908" t="s">
        <v>131</v>
      </c>
      <c r="I4908">
        <v>409.32</v>
      </c>
      <c r="J4908" s="7">
        <v>0</v>
      </c>
      <c r="K4908" s="7">
        <f t="shared" si="301"/>
        <v>433.68</v>
      </c>
      <c r="L4908" s="7">
        <v>433.68</v>
      </c>
      <c r="M4908" s="119">
        <f t="shared" si="302"/>
        <v>94.382955174322078</v>
      </c>
    </row>
    <row r="4909" spans="1:13" ht="15.75" hidden="1" customHeight="1" x14ac:dyDescent="0.3">
      <c r="A4909" s="9">
        <v>996</v>
      </c>
      <c r="B4909" t="s">
        <v>271</v>
      </c>
      <c r="C4909" s="25">
        <v>44618</v>
      </c>
      <c r="D4909" s="26">
        <v>0.70959490740740738</v>
      </c>
      <c r="E4909" t="s">
        <v>25</v>
      </c>
      <c r="F4909" t="s">
        <v>171</v>
      </c>
      <c r="G4909" t="s">
        <v>172</v>
      </c>
      <c r="H4909" t="s">
        <v>131</v>
      </c>
      <c r="I4909">
        <v>414.93</v>
      </c>
      <c r="J4909" s="7">
        <v>0</v>
      </c>
      <c r="K4909" s="7">
        <f t="shared" si="301"/>
        <v>1019.52</v>
      </c>
      <c r="L4909" s="34">
        <v>1019.52</v>
      </c>
      <c r="M4909" s="118">
        <f t="shared" si="302"/>
        <v>40.698564030131827</v>
      </c>
    </row>
    <row r="4910" spans="1:13" ht="15.75" hidden="1" customHeight="1" x14ac:dyDescent="0.3">
      <c r="A4910" s="9">
        <v>997</v>
      </c>
      <c r="B4910" t="s">
        <v>271</v>
      </c>
      <c r="C4910" s="25">
        <v>44619</v>
      </c>
      <c r="D4910" s="26">
        <v>0.47379629629629627</v>
      </c>
      <c r="E4910" t="s">
        <v>25</v>
      </c>
      <c r="F4910" t="s">
        <v>166</v>
      </c>
      <c r="G4910" t="s">
        <v>161</v>
      </c>
      <c r="H4910" t="s">
        <v>131</v>
      </c>
      <c r="I4910">
        <v>261.66000000000003</v>
      </c>
      <c r="J4910" s="7">
        <v>0</v>
      </c>
      <c r="K4910" s="7">
        <f t="shared" si="301"/>
        <v>616.23</v>
      </c>
      <c r="L4910" s="7">
        <v>616.23</v>
      </c>
      <c r="M4910" s="36">
        <f t="shared" si="302"/>
        <v>42.461418626162313</v>
      </c>
    </row>
    <row r="4911" spans="1:13" ht="15.75" hidden="1" customHeight="1" x14ac:dyDescent="0.3">
      <c r="A4911" s="9">
        <v>998</v>
      </c>
      <c r="B4911" t="s">
        <v>271</v>
      </c>
      <c r="C4911" s="25">
        <v>44620</v>
      </c>
      <c r="D4911" s="26">
        <v>0.4778587962962963</v>
      </c>
      <c r="E4911" t="s">
        <v>25</v>
      </c>
      <c r="F4911" t="s">
        <v>165</v>
      </c>
      <c r="G4911" t="s">
        <v>185</v>
      </c>
      <c r="H4911" t="s">
        <v>131</v>
      </c>
      <c r="I4911">
        <v>326.42</v>
      </c>
      <c r="J4911" s="7">
        <v>0</v>
      </c>
      <c r="K4911" s="7">
        <f t="shared" si="301"/>
        <v>634.77</v>
      </c>
      <c r="L4911" s="7">
        <v>634.77</v>
      </c>
      <c r="M4911" s="36">
        <f t="shared" si="302"/>
        <v>51.42335018983254</v>
      </c>
    </row>
    <row r="4912" spans="1:13" ht="15.75" hidden="1" customHeight="1" x14ac:dyDescent="0.3">
      <c r="A4912" s="9">
        <v>2148</v>
      </c>
      <c r="B4912" t="s">
        <v>271</v>
      </c>
      <c r="C4912" s="25">
        <v>44621</v>
      </c>
      <c r="D4912" s="26">
        <v>0.9346875</v>
      </c>
      <c r="E4912" t="s">
        <v>26</v>
      </c>
      <c r="F4912" t="s">
        <v>202</v>
      </c>
      <c r="G4912" t="s">
        <v>203</v>
      </c>
      <c r="H4912" t="s">
        <v>131</v>
      </c>
      <c r="I4912">
        <v>365.85</v>
      </c>
      <c r="J4912" s="7">
        <v>0</v>
      </c>
      <c r="K4912" s="90">
        <f t="shared" si="301"/>
        <v>1000</v>
      </c>
      <c r="L4912" s="7">
        <v>1000</v>
      </c>
      <c r="M4912" s="36">
        <f t="shared" si="302"/>
        <v>36.585000000000001</v>
      </c>
    </row>
    <row r="4913" spans="1:13" ht="15.75" hidden="1" customHeight="1" x14ac:dyDescent="0.3">
      <c r="A4913" s="9">
        <v>2149</v>
      </c>
      <c r="B4913" t="s">
        <v>271</v>
      </c>
      <c r="C4913" s="25">
        <v>44622</v>
      </c>
      <c r="D4913" s="26">
        <v>0.84966435185185185</v>
      </c>
      <c r="E4913" t="s">
        <v>26</v>
      </c>
      <c r="F4913" t="s">
        <v>278</v>
      </c>
      <c r="G4913" t="s">
        <v>279</v>
      </c>
      <c r="H4913" t="s">
        <v>131</v>
      </c>
      <c r="I4913">
        <v>100</v>
      </c>
      <c r="J4913" s="7">
        <v>0</v>
      </c>
      <c r="K4913" s="90">
        <f t="shared" si="301"/>
        <v>1234</v>
      </c>
      <c r="L4913" s="7">
        <v>1234</v>
      </c>
      <c r="M4913" s="36">
        <f t="shared" si="302"/>
        <v>8.1037277147487838</v>
      </c>
    </row>
    <row r="4914" spans="1:13" ht="15.75" hidden="1" customHeight="1" x14ac:dyDescent="0.3">
      <c r="A4914" s="9">
        <v>2150</v>
      </c>
      <c r="B4914" t="s">
        <v>271</v>
      </c>
      <c r="C4914" s="25">
        <v>44623</v>
      </c>
      <c r="D4914" s="26">
        <v>7.363425925925926E-2</v>
      </c>
      <c r="E4914" t="s">
        <v>26</v>
      </c>
      <c r="F4914" t="s">
        <v>166</v>
      </c>
      <c r="G4914" t="s">
        <v>161</v>
      </c>
      <c r="H4914" t="s">
        <v>131</v>
      </c>
      <c r="I4914">
        <v>355.71</v>
      </c>
      <c r="J4914" s="7">
        <v>0</v>
      </c>
      <c r="K4914" s="94">
        <f t="shared" si="301"/>
        <v>425.81</v>
      </c>
      <c r="L4914" s="35">
        <v>425.81</v>
      </c>
      <c r="M4914" s="36">
        <f t="shared" si="302"/>
        <v>83.537258401634531</v>
      </c>
    </row>
    <row r="4915" spans="1:13" ht="15.75" hidden="1" customHeight="1" x14ac:dyDescent="0.3">
      <c r="A4915" s="9">
        <v>2151</v>
      </c>
      <c r="B4915" t="s">
        <v>271</v>
      </c>
      <c r="C4915" s="25">
        <v>44623</v>
      </c>
      <c r="D4915" s="26">
        <v>0.77800925925925923</v>
      </c>
      <c r="E4915" t="s">
        <v>26</v>
      </c>
      <c r="F4915" t="s">
        <v>175</v>
      </c>
      <c r="G4915" t="s">
        <v>172</v>
      </c>
      <c r="H4915" t="s">
        <v>131</v>
      </c>
      <c r="I4915">
        <f>95.33+249.9</f>
        <v>345.23</v>
      </c>
      <c r="J4915" s="7">
        <v>0</v>
      </c>
      <c r="K4915" s="94">
        <f t="shared" si="301"/>
        <v>863.6</v>
      </c>
      <c r="L4915" s="7">
        <v>863.6</v>
      </c>
      <c r="M4915" s="36">
        <f t="shared" si="302"/>
        <v>39.97568318666049</v>
      </c>
    </row>
    <row r="4916" spans="1:13" ht="15.75" hidden="1" customHeight="1" x14ac:dyDescent="0.3">
      <c r="A4916" s="9">
        <v>2153</v>
      </c>
      <c r="B4916" t="s">
        <v>271</v>
      </c>
      <c r="C4916" s="25">
        <v>44636</v>
      </c>
      <c r="D4916" s="26">
        <v>0.52251157407407411</v>
      </c>
      <c r="E4916" t="s">
        <v>26</v>
      </c>
      <c r="F4916" t="s">
        <v>166</v>
      </c>
      <c r="G4916" t="s">
        <v>161</v>
      </c>
      <c r="H4916" t="s">
        <v>131</v>
      </c>
      <c r="I4916">
        <v>370.88</v>
      </c>
      <c r="J4916" s="7">
        <v>0</v>
      </c>
      <c r="K4916" s="94">
        <f t="shared" si="301"/>
        <v>1234</v>
      </c>
      <c r="L4916" s="32">
        <v>1234</v>
      </c>
      <c r="M4916" s="36">
        <f t="shared" si="302"/>
        <v>30.055105348460291</v>
      </c>
    </row>
    <row r="4917" spans="1:13" ht="15.75" hidden="1" customHeight="1" x14ac:dyDescent="0.3">
      <c r="A4917" s="9">
        <v>2154</v>
      </c>
      <c r="B4917" t="s">
        <v>271</v>
      </c>
      <c r="C4917" s="25">
        <v>44637</v>
      </c>
      <c r="D4917" s="26">
        <v>0.62359953703703697</v>
      </c>
      <c r="E4917" t="s">
        <v>26</v>
      </c>
      <c r="F4917" t="s">
        <v>278</v>
      </c>
      <c r="G4917" t="s">
        <v>279</v>
      </c>
      <c r="H4917" t="s">
        <v>131</v>
      </c>
      <c r="I4917">
        <v>100.01</v>
      </c>
      <c r="J4917" s="7">
        <v>0</v>
      </c>
      <c r="K4917" s="94">
        <f t="shared" si="301"/>
        <v>799.87</v>
      </c>
      <c r="L4917" s="7">
        <v>799.87</v>
      </c>
      <c r="M4917" s="36">
        <f t="shared" si="302"/>
        <v>12.503281783289784</v>
      </c>
    </row>
    <row r="4918" spans="1:13" ht="15.75" hidden="1" customHeight="1" x14ac:dyDescent="0.3">
      <c r="A4918" s="9">
        <v>2155</v>
      </c>
      <c r="B4918" t="s">
        <v>271</v>
      </c>
      <c r="C4918" s="25">
        <v>44637</v>
      </c>
      <c r="D4918" s="26">
        <v>0.922337962962963</v>
      </c>
      <c r="E4918" t="s">
        <v>26</v>
      </c>
      <c r="F4918" t="s">
        <v>166</v>
      </c>
      <c r="G4918" t="s">
        <v>161</v>
      </c>
      <c r="H4918" t="s">
        <v>131</v>
      </c>
      <c r="I4918">
        <v>401.56</v>
      </c>
      <c r="J4918" s="7">
        <v>0</v>
      </c>
      <c r="K4918" s="89">
        <f t="shared" si="301"/>
        <v>426.69</v>
      </c>
      <c r="L4918" s="34">
        <v>426.69</v>
      </c>
      <c r="M4918" s="36">
        <f t="shared" si="302"/>
        <v>94.11047833321615</v>
      </c>
    </row>
    <row r="4919" spans="1:13" ht="15.75" hidden="1" customHeight="1" x14ac:dyDescent="0.3">
      <c r="A4919" s="9">
        <v>2156</v>
      </c>
      <c r="B4919" t="s">
        <v>271</v>
      </c>
      <c r="C4919" s="25">
        <v>44641</v>
      </c>
      <c r="D4919" s="26">
        <v>0.74837962962962967</v>
      </c>
      <c r="E4919" t="s">
        <v>26</v>
      </c>
      <c r="F4919" t="s">
        <v>197</v>
      </c>
      <c r="G4919" t="s">
        <v>44</v>
      </c>
      <c r="H4919" t="s">
        <v>131</v>
      </c>
      <c r="I4919">
        <f>84.87+448.9</f>
        <v>533.77</v>
      </c>
      <c r="J4919" s="7">
        <v>0</v>
      </c>
      <c r="K4919" s="89">
        <f t="shared" si="301"/>
        <v>1279.8599999999999</v>
      </c>
      <c r="L4919" s="7">
        <v>1279.8599999999999</v>
      </c>
      <c r="M4919" s="36">
        <f t="shared" si="302"/>
        <v>41.705342771865674</v>
      </c>
    </row>
    <row r="4920" spans="1:13" ht="15.75" hidden="1" customHeight="1" x14ac:dyDescent="0.3">
      <c r="A4920" s="9">
        <v>2157</v>
      </c>
      <c r="B4920" t="s">
        <v>271</v>
      </c>
      <c r="C4920" s="25">
        <v>44642</v>
      </c>
      <c r="D4920" s="26">
        <v>0.17924768518518519</v>
      </c>
      <c r="E4920" t="s">
        <v>26</v>
      </c>
      <c r="F4920" t="s">
        <v>166</v>
      </c>
      <c r="G4920" t="s">
        <v>161</v>
      </c>
      <c r="H4920" t="s">
        <v>131</v>
      </c>
      <c r="I4920">
        <v>233.92</v>
      </c>
      <c r="J4920" s="7">
        <v>0</v>
      </c>
      <c r="K4920" s="89">
        <f t="shared" ref="K4920:K4951" si="303">+L4920-J4920</f>
        <v>511.12</v>
      </c>
      <c r="L4920" s="7">
        <v>511.12</v>
      </c>
      <c r="M4920" s="36">
        <f t="shared" ref="M4920:M4951" si="304">I4920/K4920*100</f>
        <v>45.766160588511504</v>
      </c>
    </row>
    <row r="4921" spans="1:13" ht="15.75" hidden="1" customHeight="1" x14ac:dyDescent="0.3">
      <c r="A4921" s="9">
        <v>2158</v>
      </c>
      <c r="B4921" t="s">
        <v>271</v>
      </c>
      <c r="C4921" s="25">
        <v>44643</v>
      </c>
      <c r="D4921" s="26">
        <v>0.14531249999999998</v>
      </c>
      <c r="E4921" t="s">
        <v>26</v>
      </c>
      <c r="F4921" t="s">
        <v>165</v>
      </c>
      <c r="G4921" t="s">
        <v>185</v>
      </c>
      <c r="H4921" t="s">
        <v>131</v>
      </c>
      <c r="I4921">
        <v>322.02999999999997</v>
      </c>
      <c r="J4921" s="7">
        <v>0</v>
      </c>
      <c r="K4921" s="89">
        <f t="shared" si="303"/>
        <v>632.55999999999995</v>
      </c>
      <c r="L4921" s="7">
        <v>632.55999999999995</v>
      </c>
      <c r="M4921" s="36">
        <f t="shared" si="304"/>
        <v>50.909004679398009</v>
      </c>
    </row>
    <row r="4922" spans="1:13" ht="15.75" hidden="1" customHeight="1" x14ac:dyDescent="0.3">
      <c r="A4922" s="9">
        <v>2159</v>
      </c>
      <c r="B4922" t="s">
        <v>271</v>
      </c>
      <c r="C4922" s="25">
        <v>44644</v>
      </c>
      <c r="D4922" s="26">
        <v>2.5162037037037038E-2</v>
      </c>
      <c r="E4922" t="s">
        <v>26</v>
      </c>
      <c r="F4922" t="s">
        <v>166</v>
      </c>
      <c r="G4922" t="s">
        <v>161</v>
      </c>
      <c r="H4922" t="s">
        <v>131</v>
      </c>
      <c r="I4922">
        <v>257.89999999999998</v>
      </c>
      <c r="J4922" s="7">
        <v>0</v>
      </c>
      <c r="K4922" s="89">
        <f t="shared" si="303"/>
        <v>630.13</v>
      </c>
      <c r="L4922" s="7">
        <v>630.13</v>
      </c>
      <c r="M4922" s="36">
        <f t="shared" si="304"/>
        <v>40.928062463301217</v>
      </c>
    </row>
    <row r="4923" spans="1:13" ht="15.75" hidden="1" customHeight="1" x14ac:dyDescent="0.3">
      <c r="A4923" s="9">
        <v>2160</v>
      </c>
      <c r="B4923" t="s">
        <v>271</v>
      </c>
      <c r="C4923" s="25">
        <v>44645</v>
      </c>
      <c r="D4923" s="26">
        <v>0.87975694444444441</v>
      </c>
      <c r="E4923" t="s">
        <v>26</v>
      </c>
      <c r="F4923" t="s">
        <v>197</v>
      </c>
      <c r="G4923" t="s">
        <v>44</v>
      </c>
      <c r="H4923" t="s">
        <v>131</v>
      </c>
      <c r="I4923">
        <v>442.35</v>
      </c>
      <c r="J4923" s="7">
        <v>0</v>
      </c>
      <c r="K4923" s="89">
        <f t="shared" si="303"/>
        <v>1222.8699999999999</v>
      </c>
      <c r="L4923" s="7">
        <v>1222.8699999999999</v>
      </c>
      <c r="M4923" s="36">
        <f t="shared" si="304"/>
        <v>36.173100983751347</v>
      </c>
    </row>
    <row r="4924" spans="1:13" ht="15.75" hidden="1" customHeight="1" x14ac:dyDescent="0.3">
      <c r="A4924" s="9">
        <v>2161</v>
      </c>
      <c r="B4924" t="s">
        <v>271</v>
      </c>
      <c r="C4924" s="25">
        <v>44646</v>
      </c>
      <c r="D4924" s="26">
        <v>0.58328703703703699</v>
      </c>
      <c r="E4924" t="s">
        <v>26</v>
      </c>
      <c r="F4924" t="s">
        <v>166</v>
      </c>
      <c r="G4924" t="s">
        <v>161</v>
      </c>
      <c r="H4924" t="s">
        <v>131</v>
      </c>
      <c r="I4924">
        <v>337.6</v>
      </c>
      <c r="J4924" s="7">
        <v>0</v>
      </c>
      <c r="K4924" s="89">
        <f t="shared" si="303"/>
        <v>510.8</v>
      </c>
      <c r="L4924" s="7">
        <v>510.8</v>
      </c>
      <c r="M4924" s="36">
        <f t="shared" si="304"/>
        <v>66.092404072043848</v>
      </c>
    </row>
    <row r="4925" spans="1:13" ht="15.75" hidden="1" customHeight="1" x14ac:dyDescent="0.3">
      <c r="A4925" s="9">
        <v>2162</v>
      </c>
      <c r="B4925" t="s">
        <v>271</v>
      </c>
      <c r="C4925" s="25">
        <v>44647</v>
      </c>
      <c r="D4925" s="26">
        <v>0.60021990740740738</v>
      </c>
      <c r="E4925" t="s">
        <v>26</v>
      </c>
      <c r="F4925" t="s">
        <v>165</v>
      </c>
      <c r="G4925" t="s">
        <v>185</v>
      </c>
      <c r="H4925" t="s">
        <v>131</v>
      </c>
      <c r="I4925">
        <v>299.81</v>
      </c>
      <c r="J4925" s="7">
        <v>0</v>
      </c>
      <c r="K4925" s="89">
        <f t="shared" si="303"/>
        <v>624.87</v>
      </c>
      <c r="L4925" s="7">
        <v>624.87</v>
      </c>
      <c r="M4925" s="36">
        <f t="shared" si="304"/>
        <v>47.979579752588535</v>
      </c>
    </row>
    <row r="4926" spans="1:13" ht="15.75" hidden="1" customHeight="1" x14ac:dyDescent="0.3">
      <c r="A4926" s="9">
        <v>2163</v>
      </c>
      <c r="B4926" t="s">
        <v>271</v>
      </c>
      <c r="C4926" s="25">
        <v>44648</v>
      </c>
      <c r="D4926" s="26">
        <v>4.3275462962962967E-2</v>
      </c>
      <c r="E4926" t="s">
        <v>26</v>
      </c>
      <c r="F4926" t="s">
        <v>166</v>
      </c>
      <c r="G4926" t="s">
        <v>161</v>
      </c>
      <c r="H4926" t="s">
        <v>131</v>
      </c>
      <c r="I4926">
        <v>185.15</v>
      </c>
      <c r="J4926" s="7">
        <v>0</v>
      </c>
      <c r="K4926" s="89">
        <f t="shared" si="303"/>
        <v>590.19000000000005</v>
      </c>
      <c r="L4926" s="32">
        <v>590.19000000000005</v>
      </c>
      <c r="M4926" s="36">
        <f t="shared" si="304"/>
        <v>31.37125332520036</v>
      </c>
    </row>
    <row r="4927" spans="1:13" ht="15.75" hidden="1" customHeight="1" x14ac:dyDescent="0.3">
      <c r="A4927" s="9">
        <v>2164</v>
      </c>
      <c r="B4927" t="s">
        <v>271</v>
      </c>
      <c r="C4927" s="25">
        <v>44650</v>
      </c>
      <c r="D4927" s="26">
        <v>0.50564814814814818</v>
      </c>
      <c r="E4927" t="s">
        <v>26</v>
      </c>
      <c r="F4927" t="s">
        <v>197</v>
      </c>
      <c r="G4927" t="s">
        <v>44</v>
      </c>
      <c r="H4927" t="s">
        <v>131</v>
      </c>
      <c r="I4927">
        <v>300</v>
      </c>
      <c r="J4927" s="7">
        <v>0</v>
      </c>
      <c r="K4927" s="89">
        <f t="shared" si="303"/>
        <v>1186.25</v>
      </c>
      <c r="L4927" s="31">
        <v>1186.25</v>
      </c>
      <c r="M4927" s="36">
        <f t="shared" si="304"/>
        <v>25.289778714436252</v>
      </c>
    </row>
    <row r="4928" spans="1:13" ht="15.75" hidden="1" customHeight="1" x14ac:dyDescent="0.3">
      <c r="A4928" s="9">
        <v>2165</v>
      </c>
      <c r="B4928" t="s">
        <v>271</v>
      </c>
      <c r="C4928" s="25">
        <v>44650</v>
      </c>
      <c r="D4928" s="26">
        <v>0.99695601851851856</v>
      </c>
      <c r="E4928" t="s">
        <v>26</v>
      </c>
      <c r="F4928" t="s">
        <v>166</v>
      </c>
      <c r="G4928" t="s">
        <v>161</v>
      </c>
      <c r="H4928" t="s">
        <v>131</v>
      </c>
      <c r="I4928">
        <v>427.41</v>
      </c>
      <c r="J4928" s="7">
        <v>0</v>
      </c>
      <c r="K4928" s="94">
        <f t="shared" si="303"/>
        <v>494.33</v>
      </c>
      <c r="L4928" s="7">
        <v>494.33</v>
      </c>
      <c r="M4928" s="36">
        <f t="shared" si="304"/>
        <v>86.462484575081433</v>
      </c>
    </row>
    <row r="4929" spans="1:13" ht="15.75" hidden="1" customHeight="1" x14ac:dyDescent="0.3">
      <c r="A4929" s="9">
        <v>2166</v>
      </c>
      <c r="B4929" t="s">
        <v>271</v>
      </c>
      <c r="C4929" s="25">
        <v>44651</v>
      </c>
      <c r="D4929" s="26">
        <v>0.68346064814814822</v>
      </c>
      <c r="E4929" t="s">
        <v>26</v>
      </c>
      <c r="F4929" t="s">
        <v>165</v>
      </c>
      <c r="G4929" t="s">
        <v>185</v>
      </c>
      <c r="H4929" t="s">
        <v>131</v>
      </c>
      <c r="I4929">
        <v>313.42</v>
      </c>
      <c r="J4929" s="7">
        <v>0</v>
      </c>
      <c r="K4929" s="90">
        <f t="shared" si="303"/>
        <v>645.89</v>
      </c>
      <c r="L4929" s="32">
        <v>645.89</v>
      </c>
      <c r="M4929" s="36">
        <f t="shared" si="304"/>
        <v>48.525290684172226</v>
      </c>
    </row>
    <row r="4930" spans="1:13" ht="15.75" hidden="1" customHeight="1" x14ac:dyDescent="0.3">
      <c r="A4930" s="9">
        <v>2994</v>
      </c>
      <c r="B4930" t="s">
        <v>271</v>
      </c>
      <c r="C4930" s="25">
        <v>44666</v>
      </c>
      <c r="D4930" s="26">
        <v>0.4418171296296296</v>
      </c>
      <c r="E4930" t="s">
        <v>27</v>
      </c>
      <c r="F4930" t="s">
        <v>175</v>
      </c>
      <c r="G4930" t="s">
        <v>172</v>
      </c>
      <c r="H4930" t="s">
        <v>522</v>
      </c>
      <c r="I4930" s="4">
        <v>468</v>
      </c>
      <c r="J4930" s="7">
        <v>0</v>
      </c>
      <c r="K4930" s="90">
        <f t="shared" si="303"/>
        <v>215.56</v>
      </c>
      <c r="L4930" s="32">
        <v>215.56</v>
      </c>
      <c r="M4930" s="36">
        <f t="shared" si="304"/>
        <v>217.10892558916314</v>
      </c>
    </row>
    <row r="4931" spans="1:13" ht="15.75" hidden="1" customHeight="1" x14ac:dyDescent="0.3">
      <c r="A4931" s="9">
        <v>2995</v>
      </c>
      <c r="B4931" t="s">
        <v>271</v>
      </c>
      <c r="C4931" s="25">
        <v>44667</v>
      </c>
      <c r="D4931" s="26">
        <v>0.51347222222222222</v>
      </c>
      <c r="E4931" t="s">
        <v>27</v>
      </c>
      <c r="F4931" t="s">
        <v>166</v>
      </c>
      <c r="G4931" t="s">
        <v>161</v>
      </c>
      <c r="H4931" t="s">
        <v>522</v>
      </c>
      <c r="I4931" s="4">
        <v>324.33999999999997</v>
      </c>
      <c r="J4931" s="7">
        <v>0</v>
      </c>
      <c r="K4931" s="90">
        <f t="shared" si="303"/>
        <v>755.27</v>
      </c>
      <c r="L4931" s="32">
        <v>755.27</v>
      </c>
      <c r="M4931" s="36">
        <f t="shared" si="304"/>
        <v>42.94358308949117</v>
      </c>
    </row>
    <row r="4932" spans="1:13" ht="15.75" hidden="1" customHeight="1" x14ac:dyDescent="0.3">
      <c r="A4932" s="9">
        <v>2996</v>
      </c>
      <c r="B4932" t="s">
        <v>271</v>
      </c>
      <c r="C4932" s="25">
        <v>44668</v>
      </c>
      <c r="D4932" s="26">
        <v>0.50063657407407403</v>
      </c>
      <c r="E4932" t="s">
        <v>27</v>
      </c>
      <c r="F4932" t="s">
        <v>165</v>
      </c>
      <c r="G4932" t="s">
        <v>185</v>
      </c>
      <c r="H4932" t="s">
        <v>522</v>
      </c>
      <c r="I4932" s="4">
        <v>275</v>
      </c>
      <c r="J4932" s="7">
        <v>0</v>
      </c>
      <c r="K4932" s="90">
        <f t="shared" si="303"/>
        <v>624.70000000000005</v>
      </c>
      <c r="L4932" s="32">
        <v>624.70000000000005</v>
      </c>
      <c r="M4932" s="36">
        <f t="shared" si="304"/>
        <v>44.021130142468387</v>
      </c>
    </row>
    <row r="4933" spans="1:13" ht="15.75" hidden="1" customHeight="1" x14ac:dyDescent="0.3">
      <c r="A4933" s="9">
        <v>2997</v>
      </c>
      <c r="B4933" t="s">
        <v>271</v>
      </c>
      <c r="C4933" s="25">
        <v>44669</v>
      </c>
      <c r="D4933" s="26">
        <v>0.7791435185185186</v>
      </c>
      <c r="E4933" t="s">
        <v>27</v>
      </c>
      <c r="F4933" t="s">
        <v>202</v>
      </c>
      <c r="G4933" t="s">
        <v>203</v>
      </c>
      <c r="H4933" t="s">
        <v>522</v>
      </c>
      <c r="I4933" s="4">
        <v>300</v>
      </c>
      <c r="J4933" s="7">
        <v>0</v>
      </c>
      <c r="K4933" s="90">
        <f t="shared" si="303"/>
        <v>1051.95</v>
      </c>
      <c r="L4933" s="32">
        <v>1051.95</v>
      </c>
      <c r="M4933" s="36">
        <f t="shared" si="304"/>
        <v>28.518465706544987</v>
      </c>
    </row>
    <row r="4934" spans="1:13" ht="15.75" hidden="1" customHeight="1" x14ac:dyDescent="0.3">
      <c r="A4934" s="9">
        <v>2998</v>
      </c>
      <c r="B4934" t="s">
        <v>271</v>
      </c>
      <c r="C4934" s="25">
        <v>44670</v>
      </c>
      <c r="D4934" s="26">
        <v>0.54443287037037036</v>
      </c>
      <c r="E4934" t="s">
        <v>27</v>
      </c>
      <c r="F4934" t="s">
        <v>165</v>
      </c>
      <c r="G4934" t="s">
        <v>185</v>
      </c>
      <c r="H4934" t="s">
        <v>522</v>
      </c>
      <c r="I4934" s="4">
        <v>281.54000000000002</v>
      </c>
      <c r="J4934" s="51">
        <v>0</v>
      </c>
      <c r="K4934" s="88">
        <f t="shared" si="303"/>
        <v>575.83000000000004</v>
      </c>
      <c r="L4934" s="52">
        <v>575.83000000000004</v>
      </c>
      <c r="M4934" s="10">
        <f t="shared" si="304"/>
        <v>48.892902419116751</v>
      </c>
    </row>
    <row r="4935" spans="1:13" ht="15.75" hidden="1" customHeight="1" x14ac:dyDescent="0.3">
      <c r="A4935" s="9">
        <v>2999</v>
      </c>
      <c r="B4935" t="s">
        <v>271</v>
      </c>
      <c r="C4935" s="25">
        <v>44670</v>
      </c>
      <c r="D4935" s="26">
        <v>0.96702546296296299</v>
      </c>
      <c r="E4935" t="s">
        <v>27</v>
      </c>
      <c r="F4935" t="s">
        <v>166</v>
      </c>
      <c r="G4935" t="s">
        <v>161</v>
      </c>
      <c r="H4935" t="s">
        <v>522</v>
      </c>
      <c r="I4935" s="4">
        <v>153.88999999999999</v>
      </c>
      <c r="J4935" s="7">
        <v>0</v>
      </c>
      <c r="K4935" s="88">
        <f t="shared" si="303"/>
        <v>590.63</v>
      </c>
      <c r="L4935" s="52">
        <v>590.63</v>
      </c>
      <c r="M4935" s="10">
        <f t="shared" si="304"/>
        <v>26.055229162081169</v>
      </c>
    </row>
    <row r="4936" spans="1:13" ht="15.75" hidden="1" customHeight="1" x14ac:dyDescent="0.3">
      <c r="A4936" s="9">
        <v>3000</v>
      </c>
      <c r="B4936" t="s">
        <v>271</v>
      </c>
      <c r="C4936" s="25">
        <v>44671</v>
      </c>
      <c r="D4936" s="26">
        <v>0.74956018518518519</v>
      </c>
      <c r="E4936" t="s">
        <v>27</v>
      </c>
      <c r="F4936" t="s">
        <v>428</v>
      </c>
      <c r="G4936" t="s">
        <v>429</v>
      </c>
      <c r="H4936" t="s">
        <v>522</v>
      </c>
      <c r="I4936" s="4">
        <v>326.37</v>
      </c>
      <c r="J4936" s="7">
        <v>0</v>
      </c>
      <c r="K4936" s="89">
        <f t="shared" si="303"/>
        <v>820.54</v>
      </c>
      <c r="L4936" s="32">
        <v>820.54</v>
      </c>
      <c r="M4936" s="36">
        <f t="shared" si="304"/>
        <v>39.775026202257052</v>
      </c>
    </row>
    <row r="4937" spans="1:13" ht="15.75" hidden="1" customHeight="1" x14ac:dyDescent="0.3">
      <c r="A4937" s="9">
        <v>3001</v>
      </c>
      <c r="B4937" t="s">
        <v>271</v>
      </c>
      <c r="C4937" s="25">
        <v>44672</v>
      </c>
      <c r="D4937" s="26">
        <v>0.80241898148148139</v>
      </c>
      <c r="E4937" t="s">
        <v>27</v>
      </c>
      <c r="F4937" t="s">
        <v>166</v>
      </c>
      <c r="G4937" t="s">
        <v>161</v>
      </c>
      <c r="H4937" t="s">
        <v>522</v>
      </c>
      <c r="I4937" s="4">
        <v>335.94</v>
      </c>
      <c r="J4937" s="7">
        <v>0</v>
      </c>
      <c r="K4937" s="89">
        <f t="shared" si="303"/>
        <v>781.97</v>
      </c>
      <c r="L4937" s="32">
        <v>781.97</v>
      </c>
      <c r="M4937" s="36">
        <f t="shared" si="304"/>
        <v>42.960727393634023</v>
      </c>
    </row>
    <row r="4938" spans="1:13" ht="15.75" hidden="1" customHeight="1" x14ac:dyDescent="0.3">
      <c r="A4938" s="9">
        <v>3002</v>
      </c>
      <c r="B4938" t="s">
        <v>271</v>
      </c>
      <c r="C4938" s="25">
        <v>44673</v>
      </c>
      <c r="D4938" s="26">
        <v>0.62560185185185191</v>
      </c>
      <c r="E4938" t="s">
        <v>27</v>
      </c>
      <c r="F4938" t="s">
        <v>165</v>
      </c>
      <c r="G4938" t="s">
        <v>185</v>
      </c>
      <c r="H4938" t="s">
        <v>522</v>
      </c>
      <c r="I4938" s="4">
        <v>304.73</v>
      </c>
      <c r="J4938" s="7">
        <v>0</v>
      </c>
      <c r="K4938" s="89">
        <f t="shared" si="303"/>
        <v>625.74</v>
      </c>
      <c r="L4938" s="32">
        <v>625.74</v>
      </c>
      <c r="M4938" s="36">
        <f t="shared" si="304"/>
        <v>48.699140217981913</v>
      </c>
    </row>
    <row r="4939" spans="1:13" ht="15.75" hidden="1" customHeight="1" x14ac:dyDescent="0.3">
      <c r="A4939" s="9">
        <v>3003</v>
      </c>
      <c r="B4939" t="s">
        <v>271</v>
      </c>
      <c r="C4939" s="25">
        <v>44673</v>
      </c>
      <c r="D4939" s="26">
        <v>0.96917824074074066</v>
      </c>
      <c r="E4939" t="s">
        <v>27</v>
      </c>
      <c r="F4939" t="s">
        <v>166</v>
      </c>
      <c r="G4939" t="s">
        <v>161</v>
      </c>
      <c r="H4939" t="s">
        <v>522</v>
      </c>
      <c r="I4939" s="4">
        <v>160.25</v>
      </c>
      <c r="J4939" s="7">
        <v>0</v>
      </c>
      <c r="K4939" s="89">
        <f t="shared" si="303"/>
        <v>590.55999999999995</v>
      </c>
      <c r="L4939" s="32">
        <v>590.55999999999995</v>
      </c>
      <c r="M4939" s="36">
        <f t="shared" si="304"/>
        <v>27.135261446762399</v>
      </c>
    </row>
    <row r="4940" spans="1:13" ht="15.75" hidden="1" customHeight="1" x14ac:dyDescent="0.3">
      <c r="A4940" s="9">
        <v>3004</v>
      </c>
      <c r="B4940" t="s">
        <v>271</v>
      </c>
      <c r="C4940" s="25">
        <v>44675</v>
      </c>
      <c r="D4940" s="26">
        <v>2.7384259259259257E-2</v>
      </c>
      <c r="E4940" t="s">
        <v>27</v>
      </c>
      <c r="F4940" t="s">
        <v>428</v>
      </c>
      <c r="G4940" t="s">
        <v>429</v>
      </c>
      <c r="H4940" t="s">
        <v>522</v>
      </c>
      <c r="I4940" s="4">
        <v>300</v>
      </c>
      <c r="J4940" s="7">
        <v>0</v>
      </c>
      <c r="K4940" s="89">
        <f t="shared" si="303"/>
        <v>819.13</v>
      </c>
      <c r="L4940" s="32">
        <v>819.13</v>
      </c>
      <c r="M4940" s="36">
        <f t="shared" si="304"/>
        <v>36.624223261265001</v>
      </c>
    </row>
    <row r="4941" spans="1:13" ht="15.75" hidden="1" customHeight="1" x14ac:dyDescent="0.3">
      <c r="A4941" s="9">
        <v>3005</v>
      </c>
      <c r="B4941" t="s">
        <v>271</v>
      </c>
      <c r="C4941" s="25">
        <v>44676</v>
      </c>
      <c r="D4941" s="26">
        <v>0.47599537037037037</v>
      </c>
      <c r="E4941" t="s">
        <v>27</v>
      </c>
      <c r="F4941" t="s">
        <v>171</v>
      </c>
      <c r="G4941" t="s">
        <v>172</v>
      </c>
      <c r="H4941" t="s">
        <v>522</v>
      </c>
      <c r="I4941">
        <v>141.63999999999999</v>
      </c>
      <c r="J4941" s="31">
        <v>0</v>
      </c>
      <c r="K4941" s="94">
        <f t="shared" si="303"/>
        <v>309.39</v>
      </c>
      <c r="L4941" s="34">
        <v>309.39</v>
      </c>
      <c r="M4941" s="36">
        <f t="shared" si="304"/>
        <v>45.780406606548368</v>
      </c>
    </row>
    <row r="4942" spans="1:13" ht="15.75" hidden="1" customHeight="1" x14ac:dyDescent="0.3">
      <c r="A4942" s="9">
        <v>3006</v>
      </c>
      <c r="B4942" t="s">
        <v>271</v>
      </c>
      <c r="C4942" s="25">
        <v>44676</v>
      </c>
      <c r="D4942" s="26">
        <v>0.9359143518518519</v>
      </c>
      <c r="E4942" t="s">
        <v>27</v>
      </c>
      <c r="F4942" t="s">
        <v>166</v>
      </c>
      <c r="G4942" t="s">
        <v>161</v>
      </c>
      <c r="H4942" t="s">
        <v>522</v>
      </c>
      <c r="I4942">
        <v>239.04</v>
      </c>
      <c r="J4942" s="7">
        <v>0</v>
      </c>
      <c r="K4942" s="89">
        <f t="shared" si="303"/>
        <v>616</v>
      </c>
      <c r="L4942" s="34">
        <v>616</v>
      </c>
      <c r="M4942" s="36">
        <f t="shared" si="304"/>
        <v>38.805194805194802</v>
      </c>
    </row>
    <row r="4943" spans="1:13" ht="15.75" hidden="1" customHeight="1" x14ac:dyDescent="0.3">
      <c r="A4943" s="9">
        <v>3007</v>
      </c>
      <c r="B4943" t="s">
        <v>271</v>
      </c>
      <c r="C4943" s="25">
        <v>44677</v>
      </c>
      <c r="D4943" s="26">
        <v>0.63839120370370372</v>
      </c>
      <c r="E4943" t="s">
        <v>27</v>
      </c>
      <c r="F4943" t="s">
        <v>165</v>
      </c>
      <c r="G4943" t="s">
        <v>185</v>
      </c>
      <c r="H4943" t="s">
        <v>522</v>
      </c>
      <c r="I4943">
        <v>294.31</v>
      </c>
      <c r="J4943" s="7">
        <v>0</v>
      </c>
      <c r="K4943" s="89">
        <f t="shared" si="303"/>
        <v>631.66</v>
      </c>
      <c r="L4943" s="7">
        <v>631.66</v>
      </c>
      <c r="M4943" s="36">
        <f t="shared" si="304"/>
        <v>46.593103885001433</v>
      </c>
    </row>
    <row r="4944" spans="1:13" ht="15.75" hidden="1" customHeight="1" x14ac:dyDescent="0.3">
      <c r="A4944" s="9">
        <v>3008</v>
      </c>
      <c r="B4944" t="s">
        <v>271</v>
      </c>
      <c r="C4944" s="25">
        <v>44678</v>
      </c>
      <c r="D4944" s="26">
        <v>0.79805555555555552</v>
      </c>
      <c r="E4944" t="s">
        <v>27</v>
      </c>
      <c r="F4944" t="s">
        <v>202</v>
      </c>
      <c r="G4944" t="s">
        <v>203</v>
      </c>
      <c r="H4944" t="s">
        <v>522</v>
      </c>
      <c r="I4944">
        <v>150</v>
      </c>
      <c r="J4944" s="76">
        <v>0</v>
      </c>
      <c r="K4944" s="94">
        <f t="shared" si="303"/>
        <v>1053.96</v>
      </c>
      <c r="L4944" s="7">
        <v>1053.96</v>
      </c>
      <c r="M4944" s="36">
        <f t="shared" si="304"/>
        <v>14.232039166571786</v>
      </c>
    </row>
    <row r="4945" spans="1:13" ht="15.75" hidden="1" customHeight="1" x14ac:dyDescent="0.3">
      <c r="A4945" s="9">
        <v>3009</v>
      </c>
      <c r="B4945" t="s">
        <v>271</v>
      </c>
      <c r="C4945" s="25">
        <v>44679</v>
      </c>
      <c r="D4945" s="26">
        <v>7.9687500000000008E-2</v>
      </c>
      <c r="E4945" t="s">
        <v>27</v>
      </c>
      <c r="F4945" t="s">
        <v>396</v>
      </c>
      <c r="G4945" t="s">
        <v>397</v>
      </c>
      <c r="H4945" t="s">
        <v>522</v>
      </c>
      <c r="I4945">
        <v>329.19</v>
      </c>
      <c r="J4945" s="76">
        <v>0</v>
      </c>
      <c r="K4945" s="94">
        <f t="shared" si="303"/>
        <v>351.87</v>
      </c>
      <c r="L4945" s="7">
        <v>351.87</v>
      </c>
      <c r="M4945" s="36">
        <f t="shared" si="304"/>
        <v>93.554437718475569</v>
      </c>
    </row>
    <row r="4946" spans="1:13" ht="15.75" hidden="1" customHeight="1" x14ac:dyDescent="0.3">
      <c r="A4946" s="9">
        <v>3421</v>
      </c>
      <c r="B4946" t="s">
        <v>271</v>
      </c>
      <c r="C4946" s="25">
        <v>44652</v>
      </c>
      <c r="D4946" s="26">
        <v>0.95706018518518521</v>
      </c>
      <c r="E4946" t="s">
        <v>27</v>
      </c>
      <c r="F4946" t="s">
        <v>202</v>
      </c>
      <c r="G4946" t="s">
        <v>203</v>
      </c>
      <c r="H4946" t="s">
        <v>131</v>
      </c>
      <c r="I4946" s="4">
        <v>300</v>
      </c>
      <c r="J4946" s="76">
        <v>0</v>
      </c>
      <c r="K4946" s="94">
        <f t="shared" si="303"/>
        <v>1049.98</v>
      </c>
      <c r="L4946" s="7">
        <v>1049.98</v>
      </c>
      <c r="M4946" s="36">
        <f t="shared" si="304"/>
        <v>28.571972799481891</v>
      </c>
    </row>
    <row r="4947" spans="1:13" ht="15.75" hidden="1" customHeight="1" x14ac:dyDescent="0.3">
      <c r="A4947" s="9">
        <v>3422</v>
      </c>
      <c r="B4947" t="s">
        <v>271</v>
      </c>
      <c r="C4947" s="25">
        <v>44653</v>
      </c>
      <c r="D4947" s="26">
        <v>0.86707175925925928</v>
      </c>
      <c r="E4947" t="s">
        <v>27</v>
      </c>
      <c r="F4947" t="s">
        <v>165</v>
      </c>
      <c r="G4947" t="s">
        <v>185</v>
      </c>
      <c r="H4947" t="s">
        <v>131</v>
      </c>
      <c r="I4947" s="4">
        <v>341</v>
      </c>
      <c r="J4947" s="76">
        <v>0</v>
      </c>
      <c r="K4947" s="96">
        <f t="shared" si="303"/>
        <v>574.9</v>
      </c>
      <c r="L4947" s="7">
        <v>574.9</v>
      </c>
      <c r="M4947" s="36">
        <f t="shared" si="304"/>
        <v>59.314663419725164</v>
      </c>
    </row>
    <row r="4948" spans="1:13" ht="15.75" hidden="1" customHeight="1" x14ac:dyDescent="0.3">
      <c r="A4948" s="9">
        <v>3423</v>
      </c>
      <c r="B4948" t="s">
        <v>271</v>
      </c>
      <c r="C4948" s="25">
        <v>44654</v>
      </c>
      <c r="D4948" s="26">
        <v>0.71545138888888893</v>
      </c>
      <c r="E4948" t="s">
        <v>27</v>
      </c>
      <c r="F4948" t="s">
        <v>166</v>
      </c>
      <c r="G4948" t="s">
        <v>161</v>
      </c>
      <c r="H4948" t="s">
        <v>131</v>
      </c>
      <c r="I4948" s="4">
        <v>186.82</v>
      </c>
      <c r="J4948" s="31">
        <v>0</v>
      </c>
      <c r="K4948" s="96">
        <f t="shared" si="303"/>
        <v>590.38</v>
      </c>
      <c r="L4948" s="34">
        <v>590.38</v>
      </c>
      <c r="M4948" s="36">
        <f t="shared" si="304"/>
        <v>31.644025881635557</v>
      </c>
    </row>
    <row r="4949" spans="1:13" ht="15.75" hidden="1" customHeight="1" x14ac:dyDescent="0.3">
      <c r="A4949" s="9">
        <v>3424</v>
      </c>
      <c r="B4949" t="s">
        <v>271</v>
      </c>
      <c r="C4949" s="25">
        <v>44655</v>
      </c>
      <c r="D4949" s="26">
        <v>0.86732638888888891</v>
      </c>
      <c r="E4949" t="s">
        <v>27</v>
      </c>
      <c r="F4949" t="s">
        <v>536</v>
      </c>
      <c r="G4949" t="s">
        <v>415</v>
      </c>
      <c r="H4949" t="s">
        <v>131</v>
      </c>
      <c r="I4949" s="4">
        <v>350.86</v>
      </c>
      <c r="J4949" s="33">
        <v>0</v>
      </c>
      <c r="K4949" s="96">
        <f t="shared" si="303"/>
        <v>854.74</v>
      </c>
      <c r="L4949" s="32">
        <v>854.74</v>
      </c>
      <c r="M4949" s="36">
        <f t="shared" si="304"/>
        <v>41.04873996770948</v>
      </c>
    </row>
    <row r="4950" spans="1:13" ht="15.75" hidden="1" customHeight="1" x14ac:dyDescent="0.3">
      <c r="A4950" s="9">
        <v>3425</v>
      </c>
      <c r="B4950" t="s">
        <v>271</v>
      </c>
      <c r="C4950" s="25">
        <v>44656</v>
      </c>
      <c r="D4950" s="26">
        <v>0.77947916666666661</v>
      </c>
      <c r="E4950" t="s">
        <v>27</v>
      </c>
      <c r="F4950" t="s">
        <v>166</v>
      </c>
      <c r="G4950" t="s">
        <v>161</v>
      </c>
      <c r="H4950" t="s">
        <v>131</v>
      </c>
      <c r="I4950" s="4">
        <v>390.08</v>
      </c>
      <c r="J4950" s="32">
        <v>0</v>
      </c>
      <c r="K4950" s="95">
        <f t="shared" si="303"/>
        <v>859.7</v>
      </c>
      <c r="L4950" s="32">
        <v>859.7</v>
      </c>
      <c r="M4950" s="36">
        <f t="shared" si="304"/>
        <v>45.373967663138295</v>
      </c>
    </row>
    <row r="4951" spans="1:13" ht="15.75" hidden="1" customHeight="1" x14ac:dyDescent="0.3">
      <c r="A4951" s="9">
        <v>3426</v>
      </c>
      <c r="B4951" t="s">
        <v>271</v>
      </c>
      <c r="C4951" s="25">
        <v>44657</v>
      </c>
      <c r="D4951" s="26">
        <v>0.58531250000000001</v>
      </c>
      <c r="E4951" t="s">
        <v>27</v>
      </c>
      <c r="F4951" t="s">
        <v>165</v>
      </c>
      <c r="G4951" t="s">
        <v>185</v>
      </c>
      <c r="H4951" t="s">
        <v>131</v>
      </c>
      <c r="I4951" s="4">
        <v>290.79000000000002</v>
      </c>
      <c r="J4951" s="32">
        <v>0</v>
      </c>
      <c r="K4951" s="95">
        <f t="shared" si="303"/>
        <v>631.84</v>
      </c>
      <c r="L4951" s="32">
        <v>631.84</v>
      </c>
      <c r="M4951" s="36">
        <f t="shared" si="304"/>
        <v>46.022727272727273</v>
      </c>
    </row>
    <row r="4952" spans="1:13" ht="15.75" hidden="1" customHeight="1" x14ac:dyDescent="0.3">
      <c r="A4952" s="9">
        <v>3427</v>
      </c>
      <c r="B4952" t="s">
        <v>271</v>
      </c>
      <c r="C4952" s="25">
        <v>44658</v>
      </c>
      <c r="D4952" s="26">
        <v>0.67020833333333341</v>
      </c>
      <c r="E4952" t="s">
        <v>27</v>
      </c>
      <c r="F4952" t="s">
        <v>202</v>
      </c>
      <c r="G4952" t="s">
        <v>203</v>
      </c>
      <c r="H4952" t="s">
        <v>131</v>
      </c>
      <c r="I4952" s="4">
        <f>150+150</f>
        <v>300</v>
      </c>
      <c r="J4952" s="32">
        <v>0</v>
      </c>
      <c r="K4952" s="89">
        <f t="shared" ref="K4952:K4954" si="305">+L4952-J4952</f>
        <v>1050.18</v>
      </c>
      <c r="L4952" s="33">
        <v>1050.18</v>
      </c>
      <c r="M4952" s="36">
        <f t="shared" ref="M4952:M4983" si="306">I4952/K4952*100</f>
        <v>28.566531451751125</v>
      </c>
    </row>
    <row r="4953" spans="1:13" ht="15.75" hidden="1" customHeight="1" x14ac:dyDescent="0.3">
      <c r="A4953" s="9">
        <v>3428</v>
      </c>
      <c r="B4953" t="s">
        <v>271</v>
      </c>
      <c r="C4953" s="25">
        <v>44659</v>
      </c>
      <c r="D4953" s="26">
        <v>0.7052546296296297</v>
      </c>
      <c r="E4953" t="s">
        <v>27</v>
      </c>
      <c r="F4953" t="s">
        <v>278</v>
      </c>
      <c r="G4953" t="s">
        <v>279</v>
      </c>
      <c r="H4953" t="s">
        <v>131</v>
      </c>
      <c r="I4953" s="4">
        <v>100</v>
      </c>
      <c r="J4953" s="32">
        <v>0</v>
      </c>
      <c r="K4953" s="89">
        <f t="shared" si="305"/>
        <v>741.74</v>
      </c>
      <c r="L4953" s="32">
        <v>741.74</v>
      </c>
      <c r="M4953" s="36">
        <f t="shared" si="306"/>
        <v>13.481813034216842</v>
      </c>
    </row>
    <row r="4954" spans="1:13" ht="25.5" hidden="1" customHeight="1" x14ac:dyDescent="0.3">
      <c r="A4954" s="9">
        <v>3429</v>
      </c>
      <c r="B4954" t="s">
        <v>271</v>
      </c>
      <c r="C4954" s="25">
        <v>44660</v>
      </c>
      <c r="D4954" s="26">
        <v>8.9340277777777768E-2</v>
      </c>
      <c r="E4954" t="s">
        <v>27</v>
      </c>
      <c r="F4954" t="s">
        <v>166</v>
      </c>
      <c r="G4954" t="s">
        <v>161</v>
      </c>
      <c r="H4954" t="s">
        <v>131</v>
      </c>
      <c r="I4954" s="4">
        <v>405.35</v>
      </c>
      <c r="J4954" s="32">
        <v>0</v>
      </c>
      <c r="K4954" s="90">
        <f t="shared" si="305"/>
        <v>527.6</v>
      </c>
      <c r="L4954" s="67">
        <v>527.6</v>
      </c>
      <c r="M4954" s="36">
        <f t="shared" si="306"/>
        <v>76.829037149355571</v>
      </c>
    </row>
    <row r="4955" spans="1:13" ht="22.5" hidden="1" customHeight="1" x14ac:dyDescent="0.3">
      <c r="A4955" s="9">
        <v>3711</v>
      </c>
      <c r="B4955" t="s">
        <v>271</v>
      </c>
      <c r="C4955" s="25">
        <v>44683</v>
      </c>
      <c r="D4955" s="26">
        <v>0.16368055555555555</v>
      </c>
      <c r="E4955" t="s">
        <v>28</v>
      </c>
      <c r="F4955" t="s">
        <v>166</v>
      </c>
      <c r="G4955" t="s">
        <v>161</v>
      </c>
      <c r="H4955" t="s">
        <v>522</v>
      </c>
      <c r="I4955">
        <v>356.31</v>
      </c>
      <c r="J4955" s="7">
        <v>0</v>
      </c>
      <c r="K4955" s="90">
        <f>+L4955-J5089</f>
        <v>426</v>
      </c>
      <c r="L4955" s="52">
        <v>426</v>
      </c>
      <c r="M4955" s="10">
        <f t="shared" si="306"/>
        <v>83.640845070422529</v>
      </c>
    </row>
    <row r="4956" spans="1:13" ht="15.75" hidden="1" customHeight="1" x14ac:dyDescent="0.3">
      <c r="A4956" s="9">
        <v>3816</v>
      </c>
      <c r="B4956" t="s">
        <v>271</v>
      </c>
      <c r="C4956" s="25">
        <v>44685</v>
      </c>
      <c r="D4956" s="26">
        <v>0.74976851851851845</v>
      </c>
      <c r="E4956" t="s">
        <v>28</v>
      </c>
      <c r="F4956" t="s">
        <v>166</v>
      </c>
      <c r="G4956" t="s">
        <v>161</v>
      </c>
      <c r="H4956" t="s">
        <v>522</v>
      </c>
      <c r="I4956">
        <v>86.72</v>
      </c>
      <c r="J4956" s="7">
        <v>0</v>
      </c>
      <c r="K4956" s="90">
        <f>+L4956-J5088</f>
        <v>172</v>
      </c>
      <c r="L4956" s="53">
        <v>172</v>
      </c>
      <c r="M4956" s="36">
        <f t="shared" si="306"/>
        <v>50.418604651162788</v>
      </c>
    </row>
    <row r="4957" spans="1:13" ht="15.75" hidden="1" customHeight="1" x14ac:dyDescent="0.3">
      <c r="A4957" s="9">
        <v>3823</v>
      </c>
      <c r="B4957" t="s">
        <v>271</v>
      </c>
      <c r="C4957" s="25">
        <v>44685</v>
      </c>
      <c r="D4957" s="26">
        <v>0.63375000000000004</v>
      </c>
      <c r="E4957" t="s">
        <v>28</v>
      </c>
      <c r="F4957" t="s">
        <v>488</v>
      </c>
      <c r="G4957" t="s">
        <v>489</v>
      </c>
      <c r="H4957" t="s">
        <v>522</v>
      </c>
      <c r="I4957">
        <v>344.43</v>
      </c>
      <c r="J4957" s="7">
        <v>0</v>
      </c>
      <c r="K4957" s="90">
        <f>+L4957-J5089</f>
        <v>1464</v>
      </c>
      <c r="L4957" s="53">
        <v>1464</v>
      </c>
      <c r="M4957" s="36">
        <f t="shared" si="306"/>
        <v>23.526639344262296</v>
      </c>
    </row>
    <row r="4958" spans="1:13" ht="15.75" hidden="1" customHeight="1" x14ac:dyDescent="0.3">
      <c r="A4958" s="9">
        <v>3882</v>
      </c>
      <c r="B4958" t="s">
        <v>271</v>
      </c>
      <c r="C4958" s="25">
        <v>44686</v>
      </c>
      <c r="D4958" s="26">
        <v>0.33771990740740737</v>
      </c>
      <c r="E4958" t="s">
        <v>28</v>
      </c>
      <c r="F4958" t="s">
        <v>165</v>
      </c>
      <c r="G4958" t="s">
        <v>185</v>
      </c>
      <c r="H4958" t="s">
        <v>522</v>
      </c>
      <c r="I4958">
        <v>300.06</v>
      </c>
      <c r="J4958" s="7">
        <v>0</v>
      </c>
      <c r="K4958" s="90">
        <f>+L4958-J5090</f>
        <v>631</v>
      </c>
      <c r="L4958" s="53">
        <v>631</v>
      </c>
      <c r="M4958" s="36">
        <f t="shared" si="306"/>
        <v>47.55309033280507</v>
      </c>
    </row>
    <row r="4959" spans="1:13" ht="15.75" hidden="1" customHeight="1" x14ac:dyDescent="0.3">
      <c r="A4959" s="9">
        <v>3938</v>
      </c>
      <c r="B4959" t="s">
        <v>271</v>
      </c>
      <c r="C4959" s="25">
        <v>44687</v>
      </c>
      <c r="D4959" s="26">
        <v>0.10451388888888889</v>
      </c>
      <c r="E4959" t="s">
        <v>28</v>
      </c>
      <c r="F4959" t="s">
        <v>166</v>
      </c>
      <c r="G4959" t="s">
        <v>161</v>
      </c>
      <c r="H4959" t="s">
        <v>522</v>
      </c>
      <c r="I4959">
        <v>212.13</v>
      </c>
      <c r="J4959" s="7">
        <v>0</v>
      </c>
      <c r="K4959" s="94">
        <f>+L4959-J5090</f>
        <v>628</v>
      </c>
      <c r="L4959" s="37">
        <v>628</v>
      </c>
      <c r="M4959" s="36">
        <f t="shared" si="306"/>
        <v>33.778662420382169</v>
      </c>
    </row>
    <row r="4960" spans="1:13" ht="15.75" hidden="1" customHeight="1" x14ac:dyDescent="0.3">
      <c r="A4960" s="9">
        <v>3985</v>
      </c>
      <c r="B4960" t="s">
        <v>271</v>
      </c>
      <c r="C4960" s="25">
        <v>44688</v>
      </c>
      <c r="D4960" s="26">
        <v>0.38248842592592597</v>
      </c>
      <c r="E4960" t="s">
        <v>28</v>
      </c>
      <c r="F4960" t="s">
        <v>428</v>
      </c>
      <c r="G4960" t="s">
        <v>429</v>
      </c>
      <c r="H4960" t="s">
        <v>522</v>
      </c>
      <c r="I4960">
        <v>296</v>
      </c>
      <c r="J4960" s="7">
        <v>0</v>
      </c>
      <c r="K4960" s="94">
        <f>+L4960-J5091</f>
        <v>821</v>
      </c>
      <c r="L4960" s="32">
        <v>821</v>
      </c>
      <c r="M4960" s="36">
        <f t="shared" si="306"/>
        <v>36.053593179049933</v>
      </c>
    </row>
    <row r="4961" spans="1:13" ht="15.75" hidden="1" customHeight="1" x14ac:dyDescent="0.3">
      <c r="A4961" s="9">
        <v>4030</v>
      </c>
      <c r="B4961" t="s">
        <v>271</v>
      </c>
      <c r="C4961" s="25">
        <v>44689</v>
      </c>
      <c r="D4961" s="26">
        <v>0.99689814814814814</v>
      </c>
      <c r="E4961" t="s">
        <v>28</v>
      </c>
      <c r="F4961" t="s">
        <v>165</v>
      </c>
      <c r="G4961" t="s">
        <v>185</v>
      </c>
      <c r="H4961" t="s">
        <v>522</v>
      </c>
      <c r="I4961">
        <v>309.20999999999998</v>
      </c>
      <c r="J4961" s="7">
        <v>0</v>
      </c>
      <c r="K4961" s="89">
        <f>+L4961-J5092</f>
        <v>624</v>
      </c>
      <c r="L4961" s="32">
        <v>624</v>
      </c>
      <c r="M4961" s="36">
        <f t="shared" si="306"/>
        <v>49.552884615384613</v>
      </c>
    </row>
    <row r="4962" spans="1:13" ht="15.75" hidden="1" customHeight="1" x14ac:dyDescent="0.3">
      <c r="A4962" s="9">
        <v>4040</v>
      </c>
      <c r="B4962" t="s">
        <v>271</v>
      </c>
      <c r="C4962" s="25">
        <v>44689</v>
      </c>
      <c r="D4962" s="26">
        <v>9.1550925925925931E-3</v>
      </c>
      <c r="E4962" t="s">
        <v>28</v>
      </c>
      <c r="F4962" t="s">
        <v>166</v>
      </c>
      <c r="G4962" t="s">
        <v>161</v>
      </c>
      <c r="H4962" t="s">
        <v>522</v>
      </c>
      <c r="I4962">
        <v>751</v>
      </c>
      <c r="J4962" s="7">
        <v>0</v>
      </c>
      <c r="K4962" s="89">
        <f>+L4962-J5093</f>
        <v>751</v>
      </c>
      <c r="L4962" s="32">
        <v>751</v>
      </c>
      <c r="M4962" s="36">
        <f t="shared" si="306"/>
        <v>100</v>
      </c>
    </row>
    <row r="4963" spans="1:13" ht="15.75" hidden="1" customHeight="1" x14ac:dyDescent="0.3">
      <c r="A4963" s="9">
        <v>4121</v>
      </c>
      <c r="B4963" t="s">
        <v>271</v>
      </c>
      <c r="C4963" s="25">
        <v>44691</v>
      </c>
      <c r="D4963" s="26">
        <v>0.68145833333333339</v>
      </c>
      <c r="E4963" t="s">
        <v>28</v>
      </c>
      <c r="F4963" t="s">
        <v>202</v>
      </c>
      <c r="G4963" t="s">
        <v>203</v>
      </c>
      <c r="H4963" t="s">
        <v>522</v>
      </c>
      <c r="I4963">
        <f>100+100</f>
        <v>200</v>
      </c>
      <c r="J4963" s="7">
        <v>0</v>
      </c>
      <c r="K4963" s="89">
        <f>+L4963-J5095</f>
        <v>1061</v>
      </c>
      <c r="L4963" s="32">
        <v>1061</v>
      </c>
      <c r="M4963" s="36">
        <f t="shared" si="306"/>
        <v>18.850141376060321</v>
      </c>
    </row>
    <row r="4964" spans="1:13" ht="15.75" hidden="1" customHeight="1" x14ac:dyDescent="0.3">
      <c r="A4964" s="9">
        <v>4171</v>
      </c>
      <c r="B4964" t="s">
        <v>271</v>
      </c>
      <c r="C4964" s="25">
        <v>44692</v>
      </c>
      <c r="D4964" s="26">
        <v>0.4481134259259259</v>
      </c>
      <c r="E4964" t="s">
        <v>28</v>
      </c>
      <c r="F4964" t="s">
        <v>165</v>
      </c>
      <c r="G4964" t="s">
        <v>185</v>
      </c>
      <c r="H4964" t="s">
        <v>522</v>
      </c>
      <c r="I4964">
        <v>383</v>
      </c>
      <c r="J4964" s="7">
        <v>0</v>
      </c>
      <c r="K4964" s="94">
        <f>+L4964-J5097</f>
        <v>576</v>
      </c>
      <c r="L4964" s="32">
        <v>576</v>
      </c>
      <c r="M4964" s="36">
        <f t="shared" si="306"/>
        <v>66.493055555555557</v>
      </c>
    </row>
    <row r="4965" spans="1:13" ht="15.75" hidden="1" customHeight="1" x14ac:dyDescent="0.3">
      <c r="A4965" s="9">
        <v>4246</v>
      </c>
      <c r="B4965" t="s">
        <v>271</v>
      </c>
      <c r="C4965" s="25">
        <v>44693</v>
      </c>
      <c r="D4965" s="26">
        <v>0.38421296296296298</v>
      </c>
      <c r="E4965" t="s">
        <v>28</v>
      </c>
      <c r="F4965" t="s">
        <v>166</v>
      </c>
      <c r="G4965" t="s">
        <v>161</v>
      </c>
      <c r="H4965" t="s">
        <v>522</v>
      </c>
      <c r="I4965">
        <v>251.86</v>
      </c>
      <c r="J4965" s="7">
        <v>0</v>
      </c>
      <c r="K4965" s="94">
        <f>+L4965-J5098</f>
        <v>629</v>
      </c>
      <c r="L4965" s="32">
        <v>629</v>
      </c>
      <c r="M4965" s="36">
        <f t="shared" si="306"/>
        <v>40.04133545310016</v>
      </c>
    </row>
    <row r="4966" spans="1:13" ht="15.75" hidden="1" customHeight="1" x14ac:dyDescent="0.3">
      <c r="A4966" s="9">
        <v>4278</v>
      </c>
      <c r="B4966" t="s">
        <v>271</v>
      </c>
      <c r="C4966" s="25">
        <v>44694</v>
      </c>
      <c r="D4966" s="26">
        <v>0.46903935185185186</v>
      </c>
      <c r="E4966" t="s">
        <v>28</v>
      </c>
      <c r="F4966" t="s">
        <v>536</v>
      </c>
      <c r="G4966" t="s">
        <v>415</v>
      </c>
      <c r="H4966" t="s">
        <v>522</v>
      </c>
      <c r="I4966">
        <v>340.01</v>
      </c>
      <c r="J4966" s="7">
        <v>0</v>
      </c>
      <c r="K4966" s="94">
        <f t="shared" ref="K4966:K4971" si="307">+L4966-J5238</f>
        <v>832</v>
      </c>
      <c r="L4966" s="38">
        <v>832</v>
      </c>
      <c r="M4966" s="10">
        <f t="shared" si="306"/>
        <v>40.866586538461533</v>
      </c>
    </row>
    <row r="4967" spans="1:13" ht="15.75" hidden="1" customHeight="1" x14ac:dyDescent="0.3">
      <c r="A4967" s="9">
        <v>4314</v>
      </c>
      <c r="B4967" t="s">
        <v>271</v>
      </c>
      <c r="C4967" s="25">
        <v>44695</v>
      </c>
      <c r="D4967" s="26">
        <v>0.6607291666666667</v>
      </c>
      <c r="E4967" t="s">
        <v>28</v>
      </c>
      <c r="F4967" t="s">
        <v>166</v>
      </c>
      <c r="G4967" t="s">
        <v>161</v>
      </c>
      <c r="H4967" t="s">
        <v>522</v>
      </c>
      <c r="I4967">
        <v>150</v>
      </c>
      <c r="J4967" s="7">
        <v>0</v>
      </c>
      <c r="K4967" s="94">
        <f t="shared" si="307"/>
        <v>512</v>
      </c>
      <c r="L4967" s="32">
        <v>512</v>
      </c>
      <c r="M4967" s="36">
        <f t="shared" si="306"/>
        <v>29.296875</v>
      </c>
    </row>
    <row r="4968" spans="1:13" ht="15.75" hidden="1" customHeight="1" x14ac:dyDescent="0.3">
      <c r="A4968" s="9">
        <v>4327</v>
      </c>
      <c r="B4968" t="s">
        <v>271</v>
      </c>
      <c r="C4968" s="25">
        <v>44695</v>
      </c>
      <c r="D4968" s="26">
        <v>0.12268518518518519</v>
      </c>
      <c r="E4968" t="s">
        <v>28</v>
      </c>
      <c r="F4968" t="s">
        <v>197</v>
      </c>
      <c r="G4968" t="s">
        <v>44</v>
      </c>
      <c r="H4968" t="s">
        <v>522</v>
      </c>
      <c r="I4968">
        <v>100.77</v>
      </c>
      <c r="J4968" s="7">
        <v>0</v>
      </c>
      <c r="K4968" s="94">
        <f t="shared" si="307"/>
        <v>383</v>
      </c>
      <c r="L4968" s="32">
        <v>383</v>
      </c>
      <c r="M4968" s="36">
        <f t="shared" si="306"/>
        <v>26.310704960835508</v>
      </c>
    </row>
    <row r="4969" spans="1:13" ht="15.75" hidden="1" customHeight="1" x14ac:dyDescent="0.3">
      <c r="A4969" s="9">
        <v>4388</v>
      </c>
      <c r="B4969" t="s">
        <v>271</v>
      </c>
      <c r="C4969" s="25">
        <v>44696</v>
      </c>
      <c r="D4969" s="26">
        <v>1.8900462962962963E-2</v>
      </c>
      <c r="E4969" t="s">
        <v>28</v>
      </c>
      <c r="F4969" t="s">
        <v>278</v>
      </c>
      <c r="G4969" t="s">
        <v>279</v>
      </c>
      <c r="H4969" t="s">
        <v>522</v>
      </c>
      <c r="I4969">
        <v>297.60000000000002</v>
      </c>
      <c r="J4969" s="11">
        <v>0</v>
      </c>
      <c r="K4969" s="94">
        <f t="shared" si="307"/>
        <v>426</v>
      </c>
      <c r="L4969" s="37">
        <v>426</v>
      </c>
      <c r="M4969" s="36">
        <f t="shared" si="306"/>
        <v>69.859154929577471</v>
      </c>
    </row>
    <row r="4970" spans="1:13" ht="15.75" hidden="1" customHeight="1" x14ac:dyDescent="0.3">
      <c r="A4970" s="9">
        <v>4389</v>
      </c>
      <c r="B4970" t="s">
        <v>271</v>
      </c>
      <c r="C4970" s="25">
        <v>44696</v>
      </c>
      <c r="D4970" s="26">
        <v>0.91896990740740747</v>
      </c>
      <c r="E4970" t="s">
        <v>28</v>
      </c>
      <c r="F4970" t="s">
        <v>210</v>
      </c>
      <c r="G4970" t="s">
        <v>211</v>
      </c>
      <c r="H4970" t="s">
        <v>522</v>
      </c>
      <c r="I4970">
        <v>225.95</v>
      </c>
      <c r="J4970" s="11">
        <v>0</v>
      </c>
      <c r="K4970" s="94">
        <f t="shared" si="307"/>
        <v>713</v>
      </c>
      <c r="L4970" s="33">
        <v>713</v>
      </c>
      <c r="M4970" s="36">
        <f t="shared" si="306"/>
        <v>31.690042075736326</v>
      </c>
    </row>
    <row r="4971" spans="1:13" ht="15.75" hidden="1" customHeight="1" x14ac:dyDescent="0.3">
      <c r="A4971" s="9">
        <v>4457</v>
      </c>
      <c r="B4971" t="s">
        <v>271</v>
      </c>
      <c r="C4971" s="25">
        <v>44697</v>
      </c>
      <c r="D4971" s="26">
        <v>0.70157407407407402</v>
      </c>
      <c r="E4971" t="s">
        <v>28</v>
      </c>
      <c r="F4971" t="s">
        <v>428</v>
      </c>
      <c r="G4971" t="s">
        <v>429</v>
      </c>
      <c r="H4971" t="s">
        <v>522</v>
      </c>
      <c r="I4971">
        <v>200</v>
      </c>
      <c r="J4971" s="11">
        <v>0</v>
      </c>
      <c r="K4971" s="94">
        <f t="shared" si="307"/>
        <v>-918308</v>
      </c>
      <c r="L4971" s="32">
        <v>932</v>
      </c>
      <c r="M4971" s="36">
        <f t="shared" si="306"/>
        <v>-2.1779185197123404E-2</v>
      </c>
    </row>
    <row r="4972" spans="1:13" ht="15.75" hidden="1" customHeight="1" x14ac:dyDescent="0.3">
      <c r="A4972" s="9">
        <v>4458</v>
      </c>
      <c r="B4972" t="s">
        <v>271</v>
      </c>
      <c r="C4972" s="25">
        <v>44697</v>
      </c>
      <c r="D4972" s="26">
        <v>0.9565393518518519</v>
      </c>
      <c r="E4972" t="s">
        <v>28</v>
      </c>
      <c r="F4972" t="s">
        <v>512</v>
      </c>
      <c r="G4972" t="s">
        <v>513</v>
      </c>
      <c r="H4972" t="s">
        <v>522</v>
      </c>
      <c r="I4972">
        <v>261.98</v>
      </c>
      <c r="J4972" s="11">
        <v>0</v>
      </c>
      <c r="K4972" s="94">
        <f>+L4972-J5245</f>
        <v>-920623</v>
      </c>
      <c r="L4972" s="32">
        <v>244</v>
      </c>
      <c r="M4972" s="36">
        <f t="shared" si="306"/>
        <v>-2.845681674257541E-2</v>
      </c>
    </row>
    <row r="4973" spans="1:13" ht="15.75" hidden="1" customHeight="1" x14ac:dyDescent="0.3">
      <c r="A4973" s="9">
        <v>4504</v>
      </c>
      <c r="B4973" t="s">
        <v>271</v>
      </c>
      <c r="C4973" s="25">
        <v>44698</v>
      </c>
      <c r="D4973" s="26">
        <v>0.75137731481481485</v>
      </c>
      <c r="E4973" t="s">
        <v>28</v>
      </c>
      <c r="F4973" t="s">
        <v>166</v>
      </c>
      <c r="G4973" t="s">
        <v>161</v>
      </c>
      <c r="H4973" t="s">
        <v>522</v>
      </c>
      <c r="I4973">
        <v>230.61</v>
      </c>
      <c r="J4973" s="11">
        <v>0</v>
      </c>
      <c r="K4973" s="94">
        <f>+L4973-J5245</f>
        <v>-920359</v>
      </c>
      <c r="L4973" s="32">
        <v>508</v>
      </c>
      <c r="M4973" s="36">
        <f t="shared" si="306"/>
        <v>-2.505652685528147E-2</v>
      </c>
    </row>
    <row r="4974" spans="1:13" ht="15.75" hidden="1" customHeight="1" x14ac:dyDescent="0.3">
      <c r="A4974" s="9">
        <v>4557</v>
      </c>
      <c r="B4974" t="s">
        <v>271</v>
      </c>
      <c r="C4974" s="25">
        <v>44699</v>
      </c>
      <c r="D4974" s="26">
        <v>0.4461458333333333</v>
      </c>
      <c r="E4974" t="s">
        <v>28</v>
      </c>
      <c r="F4974" t="s">
        <v>396</v>
      </c>
      <c r="G4974" t="s">
        <v>397</v>
      </c>
      <c r="H4974" t="s">
        <v>522</v>
      </c>
      <c r="I4974">
        <v>333.43</v>
      </c>
      <c r="J4974" s="11">
        <v>0</v>
      </c>
      <c r="K4974" s="94">
        <f>+L4974-J5246</f>
        <v>-921136</v>
      </c>
      <c r="L4974" s="32">
        <v>820</v>
      </c>
      <c r="M4974" s="36">
        <f t="shared" si="306"/>
        <v>-3.619769502006219E-2</v>
      </c>
    </row>
    <row r="4975" spans="1:13" ht="15.75" hidden="1" customHeight="1" x14ac:dyDescent="0.3">
      <c r="A4975" s="9">
        <v>4558</v>
      </c>
      <c r="B4975" t="s">
        <v>271</v>
      </c>
      <c r="C4975" s="25">
        <v>44699</v>
      </c>
      <c r="D4975" s="26">
        <v>0.86135416666666664</v>
      </c>
      <c r="E4975" t="s">
        <v>28</v>
      </c>
      <c r="F4975" t="s">
        <v>346</v>
      </c>
      <c r="G4975" t="s">
        <v>203</v>
      </c>
      <c r="H4975" t="s">
        <v>522</v>
      </c>
      <c r="I4975">
        <v>110.52</v>
      </c>
      <c r="J4975" s="7">
        <v>0</v>
      </c>
      <c r="K4975" s="94">
        <f>+L4975-J5247</f>
        <v>-922609</v>
      </c>
      <c r="L4975" s="37">
        <v>349</v>
      </c>
      <c r="M4975" s="36">
        <f t="shared" si="306"/>
        <v>-1.1979072391446431E-2</v>
      </c>
    </row>
    <row r="4976" spans="1:13" ht="15.75" hidden="1" customHeight="1" x14ac:dyDescent="0.3">
      <c r="A4976" s="9">
        <v>4618</v>
      </c>
      <c r="B4976" t="s">
        <v>271</v>
      </c>
      <c r="C4976" s="25">
        <v>44700</v>
      </c>
      <c r="D4976" s="26">
        <v>0.59239583333333334</v>
      </c>
      <c r="E4976" t="s">
        <v>28</v>
      </c>
      <c r="F4976" t="s">
        <v>202</v>
      </c>
      <c r="G4976" t="s">
        <v>203</v>
      </c>
      <c r="H4976" t="s">
        <v>522</v>
      </c>
      <c r="I4976">
        <v>179</v>
      </c>
      <c r="J4976" s="7">
        <v>0</v>
      </c>
      <c r="K4976" s="94">
        <f>+L4976-J5246</f>
        <v>-921443</v>
      </c>
      <c r="L4976" s="32">
        <v>513</v>
      </c>
      <c r="M4976" s="36">
        <f t="shared" si="306"/>
        <v>-1.9426052398249266E-2</v>
      </c>
    </row>
    <row r="4977" spans="1:13" ht="15.75" hidden="1" customHeight="1" x14ac:dyDescent="0.3">
      <c r="A4977" s="9">
        <v>4664</v>
      </c>
      <c r="B4977" t="s">
        <v>271</v>
      </c>
      <c r="C4977" s="25">
        <v>44701</v>
      </c>
      <c r="D4977" s="26">
        <v>0.54667824074074078</v>
      </c>
      <c r="E4977" t="s">
        <v>28</v>
      </c>
      <c r="F4977" t="s">
        <v>278</v>
      </c>
      <c r="G4977" t="s">
        <v>279</v>
      </c>
      <c r="H4977" t="s">
        <v>522</v>
      </c>
      <c r="I4977">
        <v>278.89</v>
      </c>
      <c r="J4977" s="7">
        <v>0</v>
      </c>
      <c r="K4977" s="94">
        <f>+L4977-J5247</f>
        <v>-922219</v>
      </c>
      <c r="L4977" s="32">
        <v>739</v>
      </c>
      <c r="M4977" s="36">
        <f t="shared" si="306"/>
        <v>-3.0241189999338551E-2</v>
      </c>
    </row>
    <row r="4978" spans="1:13" ht="15.75" hidden="1" customHeight="1" x14ac:dyDescent="0.3">
      <c r="A4978" s="9">
        <v>4665</v>
      </c>
      <c r="B4978" t="s">
        <v>271</v>
      </c>
      <c r="C4978" s="25">
        <v>44701</v>
      </c>
      <c r="D4978" s="26">
        <v>0.78203703703703698</v>
      </c>
      <c r="E4978" t="s">
        <v>28</v>
      </c>
      <c r="F4978" t="s">
        <v>210</v>
      </c>
      <c r="G4978" t="s">
        <v>211</v>
      </c>
      <c r="H4978" t="s">
        <v>522</v>
      </c>
      <c r="I4978">
        <v>74.819999999999993</v>
      </c>
      <c r="J4978" s="7">
        <v>0</v>
      </c>
      <c r="K4978" s="94">
        <f>+L4978-J5248</f>
        <v>350</v>
      </c>
      <c r="L4978" s="32">
        <v>350</v>
      </c>
      <c r="M4978" s="36">
        <f t="shared" si="306"/>
        <v>21.377142857142857</v>
      </c>
    </row>
    <row r="4979" spans="1:13" ht="15.75" hidden="1" customHeight="1" x14ac:dyDescent="0.3">
      <c r="A4979" s="9">
        <v>4728</v>
      </c>
      <c r="B4979" t="s">
        <v>271</v>
      </c>
      <c r="C4979" s="25">
        <v>44702</v>
      </c>
      <c r="D4979" s="26">
        <v>0.60840277777777774</v>
      </c>
      <c r="E4979" t="s">
        <v>28</v>
      </c>
      <c r="F4979" t="s">
        <v>175</v>
      </c>
      <c r="G4979" t="s">
        <v>172</v>
      </c>
      <c r="H4979" t="s">
        <v>522</v>
      </c>
      <c r="I4979">
        <v>311.37</v>
      </c>
      <c r="J4979" s="7">
        <v>0</v>
      </c>
      <c r="K4979" s="94">
        <f>+L4979-J5239</f>
        <v>897</v>
      </c>
      <c r="L4979" s="32">
        <v>897</v>
      </c>
      <c r="M4979" s="36">
        <f t="shared" si="306"/>
        <v>34.712374581939798</v>
      </c>
    </row>
    <row r="4980" spans="1:13" ht="15.75" hidden="1" customHeight="1" x14ac:dyDescent="0.3">
      <c r="A4980" s="9">
        <v>5241</v>
      </c>
      <c r="B4980" t="s">
        <v>271</v>
      </c>
      <c r="C4980" s="25">
        <v>44712</v>
      </c>
      <c r="D4980" s="26">
        <v>0.59798611111111111</v>
      </c>
      <c r="E4980" t="s">
        <v>28</v>
      </c>
      <c r="F4980" t="s">
        <v>694</v>
      </c>
      <c r="G4980" t="s">
        <v>489</v>
      </c>
      <c r="H4980" t="s">
        <v>522</v>
      </c>
      <c r="I4980" s="126">
        <v>270.08</v>
      </c>
      <c r="J4980" s="7">
        <v>0</v>
      </c>
      <c r="K4980" s="94">
        <f>+L4980-J5215</f>
        <v>440</v>
      </c>
      <c r="L4980" s="7">
        <v>440</v>
      </c>
      <c r="M4980" s="36">
        <f t="shared" si="306"/>
        <v>61.381818181818183</v>
      </c>
    </row>
    <row r="4981" spans="1:13" ht="15.75" hidden="1" customHeight="1" x14ac:dyDescent="0.3">
      <c r="A4981" s="9">
        <v>5242</v>
      </c>
      <c r="B4981" t="s">
        <v>271</v>
      </c>
      <c r="C4981" s="25">
        <v>44712</v>
      </c>
      <c r="D4981" s="26">
        <v>0.82981481481481489</v>
      </c>
      <c r="E4981" t="s">
        <v>28</v>
      </c>
      <c r="F4981" t="s">
        <v>632</v>
      </c>
      <c r="G4981" t="s">
        <v>161</v>
      </c>
      <c r="H4981" t="s">
        <v>522</v>
      </c>
      <c r="I4981" s="126">
        <v>74</v>
      </c>
      <c r="J4981" s="7">
        <v>0</v>
      </c>
      <c r="K4981" s="94">
        <f>+L4981-J5216</f>
        <v>179</v>
      </c>
      <c r="L4981" s="7">
        <v>179</v>
      </c>
      <c r="M4981" s="36">
        <f t="shared" si="306"/>
        <v>41.340782122905026</v>
      </c>
    </row>
    <row r="4982" spans="1:13" ht="15.75" hidden="1" customHeight="1" x14ac:dyDescent="0.3">
      <c r="A4982" s="9">
        <v>5286</v>
      </c>
      <c r="B4982" t="s">
        <v>271</v>
      </c>
      <c r="C4982" s="25">
        <v>44713</v>
      </c>
      <c r="D4982" s="26">
        <v>0.60096064814814809</v>
      </c>
      <c r="E4982" t="s">
        <v>29</v>
      </c>
      <c r="F4982" t="s">
        <v>635</v>
      </c>
      <c r="G4982" t="s">
        <v>185</v>
      </c>
      <c r="H4982" t="s">
        <v>522</v>
      </c>
      <c r="I4982" s="126">
        <v>293.05</v>
      </c>
      <c r="J4982" s="32">
        <v>0</v>
      </c>
      <c r="K4982" s="171">
        <f>+L4982-J5218</f>
        <v>591</v>
      </c>
      <c r="L4982" s="123">
        <v>591</v>
      </c>
      <c r="M4982" s="36">
        <f t="shared" si="306"/>
        <v>49.585448392554994</v>
      </c>
    </row>
    <row r="4983" spans="1:13" ht="15.75" hidden="1" customHeight="1" x14ac:dyDescent="0.3">
      <c r="A4983" s="9">
        <v>5353</v>
      </c>
      <c r="B4983" t="s">
        <v>271</v>
      </c>
      <c r="C4983" s="25">
        <v>44714</v>
      </c>
      <c r="D4983" s="26">
        <v>0.75398148148148147</v>
      </c>
      <c r="E4983" t="s">
        <v>29</v>
      </c>
      <c r="F4983" t="s">
        <v>642</v>
      </c>
      <c r="G4983" t="s">
        <v>203</v>
      </c>
      <c r="H4983" t="s">
        <v>522</v>
      </c>
      <c r="I4983" s="126">
        <v>355</v>
      </c>
      <c r="J4983" s="32">
        <v>0</v>
      </c>
      <c r="K4983" s="171">
        <v>537</v>
      </c>
      <c r="L4983" s="123">
        <v>537</v>
      </c>
      <c r="M4983" s="36">
        <f t="shared" si="306"/>
        <v>66.108007448789579</v>
      </c>
    </row>
    <row r="4984" spans="1:13" ht="15.75" hidden="1" customHeight="1" x14ac:dyDescent="0.3">
      <c r="A4984" s="9">
        <v>5416</v>
      </c>
      <c r="B4984" t="s">
        <v>271</v>
      </c>
      <c r="C4984" s="25">
        <v>44715</v>
      </c>
      <c r="D4984" s="26">
        <v>0.63011574074074073</v>
      </c>
      <c r="E4984" t="s">
        <v>29</v>
      </c>
      <c r="F4984" t="s">
        <v>645</v>
      </c>
      <c r="G4984" t="s">
        <v>279</v>
      </c>
      <c r="H4984" t="s">
        <v>522</v>
      </c>
      <c r="I4984" s="126">
        <v>290.01</v>
      </c>
      <c r="J4984" s="32">
        <v>0</v>
      </c>
      <c r="K4984" s="171">
        <v>447</v>
      </c>
      <c r="L4984" s="123">
        <v>447</v>
      </c>
      <c r="M4984" s="36">
        <f t="shared" ref="M4984:M5008" si="308">I4984/K4984*100</f>
        <v>64.87919463087249</v>
      </c>
    </row>
    <row r="4985" spans="1:13" ht="15.75" hidden="1" customHeight="1" x14ac:dyDescent="0.3">
      <c r="A4985" s="9">
        <v>5467</v>
      </c>
      <c r="B4985" t="s">
        <v>271</v>
      </c>
      <c r="C4985" s="25">
        <v>44716</v>
      </c>
      <c r="D4985" s="26">
        <v>0.79628472222222213</v>
      </c>
      <c r="E4985" t="s">
        <v>29</v>
      </c>
      <c r="F4985" t="s">
        <v>642</v>
      </c>
      <c r="G4985" t="s">
        <v>203</v>
      </c>
      <c r="H4985" t="s">
        <v>522</v>
      </c>
      <c r="I4985" s="126">
        <v>318</v>
      </c>
      <c r="J4985" s="32">
        <v>0</v>
      </c>
      <c r="K4985" s="171">
        <v>537</v>
      </c>
      <c r="L4985" s="124">
        <v>537</v>
      </c>
      <c r="M4985" s="36">
        <f t="shared" si="308"/>
        <v>59.217877094972074</v>
      </c>
    </row>
    <row r="4986" spans="1:13" ht="15.75" hidden="1" customHeight="1" x14ac:dyDescent="0.3">
      <c r="A4986" s="9">
        <v>5514</v>
      </c>
      <c r="B4986" t="s">
        <v>271</v>
      </c>
      <c r="C4986" s="25">
        <v>44717</v>
      </c>
      <c r="D4986" s="26">
        <v>0.50954861111111105</v>
      </c>
      <c r="E4986" t="s">
        <v>29</v>
      </c>
      <c r="F4986" t="s">
        <v>635</v>
      </c>
      <c r="G4986" t="s">
        <v>185</v>
      </c>
      <c r="H4986" t="s">
        <v>522</v>
      </c>
      <c r="I4986" s="126">
        <v>240.57</v>
      </c>
      <c r="J4986" s="32">
        <v>0</v>
      </c>
      <c r="K4986" s="171">
        <v>536</v>
      </c>
      <c r="L4986" s="123">
        <v>536</v>
      </c>
      <c r="M4986" s="36">
        <f t="shared" si="308"/>
        <v>44.882462686567166</v>
      </c>
    </row>
    <row r="4987" spans="1:13" ht="15.75" hidden="1" customHeight="1" x14ac:dyDescent="0.3">
      <c r="A4987" s="9">
        <v>5515</v>
      </c>
      <c r="B4987" t="s">
        <v>271</v>
      </c>
      <c r="C4987" s="25">
        <v>44717</v>
      </c>
      <c r="D4987" s="26">
        <v>0.88872685185185185</v>
      </c>
      <c r="E4987" t="s">
        <v>29</v>
      </c>
      <c r="F4987" t="s">
        <v>634</v>
      </c>
      <c r="G4987" t="s">
        <v>211</v>
      </c>
      <c r="H4987" t="s">
        <v>522</v>
      </c>
      <c r="I4987" s="126">
        <v>156.47</v>
      </c>
      <c r="J4987" s="32">
        <v>0</v>
      </c>
      <c r="K4987" s="171">
        <v>485</v>
      </c>
      <c r="L4987" s="123">
        <v>485</v>
      </c>
      <c r="M4987" s="36">
        <f t="shared" si="308"/>
        <v>32.261855670103088</v>
      </c>
    </row>
    <row r="4988" spans="1:13" ht="15.75" hidden="1" customHeight="1" x14ac:dyDescent="0.3">
      <c r="A4988" s="9">
        <v>5558</v>
      </c>
      <c r="B4988" t="s">
        <v>271</v>
      </c>
      <c r="C4988" s="25">
        <v>44718</v>
      </c>
      <c r="D4988" s="26">
        <v>0.81281250000000005</v>
      </c>
      <c r="E4988" t="s">
        <v>29</v>
      </c>
      <c r="F4988" t="s">
        <v>653</v>
      </c>
      <c r="G4988" t="s">
        <v>402</v>
      </c>
      <c r="H4988" t="s">
        <v>522</v>
      </c>
      <c r="I4988" s="126">
        <v>50</v>
      </c>
      <c r="J4988" s="32">
        <v>0</v>
      </c>
      <c r="K4988" s="171">
        <v>537</v>
      </c>
      <c r="L4988" s="123">
        <v>537</v>
      </c>
      <c r="M4988" s="36">
        <f t="shared" si="308"/>
        <v>9.3109869646182499</v>
      </c>
    </row>
    <row r="4989" spans="1:13" ht="15.75" hidden="1" customHeight="1" x14ac:dyDescent="0.3">
      <c r="A4989" s="9">
        <v>5606</v>
      </c>
      <c r="B4989" t="s">
        <v>271</v>
      </c>
      <c r="C4989" s="25">
        <v>44719</v>
      </c>
      <c r="D4989" s="26">
        <v>0.55321759259259262</v>
      </c>
      <c r="E4989" t="s">
        <v>29</v>
      </c>
      <c r="F4989" t="s">
        <v>651</v>
      </c>
      <c r="G4989" t="s">
        <v>172</v>
      </c>
      <c r="H4989" t="s">
        <v>522</v>
      </c>
      <c r="I4989" s="126">
        <v>322</v>
      </c>
      <c r="J4989" s="32">
        <v>0</v>
      </c>
      <c r="K4989" s="171">
        <v>233</v>
      </c>
      <c r="L4989" s="123">
        <v>233</v>
      </c>
      <c r="M4989" s="36">
        <f t="shared" si="308"/>
        <v>138.19742489270385</v>
      </c>
    </row>
    <row r="4990" spans="1:13" ht="15.75" hidden="1" customHeight="1" x14ac:dyDescent="0.3">
      <c r="A4990" s="9">
        <v>5667</v>
      </c>
      <c r="B4990" t="s">
        <v>271</v>
      </c>
      <c r="C4990" s="25">
        <v>44720</v>
      </c>
      <c r="D4990" s="26">
        <v>0.54537037037037039</v>
      </c>
      <c r="E4990" t="s">
        <v>29</v>
      </c>
      <c r="F4990" t="s">
        <v>672</v>
      </c>
      <c r="G4990" t="s">
        <v>367</v>
      </c>
      <c r="H4990" t="s">
        <v>522</v>
      </c>
      <c r="I4990" s="126">
        <v>50</v>
      </c>
      <c r="J4990" s="32">
        <v>0</v>
      </c>
      <c r="K4990" s="171">
        <v>4</v>
      </c>
      <c r="L4990" s="123">
        <v>4</v>
      </c>
      <c r="M4990" s="36">
        <f t="shared" si="308"/>
        <v>1250</v>
      </c>
    </row>
    <row r="4991" spans="1:13" ht="15.75" hidden="1" customHeight="1" x14ac:dyDescent="0.3">
      <c r="A4991" s="9">
        <v>5668</v>
      </c>
      <c r="B4991" t="s">
        <v>271</v>
      </c>
      <c r="C4991" s="25">
        <v>44720</v>
      </c>
      <c r="D4991" s="26">
        <v>0.73491898148148149</v>
      </c>
      <c r="E4991" t="s">
        <v>29</v>
      </c>
      <c r="F4991" t="s">
        <v>634</v>
      </c>
      <c r="G4991" t="s">
        <v>211</v>
      </c>
      <c r="H4991" t="s">
        <v>522</v>
      </c>
      <c r="I4991">
        <v>295.8</v>
      </c>
      <c r="J4991" s="32">
        <v>0</v>
      </c>
      <c r="K4991" s="146">
        <v>714</v>
      </c>
      <c r="L4991" s="123">
        <v>714</v>
      </c>
      <c r="M4991" s="36">
        <f t="shared" si="308"/>
        <v>41.428571428571431</v>
      </c>
    </row>
    <row r="4992" spans="1:13" ht="15.75" hidden="1" customHeight="1" x14ac:dyDescent="0.3">
      <c r="A4992" s="9">
        <v>5721</v>
      </c>
      <c r="B4992" t="s">
        <v>271</v>
      </c>
      <c r="C4992" s="25">
        <v>44721</v>
      </c>
      <c r="D4992" s="26">
        <v>0.1242361111111111</v>
      </c>
      <c r="E4992" t="s">
        <v>29</v>
      </c>
      <c r="F4992" t="s">
        <v>635</v>
      </c>
      <c r="G4992" t="s">
        <v>185</v>
      </c>
      <c r="H4992" t="s">
        <v>522</v>
      </c>
      <c r="I4992">
        <v>245.2</v>
      </c>
      <c r="J4992" s="53">
        <v>0</v>
      </c>
      <c r="K4992" s="146">
        <v>485</v>
      </c>
      <c r="L4992" s="124">
        <v>485</v>
      </c>
      <c r="M4992" s="36">
        <f t="shared" si="308"/>
        <v>50.556701030927833</v>
      </c>
    </row>
    <row r="4993" spans="1:19" ht="15.75" hidden="1" customHeight="1" x14ac:dyDescent="0.3">
      <c r="A4993" s="9">
        <v>5722</v>
      </c>
      <c r="B4993" t="s">
        <v>271</v>
      </c>
      <c r="C4993" s="25">
        <v>44721</v>
      </c>
      <c r="D4993" s="26">
        <v>0.93813657407407414</v>
      </c>
      <c r="E4993" t="s">
        <v>29</v>
      </c>
      <c r="F4993" t="s">
        <v>634</v>
      </c>
      <c r="G4993" t="s">
        <v>211</v>
      </c>
      <c r="H4993" t="s">
        <v>522</v>
      </c>
      <c r="I4993">
        <v>224.22</v>
      </c>
      <c r="J4993" s="53">
        <v>0</v>
      </c>
      <c r="K4993" s="146">
        <v>485</v>
      </c>
      <c r="L4993" s="123">
        <v>485</v>
      </c>
      <c r="M4993" s="36">
        <f t="shared" si="308"/>
        <v>46.230927835051546</v>
      </c>
    </row>
    <row r="4994" spans="1:19" ht="15.75" hidden="1" customHeight="1" x14ac:dyDescent="0.3">
      <c r="A4994" s="9">
        <v>5773</v>
      </c>
      <c r="B4994" t="s">
        <v>271</v>
      </c>
      <c r="C4994" s="25">
        <v>44722</v>
      </c>
      <c r="D4994" s="26">
        <v>0.87041666666666673</v>
      </c>
      <c r="E4994" t="s">
        <v>29</v>
      </c>
      <c r="F4994" t="s">
        <v>680</v>
      </c>
      <c r="G4994" t="s">
        <v>402</v>
      </c>
      <c r="H4994" t="s">
        <v>522</v>
      </c>
      <c r="I4994">
        <v>232.17</v>
      </c>
      <c r="J4994" s="53">
        <v>0</v>
      </c>
      <c r="K4994" s="146">
        <v>537</v>
      </c>
      <c r="L4994" s="142">
        <v>537</v>
      </c>
      <c r="M4994" s="36">
        <f t="shared" si="308"/>
        <v>43.234636871508378</v>
      </c>
    </row>
    <row r="4995" spans="1:19" ht="15.75" hidden="1" customHeight="1" x14ac:dyDescent="0.3">
      <c r="A4995" s="9">
        <v>5820</v>
      </c>
      <c r="B4995" t="s">
        <v>271</v>
      </c>
      <c r="C4995" s="25">
        <v>44723</v>
      </c>
      <c r="D4995" s="26">
        <v>0.83984953703703702</v>
      </c>
      <c r="E4995" t="s">
        <v>29</v>
      </c>
      <c r="F4995" t="s">
        <v>639</v>
      </c>
      <c r="G4995" t="s">
        <v>44</v>
      </c>
      <c r="H4995" t="s">
        <v>522</v>
      </c>
      <c r="I4995">
        <v>210.53</v>
      </c>
      <c r="J4995" s="32">
        <v>0</v>
      </c>
      <c r="K4995" s="146">
        <v>157</v>
      </c>
      <c r="L4995" s="123">
        <v>157</v>
      </c>
      <c r="M4995" s="36">
        <f t="shared" si="308"/>
        <v>134.09554140127389</v>
      </c>
    </row>
    <row r="4996" spans="1:19" ht="15.75" hidden="1" customHeight="1" x14ac:dyDescent="0.3">
      <c r="A4996" s="9">
        <v>5881</v>
      </c>
      <c r="B4996" t="s">
        <v>271</v>
      </c>
      <c r="C4996" s="25">
        <v>44724</v>
      </c>
      <c r="D4996" s="26">
        <v>0.53798611111111116</v>
      </c>
      <c r="E4996" t="s">
        <v>29</v>
      </c>
      <c r="F4996" t="s">
        <v>632</v>
      </c>
      <c r="G4996" t="s">
        <v>161</v>
      </c>
      <c r="H4996" t="s">
        <v>522</v>
      </c>
      <c r="I4996">
        <v>215.065</v>
      </c>
      <c r="J4996" s="32">
        <v>0</v>
      </c>
      <c r="K4996" s="146">
        <v>523</v>
      </c>
      <c r="L4996" s="123">
        <v>523</v>
      </c>
      <c r="M4996" s="36">
        <f t="shared" si="308"/>
        <v>41.121414913957935</v>
      </c>
    </row>
    <row r="4997" spans="1:19" ht="15.75" hidden="1" customHeight="1" x14ac:dyDescent="0.3">
      <c r="A4997" s="9">
        <v>5941</v>
      </c>
      <c r="B4997" t="s">
        <v>271</v>
      </c>
      <c r="C4997" s="25">
        <v>44725</v>
      </c>
      <c r="D4997" s="26">
        <v>9.7546296296296298E-2</v>
      </c>
      <c r="E4997" t="s">
        <v>29</v>
      </c>
      <c r="F4997" t="s">
        <v>660</v>
      </c>
      <c r="G4997" t="s">
        <v>397</v>
      </c>
      <c r="H4997" t="s">
        <v>522</v>
      </c>
      <c r="I4997">
        <v>270.01</v>
      </c>
      <c r="J4997" s="32">
        <v>0</v>
      </c>
      <c r="K4997" s="146">
        <v>413</v>
      </c>
      <c r="L4997" s="123">
        <v>413</v>
      </c>
      <c r="M4997" s="36">
        <f t="shared" si="308"/>
        <v>65.377723970944317</v>
      </c>
      <c r="N4997" s="2"/>
      <c r="O4997" s="2"/>
      <c r="P4997" s="2"/>
      <c r="Q4997" s="2"/>
      <c r="R4997" s="2"/>
      <c r="S4997" s="2"/>
    </row>
    <row r="4998" spans="1:19" ht="15.75" hidden="1" customHeight="1" x14ac:dyDescent="0.3">
      <c r="A4998" s="9">
        <v>5942</v>
      </c>
      <c r="B4998" t="s">
        <v>271</v>
      </c>
      <c r="C4998" s="25">
        <v>44725</v>
      </c>
      <c r="D4998" s="26">
        <v>0.89945601851851853</v>
      </c>
      <c r="E4998" t="s">
        <v>29</v>
      </c>
      <c r="F4998" t="s">
        <v>642</v>
      </c>
      <c r="G4998" t="s">
        <v>203</v>
      </c>
      <c r="H4998" t="s">
        <v>522</v>
      </c>
      <c r="I4998">
        <v>317.35000000000002</v>
      </c>
      <c r="J4998" s="32">
        <v>0</v>
      </c>
      <c r="K4998" s="146">
        <v>358</v>
      </c>
      <c r="L4998" s="123">
        <v>358</v>
      </c>
      <c r="M4998" s="36">
        <f t="shared" si="308"/>
        <v>88.64525139664805</v>
      </c>
      <c r="N4998" s="2"/>
      <c r="O4998" s="2"/>
      <c r="P4998" s="2"/>
      <c r="Q4998" s="2"/>
      <c r="R4998" s="2"/>
      <c r="S4998" s="2"/>
    </row>
    <row r="4999" spans="1:19" ht="15.75" hidden="1" customHeight="1" x14ac:dyDescent="0.3">
      <c r="A4999" s="9">
        <v>5989</v>
      </c>
      <c r="B4999" t="s">
        <v>271</v>
      </c>
      <c r="C4999" s="25">
        <v>44726</v>
      </c>
      <c r="D4999" s="26">
        <v>0.640625</v>
      </c>
      <c r="E4999" t="s">
        <v>29</v>
      </c>
      <c r="F4999" t="s">
        <v>635</v>
      </c>
      <c r="G4999" t="s">
        <v>185</v>
      </c>
      <c r="H4999" t="s">
        <v>522</v>
      </c>
      <c r="I4999">
        <v>245.03</v>
      </c>
      <c r="J4999" s="32">
        <v>0</v>
      </c>
      <c r="K4999" s="146">
        <v>536</v>
      </c>
      <c r="L4999" s="124">
        <v>536</v>
      </c>
      <c r="M4999" s="36">
        <f t="shared" si="308"/>
        <v>45.714552238805972</v>
      </c>
    </row>
    <row r="5000" spans="1:19" ht="15.75" hidden="1" customHeight="1" x14ac:dyDescent="0.3">
      <c r="A5000" s="9">
        <v>6051</v>
      </c>
      <c r="B5000" t="s">
        <v>271</v>
      </c>
      <c r="C5000" s="25">
        <v>44727</v>
      </c>
      <c r="D5000" s="26">
        <v>0.52180555555555552</v>
      </c>
      <c r="E5000" t="s">
        <v>29</v>
      </c>
      <c r="F5000" t="s">
        <v>632</v>
      </c>
      <c r="G5000" t="s">
        <v>161</v>
      </c>
      <c r="H5000" t="s">
        <v>522</v>
      </c>
      <c r="I5000">
        <v>150</v>
      </c>
      <c r="J5000" s="32">
        <v>0</v>
      </c>
      <c r="K5000" s="146">
        <v>591</v>
      </c>
      <c r="L5000" s="168">
        <v>591</v>
      </c>
      <c r="M5000" s="10">
        <f t="shared" si="308"/>
        <v>25.380710659898476</v>
      </c>
    </row>
    <row r="5001" spans="1:19" ht="15.75" hidden="1" customHeight="1" x14ac:dyDescent="0.3">
      <c r="A5001" s="9">
        <v>6106</v>
      </c>
      <c r="B5001" t="s">
        <v>271</v>
      </c>
      <c r="C5001" s="25">
        <v>44728</v>
      </c>
      <c r="D5001" s="26">
        <v>2.5960648148148149E-2</v>
      </c>
      <c r="E5001" t="s">
        <v>29</v>
      </c>
      <c r="F5001" t="s">
        <v>680</v>
      </c>
      <c r="G5001" t="s">
        <v>402</v>
      </c>
      <c r="H5001" t="s">
        <v>522</v>
      </c>
      <c r="I5001">
        <v>234.8</v>
      </c>
      <c r="J5001" s="32">
        <v>0</v>
      </c>
      <c r="K5001" s="146">
        <v>433</v>
      </c>
      <c r="L5001" s="168">
        <v>433</v>
      </c>
      <c r="M5001" s="10">
        <f t="shared" si="308"/>
        <v>54.226327944572752</v>
      </c>
    </row>
    <row r="5002" spans="1:19" ht="15.75" hidden="1" customHeight="1" x14ac:dyDescent="0.3">
      <c r="A5002" s="9">
        <v>6391</v>
      </c>
      <c r="B5002" t="s">
        <v>271</v>
      </c>
      <c r="C5002" s="25">
        <v>44735</v>
      </c>
      <c r="D5002" s="26">
        <v>0.47594907407407411</v>
      </c>
      <c r="E5002" t="s">
        <v>29</v>
      </c>
      <c r="F5002" t="s">
        <v>639</v>
      </c>
      <c r="G5002" t="s">
        <v>44</v>
      </c>
      <c r="H5002" t="s">
        <v>522</v>
      </c>
      <c r="I5002">
        <v>233.49</v>
      </c>
      <c r="J5002" s="32">
        <v>0</v>
      </c>
      <c r="K5002" s="146">
        <v>157</v>
      </c>
      <c r="L5002" s="123">
        <v>157</v>
      </c>
      <c r="M5002" s="36">
        <f t="shared" si="308"/>
        <v>148.71974522292993</v>
      </c>
    </row>
    <row r="5003" spans="1:19" ht="15.75" hidden="1" customHeight="1" x14ac:dyDescent="0.3">
      <c r="A5003" s="9">
        <v>6392</v>
      </c>
      <c r="B5003" t="s">
        <v>271</v>
      </c>
      <c r="C5003" s="25">
        <v>44735</v>
      </c>
      <c r="D5003" s="26">
        <v>0.81680555555555545</v>
      </c>
      <c r="E5003" t="s">
        <v>29</v>
      </c>
      <c r="F5003" t="s">
        <v>632</v>
      </c>
      <c r="G5003" t="s">
        <v>161</v>
      </c>
      <c r="H5003" t="s">
        <v>522</v>
      </c>
      <c r="I5003">
        <v>196.73</v>
      </c>
      <c r="J5003" s="32">
        <v>0</v>
      </c>
      <c r="K5003" s="146">
        <v>523</v>
      </c>
      <c r="L5003" s="142">
        <v>523</v>
      </c>
      <c r="M5003" s="36">
        <f t="shared" si="308"/>
        <v>37.615678776290629</v>
      </c>
    </row>
    <row r="5004" spans="1:19" ht="15.75" hidden="1" customHeight="1" x14ac:dyDescent="0.3">
      <c r="A5004" s="9">
        <v>6439</v>
      </c>
      <c r="B5004" t="s">
        <v>271</v>
      </c>
      <c r="C5004" s="25">
        <v>44736</v>
      </c>
      <c r="D5004" s="26">
        <v>0.72400462962962964</v>
      </c>
      <c r="E5004" t="s">
        <v>29</v>
      </c>
      <c r="F5004" t="s">
        <v>645</v>
      </c>
      <c r="G5004" t="s">
        <v>279</v>
      </c>
      <c r="H5004" t="s">
        <v>522</v>
      </c>
      <c r="I5004">
        <v>348.39</v>
      </c>
      <c r="J5004" s="41">
        <v>0</v>
      </c>
      <c r="K5004" s="146">
        <v>119</v>
      </c>
      <c r="L5004" s="123">
        <v>119</v>
      </c>
      <c r="M5004" s="36">
        <f t="shared" si="308"/>
        <v>292.76470588235293</v>
      </c>
    </row>
    <row r="5005" spans="1:19" ht="15.75" hidden="1" customHeight="1" x14ac:dyDescent="0.3">
      <c r="A5005" s="9">
        <v>6498</v>
      </c>
      <c r="B5005" t="s">
        <v>271</v>
      </c>
      <c r="C5005" s="25">
        <v>44737</v>
      </c>
      <c r="D5005" s="26">
        <v>1.6608796296296299E-2</v>
      </c>
      <c r="E5005" t="s">
        <v>29</v>
      </c>
      <c r="F5005" t="s">
        <v>632</v>
      </c>
      <c r="G5005" t="s">
        <v>161</v>
      </c>
      <c r="H5005" t="s">
        <v>522</v>
      </c>
      <c r="I5005">
        <v>137.84</v>
      </c>
      <c r="J5005" s="41">
        <v>0</v>
      </c>
      <c r="K5005" s="146">
        <v>16</v>
      </c>
      <c r="L5005" s="123">
        <v>16</v>
      </c>
      <c r="M5005" s="36">
        <f t="shared" si="308"/>
        <v>861.5</v>
      </c>
    </row>
    <row r="5006" spans="1:19" ht="15.75" hidden="1" customHeight="1" x14ac:dyDescent="0.3">
      <c r="A5006" s="9">
        <v>6499</v>
      </c>
      <c r="B5006" t="s">
        <v>271</v>
      </c>
      <c r="C5006" s="25">
        <v>44737</v>
      </c>
      <c r="D5006" s="26">
        <v>0.7707060185185185</v>
      </c>
      <c r="E5006" t="s">
        <v>29</v>
      </c>
      <c r="F5006" t="s">
        <v>693</v>
      </c>
      <c r="G5006" t="s">
        <v>277</v>
      </c>
      <c r="H5006" t="s">
        <v>522</v>
      </c>
      <c r="I5006">
        <v>265.58</v>
      </c>
      <c r="J5006" s="41">
        <v>0</v>
      </c>
      <c r="K5006" s="146">
        <v>590</v>
      </c>
      <c r="L5006" s="123">
        <v>590</v>
      </c>
      <c r="M5006" s="36">
        <f t="shared" si="308"/>
        <v>45.013559322033899</v>
      </c>
    </row>
    <row r="5007" spans="1:19" ht="15.75" hidden="1" customHeight="1" x14ac:dyDescent="0.3">
      <c r="A5007" s="9">
        <v>6550</v>
      </c>
      <c r="B5007" t="s">
        <v>271</v>
      </c>
      <c r="C5007" s="25">
        <v>44738</v>
      </c>
      <c r="D5007" s="26">
        <v>0.11231481481481481</v>
      </c>
      <c r="E5007" t="s">
        <v>29</v>
      </c>
      <c r="F5007" t="s">
        <v>639</v>
      </c>
      <c r="G5007" t="s">
        <v>44</v>
      </c>
      <c r="H5007" t="s">
        <v>522</v>
      </c>
      <c r="I5007">
        <v>149.03</v>
      </c>
      <c r="J5007" s="37">
        <v>0</v>
      </c>
      <c r="K5007" s="146">
        <v>102</v>
      </c>
      <c r="L5007" s="123">
        <v>102</v>
      </c>
      <c r="M5007" s="36">
        <f t="shared" si="308"/>
        <v>146.10784313725492</v>
      </c>
    </row>
    <row r="5008" spans="1:19" ht="15.75" hidden="1" customHeight="1" x14ac:dyDescent="0.3">
      <c r="A5008" s="9">
        <v>6551</v>
      </c>
      <c r="B5008" t="s">
        <v>271</v>
      </c>
      <c r="C5008" s="25">
        <v>44738</v>
      </c>
      <c r="D5008" s="26">
        <v>0.59318287037037043</v>
      </c>
      <c r="E5008" t="s">
        <v>29</v>
      </c>
      <c r="F5008" t="s">
        <v>632</v>
      </c>
      <c r="G5008" t="s">
        <v>161</v>
      </c>
      <c r="H5008" t="s">
        <v>522</v>
      </c>
      <c r="I5008" s="148">
        <v>213.42</v>
      </c>
      <c r="J5008" s="37">
        <v>0</v>
      </c>
      <c r="K5008" s="146">
        <v>523</v>
      </c>
      <c r="L5008" s="123">
        <v>523</v>
      </c>
      <c r="M5008" s="36">
        <f t="shared" si="308"/>
        <v>40.806883365200761</v>
      </c>
    </row>
    <row r="5009" spans="1:13" ht="15.75" hidden="1" customHeight="1" x14ac:dyDescent="0.3">
      <c r="A5009" s="9">
        <v>6661</v>
      </c>
      <c r="B5009" t="s">
        <v>271</v>
      </c>
      <c r="C5009" s="25">
        <v>44740</v>
      </c>
      <c r="D5009" s="26">
        <v>0.90606481481481482</v>
      </c>
      <c r="E5009" t="s">
        <v>29</v>
      </c>
      <c r="F5009" t="s">
        <v>642</v>
      </c>
      <c r="G5009" t="s">
        <v>203</v>
      </c>
      <c r="H5009" t="s">
        <v>754</v>
      </c>
      <c r="I5009" s="148">
        <v>353.98</v>
      </c>
      <c r="J5009" s="37">
        <v>0</v>
      </c>
      <c r="K5009" s="89">
        <v>61</v>
      </c>
      <c r="L5009" s="7">
        <v>61</v>
      </c>
      <c r="M5009" s="145">
        <f>+I5009/K5009*100</f>
        <v>580.29508196721315</v>
      </c>
    </row>
    <row r="5010" spans="1:13" ht="15.75" hidden="1" customHeight="1" x14ac:dyDescent="0.3">
      <c r="A5010" s="9">
        <v>6721</v>
      </c>
      <c r="B5010" t="s">
        <v>271</v>
      </c>
      <c r="C5010" s="25">
        <v>44741</v>
      </c>
      <c r="D5010" s="26">
        <v>0.62591435185185185</v>
      </c>
      <c r="E5010" t="s">
        <v>29</v>
      </c>
      <c r="F5010" t="s">
        <v>640</v>
      </c>
      <c r="G5010" t="s">
        <v>185</v>
      </c>
      <c r="H5010" t="s">
        <v>522</v>
      </c>
      <c r="I5010" s="148">
        <v>134.77000000000001</v>
      </c>
      <c r="J5010" s="37">
        <v>0</v>
      </c>
      <c r="K5010" s="89">
        <v>2143</v>
      </c>
      <c r="L5010" s="34">
        <v>2143</v>
      </c>
      <c r="M5010" s="36">
        <f>I5010/K5010*100</f>
        <v>6.2888474101726555</v>
      </c>
    </row>
    <row r="5011" spans="1:13" ht="15.75" hidden="1" customHeight="1" x14ac:dyDescent="0.3">
      <c r="A5011" s="9">
        <v>6722</v>
      </c>
      <c r="B5011" t="s">
        <v>271</v>
      </c>
      <c r="C5011" s="25">
        <v>44741</v>
      </c>
      <c r="D5011" s="26">
        <v>0.7661458333333333</v>
      </c>
      <c r="E5011" t="s">
        <v>29</v>
      </c>
      <c r="F5011" t="s">
        <v>635</v>
      </c>
      <c r="G5011" t="s">
        <v>185</v>
      </c>
      <c r="H5011" t="s">
        <v>522</v>
      </c>
      <c r="I5011" s="148">
        <v>359.08</v>
      </c>
      <c r="J5011" s="37">
        <v>0</v>
      </c>
      <c r="K5011" s="89">
        <v>115.68</v>
      </c>
      <c r="L5011" s="7">
        <v>117</v>
      </c>
      <c r="M5011" s="36">
        <f>I5011/K5011*100</f>
        <v>310.40802213001382</v>
      </c>
    </row>
    <row r="5012" spans="1:13" ht="15.75" hidden="1" customHeight="1" x14ac:dyDescent="0.3">
      <c r="A5012" s="9">
        <v>6751</v>
      </c>
      <c r="B5012" t="s">
        <v>271</v>
      </c>
      <c r="C5012" s="25">
        <v>44742</v>
      </c>
      <c r="D5012" s="26">
        <v>0.56165509259259261</v>
      </c>
      <c r="E5012" t="s">
        <v>29</v>
      </c>
      <c r="F5012" t="s">
        <v>166</v>
      </c>
      <c r="G5012" t="s">
        <v>161</v>
      </c>
      <c r="H5012" t="s">
        <v>522</v>
      </c>
      <c r="I5012" s="148">
        <v>177.78</v>
      </c>
      <c r="J5012" s="54"/>
      <c r="K5012" s="56">
        <v>1234</v>
      </c>
      <c r="L5012" s="54">
        <f>+K5012-J5012</f>
        <v>1234</v>
      </c>
      <c r="M5012" s="121">
        <f>I5012/L5012*100</f>
        <v>14.406807131280388</v>
      </c>
    </row>
    <row r="5013" spans="1:13" ht="15.75" hidden="1" customHeight="1" x14ac:dyDescent="0.3">
      <c r="B5013" t="s">
        <v>275</v>
      </c>
      <c r="C5013" s="25">
        <v>44764</v>
      </c>
      <c r="D5013" s="26">
        <v>0.82634259259259257</v>
      </c>
      <c r="E5013" t="s">
        <v>30</v>
      </c>
      <c r="F5013" t="s">
        <v>165</v>
      </c>
      <c r="G5013" t="s">
        <v>185</v>
      </c>
      <c r="H5013" t="s">
        <v>193</v>
      </c>
      <c r="I5013" s="160">
        <v>366.28</v>
      </c>
      <c r="J5013" s="8"/>
      <c r="K5013" s="8">
        <v>1234</v>
      </c>
      <c r="L5013" s="8">
        <f>+K5013-J5013</f>
        <v>1234</v>
      </c>
      <c r="M5013" s="254">
        <f t="shared" ref="M5013:M5023" si="309">+J5013/L5013*100</f>
        <v>0</v>
      </c>
    </row>
    <row r="5014" spans="1:13" ht="15.75" hidden="1" customHeight="1" x14ac:dyDescent="0.3">
      <c r="B5014" t="s">
        <v>275</v>
      </c>
      <c r="C5014" s="25">
        <v>44765</v>
      </c>
      <c r="D5014" s="26">
        <v>0.81256944444444434</v>
      </c>
      <c r="E5014" t="s">
        <v>30</v>
      </c>
      <c r="F5014" t="s">
        <v>165</v>
      </c>
      <c r="G5014" t="s">
        <v>185</v>
      </c>
      <c r="H5014" t="s">
        <v>193</v>
      </c>
      <c r="I5014" s="160">
        <v>185.62</v>
      </c>
      <c r="J5014" s="8"/>
      <c r="K5014" s="8">
        <v>2500</v>
      </c>
      <c r="L5014" s="8">
        <f>+K5014-J5014</f>
        <v>2500</v>
      </c>
      <c r="M5014" s="254">
        <f t="shared" si="309"/>
        <v>0</v>
      </c>
    </row>
    <row r="5015" spans="1:13" ht="15.75" hidden="1" customHeight="1" x14ac:dyDescent="0.3">
      <c r="B5015" t="s">
        <v>275</v>
      </c>
      <c r="C5015" s="25">
        <v>44767</v>
      </c>
      <c r="D5015" s="26">
        <v>0.7481712962962962</v>
      </c>
      <c r="E5015" t="s">
        <v>30</v>
      </c>
      <c r="F5015" t="s">
        <v>202</v>
      </c>
      <c r="G5015" t="s">
        <v>203</v>
      </c>
      <c r="H5015" t="s">
        <v>193</v>
      </c>
      <c r="I5015" s="160">
        <v>343.66</v>
      </c>
      <c r="J5015" s="8"/>
      <c r="K5015" s="8">
        <v>12345</v>
      </c>
      <c r="L5015" s="8">
        <f>+K5015-J5015</f>
        <v>12345</v>
      </c>
      <c r="M5015" s="254">
        <f t="shared" si="309"/>
        <v>0</v>
      </c>
    </row>
    <row r="5016" spans="1:13" ht="15.75" hidden="1" customHeight="1" x14ac:dyDescent="0.3">
      <c r="B5016" t="s">
        <v>275</v>
      </c>
      <c r="C5016" s="25">
        <v>44768</v>
      </c>
      <c r="D5016" s="26">
        <v>0.58516203703703706</v>
      </c>
      <c r="E5016" t="s">
        <v>30</v>
      </c>
      <c r="F5016" t="s">
        <v>165</v>
      </c>
      <c r="G5016" t="s">
        <v>185</v>
      </c>
      <c r="H5016" t="s">
        <v>193</v>
      </c>
      <c r="I5016" s="160">
        <v>265.01</v>
      </c>
      <c r="J5016" s="8"/>
      <c r="K5016" s="8">
        <v>1234</v>
      </c>
      <c r="L5016" s="8">
        <f>+K5016-J5016</f>
        <v>1234</v>
      </c>
      <c r="M5016" s="254">
        <f t="shared" si="309"/>
        <v>0</v>
      </c>
    </row>
    <row r="5017" spans="1:13" ht="15.75" hidden="1" customHeight="1" x14ac:dyDescent="0.3">
      <c r="B5017" t="s">
        <v>275</v>
      </c>
      <c r="C5017" s="25">
        <v>44768</v>
      </c>
      <c r="D5017" s="26">
        <v>0.96299768518518514</v>
      </c>
      <c r="E5017" t="s">
        <v>30</v>
      </c>
      <c r="F5017" t="s">
        <v>166</v>
      </c>
      <c r="G5017" t="s">
        <v>161</v>
      </c>
      <c r="H5017" t="s">
        <v>193</v>
      </c>
      <c r="I5017" s="160">
        <v>164.51</v>
      </c>
      <c r="J5017" s="160">
        <f>296+139+404+366+186+344+164</f>
        <v>1899</v>
      </c>
      <c r="K5017" s="160">
        <v>1234</v>
      </c>
      <c r="L5017" s="160">
        <v>5405</v>
      </c>
      <c r="M5017" s="254">
        <f t="shared" si="309"/>
        <v>35.134135060129509</v>
      </c>
    </row>
    <row r="5018" spans="1:13" ht="15.75" hidden="1" customHeight="1" x14ac:dyDescent="0.3">
      <c r="B5018" t="s">
        <v>275</v>
      </c>
      <c r="C5018" s="25">
        <v>44769</v>
      </c>
      <c r="D5018" s="26">
        <v>0.70971064814814822</v>
      </c>
      <c r="E5018" t="s">
        <v>30</v>
      </c>
      <c r="F5018" t="s">
        <v>169</v>
      </c>
      <c r="G5018" t="s">
        <v>196</v>
      </c>
      <c r="H5018" t="s">
        <v>193</v>
      </c>
      <c r="I5018" s="160">
        <v>157.84</v>
      </c>
      <c r="J5018" s="8"/>
      <c r="K5018" s="8">
        <v>98566</v>
      </c>
      <c r="L5018" s="8">
        <f>+K5018-J5018</f>
        <v>98566</v>
      </c>
      <c r="M5018" s="254">
        <f t="shared" si="309"/>
        <v>0</v>
      </c>
    </row>
    <row r="5019" spans="1:13" ht="15.75" hidden="1" customHeight="1" x14ac:dyDescent="0.3">
      <c r="B5019" t="s">
        <v>275</v>
      </c>
      <c r="C5019" s="25">
        <v>44770</v>
      </c>
      <c r="D5019" s="26">
        <v>0.40069444444444446</v>
      </c>
      <c r="E5019" t="s">
        <v>30</v>
      </c>
      <c r="F5019" t="s">
        <v>428</v>
      </c>
      <c r="G5019" t="s">
        <v>429</v>
      </c>
      <c r="H5019" t="s">
        <v>193</v>
      </c>
      <c r="I5019" s="160">
        <v>101.46</v>
      </c>
      <c r="J5019" s="8"/>
      <c r="K5019" s="8">
        <v>250150</v>
      </c>
      <c r="L5019" s="8">
        <f>+K5019-J5019</f>
        <v>250150</v>
      </c>
      <c r="M5019" s="254">
        <f t="shared" si="309"/>
        <v>0</v>
      </c>
    </row>
    <row r="5020" spans="1:13" ht="15.75" hidden="1" customHeight="1" x14ac:dyDescent="0.3">
      <c r="B5020" t="s">
        <v>275</v>
      </c>
      <c r="C5020" s="25">
        <v>44770</v>
      </c>
      <c r="D5020" s="26">
        <v>0.40262731481481479</v>
      </c>
      <c r="E5020" t="s">
        <v>30</v>
      </c>
      <c r="F5020" t="s">
        <v>428</v>
      </c>
      <c r="G5020" t="s">
        <v>429</v>
      </c>
      <c r="H5020" t="s">
        <v>193</v>
      </c>
      <c r="I5020" s="160">
        <v>63.59</v>
      </c>
      <c r="J5020" s="8"/>
      <c r="K5020" s="8">
        <v>3689</v>
      </c>
      <c r="L5020" s="8">
        <f>+K5020-J5020</f>
        <v>3689</v>
      </c>
      <c r="M5020" s="254">
        <f t="shared" si="309"/>
        <v>0</v>
      </c>
    </row>
    <row r="5021" spans="1:13" ht="15.75" hidden="1" customHeight="1" x14ac:dyDescent="0.3">
      <c r="B5021" t="s">
        <v>275</v>
      </c>
      <c r="C5021" s="25">
        <v>44771</v>
      </c>
      <c r="D5021" s="26">
        <v>0.73215277777777776</v>
      </c>
      <c r="E5021" t="s">
        <v>30</v>
      </c>
      <c r="F5021" t="s">
        <v>541</v>
      </c>
      <c r="G5021" t="s">
        <v>542</v>
      </c>
      <c r="H5021" t="s">
        <v>193</v>
      </c>
      <c r="I5021" s="160">
        <v>100</v>
      </c>
      <c r="J5021" s="8"/>
      <c r="K5021" s="8">
        <v>2358</v>
      </c>
      <c r="L5021" s="8">
        <f>+K5021-J5021</f>
        <v>2358</v>
      </c>
      <c r="M5021" s="254">
        <f t="shared" si="309"/>
        <v>0</v>
      </c>
    </row>
    <row r="5022" spans="1:13" ht="15.75" hidden="1" customHeight="1" x14ac:dyDescent="0.3">
      <c r="B5022" t="s">
        <v>275</v>
      </c>
      <c r="C5022" s="25">
        <v>44772</v>
      </c>
      <c r="D5022" s="26">
        <v>0.35407407407407404</v>
      </c>
      <c r="E5022" t="s">
        <v>30</v>
      </c>
      <c r="F5022" t="s">
        <v>166</v>
      </c>
      <c r="G5022" t="s">
        <v>161</v>
      </c>
      <c r="H5022" t="s">
        <v>193</v>
      </c>
      <c r="I5022" s="160">
        <v>283.31</v>
      </c>
      <c r="J5022" s="160">
        <f>158+101+63+100+283</f>
        <v>705</v>
      </c>
      <c r="K5022" s="160">
        <v>1234</v>
      </c>
      <c r="L5022" s="160">
        <v>1793</v>
      </c>
      <c r="M5022" s="254">
        <f t="shared" si="309"/>
        <v>39.319576129392082</v>
      </c>
    </row>
    <row r="5023" spans="1:13" ht="15.75" hidden="1" customHeight="1" x14ac:dyDescent="0.3">
      <c r="B5023" t="s">
        <v>275</v>
      </c>
      <c r="C5023" s="25">
        <v>44773</v>
      </c>
      <c r="D5023" s="26">
        <v>3.2638888888888891E-3</v>
      </c>
      <c r="E5023" t="s">
        <v>30</v>
      </c>
      <c r="F5023" t="s">
        <v>165</v>
      </c>
      <c r="G5023" t="s">
        <v>185</v>
      </c>
      <c r="H5023" t="s">
        <v>193</v>
      </c>
      <c r="I5023" s="160">
        <v>303.45999999999998</v>
      </c>
      <c r="J5023" s="8"/>
      <c r="K5023" s="8">
        <v>2500</v>
      </c>
      <c r="L5023" s="8">
        <f>+K5023-J5023</f>
        <v>2500</v>
      </c>
      <c r="M5023" s="254">
        <f t="shared" si="309"/>
        <v>0</v>
      </c>
    </row>
    <row r="5024" spans="1:13" ht="15.75" hidden="1" customHeight="1" x14ac:dyDescent="0.3">
      <c r="B5024" t="s">
        <v>213</v>
      </c>
      <c r="C5024" s="25">
        <v>44573</v>
      </c>
      <c r="D5024" s="26">
        <v>0.39186342592592593</v>
      </c>
      <c r="E5024" t="s">
        <v>24</v>
      </c>
      <c r="F5024" t="s">
        <v>210</v>
      </c>
      <c r="G5024" t="s">
        <v>211</v>
      </c>
      <c r="H5024" s="27" t="s">
        <v>214</v>
      </c>
      <c r="I5024">
        <v>352.3</v>
      </c>
      <c r="J5024" s="34">
        <v>0</v>
      </c>
      <c r="K5024" s="30">
        <f t="shared" ref="K5024:K5055" si="310">+L5024-J5024</f>
        <v>844.27</v>
      </c>
      <c r="L5024" s="34">
        <v>844.27</v>
      </c>
      <c r="M5024" s="118">
        <f t="shared" ref="M5024:M5055" si="311">I5024/K5024*100</f>
        <v>41.728357042178452</v>
      </c>
    </row>
    <row r="5025" spans="1:13" ht="15.75" hidden="1" customHeight="1" x14ac:dyDescent="0.3">
      <c r="B5025" t="s">
        <v>213</v>
      </c>
      <c r="C5025" s="25">
        <v>44575</v>
      </c>
      <c r="D5025" s="26">
        <v>0.29599537037037038</v>
      </c>
      <c r="E5025" t="s">
        <v>24</v>
      </c>
      <c r="F5025" t="s">
        <v>210</v>
      </c>
      <c r="G5025" t="s">
        <v>211</v>
      </c>
      <c r="H5025" t="s">
        <v>214</v>
      </c>
      <c r="I5025">
        <v>446.68</v>
      </c>
      <c r="J5025" s="7">
        <v>0</v>
      </c>
      <c r="K5025" s="11">
        <f t="shared" si="310"/>
        <v>1121.28</v>
      </c>
      <c r="L5025" s="7">
        <v>1121.28</v>
      </c>
      <c r="M5025" s="36">
        <f t="shared" si="311"/>
        <v>39.836615296803657</v>
      </c>
    </row>
    <row r="5026" spans="1:13" ht="15.75" hidden="1" customHeight="1" x14ac:dyDescent="0.3">
      <c r="B5026" t="s">
        <v>213</v>
      </c>
      <c r="C5026" s="25">
        <v>44576</v>
      </c>
      <c r="D5026" s="26">
        <v>0.38167824074074069</v>
      </c>
      <c r="E5026" t="s">
        <v>24</v>
      </c>
      <c r="F5026" t="s">
        <v>175</v>
      </c>
      <c r="G5026" t="s">
        <v>172</v>
      </c>
      <c r="H5026" t="s">
        <v>214</v>
      </c>
      <c r="I5026">
        <v>344.74</v>
      </c>
      <c r="J5026" s="7">
        <v>549142</v>
      </c>
      <c r="K5026" s="11">
        <f t="shared" si="310"/>
        <v>998</v>
      </c>
      <c r="L5026" s="31">
        <v>550140</v>
      </c>
      <c r="M5026" s="36">
        <f t="shared" si="311"/>
        <v>34.543086172344687</v>
      </c>
    </row>
    <row r="5027" spans="1:13" ht="15.75" hidden="1" customHeight="1" x14ac:dyDescent="0.3">
      <c r="B5027" t="s">
        <v>213</v>
      </c>
      <c r="C5027" s="25">
        <v>44577</v>
      </c>
      <c r="D5027" s="26">
        <v>0.679224537037037</v>
      </c>
      <c r="E5027" t="s">
        <v>24</v>
      </c>
      <c r="F5027" t="s">
        <v>210</v>
      </c>
      <c r="G5027" t="s">
        <v>211</v>
      </c>
      <c r="H5027" t="s">
        <v>214</v>
      </c>
      <c r="I5027">
        <v>364.97</v>
      </c>
      <c r="J5027" s="7">
        <v>550140</v>
      </c>
      <c r="K5027" s="11">
        <f t="shared" si="310"/>
        <v>783</v>
      </c>
      <c r="L5027" s="7">
        <v>550923</v>
      </c>
      <c r="M5027" s="36">
        <f t="shared" si="311"/>
        <v>46.611749680715207</v>
      </c>
    </row>
    <row r="5028" spans="1:13" ht="15.75" hidden="1" customHeight="1" x14ac:dyDescent="0.3">
      <c r="B5028" t="s">
        <v>213</v>
      </c>
      <c r="C5028" s="25">
        <v>44578</v>
      </c>
      <c r="D5028" s="26">
        <v>0.70385416666666656</v>
      </c>
      <c r="E5028" t="s">
        <v>24</v>
      </c>
      <c r="F5028" t="s">
        <v>210</v>
      </c>
      <c r="G5028" t="s">
        <v>211</v>
      </c>
      <c r="H5028" t="s">
        <v>214</v>
      </c>
      <c r="I5028">
        <v>420.85</v>
      </c>
      <c r="J5028" s="7">
        <v>550923</v>
      </c>
      <c r="K5028" s="11">
        <f t="shared" si="310"/>
        <v>1075</v>
      </c>
      <c r="L5028" s="7">
        <v>551998</v>
      </c>
      <c r="M5028" s="36">
        <f t="shared" si="311"/>
        <v>39.148837209302329</v>
      </c>
    </row>
    <row r="5029" spans="1:13" ht="15.75" hidden="1" customHeight="1" x14ac:dyDescent="0.3">
      <c r="B5029" t="s">
        <v>213</v>
      </c>
      <c r="C5029" s="25">
        <v>44580</v>
      </c>
      <c r="D5029" s="26">
        <v>0.56414351851851852</v>
      </c>
      <c r="E5029" t="s">
        <v>24</v>
      </c>
      <c r="F5029" t="s">
        <v>175</v>
      </c>
      <c r="G5029" t="s">
        <v>172</v>
      </c>
      <c r="H5029" t="s">
        <v>214</v>
      </c>
      <c r="I5029">
        <v>380.57</v>
      </c>
      <c r="J5029" s="7">
        <v>551998</v>
      </c>
      <c r="K5029" s="11">
        <f t="shared" si="310"/>
        <v>928</v>
      </c>
      <c r="L5029" s="7">
        <v>552926</v>
      </c>
      <c r="M5029" s="36">
        <f t="shared" si="311"/>
        <v>41.009698275862064</v>
      </c>
    </row>
    <row r="5030" spans="1:13" ht="15.75" hidden="1" customHeight="1" x14ac:dyDescent="0.3">
      <c r="B5030" t="s">
        <v>213</v>
      </c>
      <c r="C5030" s="25">
        <v>44581</v>
      </c>
      <c r="D5030" s="26">
        <v>0.72277777777777785</v>
      </c>
      <c r="E5030" t="s">
        <v>24</v>
      </c>
      <c r="F5030" t="s">
        <v>210</v>
      </c>
      <c r="G5030" t="s">
        <v>211</v>
      </c>
      <c r="H5030" t="s">
        <v>214</v>
      </c>
      <c r="I5030">
        <v>345.89</v>
      </c>
      <c r="J5030" s="34">
        <v>552926</v>
      </c>
      <c r="K5030" s="11">
        <f t="shared" si="310"/>
        <v>837</v>
      </c>
      <c r="L5030" s="34">
        <v>553763</v>
      </c>
      <c r="M5030" s="36">
        <f t="shared" si="311"/>
        <v>41.324970131421743</v>
      </c>
    </row>
    <row r="5031" spans="1:13" ht="15.75" hidden="1" customHeight="1" x14ac:dyDescent="0.3">
      <c r="B5031" t="s">
        <v>213</v>
      </c>
      <c r="C5031" s="25">
        <v>44582</v>
      </c>
      <c r="D5031" s="26">
        <v>0.74442129629629628</v>
      </c>
      <c r="E5031" t="s">
        <v>24</v>
      </c>
      <c r="F5031" t="s">
        <v>210</v>
      </c>
      <c r="G5031" t="s">
        <v>211</v>
      </c>
      <c r="H5031" t="s">
        <v>214</v>
      </c>
      <c r="I5031">
        <v>392.65</v>
      </c>
      <c r="J5031" s="34">
        <v>0</v>
      </c>
      <c r="K5031" s="11">
        <f t="shared" si="310"/>
        <v>1062.71</v>
      </c>
      <c r="L5031" s="7">
        <v>1062.71</v>
      </c>
      <c r="M5031" s="36">
        <f t="shared" si="311"/>
        <v>36.947991455806381</v>
      </c>
    </row>
    <row r="5032" spans="1:13" ht="15.75" hidden="1" customHeight="1" x14ac:dyDescent="0.3">
      <c r="B5032" t="s">
        <v>213</v>
      </c>
      <c r="C5032" s="25">
        <v>44586</v>
      </c>
      <c r="D5032" s="26">
        <v>0.53901620370370373</v>
      </c>
      <c r="E5032" t="s">
        <v>24</v>
      </c>
      <c r="F5032" t="s">
        <v>210</v>
      </c>
      <c r="G5032" t="s">
        <v>211</v>
      </c>
      <c r="H5032" t="s">
        <v>214</v>
      </c>
      <c r="I5032">
        <f>365.05+314.6</f>
        <v>679.65000000000009</v>
      </c>
      <c r="J5032" s="34">
        <v>0</v>
      </c>
      <c r="K5032" s="11">
        <f t="shared" si="310"/>
        <v>1750.61</v>
      </c>
      <c r="L5032" s="7">
        <v>1750.61</v>
      </c>
      <c r="M5032" s="36">
        <f t="shared" si="311"/>
        <v>38.823610055923368</v>
      </c>
    </row>
    <row r="5033" spans="1:13" ht="15.75" hidden="1" customHeight="1" x14ac:dyDescent="0.3">
      <c r="B5033" t="s">
        <v>213</v>
      </c>
      <c r="C5033" s="25">
        <v>44587</v>
      </c>
      <c r="D5033" s="26">
        <v>0.5382986111111111</v>
      </c>
      <c r="E5033" t="s">
        <v>24</v>
      </c>
      <c r="F5033" t="s">
        <v>210</v>
      </c>
      <c r="G5033" t="s">
        <v>211</v>
      </c>
      <c r="H5033" t="s">
        <v>214</v>
      </c>
      <c r="I5033">
        <v>414.93</v>
      </c>
      <c r="J5033" s="34">
        <v>0</v>
      </c>
      <c r="K5033" s="11">
        <f t="shared" si="310"/>
        <v>1056.8900000000001</v>
      </c>
      <c r="L5033" s="32">
        <v>1056.8900000000001</v>
      </c>
      <c r="M5033" s="36">
        <f t="shared" si="311"/>
        <v>39.259525589228772</v>
      </c>
    </row>
    <row r="5034" spans="1:13" ht="15.75" hidden="1" customHeight="1" x14ac:dyDescent="0.3">
      <c r="B5034" t="s">
        <v>213</v>
      </c>
      <c r="C5034" s="25">
        <v>44589</v>
      </c>
      <c r="D5034" s="26">
        <v>0.3538310185185185</v>
      </c>
      <c r="E5034" t="s">
        <v>24</v>
      </c>
      <c r="F5034" t="s">
        <v>175</v>
      </c>
      <c r="G5034" t="s">
        <v>172</v>
      </c>
      <c r="H5034" t="s">
        <v>214</v>
      </c>
      <c r="I5034">
        <v>473.23</v>
      </c>
      <c r="J5034" s="7">
        <v>0</v>
      </c>
      <c r="K5034" s="11">
        <f t="shared" si="310"/>
        <v>1182.5999999999999</v>
      </c>
      <c r="L5034" s="7">
        <v>1182.5999999999999</v>
      </c>
      <c r="M5034" s="36">
        <f t="shared" si="311"/>
        <v>40.01606629460511</v>
      </c>
    </row>
    <row r="5035" spans="1:13" ht="15.75" hidden="1" customHeight="1" x14ac:dyDescent="0.3">
      <c r="B5035" t="s">
        <v>213</v>
      </c>
      <c r="C5035" s="25">
        <v>44590</v>
      </c>
      <c r="D5035" s="26">
        <v>0.55796296296296299</v>
      </c>
      <c r="E5035" t="s">
        <v>24</v>
      </c>
      <c r="F5035" t="s">
        <v>210</v>
      </c>
      <c r="G5035" t="s">
        <v>211</v>
      </c>
      <c r="H5035" t="s">
        <v>214</v>
      </c>
      <c r="I5035">
        <v>348.6</v>
      </c>
      <c r="J5035" s="7">
        <v>0</v>
      </c>
      <c r="K5035" s="11">
        <f t="shared" si="310"/>
        <v>827.16</v>
      </c>
      <c r="L5035" s="7">
        <v>827.16</v>
      </c>
      <c r="M5035" s="36">
        <f t="shared" si="311"/>
        <v>42.144204265196585</v>
      </c>
    </row>
    <row r="5036" spans="1:13" ht="15.75" hidden="1" customHeight="1" x14ac:dyDescent="0.3">
      <c r="B5036" t="s">
        <v>213</v>
      </c>
      <c r="C5036" s="25">
        <v>44591</v>
      </c>
      <c r="D5036" s="26">
        <v>0.56966435185185182</v>
      </c>
      <c r="E5036" t="s">
        <v>24</v>
      </c>
      <c r="F5036" t="s">
        <v>210</v>
      </c>
      <c r="G5036" t="s">
        <v>211</v>
      </c>
      <c r="H5036" t="s">
        <v>214</v>
      </c>
      <c r="I5036">
        <v>381.6</v>
      </c>
      <c r="J5036" s="7">
        <v>0</v>
      </c>
      <c r="K5036" s="11">
        <f t="shared" si="310"/>
        <v>1063.17</v>
      </c>
      <c r="L5036" s="7">
        <v>1063.17</v>
      </c>
      <c r="M5036" s="36">
        <f t="shared" si="311"/>
        <v>35.892660628121561</v>
      </c>
    </row>
    <row r="5037" spans="1:13" ht="15.75" hidden="1" customHeight="1" x14ac:dyDescent="0.3">
      <c r="A5037" s="9">
        <v>517</v>
      </c>
      <c r="B5037" t="s">
        <v>213</v>
      </c>
      <c r="C5037" s="25">
        <v>44593</v>
      </c>
      <c r="D5037" s="26">
        <v>6.0300925925925924E-2</v>
      </c>
      <c r="E5037" t="s">
        <v>25</v>
      </c>
      <c r="F5037" t="s">
        <v>171</v>
      </c>
      <c r="G5037" t="s">
        <v>172</v>
      </c>
      <c r="H5037" t="s">
        <v>214</v>
      </c>
      <c r="I5037">
        <v>391.63</v>
      </c>
      <c r="J5037" s="7">
        <v>0</v>
      </c>
      <c r="K5037" s="11">
        <f t="shared" si="310"/>
        <v>1749.26</v>
      </c>
      <c r="L5037" s="7">
        <v>1749.26</v>
      </c>
      <c r="M5037" s="36">
        <f t="shared" si="311"/>
        <v>22.388324205664109</v>
      </c>
    </row>
    <row r="5038" spans="1:13" ht="15.75" hidden="1" customHeight="1" x14ac:dyDescent="0.3">
      <c r="A5038" s="9">
        <v>518</v>
      </c>
      <c r="B5038" t="s">
        <v>213</v>
      </c>
      <c r="C5038" s="25">
        <v>44593</v>
      </c>
      <c r="D5038" s="26">
        <v>0.79797453703703702</v>
      </c>
      <c r="E5038" t="s">
        <v>25</v>
      </c>
      <c r="F5038" t="s">
        <v>210</v>
      </c>
      <c r="G5038" t="s">
        <v>211</v>
      </c>
      <c r="H5038" t="s">
        <v>214</v>
      </c>
      <c r="I5038">
        <v>306.33</v>
      </c>
      <c r="J5038" s="34">
        <v>0</v>
      </c>
      <c r="K5038" s="11">
        <f t="shared" si="310"/>
        <v>697.88</v>
      </c>
      <c r="L5038" s="7">
        <v>697.88</v>
      </c>
      <c r="M5038" s="36">
        <f t="shared" si="311"/>
        <v>43.894365793546164</v>
      </c>
    </row>
    <row r="5039" spans="1:13" ht="15.75" hidden="1" customHeight="1" x14ac:dyDescent="0.3">
      <c r="A5039" s="9">
        <v>519</v>
      </c>
      <c r="B5039" t="s">
        <v>213</v>
      </c>
      <c r="C5039" s="25">
        <v>44595</v>
      </c>
      <c r="D5039" s="26">
        <v>0.80642361111111116</v>
      </c>
      <c r="E5039" t="s">
        <v>25</v>
      </c>
      <c r="F5039" t="s">
        <v>210</v>
      </c>
      <c r="G5039" t="s">
        <v>211</v>
      </c>
      <c r="H5039" s="27" t="s">
        <v>214</v>
      </c>
      <c r="I5039">
        <v>405.46</v>
      </c>
      <c r="J5039" s="34">
        <v>0</v>
      </c>
      <c r="K5039" s="11">
        <f t="shared" si="310"/>
        <v>1063.18</v>
      </c>
      <c r="L5039" s="7">
        <v>1063.18</v>
      </c>
      <c r="M5039" s="36">
        <f t="shared" si="311"/>
        <v>38.136533794841888</v>
      </c>
    </row>
    <row r="5040" spans="1:13" ht="15.75" hidden="1" customHeight="1" x14ac:dyDescent="0.3">
      <c r="A5040" s="9">
        <v>520</v>
      </c>
      <c r="B5040" t="s">
        <v>213</v>
      </c>
      <c r="C5040" s="25">
        <v>44597</v>
      </c>
      <c r="D5040" s="26">
        <v>0.28627314814814814</v>
      </c>
      <c r="E5040" t="s">
        <v>25</v>
      </c>
      <c r="F5040" t="s">
        <v>175</v>
      </c>
      <c r="G5040" t="s">
        <v>172</v>
      </c>
      <c r="H5040" t="s">
        <v>214</v>
      </c>
      <c r="I5040">
        <v>344.66</v>
      </c>
      <c r="J5040" s="34">
        <v>0</v>
      </c>
      <c r="K5040" s="11">
        <f t="shared" si="310"/>
        <v>943.78</v>
      </c>
      <c r="L5040" s="7">
        <v>943.78</v>
      </c>
      <c r="M5040" s="36">
        <f t="shared" si="311"/>
        <v>36.519104028481223</v>
      </c>
    </row>
    <row r="5041" spans="1:13" ht="15.75" hidden="1" customHeight="1" x14ac:dyDescent="0.3">
      <c r="A5041" s="9">
        <v>521</v>
      </c>
      <c r="B5041" t="s">
        <v>213</v>
      </c>
      <c r="C5041" s="25">
        <v>44600</v>
      </c>
      <c r="D5041" s="26">
        <v>0.48398148148148151</v>
      </c>
      <c r="E5041" t="s">
        <v>25</v>
      </c>
      <c r="F5041" t="s">
        <v>210</v>
      </c>
      <c r="G5041" t="s">
        <v>211</v>
      </c>
      <c r="H5041" t="s">
        <v>214</v>
      </c>
      <c r="I5041">
        <v>340.18</v>
      </c>
      <c r="J5041" s="34">
        <v>0</v>
      </c>
      <c r="K5041" s="11">
        <f t="shared" si="310"/>
        <v>829.67</v>
      </c>
      <c r="L5041" s="7">
        <v>829.67</v>
      </c>
      <c r="M5041" s="36">
        <f t="shared" si="311"/>
        <v>41.001844106693028</v>
      </c>
    </row>
    <row r="5042" spans="1:13" ht="15.75" hidden="1" customHeight="1" x14ac:dyDescent="0.3">
      <c r="A5042" s="9">
        <v>522</v>
      </c>
      <c r="B5042" t="s">
        <v>213</v>
      </c>
      <c r="C5042" s="25">
        <v>44601</v>
      </c>
      <c r="D5042" s="26">
        <v>0.5508333333333334</v>
      </c>
      <c r="E5042" t="s">
        <v>25</v>
      </c>
      <c r="F5042" t="s">
        <v>210</v>
      </c>
      <c r="G5042" t="s">
        <v>211</v>
      </c>
      <c r="H5042" t="s">
        <v>214</v>
      </c>
      <c r="I5042">
        <v>395.83</v>
      </c>
      <c r="J5042" s="7">
        <v>0</v>
      </c>
      <c r="K5042" s="11">
        <f t="shared" si="310"/>
        <v>1062.75</v>
      </c>
      <c r="L5042" s="32">
        <v>1062.75</v>
      </c>
      <c r="M5042" s="36">
        <f t="shared" si="311"/>
        <v>37.245824511879555</v>
      </c>
    </row>
    <row r="5043" spans="1:13" ht="15.75" hidden="1" customHeight="1" x14ac:dyDescent="0.3">
      <c r="A5043" s="9">
        <v>523</v>
      </c>
      <c r="B5043" t="s">
        <v>213</v>
      </c>
      <c r="C5043" s="25">
        <v>44602</v>
      </c>
      <c r="D5043" s="26">
        <v>0.79953703703703705</v>
      </c>
      <c r="E5043" t="s">
        <v>25</v>
      </c>
      <c r="F5043" t="s">
        <v>171</v>
      </c>
      <c r="G5043" t="s">
        <v>172</v>
      </c>
      <c r="H5043" s="27" t="s">
        <v>214</v>
      </c>
      <c r="I5043">
        <v>438.97</v>
      </c>
      <c r="J5043" s="7">
        <v>0</v>
      </c>
      <c r="K5043" s="11">
        <f t="shared" si="310"/>
        <v>1169.26</v>
      </c>
      <c r="L5043" s="32">
        <v>1169.26</v>
      </c>
      <c r="M5043" s="36">
        <f t="shared" si="311"/>
        <v>37.542548278398307</v>
      </c>
    </row>
    <row r="5044" spans="1:13" ht="15.75" hidden="1" customHeight="1" x14ac:dyDescent="0.3">
      <c r="A5044" s="9">
        <v>524</v>
      </c>
      <c r="B5044" t="s">
        <v>213</v>
      </c>
      <c r="C5044" s="25">
        <v>44604</v>
      </c>
      <c r="D5044" s="26">
        <v>0.65619212962962969</v>
      </c>
      <c r="E5044" t="s">
        <v>25</v>
      </c>
      <c r="F5044" t="s">
        <v>210</v>
      </c>
      <c r="G5044" t="s">
        <v>211</v>
      </c>
      <c r="H5044" t="s">
        <v>214</v>
      </c>
      <c r="I5044">
        <v>450.18</v>
      </c>
      <c r="J5044" s="7">
        <v>0</v>
      </c>
      <c r="K5044" s="11">
        <f t="shared" si="310"/>
        <v>1078.96</v>
      </c>
      <c r="L5044" s="7">
        <v>1078.96</v>
      </c>
      <c r="M5044" s="36">
        <f t="shared" si="311"/>
        <v>41.723511529621113</v>
      </c>
    </row>
    <row r="5045" spans="1:13" ht="15" hidden="1" customHeight="1" x14ac:dyDescent="0.3">
      <c r="A5045" s="9">
        <v>525</v>
      </c>
      <c r="B5045" t="s">
        <v>213</v>
      </c>
      <c r="C5045" s="25">
        <v>44605</v>
      </c>
      <c r="D5045" s="26">
        <v>0.68934027777777773</v>
      </c>
      <c r="E5045" t="s">
        <v>25</v>
      </c>
      <c r="F5045" t="s">
        <v>210</v>
      </c>
      <c r="G5045" t="s">
        <v>211</v>
      </c>
      <c r="H5045" t="s">
        <v>214</v>
      </c>
      <c r="I5045">
        <v>405.6</v>
      </c>
      <c r="J5045" s="31">
        <v>0</v>
      </c>
      <c r="K5045" s="11">
        <f t="shared" si="310"/>
        <v>1062.99</v>
      </c>
      <c r="L5045" s="7">
        <v>1062.99</v>
      </c>
      <c r="M5045" s="36">
        <f t="shared" si="311"/>
        <v>38.156520757485964</v>
      </c>
    </row>
    <row r="5046" spans="1:13" ht="15.75" hidden="1" customHeight="1" x14ac:dyDescent="0.3">
      <c r="A5046" s="9">
        <v>526</v>
      </c>
      <c r="B5046" t="s">
        <v>213</v>
      </c>
      <c r="C5046" s="25">
        <v>44614</v>
      </c>
      <c r="D5046" s="26">
        <v>0.4890856481481482</v>
      </c>
      <c r="E5046" t="s">
        <v>25</v>
      </c>
      <c r="F5046" t="s">
        <v>175</v>
      </c>
      <c r="G5046" t="s">
        <v>172</v>
      </c>
      <c r="H5046" t="s">
        <v>214</v>
      </c>
      <c r="I5046">
        <v>389.89</v>
      </c>
      <c r="J5046" s="31">
        <v>0</v>
      </c>
      <c r="K5046" s="11">
        <f t="shared" si="310"/>
        <v>1090.3</v>
      </c>
      <c r="L5046" s="7">
        <v>1090.3</v>
      </c>
      <c r="M5046" s="36">
        <f t="shared" si="311"/>
        <v>35.75988260111896</v>
      </c>
    </row>
    <row r="5047" spans="1:13" ht="15.75" hidden="1" customHeight="1" x14ac:dyDescent="0.3">
      <c r="A5047" s="9">
        <v>527</v>
      </c>
      <c r="B5047" t="s">
        <v>213</v>
      </c>
      <c r="C5047" s="25">
        <v>44615</v>
      </c>
      <c r="D5047" s="26">
        <v>0.71478009259259256</v>
      </c>
      <c r="E5047" t="s">
        <v>25</v>
      </c>
      <c r="F5047" t="s">
        <v>171</v>
      </c>
      <c r="G5047" t="s">
        <v>172</v>
      </c>
      <c r="H5047" t="s">
        <v>214</v>
      </c>
      <c r="I5047">
        <v>203.61</v>
      </c>
      <c r="J5047" s="31">
        <v>0</v>
      </c>
      <c r="K5047" s="11">
        <f t="shared" si="310"/>
        <v>522.76</v>
      </c>
      <c r="L5047" s="7">
        <v>522.76</v>
      </c>
      <c r="M5047" s="36">
        <f t="shared" si="311"/>
        <v>38.949039712296276</v>
      </c>
    </row>
    <row r="5048" spans="1:13" ht="15.75" hidden="1" customHeight="1" x14ac:dyDescent="0.3">
      <c r="A5048" s="9">
        <v>528</v>
      </c>
      <c r="B5048" t="s">
        <v>213</v>
      </c>
      <c r="C5048" s="25">
        <v>44616</v>
      </c>
      <c r="D5048" s="26">
        <v>0.60556712962962966</v>
      </c>
      <c r="E5048" t="s">
        <v>25</v>
      </c>
      <c r="F5048" t="s">
        <v>210</v>
      </c>
      <c r="G5048" t="s">
        <v>211</v>
      </c>
      <c r="H5048" t="s">
        <v>214</v>
      </c>
      <c r="I5048">
        <v>304.27999999999997</v>
      </c>
      <c r="J5048" s="31">
        <v>0</v>
      </c>
      <c r="K5048" s="11">
        <f t="shared" si="310"/>
        <v>690.26</v>
      </c>
      <c r="L5048" s="7">
        <v>690.26</v>
      </c>
      <c r="M5048" s="36">
        <f t="shared" si="311"/>
        <v>44.081940138498531</v>
      </c>
    </row>
    <row r="5049" spans="1:13" ht="15.75" hidden="1" customHeight="1" x14ac:dyDescent="0.3">
      <c r="A5049" s="9">
        <v>529</v>
      </c>
      <c r="B5049" t="s">
        <v>213</v>
      </c>
      <c r="C5049" s="25">
        <v>44617</v>
      </c>
      <c r="D5049" s="26">
        <v>0.76104166666666673</v>
      </c>
      <c r="E5049" t="s">
        <v>25</v>
      </c>
      <c r="F5049" t="s">
        <v>210</v>
      </c>
      <c r="G5049" t="s">
        <v>211</v>
      </c>
      <c r="H5049" t="s">
        <v>214</v>
      </c>
      <c r="I5049">
        <v>438.36</v>
      </c>
      <c r="J5049" s="31">
        <v>0</v>
      </c>
      <c r="K5049" s="73">
        <f t="shared" si="310"/>
        <v>1084.3699999999999</v>
      </c>
      <c r="L5049" s="7">
        <v>1084.3699999999999</v>
      </c>
      <c r="M5049" s="36">
        <f t="shared" si="311"/>
        <v>40.425316082149088</v>
      </c>
    </row>
    <row r="5050" spans="1:13" ht="15.75" hidden="1" customHeight="1" x14ac:dyDescent="0.3">
      <c r="A5050" s="9">
        <v>530</v>
      </c>
      <c r="B5050" t="s">
        <v>213</v>
      </c>
      <c r="C5050" s="25">
        <v>44620</v>
      </c>
      <c r="D5050" s="26">
        <v>0.31637731481481485</v>
      </c>
      <c r="E5050" t="s">
        <v>25</v>
      </c>
      <c r="F5050" t="s">
        <v>262</v>
      </c>
      <c r="G5050" t="s">
        <v>263</v>
      </c>
      <c r="H5050" t="s">
        <v>214</v>
      </c>
      <c r="I5050">
        <v>410.16</v>
      </c>
      <c r="J5050" s="31">
        <v>0</v>
      </c>
      <c r="K5050" s="73">
        <f t="shared" si="310"/>
        <v>1101.8800000000001</v>
      </c>
      <c r="L5050" s="7">
        <v>1101.8800000000001</v>
      </c>
      <c r="M5050" s="36">
        <f t="shared" si="311"/>
        <v>37.223654118415794</v>
      </c>
    </row>
    <row r="5051" spans="1:13" ht="15.75" hidden="1" customHeight="1" x14ac:dyDescent="0.3">
      <c r="A5051" s="9">
        <v>531</v>
      </c>
      <c r="B5051" t="s">
        <v>213</v>
      </c>
      <c r="C5051" s="25">
        <v>44620</v>
      </c>
      <c r="D5051" s="26">
        <v>0.67032407407407402</v>
      </c>
      <c r="E5051" t="s">
        <v>25</v>
      </c>
      <c r="F5051" t="s">
        <v>210</v>
      </c>
      <c r="G5051" t="s">
        <v>211</v>
      </c>
      <c r="H5051" t="s">
        <v>214</v>
      </c>
      <c r="I5051">
        <v>297.61</v>
      </c>
      <c r="J5051" s="7">
        <v>0</v>
      </c>
      <c r="K5051" s="11">
        <f t="shared" si="310"/>
        <v>634.59</v>
      </c>
      <c r="L5051" s="7">
        <v>634.59</v>
      </c>
      <c r="M5051" s="36">
        <f t="shared" si="311"/>
        <v>46.897997132006495</v>
      </c>
    </row>
    <row r="5052" spans="1:13" ht="15.75" hidden="1" customHeight="1" x14ac:dyDescent="0.3">
      <c r="A5052" s="9">
        <v>1561</v>
      </c>
      <c r="B5052" t="s">
        <v>213</v>
      </c>
      <c r="C5052" s="25">
        <v>44622</v>
      </c>
      <c r="D5052" s="26">
        <v>0.28141203703703704</v>
      </c>
      <c r="E5052" t="s">
        <v>26</v>
      </c>
      <c r="F5052" t="s">
        <v>210</v>
      </c>
      <c r="G5052" t="s">
        <v>211</v>
      </c>
      <c r="H5052" t="s">
        <v>214</v>
      </c>
      <c r="I5052">
        <v>458.19</v>
      </c>
      <c r="J5052" s="7">
        <v>0</v>
      </c>
      <c r="K5052" s="89">
        <f t="shared" si="310"/>
        <v>1119.97</v>
      </c>
      <c r="L5052" s="7">
        <v>1119.97</v>
      </c>
      <c r="M5052" s="36">
        <f t="shared" si="311"/>
        <v>40.910917256712231</v>
      </c>
    </row>
    <row r="5053" spans="1:13" ht="15.75" hidden="1" customHeight="1" x14ac:dyDescent="0.3">
      <c r="A5053" s="9">
        <v>1562</v>
      </c>
      <c r="B5053" t="s">
        <v>213</v>
      </c>
      <c r="C5053" s="25">
        <v>44623</v>
      </c>
      <c r="D5053" s="26">
        <v>0.79134259259259254</v>
      </c>
      <c r="E5053" t="s">
        <v>26</v>
      </c>
      <c r="F5053" t="s">
        <v>262</v>
      </c>
      <c r="G5053" t="s">
        <v>263</v>
      </c>
      <c r="H5053" t="s">
        <v>214</v>
      </c>
      <c r="I5053">
        <v>424.96</v>
      </c>
      <c r="J5053" s="7">
        <v>0</v>
      </c>
      <c r="K5053" s="89">
        <f t="shared" si="310"/>
        <v>1256.3399999999999</v>
      </c>
      <c r="L5053" s="7">
        <v>1256.3399999999999</v>
      </c>
      <c r="M5053" s="36">
        <f t="shared" si="311"/>
        <v>33.825238390881452</v>
      </c>
    </row>
    <row r="5054" spans="1:13" hidden="1" x14ac:dyDescent="0.3">
      <c r="A5054" s="9">
        <v>1563</v>
      </c>
      <c r="B5054" t="s">
        <v>213</v>
      </c>
      <c r="C5054" s="25">
        <v>44627</v>
      </c>
      <c r="D5054" s="26">
        <v>0.72524305555555557</v>
      </c>
      <c r="E5054" t="s">
        <v>26</v>
      </c>
      <c r="F5054" t="s">
        <v>210</v>
      </c>
      <c r="G5054" t="s">
        <v>211</v>
      </c>
      <c r="H5054" t="s">
        <v>214</v>
      </c>
      <c r="I5054">
        <v>366.73</v>
      </c>
      <c r="J5054" s="7">
        <v>0</v>
      </c>
      <c r="K5054" s="89">
        <f t="shared" si="310"/>
        <v>1287.49</v>
      </c>
      <c r="L5054" s="7">
        <v>1287.49</v>
      </c>
      <c r="M5054" s="36">
        <f t="shared" si="311"/>
        <v>28.484104730910531</v>
      </c>
    </row>
    <row r="5055" spans="1:13" ht="15.75" hidden="1" customHeight="1" x14ac:dyDescent="0.3">
      <c r="A5055" s="9">
        <v>1564</v>
      </c>
      <c r="B5055" t="s">
        <v>213</v>
      </c>
      <c r="C5055" s="25">
        <v>44628</v>
      </c>
      <c r="D5055" s="26">
        <v>0.84820601851851851</v>
      </c>
      <c r="E5055" t="s">
        <v>26</v>
      </c>
      <c r="F5055" t="s">
        <v>210</v>
      </c>
      <c r="G5055" t="s">
        <v>211</v>
      </c>
      <c r="H5055" t="s">
        <v>214</v>
      </c>
      <c r="I5055">
        <v>381.58</v>
      </c>
      <c r="J5055" s="7">
        <v>0</v>
      </c>
      <c r="K5055" s="89">
        <f t="shared" si="310"/>
        <v>1063.51</v>
      </c>
      <c r="L5055" s="7">
        <v>1063.51</v>
      </c>
      <c r="M5055" s="36">
        <f t="shared" si="311"/>
        <v>35.879305319178947</v>
      </c>
    </row>
    <row r="5056" spans="1:13" ht="15.75" hidden="1" customHeight="1" x14ac:dyDescent="0.3">
      <c r="A5056" s="9">
        <v>1565</v>
      </c>
      <c r="B5056" t="s">
        <v>213</v>
      </c>
      <c r="C5056" s="25">
        <v>44630</v>
      </c>
      <c r="D5056" s="26">
        <v>0.48386574074074074</v>
      </c>
      <c r="E5056" t="s">
        <v>26</v>
      </c>
      <c r="F5056" t="s">
        <v>171</v>
      </c>
      <c r="G5056" t="s">
        <v>172</v>
      </c>
      <c r="H5056" t="s">
        <v>214</v>
      </c>
      <c r="I5056">
        <v>396.88</v>
      </c>
      <c r="J5056" s="7">
        <v>0</v>
      </c>
      <c r="K5056" s="89">
        <f t="shared" ref="K5056:K5087" si="312">+L5056-J5056</f>
        <v>1046.68</v>
      </c>
      <c r="L5056" s="7">
        <v>1046.68</v>
      </c>
      <c r="M5056" s="36">
        <f t="shared" ref="M5056:M5087" si="313">I5056/K5056*100</f>
        <v>37.917988305881451</v>
      </c>
    </row>
    <row r="5057" spans="1:13" ht="15.75" hidden="1" customHeight="1" x14ac:dyDescent="0.3">
      <c r="A5057" s="9">
        <v>1566</v>
      </c>
      <c r="B5057" t="s">
        <v>213</v>
      </c>
      <c r="C5057" s="25">
        <v>44632</v>
      </c>
      <c r="D5057" s="26">
        <v>0.34980324074074076</v>
      </c>
      <c r="E5057" t="s">
        <v>26</v>
      </c>
      <c r="F5057" t="s">
        <v>210</v>
      </c>
      <c r="G5057" t="s">
        <v>211</v>
      </c>
      <c r="H5057" t="s">
        <v>214</v>
      </c>
      <c r="I5057">
        <v>369.1</v>
      </c>
      <c r="J5057" s="7">
        <v>0</v>
      </c>
      <c r="K5057" s="89">
        <f t="shared" si="312"/>
        <v>889.28</v>
      </c>
      <c r="L5057" s="7">
        <v>889.28</v>
      </c>
      <c r="M5057" s="36">
        <f t="shared" si="313"/>
        <v>41.505487585462404</v>
      </c>
    </row>
    <row r="5058" spans="1:13" ht="15.75" hidden="1" customHeight="1" x14ac:dyDescent="0.3">
      <c r="A5058" s="9">
        <v>1567</v>
      </c>
      <c r="B5058" t="s">
        <v>213</v>
      </c>
      <c r="C5058" s="25">
        <v>44633</v>
      </c>
      <c r="D5058" s="26">
        <v>0.55655092592592592</v>
      </c>
      <c r="E5058" t="s">
        <v>26</v>
      </c>
      <c r="F5058" t="s">
        <v>210</v>
      </c>
      <c r="G5058" t="s">
        <v>211</v>
      </c>
      <c r="H5058" t="s">
        <v>214</v>
      </c>
      <c r="I5058">
        <v>321.70999999999998</v>
      </c>
      <c r="J5058" s="51">
        <v>0</v>
      </c>
      <c r="K5058" s="89">
        <f t="shared" si="312"/>
        <v>885.36</v>
      </c>
      <c r="L5058" s="51">
        <v>885.36</v>
      </c>
      <c r="M5058" s="10">
        <f t="shared" si="313"/>
        <v>36.336631426764249</v>
      </c>
    </row>
    <row r="5059" spans="1:13" ht="15.75" hidden="1" customHeight="1" x14ac:dyDescent="0.3">
      <c r="A5059" s="9">
        <v>1568</v>
      </c>
      <c r="B5059" t="s">
        <v>213</v>
      </c>
      <c r="C5059" s="25">
        <v>44635</v>
      </c>
      <c r="D5059" s="26">
        <v>0.3362384259259259</v>
      </c>
      <c r="E5059" t="s">
        <v>26</v>
      </c>
      <c r="F5059" t="s">
        <v>197</v>
      </c>
      <c r="G5059" t="s">
        <v>44</v>
      </c>
      <c r="H5059" t="s">
        <v>214</v>
      </c>
      <c r="I5059">
        <v>300.01</v>
      </c>
      <c r="J5059" s="51">
        <v>0</v>
      </c>
      <c r="K5059" s="89">
        <f t="shared" si="312"/>
        <v>1154.81</v>
      </c>
      <c r="L5059" s="51">
        <v>1154.81</v>
      </c>
      <c r="M5059" s="10">
        <f t="shared" si="313"/>
        <v>25.979165403832667</v>
      </c>
    </row>
    <row r="5060" spans="1:13" ht="15.75" hidden="1" customHeight="1" x14ac:dyDescent="0.3">
      <c r="A5060" s="9">
        <v>1569</v>
      </c>
      <c r="B5060" t="s">
        <v>213</v>
      </c>
      <c r="C5060" s="25">
        <v>44635</v>
      </c>
      <c r="D5060" s="26">
        <v>0.70287037037037037</v>
      </c>
      <c r="E5060" t="s">
        <v>26</v>
      </c>
      <c r="F5060" t="s">
        <v>210</v>
      </c>
      <c r="G5060" t="s">
        <v>211</v>
      </c>
      <c r="H5060" t="s">
        <v>214</v>
      </c>
      <c r="I5060">
        <v>525</v>
      </c>
      <c r="J5060" s="51">
        <v>0</v>
      </c>
      <c r="K5060" s="89">
        <f t="shared" si="312"/>
        <v>587.32000000000005</v>
      </c>
      <c r="L5060" s="51">
        <v>587.32000000000005</v>
      </c>
      <c r="M5060" s="10">
        <f t="shared" si="313"/>
        <v>89.389089423142394</v>
      </c>
    </row>
    <row r="5061" spans="1:13" ht="15.75" hidden="1" customHeight="1" x14ac:dyDescent="0.3">
      <c r="A5061" s="9">
        <v>1570</v>
      </c>
      <c r="B5061" t="s">
        <v>213</v>
      </c>
      <c r="C5061" s="25">
        <v>44637</v>
      </c>
      <c r="D5061" s="26">
        <v>0.77206018518518515</v>
      </c>
      <c r="E5061" t="s">
        <v>26</v>
      </c>
      <c r="F5061" t="s">
        <v>166</v>
      </c>
      <c r="G5061" t="s">
        <v>161</v>
      </c>
      <c r="H5061" t="s">
        <v>214</v>
      </c>
      <c r="I5061">
        <v>150</v>
      </c>
      <c r="J5061" s="34">
        <v>0</v>
      </c>
      <c r="K5061" s="89">
        <f t="shared" si="312"/>
        <v>1255.3800000000001</v>
      </c>
      <c r="L5061" s="32">
        <v>1255.3800000000001</v>
      </c>
      <c r="M5061" s="36">
        <f t="shared" si="313"/>
        <v>11.948573340343161</v>
      </c>
    </row>
    <row r="5062" spans="1:13" ht="15.75" hidden="1" customHeight="1" x14ac:dyDescent="0.3">
      <c r="A5062" s="9">
        <v>1571</v>
      </c>
      <c r="B5062" t="s">
        <v>213</v>
      </c>
      <c r="C5062" s="25">
        <v>44638</v>
      </c>
      <c r="D5062" s="26">
        <v>0.47011574074074075</v>
      </c>
      <c r="E5062" t="s">
        <v>26</v>
      </c>
      <c r="F5062" t="s">
        <v>169</v>
      </c>
      <c r="G5062" t="s">
        <v>196</v>
      </c>
      <c r="H5062" t="s">
        <v>214</v>
      </c>
      <c r="I5062">
        <v>200</v>
      </c>
      <c r="J5062" s="34">
        <v>0</v>
      </c>
      <c r="K5062" s="89">
        <f t="shared" si="312"/>
        <v>410.53</v>
      </c>
      <c r="L5062" s="32">
        <v>410.53</v>
      </c>
      <c r="M5062" s="36">
        <f t="shared" si="313"/>
        <v>48.717511509512093</v>
      </c>
    </row>
    <row r="5063" spans="1:13" ht="15.75" hidden="1" customHeight="1" x14ac:dyDescent="0.3">
      <c r="A5063" s="9">
        <v>1572</v>
      </c>
      <c r="B5063" t="s">
        <v>213</v>
      </c>
      <c r="C5063" s="25">
        <v>44644</v>
      </c>
      <c r="D5063" s="26">
        <v>0.36682870370370368</v>
      </c>
      <c r="E5063" t="s">
        <v>26</v>
      </c>
      <c r="F5063" t="s">
        <v>210</v>
      </c>
      <c r="G5063" t="s">
        <v>211</v>
      </c>
      <c r="H5063" t="s">
        <v>214</v>
      </c>
      <c r="I5063">
        <v>400.01</v>
      </c>
      <c r="J5063" s="34">
        <v>0</v>
      </c>
      <c r="K5063" s="89">
        <f t="shared" si="312"/>
        <v>1319.67</v>
      </c>
      <c r="L5063" s="7">
        <v>1319.67</v>
      </c>
      <c r="M5063" s="36">
        <f t="shared" si="313"/>
        <v>30.311365720217932</v>
      </c>
    </row>
    <row r="5064" spans="1:13" ht="15.75" hidden="1" customHeight="1" x14ac:dyDescent="0.3">
      <c r="A5064" s="9">
        <v>1573</v>
      </c>
      <c r="B5064" t="s">
        <v>213</v>
      </c>
      <c r="C5064" s="25">
        <v>44645</v>
      </c>
      <c r="D5064" s="26">
        <v>0.30703703703703705</v>
      </c>
      <c r="E5064" t="s">
        <v>26</v>
      </c>
      <c r="F5064" t="s">
        <v>210</v>
      </c>
      <c r="G5064" t="s">
        <v>211</v>
      </c>
      <c r="H5064" t="s">
        <v>214</v>
      </c>
      <c r="I5064">
        <v>356.04</v>
      </c>
      <c r="J5064" s="34">
        <v>0</v>
      </c>
      <c r="K5064" s="89">
        <f t="shared" si="312"/>
        <v>884.63</v>
      </c>
      <c r="L5064" s="7">
        <v>884.63</v>
      </c>
      <c r="M5064" s="36">
        <f t="shared" si="313"/>
        <v>40.247335044029711</v>
      </c>
    </row>
    <row r="5065" spans="1:13" ht="15.75" hidden="1" customHeight="1" x14ac:dyDescent="0.3">
      <c r="A5065" s="9">
        <v>1574</v>
      </c>
      <c r="B5065" t="s">
        <v>213</v>
      </c>
      <c r="C5065" s="25">
        <v>44646</v>
      </c>
      <c r="D5065" s="26">
        <v>0.48950231481481482</v>
      </c>
      <c r="E5065" t="s">
        <v>26</v>
      </c>
      <c r="F5065" t="s">
        <v>428</v>
      </c>
      <c r="G5065" t="s">
        <v>429</v>
      </c>
      <c r="H5065" t="s">
        <v>214</v>
      </c>
      <c r="I5065">
        <v>151.33000000000001</v>
      </c>
      <c r="J5065" s="51">
        <v>0</v>
      </c>
      <c r="K5065" s="89">
        <f t="shared" si="312"/>
        <v>900.85</v>
      </c>
      <c r="L5065" s="51">
        <v>900.85</v>
      </c>
      <c r="M5065" s="10">
        <f t="shared" si="313"/>
        <v>16.798579119720262</v>
      </c>
    </row>
    <row r="5066" spans="1:13" ht="15.75" hidden="1" customHeight="1" x14ac:dyDescent="0.3">
      <c r="A5066" s="9">
        <v>1575</v>
      </c>
      <c r="B5066" t="s">
        <v>213</v>
      </c>
      <c r="C5066" s="25">
        <v>44647</v>
      </c>
      <c r="D5066" s="26">
        <v>0.73093750000000002</v>
      </c>
      <c r="E5066" t="s">
        <v>26</v>
      </c>
      <c r="F5066" t="s">
        <v>210</v>
      </c>
      <c r="G5066" t="s">
        <v>211</v>
      </c>
      <c r="H5066" t="s">
        <v>214</v>
      </c>
      <c r="I5066">
        <v>573.88</v>
      </c>
      <c r="J5066" s="51">
        <v>0</v>
      </c>
      <c r="K5066" s="89">
        <f t="shared" si="312"/>
        <v>973.3</v>
      </c>
      <c r="L5066" s="51">
        <v>973.3</v>
      </c>
      <c r="M5066" s="10">
        <f t="shared" si="313"/>
        <v>58.962293229220187</v>
      </c>
    </row>
    <row r="5067" spans="1:13" ht="15.75" hidden="1" customHeight="1" x14ac:dyDescent="0.3">
      <c r="A5067" s="9">
        <v>1576</v>
      </c>
      <c r="B5067" t="s">
        <v>213</v>
      </c>
      <c r="C5067" s="25">
        <v>44649</v>
      </c>
      <c r="D5067" s="26">
        <v>0.43365740740740738</v>
      </c>
      <c r="E5067" t="s">
        <v>26</v>
      </c>
      <c r="F5067" t="s">
        <v>210</v>
      </c>
      <c r="G5067" t="s">
        <v>211</v>
      </c>
      <c r="H5067" t="s">
        <v>214</v>
      </c>
      <c r="I5067">
        <v>455.86</v>
      </c>
      <c r="J5067" s="51">
        <v>0</v>
      </c>
      <c r="K5067" s="89">
        <f t="shared" si="312"/>
        <v>1119.8499999999999</v>
      </c>
      <c r="L5067" s="51">
        <v>1119.8499999999999</v>
      </c>
      <c r="M5067" s="10">
        <f t="shared" si="313"/>
        <v>40.707237576461139</v>
      </c>
    </row>
    <row r="5068" spans="1:13" ht="15.75" hidden="1" customHeight="1" x14ac:dyDescent="0.3">
      <c r="A5068" s="9">
        <v>2765</v>
      </c>
      <c r="B5068" t="s">
        <v>213</v>
      </c>
      <c r="C5068" s="25">
        <v>44652</v>
      </c>
      <c r="D5068" s="26">
        <v>0.37907407407407406</v>
      </c>
      <c r="E5068" t="s">
        <v>27</v>
      </c>
      <c r="F5068" t="s">
        <v>197</v>
      </c>
      <c r="G5068" t="s">
        <v>44</v>
      </c>
      <c r="H5068" t="s">
        <v>214</v>
      </c>
      <c r="I5068" s="4">
        <v>180</v>
      </c>
      <c r="J5068" s="51">
        <v>0</v>
      </c>
      <c r="K5068" s="89">
        <f t="shared" si="312"/>
        <v>1341.6</v>
      </c>
      <c r="L5068" s="51">
        <v>1341.6</v>
      </c>
      <c r="M5068" s="10">
        <f t="shared" si="313"/>
        <v>13.416815742397139</v>
      </c>
    </row>
    <row r="5069" spans="1:13" ht="15.75" hidden="1" customHeight="1" x14ac:dyDescent="0.3">
      <c r="A5069" s="9">
        <v>2766</v>
      </c>
      <c r="B5069" t="s">
        <v>213</v>
      </c>
      <c r="C5069" s="25">
        <v>44652</v>
      </c>
      <c r="D5069" s="26">
        <v>0.74384259259259267</v>
      </c>
      <c r="E5069" t="s">
        <v>27</v>
      </c>
      <c r="F5069" t="s">
        <v>210</v>
      </c>
      <c r="G5069" t="s">
        <v>211</v>
      </c>
      <c r="H5069" t="s">
        <v>214</v>
      </c>
      <c r="I5069" s="4">
        <v>544.11</v>
      </c>
      <c r="J5069" s="51">
        <v>0</v>
      </c>
      <c r="K5069" s="89">
        <f t="shared" si="312"/>
        <v>1928</v>
      </c>
      <c r="L5069" s="51">
        <v>1928</v>
      </c>
      <c r="M5069" s="10">
        <f t="shared" si="313"/>
        <v>28.221473029045647</v>
      </c>
    </row>
    <row r="5070" spans="1:13" ht="15.75" hidden="1" customHeight="1" x14ac:dyDescent="0.3">
      <c r="A5070" s="9">
        <v>2767</v>
      </c>
      <c r="B5070" t="s">
        <v>213</v>
      </c>
      <c r="C5070" s="25">
        <v>44653</v>
      </c>
      <c r="D5070" s="26">
        <v>0.85358796296296291</v>
      </c>
      <c r="E5070" t="s">
        <v>27</v>
      </c>
      <c r="F5070" t="s">
        <v>210</v>
      </c>
      <c r="G5070" t="s">
        <v>211</v>
      </c>
      <c r="H5070" t="s">
        <v>214</v>
      </c>
      <c r="I5070" s="4">
        <v>403.03</v>
      </c>
      <c r="J5070" s="51">
        <v>0</v>
      </c>
      <c r="K5070" s="89">
        <f t="shared" si="312"/>
        <v>1062.28</v>
      </c>
      <c r="L5070" s="51">
        <v>1062.28</v>
      </c>
      <c r="M5070" s="10">
        <f t="shared" si="313"/>
        <v>37.940091124750538</v>
      </c>
    </row>
    <row r="5071" spans="1:13" ht="15.75" hidden="1" customHeight="1" x14ac:dyDescent="0.3">
      <c r="A5071" s="9">
        <v>2768</v>
      </c>
      <c r="B5071" t="s">
        <v>213</v>
      </c>
      <c r="C5071" s="25">
        <v>44655</v>
      </c>
      <c r="D5071" s="26">
        <v>0.76534722222222218</v>
      </c>
      <c r="E5071" t="s">
        <v>27</v>
      </c>
      <c r="F5071" t="s">
        <v>175</v>
      </c>
      <c r="G5071" t="s">
        <v>172</v>
      </c>
      <c r="H5071" t="s">
        <v>214</v>
      </c>
      <c r="I5071" s="4">
        <v>322.81</v>
      </c>
      <c r="J5071" s="51">
        <v>0</v>
      </c>
      <c r="K5071" s="89">
        <f t="shared" si="312"/>
        <v>911.47</v>
      </c>
      <c r="L5071" s="52">
        <v>911.47</v>
      </c>
      <c r="M5071" s="10">
        <f t="shared" si="313"/>
        <v>35.41641524131348</v>
      </c>
    </row>
    <row r="5072" spans="1:13" ht="15.75" hidden="1" customHeight="1" x14ac:dyDescent="0.3">
      <c r="A5072" s="9">
        <v>2769</v>
      </c>
      <c r="B5072" t="s">
        <v>213</v>
      </c>
      <c r="C5072" s="25">
        <v>44661</v>
      </c>
      <c r="D5072" s="26">
        <v>0.35358796296296297</v>
      </c>
      <c r="E5072" t="s">
        <v>27</v>
      </c>
      <c r="F5072" t="s">
        <v>210</v>
      </c>
      <c r="G5072" t="s">
        <v>211</v>
      </c>
      <c r="H5072" t="s">
        <v>214</v>
      </c>
      <c r="I5072" s="4">
        <v>340.15</v>
      </c>
      <c r="J5072" s="51">
        <v>0</v>
      </c>
      <c r="K5072" s="89">
        <f t="shared" si="312"/>
        <v>847.74</v>
      </c>
      <c r="L5072" s="51">
        <v>847.74</v>
      </c>
      <c r="M5072" s="10">
        <f t="shared" si="313"/>
        <v>40.124330573053058</v>
      </c>
    </row>
    <row r="5073" spans="1:13" ht="15.75" hidden="1" customHeight="1" x14ac:dyDescent="0.3">
      <c r="A5073" s="9">
        <v>2770</v>
      </c>
      <c r="B5073" t="s">
        <v>213</v>
      </c>
      <c r="C5073" s="25">
        <v>44662</v>
      </c>
      <c r="D5073" s="26">
        <v>0.38282407407407404</v>
      </c>
      <c r="E5073" t="s">
        <v>27</v>
      </c>
      <c r="F5073" t="s">
        <v>210</v>
      </c>
      <c r="G5073" t="s">
        <v>211</v>
      </c>
      <c r="H5073" t="s">
        <v>214</v>
      </c>
      <c r="I5073" s="4">
        <v>388.6</v>
      </c>
      <c r="J5073" s="51">
        <v>0</v>
      </c>
      <c r="K5073" s="89">
        <f t="shared" si="312"/>
        <v>1062.83</v>
      </c>
      <c r="L5073" s="52">
        <v>1062.83</v>
      </c>
      <c r="M5073" s="10">
        <f t="shared" si="313"/>
        <v>36.562761683430089</v>
      </c>
    </row>
    <row r="5074" spans="1:13" ht="15.75" hidden="1" customHeight="1" x14ac:dyDescent="0.3">
      <c r="A5074" s="9">
        <v>2771</v>
      </c>
      <c r="B5074" t="s">
        <v>213</v>
      </c>
      <c r="C5074" s="25">
        <v>44664</v>
      </c>
      <c r="D5074" s="26">
        <v>0.60163194444444446</v>
      </c>
      <c r="E5074" t="s">
        <v>27</v>
      </c>
      <c r="F5074" t="s">
        <v>428</v>
      </c>
      <c r="G5074" t="s">
        <v>429</v>
      </c>
      <c r="H5074" t="s">
        <v>214</v>
      </c>
      <c r="I5074" s="4">
        <v>100.19</v>
      </c>
      <c r="J5074" s="7">
        <v>0</v>
      </c>
      <c r="K5074" s="89">
        <f t="shared" si="312"/>
        <v>900</v>
      </c>
      <c r="L5074" s="32">
        <v>900</v>
      </c>
      <c r="M5074" s="36">
        <f t="shared" si="313"/>
        <v>11.132222222222223</v>
      </c>
    </row>
    <row r="5075" spans="1:13" ht="15.75" hidden="1" customHeight="1" x14ac:dyDescent="0.3">
      <c r="A5075" s="9">
        <v>2772</v>
      </c>
      <c r="B5075" t="s">
        <v>213</v>
      </c>
      <c r="C5075" s="25">
        <v>44665</v>
      </c>
      <c r="D5075" s="26">
        <v>0.37353009259259262</v>
      </c>
      <c r="E5075" t="s">
        <v>27</v>
      </c>
      <c r="F5075" t="s">
        <v>175</v>
      </c>
      <c r="G5075" t="s">
        <v>172</v>
      </c>
      <c r="H5075" t="s">
        <v>214</v>
      </c>
      <c r="I5075" s="4">
        <v>279.20999999999998</v>
      </c>
      <c r="J5075" s="7">
        <v>0</v>
      </c>
      <c r="K5075" s="89">
        <f t="shared" si="312"/>
        <v>162.94</v>
      </c>
      <c r="L5075" s="32">
        <v>162.94</v>
      </c>
      <c r="M5075" s="36">
        <f t="shared" si="313"/>
        <v>171.35755492819442</v>
      </c>
    </row>
    <row r="5076" spans="1:13" ht="15.75" hidden="1" customHeight="1" x14ac:dyDescent="0.3">
      <c r="A5076" s="9">
        <v>2773</v>
      </c>
      <c r="B5076" t="s">
        <v>213</v>
      </c>
      <c r="C5076" s="25">
        <v>44666</v>
      </c>
      <c r="D5076" s="26">
        <v>0.42621527777777773</v>
      </c>
      <c r="E5076" t="s">
        <v>27</v>
      </c>
      <c r="F5076" t="s">
        <v>210</v>
      </c>
      <c r="G5076" t="s">
        <v>211</v>
      </c>
      <c r="H5076" t="s">
        <v>214</v>
      </c>
      <c r="I5076" s="4">
        <v>346.05</v>
      </c>
      <c r="J5076" s="7">
        <v>0</v>
      </c>
      <c r="K5076" s="89">
        <f t="shared" si="312"/>
        <v>828.38</v>
      </c>
      <c r="L5076" s="32">
        <v>828.38</v>
      </c>
      <c r="M5076" s="36">
        <f t="shared" si="313"/>
        <v>41.774306477703469</v>
      </c>
    </row>
    <row r="5077" spans="1:13" ht="15.75" hidden="1" customHeight="1" x14ac:dyDescent="0.3">
      <c r="A5077" s="9">
        <v>2774</v>
      </c>
      <c r="B5077" t="s">
        <v>213</v>
      </c>
      <c r="C5077" s="25">
        <v>44667</v>
      </c>
      <c r="D5077" s="26">
        <v>0.47570601851851851</v>
      </c>
      <c r="E5077" t="s">
        <v>27</v>
      </c>
      <c r="F5077" t="s">
        <v>210</v>
      </c>
      <c r="G5077" t="s">
        <v>211</v>
      </c>
      <c r="H5077" t="s">
        <v>214</v>
      </c>
      <c r="I5077" s="4">
        <v>376.08</v>
      </c>
      <c r="J5077" s="7">
        <v>0</v>
      </c>
      <c r="K5077" s="89">
        <f t="shared" si="312"/>
        <v>1062.3900000000001</v>
      </c>
      <c r="L5077" s="32">
        <v>1062.3900000000001</v>
      </c>
      <c r="M5077" s="36">
        <f t="shared" si="313"/>
        <v>35.399429588004402</v>
      </c>
    </row>
    <row r="5078" spans="1:13" ht="15.75" hidden="1" customHeight="1" x14ac:dyDescent="0.3">
      <c r="A5078" s="9">
        <v>2775</v>
      </c>
      <c r="B5078" t="s">
        <v>213</v>
      </c>
      <c r="C5078" s="25">
        <v>44669</v>
      </c>
      <c r="D5078" s="26">
        <v>0.66598379629629634</v>
      </c>
      <c r="E5078" t="s">
        <v>27</v>
      </c>
      <c r="F5078" t="s">
        <v>262</v>
      </c>
      <c r="G5078" t="s">
        <v>263</v>
      </c>
      <c r="H5078" t="s">
        <v>214</v>
      </c>
      <c r="I5078" s="4">
        <v>200</v>
      </c>
      <c r="J5078" s="7">
        <v>0</v>
      </c>
      <c r="K5078" s="89">
        <f t="shared" si="312"/>
        <v>874.48</v>
      </c>
      <c r="L5078" s="32">
        <v>874.48</v>
      </c>
      <c r="M5078" s="36">
        <f t="shared" si="313"/>
        <v>22.870734607995608</v>
      </c>
    </row>
    <row r="5079" spans="1:13" ht="15.75" hidden="1" customHeight="1" x14ac:dyDescent="0.3">
      <c r="A5079" s="9">
        <v>2776</v>
      </c>
      <c r="B5079" t="s">
        <v>213</v>
      </c>
      <c r="C5079" s="25">
        <v>44671</v>
      </c>
      <c r="D5079" s="26">
        <v>0.41478009259259258</v>
      </c>
      <c r="E5079" t="s">
        <v>27</v>
      </c>
      <c r="F5079" t="s">
        <v>197</v>
      </c>
      <c r="G5079" t="s">
        <v>44</v>
      </c>
      <c r="H5079" t="s">
        <v>214</v>
      </c>
      <c r="I5079" s="4">
        <v>150.59</v>
      </c>
      <c r="J5079" s="7">
        <v>0</v>
      </c>
      <c r="K5079" s="89">
        <f t="shared" si="312"/>
        <v>1341</v>
      </c>
      <c r="L5079" s="32">
        <v>1341</v>
      </c>
      <c r="M5079" s="36">
        <f t="shared" si="313"/>
        <v>11.229679343773304</v>
      </c>
    </row>
    <row r="5080" spans="1:13" ht="15.75" hidden="1" customHeight="1" x14ac:dyDescent="0.3">
      <c r="A5080" s="9">
        <v>2777</v>
      </c>
      <c r="B5080" t="s">
        <v>213</v>
      </c>
      <c r="C5080" s="25">
        <v>44671</v>
      </c>
      <c r="D5080" s="26">
        <v>0.76767361111111121</v>
      </c>
      <c r="E5080" t="s">
        <v>27</v>
      </c>
      <c r="F5080" t="s">
        <v>210</v>
      </c>
      <c r="G5080" t="s">
        <v>211</v>
      </c>
      <c r="H5080" t="s">
        <v>214</v>
      </c>
      <c r="I5080" s="4">
        <v>322.05</v>
      </c>
      <c r="J5080" s="7">
        <v>0</v>
      </c>
      <c r="K5080" s="89">
        <f t="shared" si="312"/>
        <v>883.99</v>
      </c>
      <c r="L5080" s="32">
        <v>883.99</v>
      </c>
      <c r="M5080" s="36">
        <f t="shared" si="313"/>
        <v>36.431407595108546</v>
      </c>
    </row>
    <row r="5081" spans="1:13" ht="15.75" hidden="1" customHeight="1" x14ac:dyDescent="0.3">
      <c r="A5081" s="9">
        <v>2778</v>
      </c>
      <c r="B5081" t="s">
        <v>213</v>
      </c>
      <c r="C5081" s="25">
        <v>44673</v>
      </c>
      <c r="D5081" s="26">
        <v>0.3540625</v>
      </c>
      <c r="E5081" t="s">
        <v>27</v>
      </c>
      <c r="F5081" t="s">
        <v>210</v>
      </c>
      <c r="G5081" t="s">
        <v>211</v>
      </c>
      <c r="H5081" t="s">
        <v>214</v>
      </c>
      <c r="I5081" s="4">
        <v>474.29</v>
      </c>
      <c r="J5081" s="7">
        <v>0</v>
      </c>
      <c r="K5081" s="89">
        <f t="shared" si="312"/>
        <v>1707</v>
      </c>
      <c r="L5081" s="32">
        <v>1707</v>
      </c>
      <c r="M5081" s="36">
        <f t="shared" si="313"/>
        <v>27.785002929115411</v>
      </c>
    </row>
    <row r="5082" spans="1:13" ht="15.75" hidden="1" customHeight="1" x14ac:dyDescent="0.3">
      <c r="A5082" s="9">
        <v>2779</v>
      </c>
      <c r="B5082" t="s">
        <v>213</v>
      </c>
      <c r="C5082" s="25">
        <v>44678</v>
      </c>
      <c r="D5082" s="26">
        <v>0.42030092592592588</v>
      </c>
      <c r="E5082" t="s">
        <v>27</v>
      </c>
      <c r="F5082" t="s">
        <v>171</v>
      </c>
      <c r="G5082" t="s">
        <v>172</v>
      </c>
      <c r="H5082" t="s">
        <v>214</v>
      </c>
      <c r="I5082">
        <v>338.4</v>
      </c>
      <c r="J5082" s="7">
        <v>0</v>
      </c>
      <c r="K5082" s="89">
        <f t="shared" si="312"/>
        <v>946.62</v>
      </c>
      <c r="L5082" s="7">
        <v>946.62</v>
      </c>
      <c r="M5082" s="36">
        <f t="shared" si="313"/>
        <v>35.748241110477274</v>
      </c>
    </row>
    <row r="5083" spans="1:13" ht="15.75" hidden="1" customHeight="1" x14ac:dyDescent="0.3">
      <c r="A5083" s="9">
        <v>2780</v>
      </c>
      <c r="B5083" t="s">
        <v>213</v>
      </c>
      <c r="C5083" s="25">
        <v>44679</v>
      </c>
      <c r="D5083" s="26">
        <v>0.67297453703703702</v>
      </c>
      <c r="E5083" t="s">
        <v>27</v>
      </c>
      <c r="F5083" t="s">
        <v>210</v>
      </c>
      <c r="G5083" t="s">
        <v>211</v>
      </c>
      <c r="H5083" t="s">
        <v>214</v>
      </c>
      <c r="I5083">
        <v>375.24</v>
      </c>
      <c r="J5083" s="7">
        <v>0</v>
      </c>
      <c r="K5083" s="89">
        <f t="shared" si="312"/>
        <v>838.86</v>
      </c>
      <c r="L5083" s="7">
        <v>838.86</v>
      </c>
      <c r="M5083" s="36">
        <f t="shared" si="313"/>
        <v>44.732136470924829</v>
      </c>
    </row>
    <row r="5084" spans="1:13" ht="15.75" hidden="1" customHeight="1" x14ac:dyDescent="0.3">
      <c r="A5084" s="9">
        <v>3763</v>
      </c>
      <c r="B5084" t="s">
        <v>213</v>
      </c>
      <c r="C5084" s="25">
        <v>44684</v>
      </c>
      <c r="D5084" s="26">
        <v>0.33576388888888892</v>
      </c>
      <c r="E5084" t="s">
        <v>28</v>
      </c>
      <c r="F5084" t="s">
        <v>210</v>
      </c>
      <c r="G5084" t="s">
        <v>211</v>
      </c>
      <c r="H5084" t="s">
        <v>214</v>
      </c>
      <c r="I5084">
        <v>400.84</v>
      </c>
      <c r="J5084" s="7">
        <v>0</v>
      </c>
      <c r="K5084" s="89">
        <f t="shared" si="312"/>
        <v>987</v>
      </c>
      <c r="L5084" s="32">
        <v>987</v>
      </c>
      <c r="M5084" s="36">
        <f t="shared" si="313"/>
        <v>40.611955420466053</v>
      </c>
    </row>
    <row r="5085" spans="1:13" ht="15.75" hidden="1" customHeight="1" x14ac:dyDescent="0.3">
      <c r="A5085" s="9">
        <v>3807</v>
      </c>
      <c r="B5085" t="s">
        <v>213</v>
      </c>
      <c r="C5085" s="25">
        <v>44685</v>
      </c>
      <c r="D5085" s="26">
        <v>0.70324074074074072</v>
      </c>
      <c r="E5085" t="s">
        <v>28</v>
      </c>
      <c r="F5085" t="s">
        <v>210</v>
      </c>
      <c r="G5085" t="s">
        <v>211</v>
      </c>
      <c r="H5085" t="s">
        <v>214</v>
      </c>
      <c r="I5085">
        <v>450.96</v>
      </c>
      <c r="J5085" s="7">
        <v>0</v>
      </c>
      <c r="K5085" s="89">
        <f t="shared" si="312"/>
        <v>1120</v>
      </c>
      <c r="L5085" s="33">
        <v>1120</v>
      </c>
      <c r="M5085" s="36">
        <f t="shared" si="313"/>
        <v>40.264285714285712</v>
      </c>
    </row>
    <row r="5086" spans="1:13" ht="15.75" hidden="1" customHeight="1" x14ac:dyDescent="0.3">
      <c r="A5086" s="9">
        <v>3870</v>
      </c>
      <c r="B5086" t="s">
        <v>213</v>
      </c>
      <c r="C5086" s="25">
        <v>44686</v>
      </c>
      <c r="D5086" s="26">
        <v>0.64236111111111105</v>
      </c>
      <c r="E5086" t="s">
        <v>28</v>
      </c>
      <c r="F5086" t="s">
        <v>428</v>
      </c>
      <c r="G5086" t="s">
        <v>429</v>
      </c>
      <c r="H5086" t="s">
        <v>214</v>
      </c>
      <c r="I5086">
        <v>300</v>
      </c>
      <c r="J5086" s="7">
        <v>0</v>
      </c>
      <c r="K5086" s="89">
        <f t="shared" si="312"/>
        <v>901</v>
      </c>
      <c r="L5086" s="32">
        <v>901</v>
      </c>
      <c r="M5086" s="36">
        <f t="shared" si="313"/>
        <v>33.296337402885683</v>
      </c>
    </row>
    <row r="5087" spans="1:13" ht="15.75" hidden="1" customHeight="1" x14ac:dyDescent="0.3">
      <c r="A5087" s="9">
        <v>4114</v>
      </c>
      <c r="B5087" t="s">
        <v>213</v>
      </c>
      <c r="C5087" s="25">
        <v>44691</v>
      </c>
      <c r="D5087" s="26">
        <v>0.54648148148148146</v>
      </c>
      <c r="E5087" t="s">
        <v>28</v>
      </c>
      <c r="F5087" t="s">
        <v>210</v>
      </c>
      <c r="G5087" t="s">
        <v>211</v>
      </c>
      <c r="H5087" t="s">
        <v>214</v>
      </c>
      <c r="I5087">
        <v>405.32</v>
      </c>
      <c r="J5087" s="7">
        <v>0</v>
      </c>
      <c r="K5087" s="89">
        <f t="shared" si="312"/>
        <v>991.79</v>
      </c>
      <c r="L5087" s="37">
        <v>991.79</v>
      </c>
      <c r="M5087" s="36">
        <f t="shared" si="313"/>
        <v>40.867522358563804</v>
      </c>
    </row>
    <row r="5088" spans="1:13" ht="15.75" hidden="1" customHeight="1" x14ac:dyDescent="0.3">
      <c r="A5088" s="9">
        <v>4164</v>
      </c>
      <c r="B5088" t="s">
        <v>213</v>
      </c>
      <c r="C5088" s="25">
        <v>44692</v>
      </c>
      <c r="D5088" s="26">
        <v>0.58907407407407408</v>
      </c>
      <c r="E5088" t="s">
        <v>28</v>
      </c>
      <c r="F5088" t="s">
        <v>210</v>
      </c>
      <c r="G5088" t="s">
        <v>211</v>
      </c>
      <c r="H5088" t="s">
        <v>214</v>
      </c>
      <c r="I5088">
        <v>386.55</v>
      </c>
      <c r="J5088" s="7">
        <v>0</v>
      </c>
      <c r="K5088" s="89">
        <f t="shared" ref="K5088" si="314">+L5088-J5088</f>
        <v>1063</v>
      </c>
      <c r="L5088" s="38">
        <v>1063</v>
      </c>
      <c r="M5088" s="36">
        <f t="shared" ref="M5088:M5117" si="315">I5088/K5088*100</f>
        <v>36.36406396989652</v>
      </c>
    </row>
    <row r="5089" spans="1:13" ht="15.75" hidden="1" customHeight="1" x14ac:dyDescent="0.3">
      <c r="A5089" s="9">
        <v>4256</v>
      </c>
      <c r="B5089" t="s">
        <v>213</v>
      </c>
      <c r="C5089" s="25">
        <v>44694</v>
      </c>
      <c r="D5089" s="26">
        <v>0.78348379629629628</v>
      </c>
      <c r="E5089" t="s">
        <v>28</v>
      </c>
      <c r="F5089" t="s">
        <v>166</v>
      </c>
      <c r="G5089" t="s">
        <v>161</v>
      </c>
      <c r="H5089" t="s">
        <v>214</v>
      </c>
      <c r="I5089">
        <v>382.74</v>
      </c>
      <c r="J5089" s="7">
        <v>0</v>
      </c>
      <c r="K5089" s="89">
        <f>+L5089-J5362</f>
        <v>459</v>
      </c>
      <c r="L5089" s="32">
        <v>459</v>
      </c>
      <c r="M5089" s="36">
        <f t="shared" si="315"/>
        <v>83.385620915032675</v>
      </c>
    </row>
    <row r="5090" spans="1:13" ht="15.75" hidden="1" customHeight="1" x14ac:dyDescent="0.3">
      <c r="A5090" s="9">
        <v>4270</v>
      </c>
      <c r="B5090" t="s">
        <v>213</v>
      </c>
      <c r="C5090" s="25">
        <v>44694</v>
      </c>
      <c r="D5090" s="26">
        <v>0.456087962962963</v>
      </c>
      <c r="E5090" t="s">
        <v>28</v>
      </c>
      <c r="F5090" t="s">
        <v>541</v>
      </c>
      <c r="G5090" t="s">
        <v>542</v>
      </c>
      <c r="H5090" t="s">
        <v>214</v>
      </c>
      <c r="I5090">
        <v>250</v>
      </c>
      <c r="J5090" s="7">
        <v>0</v>
      </c>
      <c r="K5090" s="89">
        <f>+L5090-J5362</f>
        <v>1217</v>
      </c>
      <c r="L5090" s="32">
        <v>1217</v>
      </c>
      <c r="M5090" s="36">
        <f t="shared" si="315"/>
        <v>20.542317173377157</v>
      </c>
    </row>
    <row r="5091" spans="1:13" ht="15.75" hidden="1" customHeight="1" x14ac:dyDescent="0.3">
      <c r="A5091" s="9">
        <v>4315</v>
      </c>
      <c r="B5091" t="s">
        <v>213</v>
      </c>
      <c r="C5091" s="25">
        <v>44695</v>
      </c>
      <c r="D5091" s="26">
        <v>0.70479166666666659</v>
      </c>
      <c r="E5091" t="s">
        <v>28</v>
      </c>
      <c r="F5091" t="s">
        <v>165</v>
      </c>
      <c r="G5091" t="s">
        <v>185</v>
      </c>
      <c r="H5091" t="s">
        <v>214</v>
      </c>
      <c r="I5091">
        <v>312.01</v>
      </c>
      <c r="J5091" s="7">
        <v>0</v>
      </c>
      <c r="K5091" s="89">
        <f>+L5091-J5364</f>
        <v>624</v>
      </c>
      <c r="L5091" s="37">
        <v>624</v>
      </c>
      <c r="M5091" s="36">
        <f t="shared" si="315"/>
        <v>50.001602564102562</v>
      </c>
    </row>
    <row r="5092" spans="1:13" ht="15.75" hidden="1" customHeight="1" x14ac:dyDescent="0.3">
      <c r="A5092" s="9">
        <v>4379</v>
      </c>
      <c r="B5092" t="s">
        <v>213</v>
      </c>
      <c r="C5092" s="25">
        <v>44696</v>
      </c>
      <c r="D5092" s="26">
        <v>0.53420138888888891</v>
      </c>
      <c r="E5092" t="s">
        <v>28</v>
      </c>
      <c r="F5092" t="s">
        <v>210</v>
      </c>
      <c r="G5092" t="s">
        <v>211</v>
      </c>
      <c r="H5092" t="s">
        <v>214</v>
      </c>
      <c r="I5092">
        <v>152.87</v>
      </c>
      <c r="J5092" s="7">
        <v>0</v>
      </c>
      <c r="K5092" s="89">
        <f>+L5092-J5365</f>
        <v>514</v>
      </c>
      <c r="L5092" s="32">
        <v>514</v>
      </c>
      <c r="M5092" s="36">
        <f t="shared" si="315"/>
        <v>29.741245136186773</v>
      </c>
    </row>
    <row r="5093" spans="1:13" ht="15.75" hidden="1" customHeight="1" x14ac:dyDescent="0.3">
      <c r="A5093" s="9">
        <v>4446</v>
      </c>
      <c r="B5093" t="s">
        <v>213</v>
      </c>
      <c r="C5093" s="25">
        <v>44697</v>
      </c>
      <c r="D5093" s="26">
        <v>0.81421296296296297</v>
      </c>
      <c r="E5093" t="s">
        <v>28</v>
      </c>
      <c r="F5093" t="s">
        <v>169</v>
      </c>
      <c r="G5093" t="s">
        <v>196</v>
      </c>
      <c r="H5093" t="s">
        <v>214</v>
      </c>
      <c r="I5093">
        <v>193.47</v>
      </c>
      <c r="J5093" s="7">
        <v>0</v>
      </c>
      <c r="K5093" s="89">
        <f>+L5093-J5366</f>
        <v>598</v>
      </c>
      <c r="L5093" s="32">
        <v>598</v>
      </c>
      <c r="M5093" s="36">
        <f t="shared" si="315"/>
        <v>32.352842809364546</v>
      </c>
    </row>
    <row r="5094" spans="1:13" ht="15.75" hidden="1" customHeight="1" x14ac:dyDescent="0.3">
      <c r="A5094" s="9">
        <v>4651</v>
      </c>
      <c r="B5094" t="s">
        <v>213</v>
      </c>
      <c r="C5094" s="25">
        <v>44701</v>
      </c>
      <c r="D5094" s="26">
        <v>0.73840277777777785</v>
      </c>
      <c r="E5094" t="s">
        <v>28</v>
      </c>
      <c r="F5094" t="s">
        <v>166</v>
      </c>
      <c r="G5094" t="s">
        <v>161</v>
      </c>
      <c r="H5094" t="s">
        <v>214</v>
      </c>
      <c r="I5094">
        <v>220.99</v>
      </c>
      <c r="J5094" s="7">
        <v>0</v>
      </c>
      <c r="K5094" s="89">
        <f>+L5094-J5365</f>
        <v>511</v>
      </c>
      <c r="L5094" s="32">
        <v>511</v>
      </c>
      <c r="M5094" s="36">
        <f t="shared" si="315"/>
        <v>43.246575342465754</v>
      </c>
    </row>
    <row r="5095" spans="1:13" ht="15.75" hidden="1" customHeight="1" x14ac:dyDescent="0.3">
      <c r="A5095" s="9">
        <v>4659</v>
      </c>
      <c r="B5095" t="s">
        <v>213</v>
      </c>
      <c r="C5095" s="25">
        <v>44701</v>
      </c>
      <c r="D5095" s="26">
        <v>0.40629629629629632</v>
      </c>
      <c r="E5095" t="s">
        <v>28</v>
      </c>
      <c r="F5095" t="s">
        <v>197</v>
      </c>
      <c r="G5095" t="s">
        <v>44</v>
      </c>
      <c r="H5095" t="s">
        <v>214</v>
      </c>
      <c r="I5095">
        <f>118.11+163.02</f>
        <v>281.13</v>
      </c>
      <c r="J5095" s="7">
        <v>0</v>
      </c>
      <c r="K5095" s="89">
        <f>+L5095-J5363</f>
        <v>704</v>
      </c>
      <c r="L5095" s="33">
        <v>704</v>
      </c>
      <c r="M5095" s="36">
        <f t="shared" si="315"/>
        <v>39.93323863636364</v>
      </c>
    </row>
    <row r="5096" spans="1:13" ht="15.75" hidden="1" customHeight="1" x14ac:dyDescent="0.3">
      <c r="A5096" s="9">
        <v>4767</v>
      </c>
      <c r="B5096" t="s">
        <v>213</v>
      </c>
      <c r="C5096" s="25">
        <v>44703</v>
      </c>
      <c r="D5096" s="26">
        <v>0.42842592592592593</v>
      </c>
      <c r="E5096" t="s">
        <v>28</v>
      </c>
      <c r="F5096" t="s">
        <v>210</v>
      </c>
      <c r="G5096" t="s">
        <v>211</v>
      </c>
      <c r="H5096" t="s">
        <v>214</v>
      </c>
      <c r="I5096">
        <v>440.46</v>
      </c>
      <c r="J5096" s="7">
        <v>0</v>
      </c>
      <c r="K5096" s="89">
        <f>+L5096-J5364</f>
        <v>1138</v>
      </c>
      <c r="L5096" s="32">
        <v>1138</v>
      </c>
      <c r="M5096" s="36">
        <f t="shared" si="315"/>
        <v>38.704745166959576</v>
      </c>
    </row>
    <row r="5097" spans="1:13" ht="15.75" hidden="1" customHeight="1" x14ac:dyDescent="0.3">
      <c r="A5097" s="9">
        <v>4768</v>
      </c>
      <c r="B5097" t="s">
        <v>213</v>
      </c>
      <c r="C5097" s="25">
        <v>44703</v>
      </c>
      <c r="D5097" s="26">
        <v>0.81620370370370365</v>
      </c>
      <c r="E5097" t="s">
        <v>28</v>
      </c>
      <c r="F5097" t="s">
        <v>169</v>
      </c>
      <c r="G5097" t="s">
        <v>196</v>
      </c>
      <c r="H5097" t="s">
        <v>214</v>
      </c>
      <c r="I5097">
        <v>100</v>
      </c>
      <c r="J5097" s="7">
        <v>0</v>
      </c>
      <c r="K5097" s="89">
        <f>+L5097-J5365</f>
        <v>466</v>
      </c>
      <c r="L5097" s="32">
        <v>466</v>
      </c>
      <c r="M5097" s="36">
        <f t="shared" si="315"/>
        <v>21.459227467811161</v>
      </c>
    </row>
    <row r="5098" spans="1:13" ht="15.75" hidden="1" customHeight="1" x14ac:dyDescent="0.3">
      <c r="A5098" s="9">
        <v>5027</v>
      </c>
      <c r="B5098" t="s">
        <v>213</v>
      </c>
      <c r="C5098" s="25">
        <v>44708</v>
      </c>
      <c r="D5098" s="26">
        <v>0.50954861111111105</v>
      </c>
      <c r="E5098" t="s">
        <v>28</v>
      </c>
      <c r="F5098" t="s">
        <v>641</v>
      </c>
      <c r="G5098" t="s">
        <v>172</v>
      </c>
      <c r="H5098" t="s">
        <v>214</v>
      </c>
      <c r="I5098">
        <v>308.60000000000002</v>
      </c>
      <c r="J5098" s="31">
        <v>0</v>
      </c>
      <c r="K5098" s="89">
        <f>+L5098-J5358</f>
        <v>625</v>
      </c>
      <c r="L5098" s="7">
        <v>625</v>
      </c>
      <c r="M5098" s="36">
        <f t="shared" si="315"/>
        <v>49.376000000000005</v>
      </c>
    </row>
    <row r="5099" spans="1:13" ht="15.75" hidden="1" customHeight="1" x14ac:dyDescent="0.3">
      <c r="A5099" s="9">
        <v>5088</v>
      </c>
      <c r="B5099" t="s">
        <v>213</v>
      </c>
      <c r="C5099" s="25">
        <v>44709</v>
      </c>
      <c r="D5099" s="26">
        <v>0.58023148148148151</v>
      </c>
      <c r="E5099" t="s">
        <v>28</v>
      </c>
      <c r="F5099" t="s">
        <v>645</v>
      </c>
      <c r="G5099" t="s">
        <v>279</v>
      </c>
      <c r="H5099" t="s">
        <v>214</v>
      </c>
      <c r="I5099">
        <v>448.99</v>
      </c>
      <c r="J5099" s="31">
        <v>0</v>
      </c>
      <c r="K5099" s="89">
        <f>+L5099-J5359</f>
        <v>1038</v>
      </c>
      <c r="L5099" s="7">
        <v>1038</v>
      </c>
      <c r="M5099" s="36">
        <f t="shared" si="315"/>
        <v>43.25529865125241</v>
      </c>
    </row>
    <row r="5100" spans="1:13" ht="15.75" hidden="1" customHeight="1" x14ac:dyDescent="0.3">
      <c r="A5100" s="9">
        <v>5196</v>
      </c>
      <c r="B5100" t="s">
        <v>213</v>
      </c>
      <c r="C5100" s="25">
        <v>44711</v>
      </c>
      <c r="D5100" s="26">
        <v>0.7215625</v>
      </c>
      <c r="E5100" t="s">
        <v>28</v>
      </c>
      <c r="F5100" t="s">
        <v>634</v>
      </c>
      <c r="G5100" t="s">
        <v>211</v>
      </c>
      <c r="H5100" t="s">
        <v>214</v>
      </c>
      <c r="I5100">
        <v>329.65</v>
      </c>
      <c r="J5100" s="32">
        <v>0</v>
      </c>
      <c r="K5100" s="89">
        <f>+L5100-J5356</f>
        <v>651</v>
      </c>
      <c r="L5100" s="7">
        <v>651</v>
      </c>
      <c r="M5100" s="36">
        <f t="shared" si="315"/>
        <v>50.637480798771115</v>
      </c>
    </row>
    <row r="5101" spans="1:13" ht="15.75" hidden="1" customHeight="1" x14ac:dyDescent="0.3">
      <c r="A5101" s="9">
        <v>5234</v>
      </c>
      <c r="B5101" t="s">
        <v>213</v>
      </c>
      <c r="C5101" s="25">
        <v>44712</v>
      </c>
      <c r="D5101" s="26">
        <v>0.54806712962962967</v>
      </c>
      <c r="E5101" t="s">
        <v>28</v>
      </c>
      <c r="F5101" t="s">
        <v>637</v>
      </c>
      <c r="G5101" t="s">
        <v>196</v>
      </c>
      <c r="H5101" t="s">
        <v>214</v>
      </c>
      <c r="I5101">
        <v>160.03</v>
      </c>
      <c r="J5101" s="52">
        <v>0</v>
      </c>
      <c r="K5101" s="89">
        <f>+L5101-J5357</f>
        <v>480</v>
      </c>
      <c r="L5101" s="51">
        <v>480</v>
      </c>
      <c r="M5101" s="10">
        <f t="shared" si="315"/>
        <v>33.339583333333337</v>
      </c>
    </row>
    <row r="5102" spans="1:13" ht="15.75" hidden="1" customHeight="1" x14ac:dyDescent="0.3">
      <c r="A5102" s="9">
        <v>5336</v>
      </c>
      <c r="B5102" t="s">
        <v>213</v>
      </c>
      <c r="C5102" s="25">
        <v>44714</v>
      </c>
      <c r="D5102" s="26">
        <v>0.53809027777777774</v>
      </c>
      <c r="E5102" t="s">
        <v>29</v>
      </c>
      <c r="F5102" t="s">
        <v>661</v>
      </c>
      <c r="G5102" t="s">
        <v>457</v>
      </c>
      <c r="H5102" t="s">
        <v>214</v>
      </c>
      <c r="I5102">
        <v>86.561999999999998</v>
      </c>
      <c r="J5102" s="52">
        <v>0</v>
      </c>
      <c r="K5102" s="89">
        <f>+L5102-J5355</f>
        <v>994</v>
      </c>
      <c r="L5102" s="51">
        <v>994</v>
      </c>
      <c r="M5102" s="10">
        <f t="shared" si="315"/>
        <v>8.7084507042253527</v>
      </c>
    </row>
    <row r="5103" spans="1:13" ht="15.75" hidden="1" customHeight="1" x14ac:dyDescent="0.3">
      <c r="A5103" s="9">
        <v>5337</v>
      </c>
      <c r="B5103" t="s">
        <v>213</v>
      </c>
      <c r="C5103" s="25">
        <v>44714</v>
      </c>
      <c r="D5103" s="26">
        <v>0.61539351851851853</v>
      </c>
      <c r="E5103" t="s">
        <v>29</v>
      </c>
      <c r="F5103" t="s">
        <v>672</v>
      </c>
      <c r="G5103" t="s">
        <v>367</v>
      </c>
      <c r="H5103" t="s">
        <v>214</v>
      </c>
      <c r="I5103">
        <v>100</v>
      </c>
      <c r="J5103" s="32">
        <v>0</v>
      </c>
      <c r="K5103" s="89">
        <f>+L5103-J5356</f>
        <v>112</v>
      </c>
      <c r="L5103" s="7">
        <v>112</v>
      </c>
      <c r="M5103" s="36">
        <f t="shared" si="315"/>
        <v>89.285714285714292</v>
      </c>
    </row>
    <row r="5104" spans="1:13" ht="15.75" hidden="1" customHeight="1" x14ac:dyDescent="0.3">
      <c r="A5104" s="9">
        <v>5338</v>
      </c>
      <c r="B5104" t="s">
        <v>213</v>
      </c>
      <c r="C5104" s="25">
        <v>44714</v>
      </c>
      <c r="D5104" s="26">
        <v>0.72046296296296297</v>
      </c>
      <c r="E5104" t="s">
        <v>29</v>
      </c>
      <c r="F5104" t="s">
        <v>632</v>
      </c>
      <c r="G5104" t="s">
        <v>161</v>
      </c>
      <c r="H5104" t="s">
        <v>214</v>
      </c>
      <c r="I5104">
        <v>284.94</v>
      </c>
      <c r="J5104" s="32">
        <v>0</v>
      </c>
      <c r="K5104" s="89">
        <f>+L5104-J5357</f>
        <v>123</v>
      </c>
      <c r="L5104" s="7">
        <v>123</v>
      </c>
      <c r="M5104" s="36">
        <f t="shared" si="315"/>
        <v>231.65853658536582</v>
      </c>
    </row>
    <row r="5105" spans="1:19" ht="15.75" hidden="1" customHeight="1" x14ac:dyDescent="0.3">
      <c r="A5105" s="9">
        <v>5402</v>
      </c>
      <c r="B5105" t="s">
        <v>213</v>
      </c>
      <c r="C5105" s="25">
        <v>44715</v>
      </c>
      <c r="D5105" s="26">
        <v>0.60935185185185181</v>
      </c>
      <c r="E5105" t="s">
        <v>29</v>
      </c>
      <c r="F5105" t="s">
        <v>635</v>
      </c>
      <c r="G5105" t="s">
        <v>185</v>
      </c>
      <c r="H5105" t="s">
        <v>214</v>
      </c>
      <c r="I5105">
        <v>294.01</v>
      </c>
      <c r="J5105" s="32">
        <v>0</v>
      </c>
      <c r="K5105" s="89">
        <f>+L5105-J5352</f>
        <v>449</v>
      </c>
      <c r="L5105" s="7">
        <v>449</v>
      </c>
      <c r="M5105" s="36">
        <f t="shared" si="315"/>
        <v>65.48106904231625</v>
      </c>
    </row>
    <row r="5106" spans="1:19" ht="15.75" hidden="1" customHeight="1" x14ac:dyDescent="0.3">
      <c r="A5106" s="9">
        <v>5454</v>
      </c>
      <c r="B5106" t="s">
        <v>213</v>
      </c>
      <c r="C5106" s="25">
        <v>44716</v>
      </c>
      <c r="D5106" s="26">
        <v>0.68614583333333334</v>
      </c>
      <c r="E5106" t="s">
        <v>29</v>
      </c>
      <c r="F5106" t="s">
        <v>635</v>
      </c>
      <c r="G5106" t="s">
        <v>185</v>
      </c>
      <c r="H5106" t="s">
        <v>214</v>
      </c>
      <c r="I5106">
        <v>183.3</v>
      </c>
      <c r="J5106" s="32">
        <v>0</v>
      </c>
      <c r="K5106" s="89">
        <f>+L5106-J5353</f>
        <v>436</v>
      </c>
      <c r="L5106" s="7">
        <v>436</v>
      </c>
      <c r="M5106" s="36">
        <f t="shared" si="315"/>
        <v>42.041284403669728</v>
      </c>
    </row>
    <row r="5107" spans="1:19" ht="15.75" hidden="1" customHeight="1" x14ac:dyDescent="0.3">
      <c r="A5107" s="9">
        <v>5507</v>
      </c>
      <c r="B5107" t="s">
        <v>213</v>
      </c>
      <c r="C5107" s="25">
        <v>44717</v>
      </c>
      <c r="D5107" s="26">
        <v>0.54049768518518515</v>
      </c>
      <c r="E5107" t="s">
        <v>29</v>
      </c>
      <c r="F5107" t="s">
        <v>634</v>
      </c>
      <c r="G5107" t="s">
        <v>211</v>
      </c>
      <c r="H5107" t="s">
        <v>214</v>
      </c>
      <c r="I5107">
        <v>141.47999999999999</v>
      </c>
      <c r="J5107" s="32">
        <v>0</v>
      </c>
      <c r="K5107" s="89">
        <f>+L5107-J5354</f>
        <v>514</v>
      </c>
      <c r="L5107" s="7">
        <v>514</v>
      </c>
      <c r="M5107" s="36">
        <f t="shared" si="315"/>
        <v>27.525291828793776</v>
      </c>
    </row>
    <row r="5108" spans="1:19" ht="15.75" hidden="1" customHeight="1" x14ac:dyDescent="0.3">
      <c r="A5108" s="9">
        <v>5811</v>
      </c>
      <c r="B5108" t="s">
        <v>213</v>
      </c>
      <c r="C5108" s="25">
        <v>44723</v>
      </c>
      <c r="D5108" s="26">
        <v>0.49059027777777775</v>
      </c>
      <c r="E5108" t="s">
        <v>29</v>
      </c>
      <c r="F5108" t="s">
        <v>639</v>
      </c>
      <c r="G5108" t="s">
        <v>44</v>
      </c>
      <c r="H5108" t="s">
        <v>214</v>
      </c>
      <c r="I5108">
        <v>231</v>
      </c>
      <c r="J5108" s="32">
        <v>0</v>
      </c>
      <c r="K5108" s="89">
        <f>+L5108-J5337</f>
        <v>1207</v>
      </c>
      <c r="L5108" s="7">
        <v>1207</v>
      </c>
      <c r="M5108" s="36">
        <f t="shared" si="315"/>
        <v>19.138359569179787</v>
      </c>
    </row>
    <row r="5109" spans="1:19" ht="15.75" hidden="1" customHeight="1" x14ac:dyDescent="0.3">
      <c r="A5109" s="9">
        <v>5812</v>
      </c>
      <c r="B5109" t="s">
        <v>213</v>
      </c>
      <c r="C5109" s="25">
        <v>44723</v>
      </c>
      <c r="D5109" s="26">
        <v>0.68321759259259263</v>
      </c>
      <c r="E5109" t="s">
        <v>29</v>
      </c>
      <c r="F5109" t="s">
        <v>661</v>
      </c>
      <c r="G5109" t="s">
        <v>457</v>
      </c>
      <c r="H5109" t="s">
        <v>214</v>
      </c>
      <c r="I5109">
        <v>100.27</v>
      </c>
      <c r="J5109" s="32">
        <v>0</v>
      </c>
      <c r="K5109" s="89">
        <f>+L5109-J5338</f>
        <v>275</v>
      </c>
      <c r="L5109" s="7">
        <v>275</v>
      </c>
      <c r="M5109" s="36">
        <f t="shared" si="315"/>
        <v>36.461818181818181</v>
      </c>
    </row>
    <row r="5110" spans="1:19" ht="15.75" hidden="1" customHeight="1" x14ac:dyDescent="0.3">
      <c r="A5110" s="9">
        <v>5813</v>
      </c>
      <c r="B5110" t="s">
        <v>213</v>
      </c>
      <c r="C5110" s="25">
        <v>44723</v>
      </c>
      <c r="D5110" s="26">
        <v>0.84402777777777782</v>
      </c>
      <c r="E5110" t="s">
        <v>29</v>
      </c>
      <c r="F5110" t="s">
        <v>632</v>
      </c>
      <c r="G5110" t="s">
        <v>161</v>
      </c>
      <c r="H5110" t="s">
        <v>214</v>
      </c>
      <c r="I5110">
        <v>316.95</v>
      </c>
      <c r="J5110" s="32">
        <v>0</v>
      </c>
      <c r="K5110" s="89">
        <f>+L5110-J5339</f>
        <v>233</v>
      </c>
      <c r="L5110" s="7">
        <v>233</v>
      </c>
      <c r="M5110" s="36">
        <f t="shared" si="315"/>
        <v>136.03004291845494</v>
      </c>
    </row>
    <row r="5111" spans="1:19" ht="15.75" hidden="1" customHeight="1" x14ac:dyDescent="0.3">
      <c r="A5111" s="9">
        <v>5929</v>
      </c>
      <c r="B5111" t="s">
        <v>213</v>
      </c>
      <c r="C5111" s="25">
        <v>44725</v>
      </c>
      <c r="D5111" s="26">
        <v>0.58797453703703706</v>
      </c>
      <c r="E5111" t="s">
        <v>29</v>
      </c>
      <c r="F5111" t="s">
        <v>635</v>
      </c>
      <c r="G5111" t="s">
        <v>185</v>
      </c>
      <c r="H5111" t="s">
        <v>214</v>
      </c>
      <c r="I5111">
        <v>415.18</v>
      </c>
      <c r="J5111" s="32">
        <v>0</v>
      </c>
      <c r="K5111" s="89">
        <v>887</v>
      </c>
      <c r="L5111" s="7">
        <v>887</v>
      </c>
      <c r="M5111" s="36">
        <f t="shared" si="315"/>
        <v>46.807215332581734</v>
      </c>
      <c r="N5111" s="2"/>
      <c r="O5111" s="2"/>
      <c r="P5111" s="2"/>
      <c r="Q5111" s="2"/>
      <c r="R5111" s="2"/>
      <c r="S5111" s="2"/>
    </row>
    <row r="5112" spans="1:19" ht="15.75" hidden="1" customHeight="1" x14ac:dyDescent="0.3">
      <c r="A5112" s="9">
        <v>6040</v>
      </c>
      <c r="B5112" t="s">
        <v>213</v>
      </c>
      <c r="C5112" s="25">
        <v>44727</v>
      </c>
      <c r="D5112" s="26">
        <v>0.63218750000000001</v>
      </c>
      <c r="E5112" t="s">
        <v>29</v>
      </c>
      <c r="F5112" t="s">
        <v>635</v>
      </c>
      <c r="G5112" t="s">
        <v>185</v>
      </c>
      <c r="H5112" t="s">
        <v>214</v>
      </c>
      <c r="I5112">
        <v>368.84</v>
      </c>
      <c r="J5112" s="32">
        <v>0</v>
      </c>
      <c r="K5112" s="89">
        <v>876</v>
      </c>
      <c r="L5112" s="7">
        <v>876</v>
      </c>
      <c r="M5112" s="36">
        <f t="shared" si="315"/>
        <v>42.105022831050228</v>
      </c>
    </row>
    <row r="5113" spans="1:19" ht="15.75" hidden="1" customHeight="1" x14ac:dyDescent="0.3">
      <c r="A5113" s="9">
        <v>6149</v>
      </c>
      <c r="B5113" t="s">
        <v>213</v>
      </c>
      <c r="C5113" s="25">
        <v>44729</v>
      </c>
      <c r="D5113" s="26">
        <v>0.62041666666666673</v>
      </c>
      <c r="E5113" t="s">
        <v>29</v>
      </c>
      <c r="F5113" t="s">
        <v>635</v>
      </c>
      <c r="G5113" t="s">
        <v>185</v>
      </c>
      <c r="H5113" t="s">
        <v>214</v>
      </c>
      <c r="I5113">
        <v>322.22000000000003</v>
      </c>
      <c r="J5113" s="32">
        <v>0</v>
      </c>
      <c r="K5113" s="89">
        <v>877</v>
      </c>
      <c r="L5113" s="7">
        <v>877</v>
      </c>
      <c r="M5113" s="36">
        <f t="shared" si="315"/>
        <v>36.741163055872292</v>
      </c>
    </row>
    <row r="5114" spans="1:19" ht="15.75" hidden="1" customHeight="1" x14ac:dyDescent="0.3">
      <c r="A5114" s="9">
        <v>6204</v>
      </c>
      <c r="B5114" t="s">
        <v>213</v>
      </c>
      <c r="C5114" s="25">
        <v>44730</v>
      </c>
      <c r="D5114" s="26">
        <v>0.69732638888888887</v>
      </c>
      <c r="E5114" t="s">
        <v>29</v>
      </c>
      <c r="F5114" t="s">
        <v>634</v>
      </c>
      <c r="G5114" t="s">
        <v>211</v>
      </c>
      <c r="H5114" t="s">
        <v>214</v>
      </c>
      <c r="I5114">
        <v>165.81</v>
      </c>
      <c r="J5114" s="32">
        <v>0</v>
      </c>
      <c r="K5114" s="89">
        <v>552</v>
      </c>
      <c r="L5114" s="7">
        <v>552</v>
      </c>
      <c r="M5114" s="36">
        <f t="shared" si="315"/>
        <v>30.038043478260867</v>
      </c>
    </row>
    <row r="5115" spans="1:19" ht="15.75" hidden="1" customHeight="1" x14ac:dyDescent="0.3">
      <c r="A5115" s="9">
        <v>6260</v>
      </c>
      <c r="B5115" t="s">
        <v>213</v>
      </c>
      <c r="C5115" s="25">
        <v>44732</v>
      </c>
      <c r="D5115" s="26">
        <v>0.41847222222222219</v>
      </c>
      <c r="E5115" t="s">
        <v>29</v>
      </c>
      <c r="F5115" t="s">
        <v>637</v>
      </c>
      <c r="G5115" t="s">
        <v>196</v>
      </c>
      <c r="H5115" t="s">
        <v>214</v>
      </c>
      <c r="I5115">
        <v>125</v>
      </c>
      <c r="J5115" s="32">
        <v>0</v>
      </c>
      <c r="K5115" s="89">
        <v>467</v>
      </c>
      <c r="L5115" s="34">
        <v>467</v>
      </c>
      <c r="M5115" s="36">
        <f t="shared" si="315"/>
        <v>26.76659528907923</v>
      </c>
    </row>
    <row r="5116" spans="1:19" ht="15.75" hidden="1" customHeight="1" x14ac:dyDescent="0.3">
      <c r="A5116" s="9">
        <v>6331</v>
      </c>
      <c r="B5116" t="s">
        <v>213</v>
      </c>
      <c r="C5116" s="25">
        <v>44734</v>
      </c>
      <c r="D5116" s="26">
        <v>0.42760416666666662</v>
      </c>
      <c r="E5116" t="s">
        <v>29</v>
      </c>
      <c r="F5116" t="s">
        <v>679</v>
      </c>
      <c r="G5116" t="s">
        <v>392</v>
      </c>
      <c r="H5116" t="s">
        <v>214</v>
      </c>
      <c r="I5116">
        <v>187</v>
      </c>
      <c r="J5116" s="32">
        <v>0</v>
      </c>
      <c r="K5116" s="89">
        <v>433</v>
      </c>
      <c r="L5116" s="7">
        <v>433</v>
      </c>
      <c r="M5116" s="36">
        <f t="shared" si="315"/>
        <v>43.187066974595844</v>
      </c>
    </row>
    <row r="5117" spans="1:19" ht="15.75" hidden="1" customHeight="1" x14ac:dyDescent="0.3">
      <c r="A5117" s="9">
        <v>6652</v>
      </c>
      <c r="B5117" t="s">
        <v>213</v>
      </c>
      <c r="C5117" s="25">
        <v>44740</v>
      </c>
      <c r="D5117" s="26">
        <v>0.67927083333333327</v>
      </c>
      <c r="E5117" t="s">
        <v>29</v>
      </c>
      <c r="F5117" t="s">
        <v>634</v>
      </c>
      <c r="G5117" t="s">
        <v>211</v>
      </c>
      <c r="H5117" t="s">
        <v>214</v>
      </c>
      <c r="I5117" s="148">
        <v>388.96</v>
      </c>
      <c r="J5117" s="33">
        <v>0</v>
      </c>
      <c r="K5117" s="89">
        <v>843</v>
      </c>
      <c r="L5117" s="31">
        <v>843</v>
      </c>
      <c r="M5117" s="36">
        <f t="shared" si="315"/>
        <v>46.139976275207587</v>
      </c>
    </row>
    <row r="5118" spans="1:19" ht="15.75" hidden="1" customHeight="1" x14ac:dyDescent="0.3">
      <c r="A5118" s="9">
        <v>6751</v>
      </c>
      <c r="B5118" t="s">
        <v>213</v>
      </c>
      <c r="C5118" s="25">
        <v>44742</v>
      </c>
      <c r="D5118" s="26">
        <v>0.14233796296296297</v>
      </c>
      <c r="E5118" t="s">
        <v>29</v>
      </c>
      <c r="F5118" t="s">
        <v>166</v>
      </c>
      <c r="G5118" t="s">
        <v>161</v>
      </c>
      <c r="H5118" t="s">
        <v>214</v>
      </c>
      <c r="I5118" s="148">
        <v>230.55</v>
      </c>
      <c r="J5118" s="78"/>
      <c r="K5118" s="56">
        <v>1234</v>
      </c>
      <c r="L5118" s="54">
        <f>+K5118-J5118</f>
        <v>1234</v>
      </c>
      <c r="M5118" s="121">
        <f>I5118/L5118*100</f>
        <v>18.683144246353322</v>
      </c>
    </row>
    <row r="5119" spans="1:19" ht="15.75" hidden="1" customHeight="1" x14ac:dyDescent="0.3">
      <c r="B5119" t="s">
        <v>275</v>
      </c>
      <c r="C5119" s="25">
        <v>44773</v>
      </c>
      <c r="D5119" s="26">
        <v>0.80513888888888896</v>
      </c>
      <c r="E5119" t="s">
        <v>30</v>
      </c>
      <c r="F5119" t="s">
        <v>166</v>
      </c>
      <c r="G5119" t="s">
        <v>161</v>
      </c>
      <c r="H5119" t="s">
        <v>193</v>
      </c>
      <c r="I5119" s="160">
        <v>177.58</v>
      </c>
      <c r="J5119" s="160">
        <f>177+303</f>
        <v>480</v>
      </c>
      <c r="K5119" s="160">
        <v>1234</v>
      </c>
      <c r="L5119" s="160">
        <v>1229</v>
      </c>
      <c r="M5119" s="254">
        <f>+J5119/L5119*100</f>
        <v>39.056143205858426</v>
      </c>
    </row>
    <row r="5120" spans="1:19" ht="15.75" hidden="1" customHeight="1" x14ac:dyDescent="0.3">
      <c r="B5120" t="s">
        <v>194</v>
      </c>
      <c r="C5120" s="25">
        <v>44744</v>
      </c>
      <c r="D5120" s="26">
        <v>0.64761574074074069</v>
      </c>
      <c r="E5120" t="s">
        <v>30</v>
      </c>
      <c r="F5120" t="s">
        <v>175</v>
      </c>
      <c r="G5120" t="s">
        <v>172</v>
      </c>
      <c r="H5120" s="128" t="s">
        <v>195</v>
      </c>
      <c r="I5120" s="173">
        <v>258.60000000000002</v>
      </c>
      <c r="J5120" s="8"/>
      <c r="K5120" s="8">
        <v>637313</v>
      </c>
      <c r="L5120" s="8">
        <f>+K5120-J5120</f>
        <v>637313</v>
      </c>
      <c r="M5120" s="91">
        <f>I5120/L5120*100</f>
        <v>4.0576608354136824E-2</v>
      </c>
    </row>
    <row r="5121" spans="1:13" ht="15.75" hidden="1" customHeight="1" x14ac:dyDescent="0.3">
      <c r="B5121" t="s">
        <v>194</v>
      </c>
      <c r="C5121" s="25">
        <v>44745</v>
      </c>
      <c r="D5121" s="26">
        <v>0.45151620370370371</v>
      </c>
      <c r="E5121" t="s">
        <v>30</v>
      </c>
      <c r="F5121" t="s">
        <v>166</v>
      </c>
      <c r="G5121" t="s">
        <v>161</v>
      </c>
      <c r="H5121" s="128" t="s">
        <v>195</v>
      </c>
      <c r="I5121" s="173">
        <v>253.32</v>
      </c>
      <c r="J5121" s="8"/>
      <c r="K5121" s="8">
        <v>637944</v>
      </c>
      <c r="L5121" s="8">
        <f>+K5121-J5121</f>
        <v>637944</v>
      </c>
      <c r="M5121" s="91">
        <f>I5121/L5121*100</f>
        <v>3.9708814566795828E-2</v>
      </c>
    </row>
    <row r="5122" spans="1:13" ht="15.75" hidden="1" customHeight="1" x14ac:dyDescent="0.3">
      <c r="B5122" t="s">
        <v>194</v>
      </c>
      <c r="C5122" s="25">
        <v>44745</v>
      </c>
      <c r="D5122" s="26">
        <v>0.87518518518518518</v>
      </c>
      <c r="E5122" t="s">
        <v>30</v>
      </c>
      <c r="F5122" t="s">
        <v>165</v>
      </c>
      <c r="G5122" t="s">
        <v>185</v>
      </c>
      <c r="H5122" s="128" t="s">
        <v>195</v>
      </c>
      <c r="I5122" s="173">
        <v>285.14999999999998</v>
      </c>
      <c r="J5122" s="8"/>
      <c r="K5122" s="8">
        <v>638583</v>
      </c>
      <c r="L5122" s="8">
        <f>+K5122-J5122</f>
        <v>638583</v>
      </c>
      <c r="M5122" s="91">
        <f>I5122/L5122*100</f>
        <v>4.4653553257759757E-2</v>
      </c>
    </row>
    <row r="5123" spans="1:13" ht="15.75" hidden="1" customHeight="1" x14ac:dyDescent="0.3">
      <c r="B5123" t="s">
        <v>194</v>
      </c>
      <c r="C5123" s="25">
        <v>44746</v>
      </c>
      <c r="D5123" s="26">
        <v>0.71916666666666673</v>
      </c>
      <c r="E5123" t="s">
        <v>30</v>
      </c>
      <c r="F5123" t="s">
        <v>165</v>
      </c>
      <c r="G5123" t="s">
        <v>185</v>
      </c>
      <c r="H5123" s="128" t="s">
        <v>195</v>
      </c>
      <c r="I5123" s="173">
        <v>187.2</v>
      </c>
      <c r="J5123" s="8"/>
      <c r="K5123" s="8">
        <v>639028</v>
      </c>
      <c r="L5123" s="8">
        <f>+K5123-J5123</f>
        <v>639028</v>
      </c>
      <c r="M5123" s="91">
        <f>I5123/L5123*100</f>
        <v>2.929449100821873E-2</v>
      </c>
    </row>
    <row r="5124" spans="1:13" ht="15.75" hidden="1" customHeight="1" x14ac:dyDescent="0.3">
      <c r="B5124" t="s">
        <v>194</v>
      </c>
      <c r="C5124" s="25">
        <v>44747</v>
      </c>
      <c r="D5124" s="26">
        <v>0.77278935185185194</v>
      </c>
      <c r="E5124" t="s">
        <v>30</v>
      </c>
      <c r="F5124" t="s">
        <v>165</v>
      </c>
      <c r="G5124" t="s">
        <v>185</v>
      </c>
      <c r="H5124" s="128" t="s">
        <v>195</v>
      </c>
      <c r="I5124" s="173">
        <v>185.42</v>
      </c>
      <c r="J5124" s="173">
        <f>164+258+253+285+187+185</f>
        <v>1332</v>
      </c>
      <c r="K5124" s="160">
        <v>639474</v>
      </c>
      <c r="L5124" s="173">
        <v>3246</v>
      </c>
      <c r="M5124" s="149">
        <f>+J5124/L5124*100</f>
        <v>41.035120147874302</v>
      </c>
    </row>
    <row r="5125" spans="1:13" ht="15.75" hidden="1" customHeight="1" x14ac:dyDescent="0.3">
      <c r="B5125" t="s">
        <v>194</v>
      </c>
      <c r="C5125" s="25">
        <v>44748</v>
      </c>
      <c r="D5125" s="26">
        <v>0.71099537037037042</v>
      </c>
      <c r="E5125" t="s">
        <v>30</v>
      </c>
      <c r="F5125" t="s">
        <v>165</v>
      </c>
      <c r="G5125" t="s">
        <v>185</v>
      </c>
      <c r="H5125" s="128" t="s">
        <v>195</v>
      </c>
      <c r="I5125" s="244">
        <v>196.91</v>
      </c>
      <c r="J5125" s="44"/>
      <c r="K5125" s="44">
        <v>639919</v>
      </c>
      <c r="L5125" s="44">
        <f>+K5125-J5125</f>
        <v>639919</v>
      </c>
      <c r="M5125" s="91">
        <f>I5125/K5125*100</f>
        <v>3.0771081965061203E-2</v>
      </c>
    </row>
    <row r="5126" spans="1:13" ht="15.75" hidden="1" customHeight="1" x14ac:dyDescent="0.3">
      <c r="B5126" t="s">
        <v>194</v>
      </c>
      <c r="C5126" s="25">
        <v>44749</v>
      </c>
      <c r="D5126" s="26">
        <v>0.61706018518518524</v>
      </c>
      <c r="E5126" t="s">
        <v>30</v>
      </c>
      <c r="F5126" t="s">
        <v>165</v>
      </c>
      <c r="G5126" t="s">
        <v>185</v>
      </c>
      <c r="H5126" s="128" t="s">
        <v>195</v>
      </c>
      <c r="I5126" s="173">
        <v>181.25</v>
      </c>
      <c r="J5126" s="8"/>
      <c r="K5126" s="8"/>
      <c r="L5126" s="8"/>
      <c r="M5126" s="91" t="e">
        <f>I5126/K5126*100</f>
        <v>#DIV/0!</v>
      </c>
    </row>
    <row r="5127" spans="1:13" ht="15.75" hidden="1" customHeight="1" x14ac:dyDescent="0.3">
      <c r="B5127" t="s">
        <v>194</v>
      </c>
      <c r="C5127" s="25">
        <v>44751</v>
      </c>
      <c r="D5127" s="26">
        <v>0.54031249999999997</v>
      </c>
      <c r="E5127" t="s">
        <v>30</v>
      </c>
      <c r="F5127" t="s">
        <v>165</v>
      </c>
      <c r="G5127" t="s">
        <v>185</v>
      </c>
      <c r="H5127" s="128" t="s">
        <v>195</v>
      </c>
      <c r="I5127" s="173">
        <v>355.89</v>
      </c>
      <c r="J5127" s="8"/>
      <c r="K5127" s="8"/>
      <c r="L5127" s="8"/>
      <c r="M5127" s="91" t="e">
        <f>I5127/K5127*100</f>
        <v>#DIV/0!</v>
      </c>
    </row>
    <row r="5128" spans="1:13" ht="15.75" hidden="1" customHeight="1" x14ac:dyDescent="0.3">
      <c r="B5128" t="s">
        <v>194</v>
      </c>
      <c r="C5128" s="25">
        <v>44752</v>
      </c>
      <c r="D5128" s="26">
        <v>0.42212962962962958</v>
      </c>
      <c r="E5128" t="s">
        <v>30</v>
      </c>
      <c r="F5128" t="s">
        <v>210</v>
      </c>
      <c r="G5128" t="s">
        <v>211</v>
      </c>
      <c r="H5128" s="128" t="s">
        <v>195</v>
      </c>
      <c r="I5128" s="173">
        <v>158.72</v>
      </c>
      <c r="J5128" s="160">
        <f>197+181+356+160</f>
        <v>894</v>
      </c>
      <c r="K5128" s="160"/>
      <c r="L5128" s="160">
        <v>2269</v>
      </c>
      <c r="M5128" s="149">
        <f>+J5128/L5128*100</f>
        <v>39.400617011899513</v>
      </c>
    </row>
    <row r="5129" spans="1:13" ht="15.75" hidden="1" customHeight="1" x14ac:dyDescent="0.3">
      <c r="B5129" t="s">
        <v>194</v>
      </c>
      <c r="C5129" s="25">
        <v>44753</v>
      </c>
      <c r="D5129" s="26">
        <v>0.32321759259259258</v>
      </c>
      <c r="E5129" t="s">
        <v>30</v>
      </c>
      <c r="F5129" t="s">
        <v>169</v>
      </c>
      <c r="G5129" t="s">
        <v>196</v>
      </c>
      <c r="H5129" s="128" t="s">
        <v>195</v>
      </c>
      <c r="I5129" s="173">
        <v>162.75</v>
      </c>
      <c r="J5129" s="23"/>
      <c r="K5129" s="23"/>
      <c r="L5129" s="23"/>
      <c r="M5129" s="91" t="e">
        <f t="shared" ref="M5129:M5160" si="316">I5129/K5129*100</f>
        <v>#DIV/0!</v>
      </c>
    </row>
    <row r="5130" spans="1:13" ht="3" hidden="1" customHeight="1" x14ac:dyDescent="0.3">
      <c r="B5130" t="s">
        <v>194</v>
      </c>
      <c r="C5130" s="25">
        <v>44753</v>
      </c>
      <c r="D5130" s="26">
        <v>0.65649305555555559</v>
      </c>
      <c r="E5130" t="s">
        <v>30</v>
      </c>
      <c r="F5130" t="s">
        <v>878</v>
      </c>
      <c r="G5130" t="s">
        <v>392</v>
      </c>
      <c r="H5130" s="128" t="s">
        <v>195</v>
      </c>
      <c r="I5130" s="173">
        <v>173.33</v>
      </c>
      <c r="J5130" s="23"/>
      <c r="K5130" s="23"/>
      <c r="L5130" s="23"/>
      <c r="M5130" s="91" t="e">
        <f t="shared" si="316"/>
        <v>#DIV/0!</v>
      </c>
    </row>
    <row r="5131" spans="1:13" ht="15.75" hidden="1" customHeight="1" x14ac:dyDescent="0.3">
      <c r="B5131" t="s">
        <v>194</v>
      </c>
      <c r="C5131" s="25">
        <v>44757</v>
      </c>
      <c r="D5131" s="26">
        <v>0.8396527777777778</v>
      </c>
      <c r="E5131" t="s">
        <v>30</v>
      </c>
      <c r="F5131" t="s">
        <v>311</v>
      </c>
      <c r="G5131" t="s">
        <v>303</v>
      </c>
      <c r="H5131" s="128" t="s">
        <v>195</v>
      </c>
      <c r="I5131" s="173">
        <v>204.88</v>
      </c>
      <c r="J5131" s="23"/>
      <c r="K5131" s="23"/>
      <c r="L5131" s="23"/>
      <c r="M5131" s="91" t="e">
        <f t="shared" si="316"/>
        <v>#DIV/0!</v>
      </c>
    </row>
    <row r="5132" spans="1:13" ht="15.75" hidden="1" customHeight="1" x14ac:dyDescent="0.3">
      <c r="A5132" s="9">
        <v>804</v>
      </c>
      <c r="B5132" t="s">
        <v>465</v>
      </c>
      <c r="C5132" s="25">
        <v>44617</v>
      </c>
      <c r="D5132" s="26">
        <v>0.41980324074074077</v>
      </c>
      <c r="E5132" t="s">
        <v>25</v>
      </c>
      <c r="F5132" t="s">
        <v>175</v>
      </c>
      <c r="G5132" t="s">
        <v>172</v>
      </c>
      <c r="H5132" t="s">
        <v>121</v>
      </c>
      <c r="I5132">
        <v>324.92</v>
      </c>
      <c r="J5132" s="34">
        <v>0</v>
      </c>
      <c r="K5132" s="30">
        <f t="shared" ref="K5132:K5163" si="317">+L5132-J5132</f>
        <v>536.14</v>
      </c>
      <c r="L5132" s="37">
        <v>536.14</v>
      </c>
      <c r="M5132" s="118">
        <f t="shared" si="316"/>
        <v>60.603573693438285</v>
      </c>
    </row>
    <row r="5133" spans="1:13" ht="15.75" hidden="1" customHeight="1" x14ac:dyDescent="0.3">
      <c r="A5133" s="9">
        <v>805</v>
      </c>
      <c r="B5133" t="s">
        <v>465</v>
      </c>
      <c r="C5133" s="25">
        <v>44618</v>
      </c>
      <c r="D5133" s="26">
        <v>0.33944444444444444</v>
      </c>
      <c r="E5133" t="s">
        <v>25</v>
      </c>
      <c r="F5133" t="s">
        <v>210</v>
      </c>
      <c r="G5133" t="s">
        <v>211</v>
      </c>
      <c r="H5133" t="s">
        <v>121</v>
      </c>
      <c r="I5133">
        <v>360.09</v>
      </c>
      <c r="J5133" s="7">
        <v>0</v>
      </c>
      <c r="K5133" s="11">
        <f t="shared" si="317"/>
        <v>871.47</v>
      </c>
      <c r="L5133" s="32">
        <v>871.47</v>
      </c>
      <c r="M5133" s="36">
        <f t="shared" si="316"/>
        <v>41.319838892905089</v>
      </c>
    </row>
    <row r="5134" spans="1:13" ht="15.75" hidden="1" customHeight="1" x14ac:dyDescent="0.3">
      <c r="A5134" s="9">
        <v>806</v>
      </c>
      <c r="B5134" t="s">
        <v>465</v>
      </c>
      <c r="C5134" s="25">
        <v>44620</v>
      </c>
      <c r="D5134" s="26">
        <v>0.76825231481481471</v>
      </c>
      <c r="E5134" t="s">
        <v>25</v>
      </c>
      <c r="F5134" t="s">
        <v>210</v>
      </c>
      <c r="G5134" t="s">
        <v>211</v>
      </c>
      <c r="H5134" t="s">
        <v>121</v>
      </c>
      <c r="I5134">
        <v>404.31</v>
      </c>
      <c r="J5134" s="7">
        <v>0</v>
      </c>
      <c r="K5134" s="11">
        <f t="shared" si="317"/>
        <v>912.69</v>
      </c>
      <c r="L5134" s="32">
        <v>912.69</v>
      </c>
      <c r="M5134" s="36">
        <f t="shared" si="316"/>
        <v>44.298721362127338</v>
      </c>
    </row>
    <row r="5135" spans="1:13" ht="15.75" hidden="1" customHeight="1" x14ac:dyDescent="0.3">
      <c r="A5135" s="9">
        <v>1927</v>
      </c>
      <c r="B5135" t="s">
        <v>465</v>
      </c>
      <c r="C5135" s="25">
        <v>44622</v>
      </c>
      <c r="D5135" s="26">
        <v>0.87626157407407401</v>
      </c>
      <c r="E5135" t="s">
        <v>26</v>
      </c>
      <c r="F5135" t="s">
        <v>175</v>
      </c>
      <c r="G5135" t="s">
        <v>172</v>
      </c>
      <c r="H5135" t="s">
        <v>121</v>
      </c>
      <c r="I5135">
        <v>340.01</v>
      </c>
      <c r="J5135" s="7">
        <v>0</v>
      </c>
      <c r="K5135" s="89">
        <f t="shared" si="317"/>
        <v>961.44</v>
      </c>
      <c r="L5135" s="7">
        <v>961.44</v>
      </c>
      <c r="M5135" s="36">
        <f t="shared" si="316"/>
        <v>35.364661341321344</v>
      </c>
    </row>
    <row r="5136" spans="1:13" ht="15.75" hidden="1" customHeight="1" x14ac:dyDescent="0.3">
      <c r="A5136" s="9">
        <v>1928</v>
      </c>
      <c r="B5136" t="s">
        <v>465</v>
      </c>
      <c r="C5136" s="25">
        <v>44624</v>
      </c>
      <c r="D5136" s="26">
        <v>2.6087962962962966E-2</v>
      </c>
      <c r="E5136" t="s">
        <v>26</v>
      </c>
      <c r="F5136" t="s">
        <v>210</v>
      </c>
      <c r="G5136" t="s">
        <v>211</v>
      </c>
      <c r="H5136" t="s">
        <v>121</v>
      </c>
      <c r="I5136">
        <v>360.18</v>
      </c>
      <c r="J5136" s="7">
        <v>0</v>
      </c>
      <c r="K5136" s="89">
        <f t="shared" si="317"/>
        <v>864.72</v>
      </c>
      <c r="L5136" s="32">
        <v>864.72</v>
      </c>
      <c r="M5136" s="36">
        <f t="shared" si="316"/>
        <v>41.652789342214817</v>
      </c>
    </row>
    <row r="5137" spans="1:13" ht="15.75" hidden="1" customHeight="1" x14ac:dyDescent="0.3">
      <c r="A5137" s="9">
        <v>1929</v>
      </c>
      <c r="B5137" t="s">
        <v>465</v>
      </c>
      <c r="C5137" s="25">
        <v>44625</v>
      </c>
      <c r="D5137" s="26">
        <v>0.74534722222222216</v>
      </c>
      <c r="E5137" t="s">
        <v>26</v>
      </c>
      <c r="F5137" t="s">
        <v>210</v>
      </c>
      <c r="G5137" t="s">
        <v>211</v>
      </c>
      <c r="H5137" t="s">
        <v>121</v>
      </c>
      <c r="I5137">
        <v>434.31</v>
      </c>
      <c r="J5137" s="7">
        <v>0</v>
      </c>
      <c r="K5137" s="89">
        <f t="shared" si="317"/>
        <v>997.47</v>
      </c>
      <c r="L5137" s="32">
        <v>997.47</v>
      </c>
      <c r="M5137" s="36">
        <f t="shared" si="316"/>
        <v>43.541159132605486</v>
      </c>
    </row>
    <row r="5138" spans="1:13" ht="15.75" hidden="1" customHeight="1" x14ac:dyDescent="0.3">
      <c r="A5138" s="9">
        <v>1930</v>
      </c>
      <c r="B5138" t="s">
        <v>465</v>
      </c>
      <c r="C5138" s="25">
        <v>44627</v>
      </c>
      <c r="D5138" s="26">
        <v>0.78987268518518527</v>
      </c>
      <c r="E5138" t="s">
        <v>26</v>
      </c>
      <c r="F5138" t="s">
        <v>175</v>
      </c>
      <c r="G5138" t="s">
        <v>172</v>
      </c>
      <c r="H5138" t="s">
        <v>121</v>
      </c>
      <c r="I5138">
        <v>346.91</v>
      </c>
      <c r="J5138" s="7">
        <v>0</v>
      </c>
      <c r="K5138" s="89">
        <f t="shared" si="317"/>
        <v>956.9</v>
      </c>
      <c r="L5138" s="32">
        <v>956.9</v>
      </c>
      <c r="M5138" s="36">
        <f t="shared" si="316"/>
        <v>36.253527014317065</v>
      </c>
    </row>
    <row r="5139" spans="1:13" ht="15.75" hidden="1" customHeight="1" x14ac:dyDescent="0.3">
      <c r="A5139" s="9">
        <v>1931</v>
      </c>
      <c r="B5139" t="s">
        <v>465</v>
      </c>
      <c r="C5139" s="25">
        <v>44628</v>
      </c>
      <c r="D5139" s="26">
        <v>0.87291666666666667</v>
      </c>
      <c r="E5139" t="s">
        <v>26</v>
      </c>
      <c r="F5139" t="s">
        <v>210</v>
      </c>
      <c r="G5139" t="s">
        <v>211</v>
      </c>
      <c r="H5139" t="s">
        <v>121</v>
      </c>
      <c r="I5139">
        <v>367.06</v>
      </c>
      <c r="J5139" s="39">
        <v>0</v>
      </c>
      <c r="K5139" s="89">
        <f t="shared" si="317"/>
        <v>869.1</v>
      </c>
      <c r="L5139" s="37">
        <v>869.1</v>
      </c>
      <c r="M5139" s="36">
        <f t="shared" si="316"/>
        <v>42.234495455068462</v>
      </c>
    </row>
    <row r="5140" spans="1:13" ht="15.75" hidden="1" customHeight="1" x14ac:dyDescent="0.3">
      <c r="A5140" s="9">
        <v>1932</v>
      </c>
      <c r="B5140" t="s">
        <v>465</v>
      </c>
      <c r="C5140" s="25">
        <v>44629</v>
      </c>
      <c r="D5140" s="26">
        <v>0.85222222222222221</v>
      </c>
      <c r="E5140" t="s">
        <v>26</v>
      </c>
      <c r="F5140" t="s">
        <v>210</v>
      </c>
      <c r="G5140" t="s">
        <v>211</v>
      </c>
      <c r="H5140" t="s">
        <v>121</v>
      </c>
      <c r="I5140">
        <v>331.17</v>
      </c>
      <c r="J5140" s="7">
        <v>0</v>
      </c>
      <c r="K5140" s="89">
        <f t="shared" si="317"/>
        <v>930.4</v>
      </c>
      <c r="L5140" s="32">
        <v>930.4</v>
      </c>
      <c r="M5140" s="36">
        <f t="shared" si="316"/>
        <v>35.594368013757524</v>
      </c>
    </row>
    <row r="5141" spans="1:13" ht="15.75" hidden="1" customHeight="1" x14ac:dyDescent="0.3">
      <c r="A5141" s="9">
        <v>1933</v>
      </c>
      <c r="B5141" t="s">
        <v>465</v>
      </c>
      <c r="C5141" s="25">
        <v>44631</v>
      </c>
      <c r="D5141" s="26">
        <v>0.72174768518518517</v>
      </c>
      <c r="E5141" t="s">
        <v>26</v>
      </c>
      <c r="F5141" t="s">
        <v>171</v>
      </c>
      <c r="G5141" t="s">
        <v>172</v>
      </c>
      <c r="H5141" t="s">
        <v>121</v>
      </c>
      <c r="I5141">
        <v>236.32</v>
      </c>
      <c r="J5141" s="7">
        <v>0</v>
      </c>
      <c r="K5141" s="89">
        <f t="shared" si="317"/>
        <v>1077.79</v>
      </c>
      <c r="L5141" s="32">
        <v>1077.79</v>
      </c>
      <c r="M5141" s="36">
        <f t="shared" si="316"/>
        <v>21.926349288822497</v>
      </c>
    </row>
    <row r="5142" spans="1:13" ht="15.75" hidden="1" customHeight="1" x14ac:dyDescent="0.3">
      <c r="A5142" s="9">
        <v>1934</v>
      </c>
      <c r="B5142" t="s">
        <v>465</v>
      </c>
      <c r="C5142" s="25">
        <v>44636</v>
      </c>
      <c r="D5142" s="26">
        <v>0.97863425925925929</v>
      </c>
      <c r="E5142" t="s">
        <v>26</v>
      </c>
      <c r="F5142" t="s">
        <v>171</v>
      </c>
      <c r="G5142" t="s">
        <v>172</v>
      </c>
      <c r="H5142" t="s">
        <v>121</v>
      </c>
      <c r="I5142">
        <v>224.09</v>
      </c>
      <c r="J5142" s="7">
        <v>0</v>
      </c>
      <c r="K5142" s="89">
        <f t="shared" si="317"/>
        <v>171.65</v>
      </c>
      <c r="L5142" s="32">
        <v>171.65</v>
      </c>
      <c r="M5142" s="36">
        <f t="shared" si="316"/>
        <v>130.55053888727062</v>
      </c>
    </row>
    <row r="5143" spans="1:13" ht="15.75" hidden="1" customHeight="1" x14ac:dyDescent="0.3">
      <c r="A5143" s="9">
        <v>1935</v>
      </c>
      <c r="B5143" t="s">
        <v>465</v>
      </c>
      <c r="C5143" s="25">
        <v>44638</v>
      </c>
      <c r="D5143" s="26">
        <v>5.9849537037037041E-2</v>
      </c>
      <c r="E5143" t="s">
        <v>26</v>
      </c>
      <c r="F5143" t="s">
        <v>210</v>
      </c>
      <c r="G5143" t="s">
        <v>211</v>
      </c>
      <c r="H5143" t="s">
        <v>121</v>
      </c>
      <c r="I5143">
        <v>470.11</v>
      </c>
      <c r="J5143" s="7">
        <v>0</v>
      </c>
      <c r="K5143" s="89">
        <f t="shared" si="317"/>
        <v>1089.17</v>
      </c>
      <c r="L5143" s="32">
        <v>1089.17</v>
      </c>
      <c r="M5143" s="36">
        <f t="shared" si="316"/>
        <v>43.162224446137884</v>
      </c>
    </row>
    <row r="5144" spans="1:13" ht="15.75" hidden="1" customHeight="1" x14ac:dyDescent="0.3">
      <c r="A5144" s="9">
        <v>1936</v>
      </c>
      <c r="B5144" t="s">
        <v>465</v>
      </c>
      <c r="C5144" s="25">
        <v>44639</v>
      </c>
      <c r="D5144" s="26">
        <v>4.7106481481481478E-2</v>
      </c>
      <c r="E5144" t="s">
        <v>26</v>
      </c>
      <c r="F5144" t="s">
        <v>210</v>
      </c>
      <c r="G5144" t="s">
        <v>211</v>
      </c>
      <c r="H5144" t="s">
        <v>121</v>
      </c>
      <c r="I5144">
        <v>405.83</v>
      </c>
      <c r="J5144" s="7">
        <v>0</v>
      </c>
      <c r="K5144" s="89">
        <f t="shared" si="317"/>
        <v>1063.5999999999999</v>
      </c>
      <c r="L5144" s="32">
        <v>1063.5999999999999</v>
      </c>
      <c r="M5144" s="36">
        <f t="shared" si="316"/>
        <v>38.156261752538548</v>
      </c>
    </row>
    <row r="5145" spans="1:13" ht="15.75" hidden="1" customHeight="1" x14ac:dyDescent="0.3">
      <c r="A5145" s="9">
        <v>1937</v>
      </c>
      <c r="B5145" t="s">
        <v>465</v>
      </c>
      <c r="C5145" s="25">
        <v>44641</v>
      </c>
      <c r="D5145" s="26">
        <v>0.83103009259259253</v>
      </c>
      <c r="E5145" t="s">
        <v>26</v>
      </c>
      <c r="F5145" t="s">
        <v>175</v>
      </c>
      <c r="G5145" t="s">
        <v>172</v>
      </c>
      <c r="H5145" t="s">
        <v>121</v>
      </c>
      <c r="I5145">
        <v>421.41</v>
      </c>
      <c r="J5145" s="7">
        <v>0</v>
      </c>
      <c r="K5145" s="89">
        <f t="shared" si="317"/>
        <v>1101.99</v>
      </c>
      <c r="L5145" s="37">
        <v>1101.99</v>
      </c>
      <c r="M5145" s="36">
        <f t="shared" si="316"/>
        <v>38.240818882204017</v>
      </c>
    </row>
    <row r="5146" spans="1:13" ht="15.75" hidden="1" customHeight="1" x14ac:dyDescent="0.3">
      <c r="A5146" s="9">
        <v>1938</v>
      </c>
      <c r="B5146" t="s">
        <v>465</v>
      </c>
      <c r="C5146" s="25">
        <v>44643</v>
      </c>
      <c r="D5146" s="26">
        <v>9.571759259259259E-3</v>
      </c>
      <c r="E5146" t="s">
        <v>26</v>
      </c>
      <c r="F5146" t="s">
        <v>210</v>
      </c>
      <c r="G5146" t="s">
        <v>211</v>
      </c>
      <c r="H5146" t="s">
        <v>121</v>
      </c>
      <c r="I5146">
        <v>354.08</v>
      </c>
      <c r="J5146" s="7">
        <v>0</v>
      </c>
      <c r="K5146" s="89">
        <f t="shared" si="317"/>
        <v>830.95</v>
      </c>
      <c r="L5146" s="32">
        <v>830.95</v>
      </c>
      <c r="M5146" s="36">
        <f t="shared" si="316"/>
        <v>42.611468800770197</v>
      </c>
    </row>
    <row r="5147" spans="1:13" ht="15.75" hidden="1" customHeight="1" x14ac:dyDescent="0.3">
      <c r="A5147" s="9">
        <v>1939</v>
      </c>
      <c r="B5147" t="s">
        <v>465</v>
      </c>
      <c r="C5147" s="25">
        <v>44643</v>
      </c>
      <c r="D5147" s="26">
        <v>0.66120370370370374</v>
      </c>
      <c r="E5147" t="s">
        <v>26</v>
      </c>
      <c r="F5147" t="s">
        <v>165</v>
      </c>
      <c r="G5147" t="s">
        <v>185</v>
      </c>
      <c r="H5147" t="s">
        <v>121</v>
      </c>
      <c r="I5147">
        <v>256.01</v>
      </c>
      <c r="J5147" s="7">
        <v>0</v>
      </c>
      <c r="K5147" s="89">
        <f t="shared" si="317"/>
        <v>551.48</v>
      </c>
      <c r="L5147" s="37">
        <v>551.48</v>
      </c>
      <c r="M5147" s="36">
        <f t="shared" si="316"/>
        <v>46.422354391818374</v>
      </c>
    </row>
    <row r="5148" spans="1:13" ht="15.75" hidden="1" customHeight="1" x14ac:dyDescent="0.3">
      <c r="A5148" s="9">
        <v>1942</v>
      </c>
      <c r="B5148" t="s">
        <v>465</v>
      </c>
      <c r="C5148" s="25">
        <v>44645</v>
      </c>
      <c r="D5148" s="26">
        <v>0.91752314814814817</v>
      </c>
      <c r="E5148" t="s">
        <v>26</v>
      </c>
      <c r="F5148" t="s">
        <v>166</v>
      </c>
      <c r="G5148" t="s">
        <v>161</v>
      </c>
      <c r="H5148" t="s">
        <v>121</v>
      </c>
      <c r="I5148">
        <v>160.04</v>
      </c>
      <c r="J5148" s="7">
        <v>0</v>
      </c>
      <c r="K5148" s="89">
        <f t="shared" si="317"/>
        <v>590.9</v>
      </c>
      <c r="L5148" s="72">
        <v>590.9</v>
      </c>
      <c r="M5148" s="36">
        <f t="shared" si="316"/>
        <v>27.084108986292101</v>
      </c>
    </row>
    <row r="5149" spans="1:13" ht="15.75" hidden="1" customHeight="1" x14ac:dyDescent="0.3">
      <c r="A5149" s="9">
        <v>1943</v>
      </c>
      <c r="B5149" t="s">
        <v>465</v>
      </c>
      <c r="C5149" s="25">
        <v>44651</v>
      </c>
      <c r="D5149" s="26">
        <v>0.44001157407407404</v>
      </c>
      <c r="E5149" t="s">
        <v>26</v>
      </c>
      <c r="F5149" t="s">
        <v>175</v>
      </c>
      <c r="G5149" t="s">
        <v>172</v>
      </c>
      <c r="H5149" t="s">
        <v>121</v>
      </c>
      <c r="I5149">
        <v>442.09</v>
      </c>
      <c r="J5149" s="7">
        <v>0</v>
      </c>
      <c r="K5149" s="89">
        <f t="shared" si="317"/>
        <v>374.4</v>
      </c>
      <c r="L5149" s="72">
        <v>374.4</v>
      </c>
      <c r="M5149" s="36">
        <f t="shared" si="316"/>
        <v>118.07959401709402</v>
      </c>
    </row>
    <row r="5150" spans="1:13" ht="15.75" hidden="1" customHeight="1" x14ac:dyDescent="0.3">
      <c r="A5150" s="9">
        <v>1944</v>
      </c>
      <c r="B5150" t="s">
        <v>465</v>
      </c>
      <c r="C5150" s="25">
        <v>44651</v>
      </c>
      <c r="D5150" s="26">
        <v>0.92070601851851841</v>
      </c>
      <c r="E5150" t="s">
        <v>26</v>
      </c>
      <c r="F5150" t="s">
        <v>210</v>
      </c>
      <c r="G5150" t="s">
        <v>211</v>
      </c>
      <c r="H5150" t="s">
        <v>121</v>
      </c>
      <c r="I5150">
        <v>312.13</v>
      </c>
      <c r="J5150" s="7">
        <v>0</v>
      </c>
      <c r="K5150" s="89">
        <f t="shared" si="317"/>
        <v>138.77000000000001</v>
      </c>
      <c r="L5150" s="72">
        <v>138.77000000000001</v>
      </c>
      <c r="M5150" s="36">
        <f t="shared" si="316"/>
        <v>224.92613677307776</v>
      </c>
    </row>
    <row r="5151" spans="1:13" ht="15.75" hidden="1" customHeight="1" x14ac:dyDescent="0.3">
      <c r="A5151" s="9">
        <v>1970</v>
      </c>
      <c r="B5151" t="s">
        <v>465</v>
      </c>
      <c r="C5151" s="25">
        <v>44643</v>
      </c>
      <c r="D5151" s="26">
        <v>0.99855324074074081</v>
      </c>
      <c r="E5151" t="s">
        <v>26</v>
      </c>
      <c r="F5151" t="s">
        <v>202</v>
      </c>
      <c r="G5151" t="s">
        <v>203</v>
      </c>
      <c r="H5151" t="s">
        <v>255</v>
      </c>
      <c r="I5151">
        <v>150</v>
      </c>
      <c r="J5151" s="7">
        <v>0</v>
      </c>
      <c r="K5151" s="89">
        <f t="shared" si="317"/>
        <v>537.77</v>
      </c>
      <c r="L5151" s="7">
        <v>537.77</v>
      </c>
      <c r="M5151" s="36">
        <f t="shared" si="316"/>
        <v>27.8929653941276</v>
      </c>
    </row>
    <row r="5152" spans="1:13" ht="15.75" hidden="1" customHeight="1" x14ac:dyDescent="0.3">
      <c r="A5152" s="9">
        <v>3204</v>
      </c>
      <c r="B5152" t="s">
        <v>465</v>
      </c>
      <c r="C5152" s="25">
        <v>44652</v>
      </c>
      <c r="D5152" s="26">
        <v>0.51097222222222227</v>
      </c>
      <c r="E5152" t="s">
        <v>27</v>
      </c>
      <c r="F5152" t="s">
        <v>165</v>
      </c>
      <c r="G5152" t="s">
        <v>185</v>
      </c>
      <c r="H5152" t="s">
        <v>121</v>
      </c>
      <c r="I5152" s="4">
        <v>247.22</v>
      </c>
      <c r="J5152" s="7">
        <v>0</v>
      </c>
      <c r="K5152" s="89">
        <f t="shared" si="317"/>
        <v>551.57000000000005</v>
      </c>
      <c r="L5152" s="147">
        <v>551.57000000000005</v>
      </c>
      <c r="M5152" s="36">
        <f t="shared" si="316"/>
        <v>44.821146907917395</v>
      </c>
    </row>
    <row r="5153" spans="1:13" ht="15.75" hidden="1" customHeight="1" x14ac:dyDescent="0.3">
      <c r="A5153" s="9">
        <v>3205</v>
      </c>
      <c r="B5153" t="s">
        <v>465</v>
      </c>
      <c r="C5153" s="25">
        <v>44652</v>
      </c>
      <c r="D5153" s="26">
        <v>0.84050925925925923</v>
      </c>
      <c r="E5153" t="s">
        <v>27</v>
      </c>
      <c r="F5153" t="s">
        <v>210</v>
      </c>
      <c r="G5153" t="s">
        <v>211</v>
      </c>
      <c r="H5153" t="s">
        <v>121</v>
      </c>
      <c r="I5153" s="4">
        <v>181.91</v>
      </c>
      <c r="J5153" s="7">
        <v>0</v>
      </c>
      <c r="K5153" s="89">
        <f t="shared" si="317"/>
        <v>512.36</v>
      </c>
      <c r="L5153" s="72">
        <v>512.36</v>
      </c>
      <c r="M5153" s="36">
        <f t="shared" si="316"/>
        <v>35.504332890936055</v>
      </c>
    </row>
    <row r="5154" spans="1:13" ht="15.75" hidden="1" customHeight="1" x14ac:dyDescent="0.3">
      <c r="A5154" s="9">
        <v>3206</v>
      </c>
      <c r="B5154" t="s">
        <v>465</v>
      </c>
      <c r="C5154" s="25">
        <v>44655</v>
      </c>
      <c r="D5154" s="26">
        <v>0.77803240740740742</v>
      </c>
      <c r="E5154" t="s">
        <v>27</v>
      </c>
      <c r="F5154" t="s">
        <v>175</v>
      </c>
      <c r="G5154" t="s">
        <v>172</v>
      </c>
      <c r="H5154" t="s">
        <v>121</v>
      </c>
      <c r="I5154" s="4">
        <v>368.82</v>
      </c>
      <c r="J5154" s="7">
        <v>0</v>
      </c>
      <c r="K5154" s="89">
        <f t="shared" si="317"/>
        <v>951.65</v>
      </c>
      <c r="L5154" s="72">
        <v>951.65</v>
      </c>
      <c r="M5154" s="36">
        <f t="shared" si="316"/>
        <v>38.755845111122788</v>
      </c>
    </row>
    <row r="5155" spans="1:13" ht="15.75" hidden="1" customHeight="1" x14ac:dyDescent="0.3">
      <c r="A5155" s="9">
        <v>3207</v>
      </c>
      <c r="B5155" t="s">
        <v>465</v>
      </c>
      <c r="C5155" s="25">
        <v>44656</v>
      </c>
      <c r="D5155" s="26">
        <v>0.32751157407407411</v>
      </c>
      <c r="E5155" t="s">
        <v>27</v>
      </c>
      <c r="F5155" t="s">
        <v>197</v>
      </c>
      <c r="G5155" t="s">
        <v>44</v>
      </c>
      <c r="H5155" t="s">
        <v>121</v>
      </c>
      <c r="I5155" s="4">
        <v>370</v>
      </c>
      <c r="J5155" s="7">
        <v>0</v>
      </c>
      <c r="K5155" s="89">
        <f t="shared" si="317"/>
        <v>244.48</v>
      </c>
      <c r="L5155" s="72">
        <v>244.48</v>
      </c>
      <c r="M5155" s="36">
        <f t="shared" si="316"/>
        <v>151.34162303664922</v>
      </c>
    </row>
    <row r="5156" spans="1:13" ht="15.75" hidden="1" customHeight="1" x14ac:dyDescent="0.3">
      <c r="A5156" s="9">
        <v>3208</v>
      </c>
      <c r="B5156" t="s">
        <v>465</v>
      </c>
      <c r="C5156" s="25">
        <v>44657</v>
      </c>
      <c r="D5156" s="26">
        <v>0.27733796296296293</v>
      </c>
      <c r="E5156" t="s">
        <v>27</v>
      </c>
      <c r="F5156" t="s">
        <v>165</v>
      </c>
      <c r="G5156" t="s">
        <v>185</v>
      </c>
      <c r="H5156" t="s">
        <v>121</v>
      </c>
      <c r="I5156" s="4">
        <v>237.08</v>
      </c>
      <c r="J5156" s="7">
        <v>0</v>
      </c>
      <c r="K5156" s="89">
        <f t="shared" si="317"/>
        <v>1135.33</v>
      </c>
      <c r="L5156" s="72">
        <v>1135.33</v>
      </c>
      <c r="M5156" s="36">
        <f t="shared" si="316"/>
        <v>20.882034298397826</v>
      </c>
    </row>
    <row r="5157" spans="1:13" ht="15.75" hidden="1" customHeight="1" x14ac:dyDescent="0.3">
      <c r="A5157" s="9">
        <v>3209</v>
      </c>
      <c r="B5157" t="s">
        <v>465</v>
      </c>
      <c r="C5157" s="25">
        <v>44658</v>
      </c>
      <c r="D5157" s="26">
        <v>0.16778935185185184</v>
      </c>
      <c r="E5157" t="s">
        <v>27</v>
      </c>
      <c r="F5157" t="s">
        <v>210</v>
      </c>
      <c r="G5157" t="s">
        <v>211</v>
      </c>
      <c r="H5157" t="s">
        <v>121</v>
      </c>
      <c r="I5157" s="4">
        <v>229.33</v>
      </c>
      <c r="J5157" s="7">
        <v>0</v>
      </c>
      <c r="K5157" s="89">
        <f t="shared" si="317"/>
        <v>572.41</v>
      </c>
      <c r="L5157" s="72">
        <v>572.41</v>
      </c>
      <c r="M5157" s="36">
        <f t="shared" si="316"/>
        <v>40.063940182736161</v>
      </c>
    </row>
    <row r="5158" spans="1:13" ht="15.75" hidden="1" customHeight="1" x14ac:dyDescent="0.3">
      <c r="A5158" s="9">
        <v>3210</v>
      </c>
      <c r="B5158" t="s">
        <v>465</v>
      </c>
      <c r="C5158" s="25">
        <v>44658</v>
      </c>
      <c r="D5158" s="26">
        <v>0.78287037037037033</v>
      </c>
      <c r="E5158" t="s">
        <v>27</v>
      </c>
      <c r="F5158" t="s">
        <v>169</v>
      </c>
      <c r="G5158" t="s">
        <v>511</v>
      </c>
      <c r="H5158" t="s">
        <v>121</v>
      </c>
      <c r="I5158" s="4">
        <v>150</v>
      </c>
      <c r="J5158" s="7">
        <v>0</v>
      </c>
      <c r="K5158" s="89">
        <f t="shared" si="317"/>
        <v>498.44</v>
      </c>
      <c r="L5158" s="72">
        <v>498.44</v>
      </c>
      <c r="M5158" s="36">
        <f t="shared" si="316"/>
        <v>30.093892945991495</v>
      </c>
    </row>
    <row r="5159" spans="1:13" ht="15.75" hidden="1" customHeight="1" x14ac:dyDescent="0.3">
      <c r="A5159" s="9">
        <v>3211</v>
      </c>
      <c r="B5159" t="s">
        <v>465</v>
      </c>
      <c r="C5159" s="25">
        <v>44660</v>
      </c>
      <c r="D5159" s="26">
        <v>0.45701388888888889</v>
      </c>
      <c r="E5159" t="s">
        <v>27</v>
      </c>
      <c r="F5159" t="s">
        <v>541</v>
      </c>
      <c r="G5159" t="s">
        <v>542</v>
      </c>
      <c r="H5159" t="s">
        <v>121</v>
      </c>
      <c r="I5159" s="4">
        <v>70</v>
      </c>
      <c r="J5159" s="7">
        <v>0</v>
      </c>
      <c r="K5159" s="89">
        <f t="shared" si="317"/>
        <v>886.95</v>
      </c>
      <c r="L5159" s="147">
        <v>886.95</v>
      </c>
      <c r="M5159" s="36">
        <f t="shared" si="316"/>
        <v>7.8922148937369636</v>
      </c>
    </row>
    <row r="5160" spans="1:13" ht="15.75" hidden="1" customHeight="1" x14ac:dyDescent="0.3">
      <c r="A5160" s="9">
        <v>3212</v>
      </c>
      <c r="B5160" t="s">
        <v>465</v>
      </c>
      <c r="C5160" s="25">
        <v>44660</v>
      </c>
      <c r="D5160" s="26">
        <v>0.70182870370370365</v>
      </c>
      <c r="E5160" t="s">
        <v>27</v>
      </c>
      <c r="F5160" t="s">
        <v>530</v>
      </c>
      <c r="G5160" t="s">
        <v>489</v>
      </c>
      <c r="H5160" t="s">
        <v>121</v>
      </c>
      <c r="I5160" s="4">
        <v>429.15</v>
      </c>
      <c r="J5160" s="7">
        <v>0</v>
      </c>
      <c r="K5160" s="89">
        <f t="shared" si="317"/>
        <v>1177</v>
      </c>
      <c r="L5160" s="85">
        <v>1177</v>
      </c>
      <c r="M5160" s="10">
        <f t="shared" si="316"/>
        <v>36.461342395921832</v>
      </c>
    </row>
    <row r="5161" spans="1:13" ht="15.75" hidden="1" customHeight="1" x14ac:dyDescent="0.3">
      <c r="A5161" s="9">
        <v>3213</v>
      </c>
      <c r="B5161" t="s">
        <v>465</v>
      </c>
      <c r="C5161" s="25">
        <v>44660</v>
      </c>
      <c r="D5161" s="26">
        <v>0.9000462962962964</v>
      </c>
      <c r="E5161" t="s">
        <v>27</v>
      </c>
      <c r="F5161" t="s">
        <v>210</v>
      </c>
      <c r="G5161" t="s">
        <v>211</v>
      </c>
      <c r="H5161" t="s">
        <v>121</v>
      </c>
      <c r="I5161" s="4">
        <v>91.39</v>
      </c>
      <c r="J5161" s="7">
        <v>0</v>
      </c>
      <c r="K5161" s="89">
        <f t="shared" si="317"/>
        <v>246.52</v>
      </c>
      <c r="L5161" s="85">
        <v>246.52</v>
      </c>
      <c r="M5161" s="10">
        <f t="shared" ref="M5161:M5192" si="318">I5161/K5161*100</f>
        <v>37.072042836281035</v>
      </c>
    </row>
    <row r="5162" spans="1:13" ht="15.75" hidden="1" customHeight="1" x14ac:dyDescent="0.3">
      <c r="A5162" s="9">
        <v>3214</v>
      </c>
      <c r="B5162" t="s">
        <v>465</v>
      </c>
      <c r="C5162" s="25">
        <v>44661</v>
      </c>
      <c r="D5162" s="26">
        <v>0.85349537037037038</v>
      </c>
      <c r="E5162" t="s">
        <v>27</v>
      </c>
      <c r="F5162" t="s">
        <v>210</v>
      </c>
      <c r="G5162" t="s">
        <v>211</v>
      </c>
      <c r="H5162" t="s">
        <v>121</v>
      </c>
      <c r="I5162" s="4">
        <v>404.81</v>
      </c>
      <c r="J5162" s="7">
        <v>0</v>
      </c>
      <c r="K5162" s="89">
        <f t="shared" si="317"/>
        <v>1063.19</v>
      </c>
      <c r="L5162" s="72">
        <v>1063.19</v>
      </c>
      <c r="M5162" s="36">
        <f t="shared" si="318"/>
        <v>38.075038328050489</v>
      </c>
    </row>
    <row r="5163" spans="1:13" ht="15.75" hidden="1" customHeight="1" x14ac:dyDescent="0.3">
      <c r="A5163" s="9">
        <v>3215</v>
      </c>
      <c r="B5163" t="s">
        <v>465</v>
      </c>
      <c r="C5163" s="25">
        <v>44662</v>
      </c>
      <c r="D5163" s="26">
        <v>0.41736111111111113</v>
      </c>
      <c r="E5163" t="s">
        <v>27</v>
      </c>
      <c r="F5163" t="s">
        <v>169</v>
      </c>
      <c r="G5163" t="s">
        <v>196</v>
      </c>
      <c r="H5163" t="s">
        <v>121</v>
      </c>
      <c r="I5163" s="4">
        <v>150</v>
      </c>
      <c r="J5163" s="7">
        <v>0</v>
      </c>
      <c r="K5163" s="89">
        <f t="shared" si="317"/>
        <v>490.29</v>
      </c>
      <c r="L5163" s="72">
        <v>490.29</v>
      </c>
      <c r="M5163" s="36">
        <f t="shared" si="318"/>
        <v>30.594138163127944</v>
      </c>
    </row>
    <row r="5164" spans="1:13" ht="15.75" hidden="1" customHeight="1" x14ac:dyDescent="0.3">
      <c r="A5164" s="9">
        <v>3216</v>
      </c>
      <c r="B5164" t="s">
        <v>465</v>
      </c>
      <c r="C5164" s="25">
        <v>44662</v>
      </c>
      <c r="D5164" s="26">
        <v>0.79599537037037038</v>
      </c>
      <c r="E5164" t="s">
        <v>27</v>
      </c>
      <c r="F5164" t="s">
        <v>175</v>
      </c>
      <c r="G5164" t="s">
        <v>172</v>
      </c>
      <c r="H5164" t="s">
        <v>121</v>
      </c>
      <c r="I5164" s="4">
        <v>223</v>
      </c>
      <c r="J5164" s="7">
        <v>0</v>
      </c>
      <c r="K5164" s="89">
        <f t="shared" ref="K5164:K5194" si="319">+L5164-J5164</f>
        <v>559.1</v>
      </c>
      <c r="L5164" s="72">
        <v>559.1</v>
      </c>
      <c r="M5164" s="36">
        <f t="shared" si="318"/>
        <v>39.885530316580216</v>
      </c>
    </row>
    <row r="5165" spans="1:13" ht="15.75" hidden="1" customHeight="1" x14ac:dyDescent="0.3">
      <c r="A5165" s="9">
        <v>3217</v>
      </c>
      <c r="B5165" t="s">
        <v>465</v>
      </c>
      <c r="C5165" s="25">
        <v>44663</v>
      </c>
      <c r="D5165" s="26">
        <v>0.93622685185185184</v>
      </c>
      <c r="E5165" t="s">
        <v>27</v>
      </c>
      <c r="F5165" t="s">
        <v>210</v>
      </c>
      <c r="G5165" t="s">
        <v>211</v>
      </c>
      <c r="H5165" t="s">
        <v>121</v>
      </c>
      <c r="I5165" s="4">
        <v>375.62</v>
      </c>
      <c r="J5165" s="51">
        <v>0</v>
      </c>
      <c r="K5165" s="89">
        <f t="shared" si="319"/>
        <v>1391</v>
      </c>
      <c r="L5165" s="85">
        <v>1391</v>
      </c>
      <c r="M5165" s="10">
        <f t="shared" si="318"/>
        <v>27.003594536304814</v>
      </c>
    </row>
    <row r="5166" spans="1:13" ht="15.75" hidden="1" customHeight="1" x14ac:dyDescent="0.3">
      <c r="A5166" s="9">
        <v>3218</v>
      </c>
      <c r="B5166" t="s">
        <v>465</v>
      </c>
      <c r="C5166" s="25">
        <v>44664</v>
      </c>
      <c r="D5166" s="26">
        <v>0.3714351851851852</v>
      </c>
      <c r="E5166" t="s">
        <v>27</v>
      </c>
      <c r="F5166" t="s">
        <v>165</v>
      </c>
      <c r="G5166" t="s">
        <v>185</v>
      </c>
      <c r="H5166" t="s">
        <v>121</v>
      </c>
      <c r="I5166" s="4">
        <v>263</v>
      </c>
      <c r="J5166" s="7">
        <v>0</v>
      </c>
      <c r="K5166" s="89">
        <f t="shared" si="319"/>
        <v>548.38</v>
      </c>
      <c r="L5166" s="72">
        <v>548.38</v>
      </c>
      <c r="M5166" s="36">
        <f t="shared" si="318"/>
        <v>47.959444181042343</v>
      </c>
    </row>
    <row r="5167" spans="1:13" ht="15.75" hidden="1" customHeight="1" x14ac:dyDescent="0.3">
      <c r="A5167" s="9">
        <v>3219</v>
      </c>
      <c r="B5167" t="s">
        <v>465</v>
      </c>
      <c r="C5167" s="25">
        <v>44664</v>
      </c>
      <c r="D5167" s="26">
        <v>0.77868055555555549</v>
      </c>
      <c r="E5167" t="s">
        <v>27</v>
      </c>
      <c r="F5167" t="s">
        <v>202</v>
      </c>
      <c r="G5167" t="s">
        <v>203</v>
      </c>
      <c r="H5167" t="s">
        <v>121</v>
      </c>
      <c r="I5167" s="4">
        <v>132.1</v>
      </c>
      <c r="J5167" s="7">
        <v>0</v>
      </c>
      <c r="K5167" s="89">
        <f t="shared" si="319"/>
        <v>541.70000000000005</v>
      </c>
      <c r="L5167" s="85">
        <v>541.70000000000005</v>
      </c>
      <c r="M5167" s="10">
        <f t="shared" si="318"/>
        <v>24.386191618977289</v>
      </c>
    </row>
    <row r="5168" spans="1:13" ht="15.75" hidden="1" customHeight="1" x14ac:dyDescent="0.3">
      <c r="A5168" s="9">
        <v>3220</v>
      </c>
      <c r="B5168" t="s">
        <v>465</v>
      </c>
      <c r="C5168" s="25">
        <v>44666</v>
      </c>
      <c r="D5168" s="26">
        <v>0.14503472222222222</v>
      </c>
      <c r="E5168" t="s">
        <v>27</v>
      </c>
      <c r="F5168" t="s">
        <v>165</v>
      </c>
      <c r="G5168" t="s">
        <v>185</v>
      </c>
      <c r="H5168" t="s">
        <v>121</v>
      </c>
      <c r="I5168" s="4">
        <v>250</v>
      </c>
      <c r="J5168" s="7">
        <v>0</v>
      </c>
      <c r="K5168" s="89">
        <f t="shared" si="319"/>
        <v>1089</v>
      </c>
      <c r="L5168" s="85">
        <v>1089</v>
      </c>
      <c r="M5168" s="10">
        <f t="shared" si="318"/>
        <v>22.956841138659321</v>
      </c>
    </row>
    <row r="5169" spans="1:13" ht="15.75" hidden="1" customHeight="1" x14ac:dyDescent="0.3">
      <c r="A5169" s="9">
        <v>3221</v>
      </c>
      <c r="B5169" t="s">
        <v>465</v>
      </c>
      <c r="C5169" s="25">
        <v>44666</v>
      </c>
      <c r="D5169" s="26">
        <v>0.73734953703703709</v>
      </c>
      <c r="E5169" t="s">
        <v>27</v>
      </c>
      <c r="F5169" t="s">
        <v>210</v>
      </c>
      <c r="G5169" t="s">
        <v>211</v>
      </c>
      <c r="H5169" t="s">
        <v>121</v>
      </c>
      <c r="I5169" s="4">
        <v>311.49</v>
      </c>
      <c r="J5169" s="39">
        <v>0</v>
      </c>
      <c r="K5169" s="89">
        <f t="shared" si="319"/>
        <v>1604</v>
      </c>
      <c r="L5169" s="72">
        <v>1604</v>
      </c>
      <c r="M5169" s="36">
        <f t="shared" si="318"/>
        <v>19.419576059850375</v>
      </c>
    </row>
    <row r="5170" spans="1:13" ht="15.75" hidden="1" customHeight="1" x14ac:dyDescent="0.3">
      <c r="A5170" s="9">
        <v>3222</v>
      </c>
      <c r="B5170" t="s">
        <v>465</v>
      </c>
      <c r="C5170" s="25">
        <v>44667</v>
      </c>
      <c r="D5170" s="26">
        <v>0.33752314814814816</v>
      </c>
      <c r="E5170" t="s">
        <v>27</v>
      </c>
      <c r="F5170" t="s">
        <v>169</v>
      </c>
      <c r="G5170" t="s">
        <v>196</v>
      </c>
      <c r="H5170" t="s">
        <v>121</v>
      </c>
      <c r="I5170" s="4">
        <v>180.01</v>
      </c>
      <c r="J5170" s="39">
        <v>0</v>
      </c>
      <c r="K5170" s="89">
        <f t="shared" si="319"/>
        <v>490.16</v>
      </c>
      <c r="L5170" s="32">
        <v>490.16</v>
      </c>
      <c r="M5170" s="36">
        <f t="shared" si="318"/>
        <v>36.724742941080457</v>
      </c>
    </row>
    <row r="5171" spans="1:13" ht="15.75" hidden="1" customHeight="1" x14ac:dyDescent="0.3">
      <c r="A5171" s="9">
        <v>3223</v>
      </c>
      <c r="B5171" t="s">
        <v>465</v>
      </c>
      <c r="C5171" s="25">
        <v>44671</v>
      </c>
      <c r="D5171" s="26">
        <v>8.3773148148148138E-2</v>
      </c>
      <c r="E5171" t="s">
        <v>27</v>
      </c>
      <c r="F5171" t="s">
        <v>175</v>
      </c>
      <c r="G5171" t="s">
        <v>172</v>
      </c>
      <c r="H5171" t="s">
        <v>121</v>
      </c>
      <c r="I5171" s="4">
        <v>308.75</v>
      </c>
      <c r="J5171" s="34">
        <v>0</v>
      </c>
      <c r="K5171" s="89">
        <f t="shared" si="319"/>
        <v>757.77</v>
      </c>
      <c r="L5171" s="33">
        <v>757.77</v>
      </c>
      <c r="M5171" s="36">
        <f t="shared" si="318"/>
        <v>40.744553096586031</v>
      </c>
    </row>
    <row r="5172" spans="1:13" ht="15.75" hidden="1" customHeight="1" x14ac:dyDescent="0.3">
      <c r="A5172" s="9">
        <v>3224</v>
      </c>
      <c r="B5172" t="s">
        <v>465</v>
      </c>
      <c r="C5172" s="25">
        <v>44671</v>
      </c>
      <c r="D5172" s="26">
        <v>0.65050925925925929</v>
      </c>
      <c r="E5172" t="s">
        <v>27</v>
      </c>
      <c r="F5172" t="s">
        <v>210</v>
      </c>
      <c r="G5172" t="s">
        <v>211</v>
      </c>
      <c r="H5172" t="s">
        <v>121</v>
      </c>
      <c r="I5172" s="4">
        <v>299.77</v>
      </c>
      <c r="J5172" s="7">
        <v>0</v>
      </c>
      <c r="K5172" s="89">
        <f t="shared" si="319"/>
        <v>1451.71</v>
      </c>
      <c r="L5172" s="32">
        <v>1451.71</v>
      </c>
      <c r="M5172" s="36">
        <f t="shared" si="318"/>
        <v>20.64944100405728</v>
      </c>
    </row>
    <row r="5173" spans="1:13" ht="15.75" hidden="1" customHeight="1" x14ac:dyDescent="0.3">
      <c r="A5173" s="9">
        <v>3225</v>
      </c>
      <c r="B5173" t="s">
        <v>465</v>
      </c>
      <c r="C5173" s="25">
        <v>44672</v>
      </c>
      <c r="D5173" s="26">
        <v>5.4155092592592595E-2</v>
      </c>
      <c r="E5173" t="s">
        <v>27</v>
      </c>
      <c r="F5173" t="s">
        <v>165</v>
      </c>
      <c r="G5173" t="s">
        <v>185</v>
      </c>
      <c r="H5173" t="s">
        <v>121</v>
      </c>
      <c r="I5173" s="4">
        <v>272.01</v>
      </c>
      <c r="J5173" s="7">
        <v>0</v>
      </c>
      <c r="K5173" s="89">
        <f t="shared" si="319"/>
        <v>548</v>
      </c>
      <c r="L5173" s="32">
        <v>548</v>
      </c>
      <c r="M5173" s="36">
        <f t="shared" si="318"/>
        <v>49.636861313868614</v>
      </c>
    </row>
    <row r="5174" spans="1:13" ht="15.75" hidden="1" customHeight="1" x14ac:dyDescent="0.3">
      <c r="A5174" s="9">
        <v>3226</v>
      </c>
      <c r="B5174" t="s">
        <v>465</v>
      </c>
      <c r="C5174" s="25">
        <v>44672</v>
      </c>
      <c r="D5174" s="26">
        <v>0.49927083333333333</v>
      </c>
      <c r="E5174" t="s">
        <v>27</v>
      </c>
      <c r="F5174" t="s">
        <v>202</v>
      </c>
      <c r="G5174" t="s">
        <v>203</v>
      </c>
      <c r="H5174" t="s">
        <v>121</v>
      </c>
      <c r="I5174" s="4">
        <v>350</v>
      </c>
      <c r="J5174" s="7">
        <v>0</v>
      </c>
      <c r="K5174" s="89">
        <f t="shared" si="319"/>
        <v>1783</v>
      </c>
      <c r="L5174" s="32">
        <v>1783</v>
      </c>
      <c r="M5174" s="36">
        <f t="shared" si="318"/>
        <v>19.629837352776221</v>
      </c>
    </row>
    <row r="5175" spans="1:13" ht="15.75" hidden="1" customHeight="1" x14ac:dyDescent="0.3">
      <c r="A5175" s="9">
        <v>3227</v>
      </c>
      <c r="B5175" t="s">
        <v>465</v>
      </c>
      <c r="C5175" s="25">
        <v>44674</v>
      </c>
      <c r="D5175" s="26">
        <v>3.4456018518518518E-2</v>
      </c>
      <c r="E5175" t="s">
        <v>27</v>
      </c>
      <c r="F5175" t="s">
        <v>210</v>
      </c>
      <c r="G5175" t="s">
        <v>211</v>
      </c>
      <c r="H5175" t="s">
        <v>121</v>
      </c>
      <c r="I5175" s="4">
        <v>400.06</v>
      </c>
      <c r="J5175" s="7">
        <v>0</v>
      </c>
      <c r="K5175" s="89">
        <f t="shared" si="319"/>
        <v>1601.65</v>
      </c>
      <c r="L5175" s="37">
        <v>1601.65</v>
      </c>
      <c r="M5175" s="36">
        <f t="shared" si="318"/>
        <v>24.977991446320978</v>
      </c>
    </row>
    <row r="5176" spans="1:13" ht="15.75" hidden="1" customHeight="1" x14ac:dyDescent="0.3">
      <c r="A5176" s="9">
        <v>3228</v>
      </c>
      <c r="B5176" t="s">
        <v>465</v>
      </c>
      <c r="C5176" s="25">
        <v>44675</v>
      </c>
      <c r="D5176" s="26">
        <v>0.36390046296296297</v>
      </c>
      <c r="E5176" t="s">
        <v>27</v>
      </c>
      <c r="F5176" t="s">
        <v>428</v>
      </c>
      <c r="G5176" t="s">
        <v>429</v>
      </c>
      <c r="H5176" t="s">
        <v>121</v>
      </c>
      <c r="I5176" s="4">
        <v>150.02000000000001</v>
      </c>
      <c r="J5176" s="34">
        <v>0</v>
      </c>
      <c r="K5176" s="89">
        <f t="shared" si="319"/>
        <v>938.9</v>
      </c>
      <c r="L5176" s="32">
        <v>938.9</v>
      </c>
      <c r="M5176" s="36">
        <f t="shared" si="318"/>
        <v>15.978272446479924</v>
      </c>
    </row>
    <row r="5177" spans="1:13" ht="15.75" hidden="1" customHeight="1" x14ac:dyDescent="0.3">
      <c r="A5177" s="9">
        <v>3229</v>
      </c>
      <c r="B5177" t="s">
        <v>465</v>
      </c>
      <c r="C5177" s="25">
        <v>44676</v>
      </c>
      <c r="D5177" s="26">
        <v>0.22615740740740742</v>
      </c>
      <c r="E5177" t="s">
        <v>27</v>
      </c>
      <c r="F5177" t="s">
        <v>428</v>
      </c>
      <c r="G5177" t="s">
        <v>429</v>
      </c>
      <c r="H5177" t="s">
        <v>121</v>
      </c>
      <c r="I5177">
        <v>150.1</v>
      </c>
      <c r="J5177" s="7">
        <v>0</v>
      </c>
      <c r="K5177" s="89">
        <f t="shared" si="319"/>
        <v>560</v>
      </c>
      <c r="L5177" s="7">
        <v>560</v>
      </c>
      <c r="M5177" s="36">
        <f t="shared" si="318"/>
        <v>26.803571428571427</v>
      </c>
    </row>
    <row r="5178" spans="1:13" ht="15.75" hidden="1" customHeight="1" x14ac:dyDescent="0.3">
      <c r="A5178" s="9">
        <v>3230</v>
      </c>
      <c r="B5178" t="s">
        <v>465</v>
      </c>
      <c r="C5178" s="25">
        <v>44676</v>
      </c>
      <c r="D5178" s="26">
        <v>0.9808796296296296</v>
      </c>
      <c r="E5178" t="s">
        <v>27</v>
      </c>
      <c r="F5178" t="s">
        <v>210</v>
      </c>
      <c r="G5178" t="s">
        <v>211</v>
      </c>
      <c r="H5178" t="s">
        <v>121</v>
      </c>
      <c r="I5178">
        <v>420.38</v>
      </c>
      <c r="J5178" s="7">
        <v>0</v>
      </c>
      <c r="K5178" s="89">
        <f t="shared" si="319"/>
        <v>842.8</v>
      </c>
      <c r="L5178" s="7">
        <v>842.8</v>
      </c>
      <c r="M5178" s="36">
        <f t="shared" si="318"/>
        <v>49.878974845752253</v>
      </c>
    </row>
    <row r="5179" spans="1:13" ht="15.75" hidden="1" customHeight="1" x14ac:dyDescent="0.3">
      <c r="A5179" s="9">
        <v>3231</v>
      </c>
      <c r="B5179" t="s">
        <v>465</v>
      </c>
      <c r="C5179" s="25">
        <v>44677</v>
      </c>
      <c r="D5179" s="26">
        <v>0.66790509259259256</v>
      </c>
      <c r="E5179" t="s">
        <v>27</v>
      </c>
      <c r="F5179" t="s">
        <v>165</v>
      </c>
      <c r="G5179" t="s">
        <v>185</v>
      </c>
      <c r="H5179" t="s">
        <v>121</v>
      </c>
      <c r="I5179">
        <v>265.01</v>
      </c>
      <c r="J5179" s="7">
        <v>0</v>
      </c>
      <c r="K5179" s="89">
        <f t="shared" si="319"/>
        <v>549</v>
      </c>
      <c r="L5179" s="7">
        <v>549</v>
      </c>
      <c r="M5179" s="36">
        <f t="shared" si="318"/>
        <v>48.271402550091075</v>
      </c>
    </row>
    <row r="5180" spans="1:13" ht="15.75" hidden="1" customHeight="1" x14ac:dyDescent="0.3">
      <c r="A5180" s="9">
        <v>3232</v>
      </c>
      <c r="B5180" t="s">
        <v>465</v>
      </c>
      <c r="C5180" s="25">
        <v>44678</v>
      </c>
      <c r="D5180" s="26">
        <v>5.7743055555555554E-2</v>
      </c>
      <c r="E5180" t="s">
        <v>27</v>
      </c>
      <c r="F5180" t="s">
        <v>202</v>
      </c>
      <c r="G5180" t="s">
        <v>203</v>
      </c>
      <c r="H5180" t="s">
        <v>121</v>
      </c>
      <c r="I5180">
        <v>145.02000000000001</v>
      </c>
      <c r="J5180" s="7">
        <v>0</v>
      </c>
      <c r="K5180" s="89">
        <f t="shared" si="319"/>
        <v>541.62</v>
      </c>
      <c r="L5180" s="7">
        <v>541.62</v>
      </c>
      <c r="M5180" s="36">
        <f t="shared" si="318"/>
        <v>26.775229865957684</v>
      </c>
    </row>
    <row r="5181" spans="1:13" ht="15.75" hidden="1" customHeight="1" x14ac:dyDescent="0.3">
      <c r="A5181" s="9">
        <v>3233</v>
      </c>
      <c r="B5181" t="s">
        <v>465</v>
      </c>
      <c r="C5181" s="25">
        <v>44679</v>
      </c>
      <c r="D5181" s="26">
        <v>3.8703703703703705E-2</v>
      </c>
      <c r="E5181" t="s">
        <v>27</v>
      </c>
      <c r="F5181" t="s">
        <v>165</v>
      </c>
      <c r="G5181" t="s">
        <v>185</v>
      </c>
      <c r="H5181" t="s">
        <v>121</v>
      </c>
      <c r="I5181">
        <v>250</v>
      </c>
      <c r="J5181" s="7">
        <v>0</v>
      </c>
      <c r="K5181" s="89">
        <f t="shared" si="319"/>
        <v>1088.81</v>
      </c>
      <c r="L5181" s="34">
        <v>1088.81</v>
      </c>
      <c r="M5181" s="36">
        <f t="shared" si="318"/>
        <v>22.960847163416943</v>
      </c>
    </row>
    <row r="5182" spans="1:13" ht="15.75" hidden="1" customHeight="1" x14ac:dyDescent="0.3">
      <c r="A5182" s="9">
        <v>3234</v>
      </c>
      <c r="B5182" t="s">
        <v>465</v>
      </c>
      <c r="C5182" s="25">
        <v>44679</v>
      </c>
      <c r="D5182" s="26">
        <v>0.48907407407407405</v>
      </c>
      <c r="E5182" t="s">
        <v>27</v>
      </c>
      <c r="F5182" t="s">
        <v>210</v>
      </c>
      <c r="G5182" t="s">
        <v>211</v>
      </c>
      <c r="H5182" t="s">
        <v>121</v>
      </c>
      <c r="I5182">
        <v>339.94</v>
      </c>
      <c r="J5182" s="7">
        <v>0</v>
      </c>
      <c r="K5182" s="89">
        <f t="shared" si="319"/>
        <v>514</v>
      </c>
      <c r="L5182" s="7">
        <v>514</v>
      </c>
      <c r="M5182" s="36">
        <f t="shared" si="318"/>
        <v>66.136186770428012</v>
      </c>
    </row>
    <row r="5183" spans="1:13" ht="15.75" hidden="1" customHeight="1" x14ac:dyDescent="0.3">
      <c r="A5183" s="9">
        <v>3235</v>
      </c>
      <c r="B5183" t="s">
        <v>465</v>
      </c>
      <c r="C5183" s="25">
        <v>44679</v>
      </c>
      <c r="D5183" s="26">
        <v>0.86594907407407407</v>
      </c>
      <c r="E5183" t="s">
        <v>27</v>
      </c>
      <c r="F5183" t="s">
        <v>169</v>
      </c>
      <c r="G5183" t="s">
        <v>196</v>
      </c>
      <c r="H5183" t="s">
        <v>121</v>
      </c>
      <c r="I5183">
        <v>100.1</v>
      </c>
      <c r="J5183" s="7">
        <v>0</v>
      </c>
      <c r="K5183" s="89">
        <f t="shared" si="319"/>
        <v>491.68</v>
      </c>
      <c r="L5183" s="7">
        <v>491.68</v>
      </c>
      <c r="M5183" s="36">
        <f t="shared" si="318"/>
        <v>20.358769931662867</v>
      </c>
    </row>
    <row r="5184" spans="1:13" ht="15.75" hidden="1" customHeight="1" x14ac:dyDescent="0.3">
      <c r="A5184" s="9">
        <v>3803</v>
      </c>
      <c r="B5184" t="s">
        <v>465</v>
      </c>
      <c r="C5184" s="25">
        <v>44685</v>
      </c>
      <c r="D5184" s="26">
        <v>0.69167824074074069</v>
      </c>
      <c r="E5184" t="s">
        <v>28</v>
      </c>
      <c r="F5184" t="s">
        <v>166</v>
      </c>
      <c r="G5184" t="s">
        <v>161</v>
      </c>
      <c r="H5184" t="s">
        <v>216</v>
      </c>
      <c r="I5184">
        <v>253.6</v>
      </c>
      <c r="J5184" s="32">
        <v>0</v>
      </c>
      <c r="K5184" s="90">
        <f t="shared" si="319"/>
        <v>510</v>
      </c>
      <c r="L5184" s="32">
        <v>510</v>
      </c>
      <c r="M5184" s="36">
        <f t="shared" si="318"/>
        <v>49.725490196078432</v>
      </c>
    </row>
    <row r="5185" spans="1:13" ht="15.75" hidden="1" customHeight="1" x14ac:dyDescent="0.3">
      <c r="A5185" s="9">
        <v>3808</v>
      </c>
      <c r="B5185" t="s">
        <v>465</v>
      </c>
      <c r="C5185" s="25">
        <v>44685</v>
      </c>
      <c r="D5185" s="26">
        <v>0.3576388888888889</v>
      </c>
      <c r="E5185" t="s">
        <v>28</v>
      </c>
      <c r="F5185" t="s">
        <v>197</v>
      </c>
      <c r="G5185" t="s">
        <v>44</v>
      </c>
      <c r="H5185" t="s">
        <v>216</v>
      </c>
      <c r="I5185">
        <v>150</v>
      </c>
      <c r="J5185" s="32">
        <v>0</v>
      </c>
      <c r="K5185" s="90">
        <f t="shared" si="319"/>
        <v>789.68</v>
      </c>
      <c r="L5185" s="32">
        <v>789.68</v>
      </c>
      <c r="M5185" s="36">
        <f t="shared" si="318"/>
        <v>18.995035963934757</v>
      </c>
    </row>
    <row r="5186" spans="1:13" ht="15.75" hidden="1" customHeight="1" x14ac:dyDescent="0.3">
      <c r="A5186" s="9">
        <v>3810</v>
      </c>
      <c r="B5186" t="s">
        <v>465</v>
      </c>
      <c r="C5186" s="25">
        <v>44685</v>
      </c>
      <c r="D5186" s="26">
        <v>0.75903935185185178</v>
      </c>
      <c r="E5186" t="s">
        <v>28</v>
      </c>
      <c r="F5186" t="s">
        <v>210</v>
      </c>
      <c r="G5186" t="s">
        <v>211</v>
      </c>
      <c r="H5186" t="s">
        <v>216</v>
      </c>
      <c r="I5186">
        <v>390.14</v>
      </c>
      <c r="J5186" s="32">
        <v>0</v>
      </c>
      <c r="K5186" s="90">
        <f t="shared" si="319"/>
        <v>76</v>
      </c>
      <c r="L5186" s="37">
        <v>76</v>
      </c>
      <c r="M5186" s="36">
        <f t="shared" si="318"/>
        <v>513.3421052631578</v>
      </c>
    </row>
    <row r="5187" spans="1:13" ht="15.75" hidden="1" customHeight="1" x14ac:dyDescent="0.3">
      <c r="A5187" s="9">
        <v>3871</v>
      </c>
      <c r="B5187" t="s">
        <v>465</v>
      </c>
      <c r="C5187" s="25">
        <v>44686</v>
      </c>
      <c r="D5187" s="26">
        <v>0.72949074074074083</v>
      </c>
      <c r="E5187" t="s">
        <v>28</v>
      </c>
      <c r="F5187" t="s">
        <v>210</v>
      </c>
      <c r="G5187" t="s">
        <v>211</v>
      </c>
      <c r="H5187" t="s">
        <v>216</v>
      </c>
      <c r="I5187">
        <v>351.4</v>
      </c>
      <c r="J5187" s="32">
        <v>0</v>
      </c>
      <c r="K5187" s="90">
        <f t="shared" si="319"/>
        <v>1063</v>
      </c>
      <c r="L5187" s="32">
        <v>1063</v>
      </c>
      <c r="M5187" s="36">
        <f t="shared" si="318"/>
        <v>33.057384760112882</v>
      </c>
    </row>
    <row r="5188" spans="1:13" ht="15.75" hidden="1" customHeight="1" x14ac:dyDescent="0.3">
      <c r="A5188" s="9">
        <v>3975</v>
      </c>
      <c r="B5188" t="s">
        <v>465</v>
      </c>
      <c r="C5188" s="25">
        <v>44688</v>
      </c>
      <c r="D5188" s="26">
        <v>0.16760416666666667</v>
      </c>
      <c r="E5188" t="s">
        <v>28</v>
      </c>
      <c r="F5188" t="s">
        <v>559</v>
      </c>
      <c r="G5188" t="s">
        <v>303</v>
      </c>
      <c r="H5188" t="s">
        <v>216</v>
      </c>
      <c r="I5188">
        <v>510</v>
      </c>
      <c r="J5188" s="32">
        <v>0</v>
      </c>
      <c r="K5188" s="90">
        <f t="shared" si="319"/>
        <v>1474</v>
      </c>
      <c r="L5188" s="32">
        <v>1474</v>
      </c>
      <c r="M5188" s="36">
        <f t="shared" si="318"/>
        <v>34.599728629579374</v>
      </c>
    </row>
    <row r="5189" spans="1:13" ht="15.75" hidden="1" customHeight="1" x14ac:dyDescent="0.3">
      <c r="A5189" s="9">
        <v>3976</v>
      </c>
      <c r="B5189" t="s">
        <v>465</v>
      </c>
      <c r="C5189" s="25">
        <v>44688</v>
      </c>
      <c r="D5189" s="26">
        <v>0.71820601851851851</v>
      </c>
      <c r="E5189" t="s">
        <v>28</v>
      </c>
      <c r="F5189" t="s">
        <v>210</v>
      </c>
      <c r="G5189" t="s">
        <v>211</v>
      </c>
      <c r="H5189" t="s">
        <v>216</v>
      </c>
      <c r="I5189">
        <v>184.3</v>
      </c>
      <c r="J5189" s="32">
        <v>0</v>
      </c>
      <c r="K5189" s="90">
        <f t="shared" si="319"/>
        <v>431</v>
      </c>
      <c r="L5189" s="32">
        <v>431</v>
      </c>
      <c r="M5189" s="36">
        <f t="shared" si="318"/>
        <v>42.761020881670539</v>
      </c>
    </row>
    <row r="5190" spans="1:13" ht="15.75" hidden="1" customHeight="1" x14ac:dyDescent="0.3">
      <c r="A5190" s="9">
        <v>4023</v>
      </c>
      <c r="B5190" t="s">
        <v>465</v>
      </c>
      <c r="C5190" s="25">
        <v>44689</v>
      </c>
      <c r="D5190" s="26">
        <v>0.62642361111111111</v>
      </c>
      <c r="E5190" t="s">
        <v>28</v>
      </c>
      <c r="F5190" t="s">
        <v>210</v>
      </c>
      <c r="G5190" t="s">
        <v>211</v>
      </c>
      <c r="H5190" t="s">
        <v>216</v>
      </c>
      <c r="I5190">
        <v>363.22</v>
      </c>
      <c r="J5190" s="32">
        <v>0</v>
      </c>
      <c r="K5190" s="90">
        <f t="shared" si="319"/>
        <v>1062</v>
      </c>
      <c r="L5190" s="32">
        <v>1062</v>
      </c>
      <c r="M5190" s="36">
        <f t="shared" si="318"/>
        <v>34.2015065913371</v>
      </c>
    </row>
    <row r="5191" spans="1:13" ht="15.75" hidden="1" customHeight="1" x14ac:dyDescent="0.3">
      <c r="A5191" s="9">
        <v>4075</v>
      </c>
      <c r="B5191" t="s">
        <v>465</v>
      </c>
      <c r="C5191" s="25">
        <v>44690</v>
      </c>
      <c r="D5191" s="26">
        <v>0.28221064814814817</v>
      </c>
      <c r="E5191" t="s">
        <v>28</v>
      </c>
      <c r="F5191" t="s">
        <v>169</v>
      </c>
      <c r="G5191" t="s">
        <v>196</v>
      </c>
      <c r="H5191" t="s">
        <v>216</v>
      </c>
      <c r="I5191">
        <v>145.03</v>
      </c>
      <c r="J5191" s="32">
        <v>0</v>
      </c>
      <c r="K5191" s="90">
        <f t="shared" si="319"/>
        <v>492</v>
      </c>
      <c r="L5191" s="32">
        <v>492</v>
      </c>
      <c r="M5191" s="36">
        <f t="shared" si="318"/>
        <v>29.477642276422767</v>
      </c>
    </row>
    <row r="5192" spans="1:13" ht="15.75" hidden="1" customHeight="1" x14ac:dyDescent="0.3">
      <c r="A5192" s="9">
        <v>4115</v>
      </c>
      <c r="B5192" t="s">
        <v>465</v>
      </c>
      <c r="C5192" s="25">
        <v>44691</v>
      </c>
      <c r="D5192" s="26">
        <v>0.44631944444444444</v>
      </c>
      <c r="E5192" t="s">
        <v>28</v>
      </c>
      <c r="F5192" t="s">
        <v>559</v>
      </c>
      <c r="G5192" t="s">
        <v>303</v>
      </c>
      <c r="H5192" t="s">
        <v>216</v>
      </c>
      <c r="I5192">
        <v>100</v>
      </c>
      <c r="J5192" s="32">
        <v>0</v>
      </c>
      <c r="K5192" s="90">
        <f t="shared" si="319"/>
        <v>983</v>
      </c>
      <c r="L5192" s="32">
        <v>983</v>
      </c>
      <c r="M5192" s="36">
        <f t="shared" si="318"/>
        <v>10.172939979654121</v>
      </c>
    </row>
    <row r="5193" spans="1:13" ht="15.75" hidden="1" customHeight="1" x14ac:dyDescent="0.3">
      <c r="A5193" s="9">
        <v>4116</v>
      </c>
      <c r="B5193" t="s">
        <v>465</v>
      </c>
      <c r="C5193" s="25">
        <v>44691</v>
      </c>
      <c r="D5193" s="26">
        <v>0.70008101851851856</v>
      </c>
      <c r="E5193" t="s">
        <v>28</v>
      </c>
      <c r="F5193" t="s">
        <v>210</v>
      </c>
      <c r="G5193" t="s">
        <v>211</v>
      </c>
      <c r="H5193" t="s">
        <v>216</v>
      </c>
      <c r="I5193">
        <v>433.16</v>
      </c>
      <c r="J5193" s="32">
        <v>0</v>
      </c>
      <c r="K5193" s="90">
        <f t="shared" si="319"/>
        <v>429</v>
      </c>
      <c r="L5193" s="32">
        <v>429</v>
      </c>
      <c r="M5193" s="36">
        <f t="shared" ref="M5193:M5226" si="320">I5193/K5193*100</f>
        <v>100.96969696969697</v>
      </c>
    </row>
    <row r="5194" spans="1:13" ht="15.75" hidden="1" customHeight="1" x14ac:dyDescent="0.3">
      <c r="A5194" s="9">
        <v>4165</v>
      </c>
      <c r="B5194" t="s">
        <v>465</v>
      </c>
      <c r="C5194" s="25">
        <v>44692</v>
      </c>
      <c r="D5194" s="26">
        <v>0.68383101851851846</v>
      </c>
      <c r="E5194" t="s">
        <v>28</v>
      </c>
      <c r="F5194" t="s">
        <v>210</v>
      </c>
      <c r="G5194" t="s">
        <v>211</v>
      </c>
      <c r="H5194" t="s">
        <v>216</v>
      </c>
      <c r="I5194">
        <v>376.66</v>
      </c>
      <c r="J5194" s="32">
        <v>0</v>
      </c>
      <c r="K5194" s="90">
        <f t="shared" si="319"/>
        <v>1063</v>
      </c>
      <c r="L5194" s="32">
        <v>1063</v>
      </c>
      <c r="M5194" s="36">
        <f t="shared" si="320"/>
        <v>35.433678269049864</v>
      </c>
    </row>
    <row r="5195" spans="1:13" ht="15.75" hidden="1" customHeight="1" x14ac:dyDescent="0.3">
      <c r="A5195" s="9">
        <v>4271</v>
      </c>
      <c r="B5195" t="s">
        <v>465</v>
      </c>
      <c r="C5195" s="25">
        <v>44694</v>
      </c>
      <c r="D5195" s="26">
        <v>0.19886574074074073</v>
      </c>
      <c r="E5195" t="s">
        <v>28</v>
      </c>
      <c r="F5195" t="s">
        <v>559</v>
      </c>
      <c r="G5195" t="s">
        <v>303</v>
      </c>
      <c r="H5195" t="s">
        <v>216</v>
      </c>
      <c r="I5195">
        <v>150.38999999999999</v>
      </c>
      <c r="J5195" s="32">
        <v>0</v>
      </c>
      <c r="K5195" s="90">
        <f>+L5195-J5468</f>
        <v>1368</v>
      </c>
      <c r="L5195" s="32">
        <v>1368</v>
      </c>
      <c r="M5195" s="36">
        <f t="shared" si="320"/>
        <v>10.993421052631577</v>
      </c>
    </row>
    <row r="5196" spans="1:13" ht="15.75" hidden="1" customHeight="1" x14ac:dyDescent="0.3">
      <c r="A5196" s="9">
        <v>4272</v>
      </c>
      <c r="B5196" t="s">
        <v>465</v>
      </c>
      <c r="C5196" s="25">
        <v>44694</v>
      </c>
      <c r="D5196" s="26">
        <v>0.62689814814814815</v>
      </c>
      <c r="E5196" t="s">
        <v>28</v>
      </c>
      <c r="F5196" t="s">
        <v>210</v>
      </c>
      <c r="G5196" t="s">
        <v>211</v>
      </c>
      <c r="H5196" t="s">
        <v>216</v>
      </c>
      <c r="I5196">
        <v>523.69000000000005</v>
      </c>
      <c r="J5196" s="32">
        <v>0</v>
      </c>
      <c r="K5196" s="89">
        <f>+L5196-J5469</f>
        <v>427</v>
      </c>
      <c r="L5196" s="37">
        <v>427</v>
      </c>
      <c r="M5196" s="36">
        <f t="shared" si="320"/>
        <v>122.6440281030445</v>
      </c>
    </row>
    <row r="5197" spans="1:13" ht="15.75" hidden="1" customHeight="1" x14ac:dyDescent="0.3">
      <c r="A5197" s="9">
        <v>4380</v>
      </c>
      <c r="B5197" t="s">
        <v>465</v>
      </c>
      <c r="C5197" s="25">
        <v>44696</v>
      </c>
      <c r="D5197" s="26">
        <v>0.59065972222222218</v>
      </c>
      <c r="E5197" t="s">
        <v>28</v>
      </c>
      <c r="F5197" t="s">
        <v>210</v>
      </c>
      <c r="G5197" t="s">
        <v>211</v>
      </c>
      <c r="H5197" t="s">
        <v>216</v>
      </c>
      <c r="I5197">
        <v>550.77</v>
      </c>
      <c r="J5197" s="32">
        <v>0</v>
      </c>
      <c r="K5197" s="89">
        <f>+L5197-J5470</f>
        <v>1503</v>
      </c>
      <c r="L5197" s="37">
        <v>1503</v>
      </c>
      <c r="M5197" s="36">
        <f t="shared" si="320"/>
        <v>36.644710578842314</v>
      </c>
    </row>
    <row r="5198" spans="1:13" ht="15.75" hidden="1" customHeight="1" x14ac:dyDescent="0.3">
      <c r="A5198" s="9">
        <v>4447</v>
      </c>
      <c r="B5198" t="s">
        <v>465</v>
      </c>
      <c r="C5198" s="25">
        <v>44697</v>
      </c>
      <c r="D5198" s="26">
        <v>0.29424768518518518</v>
      </c>
      <c r="E5198" t="s">
        <v>28</v>
      </c>
      <c r="F5198" t="s">
        <v>169</v>
      </c>
      <c r="G5198" t="s">
        <v>196</v>
      </c>
      <c r="H5198" t="s">
        <v>216</v>
      </c>
      <c r="I5198">
        <v>100</v>
      </c>
      <c r="J5198" s="32">
        <v>0</v>
      </c>
      <c r="K5198" s="89">
        <f>+L5198-J5471</f>
        <v>491</v>
      </c>
      <c r="L5198" s="32">
        <v>491</v>
      </c>
      <c r="M5198" s="36">
        <f t="shared" si="320"/>
        <v>20.366598778004075</v>
      </c>
    </row>
    <row r="5199" spans="1:13" ht="15.75" hidden="1" customHeight="1" x14ac:dyDescent="0.3">
      <c r="A5199" s="9">
        <v>4660</v>
      </c>
      <c r="B5199" t="s">
        <v>465</v>
      </c>
      <c r="C5199" s="25">
        <v>44701</v>
      </c>
      <c r="D5199" s="26">
        <v>0.98921296296296291</v>
      </c>
      <c r="E5199" t="s">
        <v>28</v>
      </c>
      <c r="F5199" t="s">
        <v>210</v>
      </c>
      <c r="G5199" t="s">
        <v>211</v>
      </c>
      <c r="H5199" t="s">
        <v>216</v>
      </c>
      <c r="I5199">
        <v>538.9</v>
      </c>
      <c r="J5199" s="32">
        <v>0</v>
      </c>
      <c r="K5199" s="89">
        <f t="shared" ref="K5199:K5205" si="321">+L5199-J5467</f>
        <v>1279</v>
      </c>
      <c r="L5199" s="32">
        <v>1279</v>
      </c>
      <c r="M5199" s="36">
        <f t="shared" si="320"/>
        <v>42.13448006254886</v>
      </c>
    </row>
    <row r="5200" spans="1:13" ht="15.75" hidden="1" customHeight="1" x14ac:dyDescent="0.3">
      <c r="A5200" s="9">
        <v>4769</v>
      </c>
      <c r="B5200" t="s">
        <v>465</v>
      </c>
      <c r="C5200" s="25">
        <v>44703</v>
      </c>
      <c r="D5200" s="26">
        <v>0.53763888888888889</v>
      </c>
      <c r="E5200" t="s">
        <v>28</v>
      </c>
      <c r="F5200" t="s">
        <v>210</v>
      </c>
      <c r="G5200" t="s">
        <v>211</v>
      </c>
      <c r="H5200" t="s">
        <v>216</v>
      </c>
      <c r="I5200">
        <v>405.05</v>
      </c>
      <c r="J5200" s="32">
        <v>0</v>
      </c>
      <c r="K5200" s="89">
        <f t="shared" si="321"/>
        <v>1063</v>
      </c>
      <c r="L5200" s="32">
        <v>1063</v>
      </c>
      <c r="M5200" s="36">
        <f t="shared" si="320"/>
        <v>38.104421448730008</v>
      </c>
    </row>
    <row r="5201" spans="1:19" ht="15.75" hidden="1" customHeight="1" x14ac:dyDescent="0.3">
      <c r="A5201" s="9">
        <v>4877</v>
      </c>
      <c r="B5201" t="s">
        <v>465</v>
      </c>
      <c r="C5201" s="25">
        <v>44705</v>
      </c>
      <c r="D5201" s="26">
        <v>0.21137731481481481</v>
      </c>
      <c r="E5201" t="s">
        <v>28</v>
      </c>
      <c r="F5201" t="s">
        <v>311</v>
      </c>
      <c r="G5201" t="s">
        <v>303</v>
      </c>
      <c r="H5201" t="s">
        <v>216</v>
      </c>
      <c r="I5201">
        <v>250.04</v>
      </c>
      <c r="J5201" s="33">
        <v>0</v>
      </c>
      <c r="K5201" s="89">
        <f t="shared" si="321"/>
        <v>1329</v>
      </c>
      <c r="L5201" s="32">
        <v>1329</v>
      </c>
      <c r="M5201" s="36">
        <f t="shared" si="320"/>
        <v>18.814145974416853</v>
      </c>
    </row>
    <row r="5202" spans="1:19" ht="15.75" hidden="1" customHeight="1" x14ac:dyDescent="0.3">
      <c r="A5202" s="9">
        <v>4878</v>
      </c>
      <c r="B5202" t="s">
        <v>465</v>
      </c>
      <c r="C5202" s="25">
        <v>44705</v>
      </c>
      <c r="D5202" s="26">
        <v>0.67969907407407415</v>
      </c>
      <c r="E5202" t="s">
        <v>28</v>
      </c>
      <c r="F5202" t="s">
        <v>210</v>
      </c>
      <c r="G5202" t="s">
        <v>211</v>
      </c>
      <c r="H5202" t="s">
        <v>216</v>
      </c>
      <c r="I5202">
        <v>412.16</v>
      </c>
      <c r="J5202" s="71">
        <v>0</v>
      </c>
      <c r="K5202" s="89">
        <f t="shared" si="321"/>
        <v>430</v>
      </c>
      <c r="L5202" s="32">
        <v>430</v>
      </c>
      <c r="M5202" s="36">
        <f t="shared" si="320"/>
        <v>95.851162790697671</v>
      </c>
    </row>
    <row r="5203" spans="1:19" ht="15.75" hidden="1" customHeight="1" x14ac:dyDescent="0.3">
      <c r="A5203" s="9">
        <v>4930</v>
      </c>
      <c r="B5203" t="s">
        <v>465</v>
      </c>
      <c r="C5203" s="25">
        <v>44706</v>
      </c>
      <c r="D5203" s="26">
        <v>0.78141203703703699</v>
      </c>
      <c r="E5203" t="s">
        <v>28</v>
      </c>
      <c r="F5203" t="s">
        <v>210</v>
      </c>
      <c r="G5203" t="s">
        <v>211</v>
      </c>
      <c r="H5203" t="s">
        <v>216</v>
      </c>
      <c r="I5203">
        <v>375.03</v>
      </c>
      <c r="J5203" s="32">
        <v>0</v>
      </c>
      <c r="K5203" s="89">
        <f t="shared" si="321"/>
        <v>1063</v>
      </c>
      <c r="L5203" s="32">
        <v>1063</v>
      </c>
      <c r="M5203" s="36">
        <f t="shared" si="320"/>
        <v>35.280338664158037</v>
      </c>
    </row>
    <row r="5204" spans="1:19" ht="15.75" hidden="1" customHeight="1" x14ac:dyDescent="0.3">
      <c r="A5204" s="9">
        <v>5028</v>
      </c>
      <c r="B5204" t="s">
        <v>465</v>
      </c>
      <c r="C5204" s="25">
        <v>44708</v>
      </c>
      <c r="D5204" s="26">
        <v>0.71732638888888889</v>
      </c>
      <c r="E5204" t="s">
        <v>28</v>
      </c>
      <c r="F5204" t="s">
        <v>641</v>
      </c>
      <c r="G5204" t="s">
        <v>172</v>
      </c>
      <c r="H5204" t="s">
        <v>216</v>
      </c>
      <c r="I5204">
        <v>503.88</v>
      </c>
      <c r="J5204" s="32">
        <v>0</v>
      </c>
      <c r="K5204" s="89">
        <f t="shared" si="321"/>
        <v>1431</v>
      </c>
      <c r="L5204" s="7">
        <v>1431</v>
      </c>
      <c r="M5204" s="36">
        <f t="shared" si="320"/>
        <v>35.211740041928721</v>
      </c>
    </row>
    <row r="5205" spans="1:19" ht="15.75" hidden="1" customHeight="1" x14ac:dyDescent="0.3">
      <c r="A5205" s="9">
        <v>5143</v>
      </c>
      <c r="B5205" t="s">
        <v>465</v>
      </c>
      <c r="C5205" s="25">
        <v>44710</v>
      </c>
      <c r="D5205" s="26">
        <v>0.70296296296296301</v>
      </c>
      <c r="E5205" t="s">
        <v>28</v>
      </c>
      <c r="F5205" t="s">
        <v>634</v>
      </c>
      <c r="G5205" t="s">
        <v>211</v>
      </c>
      <c r="H5205" t="s">
        <v>216</v>
      </c>
      <c r="I5205">
        <v>317.02</v>
      </c>
      <c r="J5205" s="32">
        <v>0</v>
      </c>
      <c r="K5205" s="89">
        <f t="shared" si="321"/>
        <v>694</v>
      </c>
      <c r="L5205" s="7">
        <v>694</v>
      </c>
      <c r="M5205" s="36">
        <f t="shared" si="320"/>
        <v>45.680115273775215</v>
      </c>
    </row>
    <row r="5206" spans="1:19" ht="15.75" hidden="1" customHeight="1" x14ac:dyDescent="0.3">
      <c r="A5206" s="9">
        <v>5205</v>
      </c>
      <c r="B5206" t="s">
        <v>465</v>
      </c>
      <c r="C5206" s="25">
        <v>44711</v>
      </c>
      <c r="D5206" s="26">
        <v>0.47704861111111113</v>
      </c>
      <c r="E5206" t="s">
        <v>28</v>
      </c>
      <c r="F5206" t="s">
        <v>645</v>
      </c>
      <c r="G5206" t="s">
        <v>279</v>
      </c>
      <c r="H5206" t="s">
        <v>581</v>
      </c>
      <c r="I5206">
        <v>277.77</v>
      </c>
      <c r="J5206" s="32">
        <v>0</v>
      </c>
      <c r="K5206" s="89">
        <v>165</v>
      </c>
      <c r="L5206" s="7">
        <v>165</v>
      </c>
      <c r="M5206" s="36">
        <f t="shared" si="320"/>
        <v>168.34545454545454</v>
      </c>
    </row>
    <row r="5207" spans="1:19" ht="14.25" customHeight="1" x14ac:dyDescent="0.3">
      <c r="A5207" s="9">
        <v>5276</v>
      </c>
      <c r="B5207" t="s">
        <v>465</v>
      </c>
      <c r="C5207" s="25">
        <v>44713</v>
      </c>
      <c r="D5207" s="26">
        <v>0.60246527777777781</v>
      </c>
      <c r="E5207" t="s">
        <v>29</v>
      </c>
      <c r="F5207" t="s">
        <v>634</v>
      </c>
      <c r="G5207" t="s">
        <v>211</v>
      </c>
      <c r="H5207" t="s">
        <v>216</v>
      </c>
      <c r="I5207">
        <v>660</v>
      </c>
      <c r="J5207" s="32">
        <v>0</v>
      </c>
      <c r="K5207" s="89">
        <f>+L5207-J5472</f>
        <v>2690</v>
      </c>
      <c r="L5207" s="34">
        <v>2690</v>
      </c>
      <c r="M5207" s="36">
        <f t="shared" si="320"/>
        <v>24.535315985130111</v>
      </c>
    </row>
    <row r="5208" spans="1:19" ht="15.75" customHeight="1" x14ac:dyDescent="0.3">
      <c r="A5208" s="9">
        <v>5339</v>
      </c>
      <c r="B5208" t="s">
        <v>465</v>
      </c>
      <c r="C5208" s="25">
        <v>44714</v>
      </c>
      <c r="D5208" s="26">
        <v>0.97643518518518524</v>
      </c>
      <c r="E5208" t="s">
        <v>29</v>
      </c>
      <c r="F5208" t="s">
        <v>644</v>
      </c>
      <c r="G5208" t="s">
        <v>303</v>
      </c>
      <c r="H5208" t="s">
        <v>216</v>
      </c>
      <c r="I5208">
        <v>100</v>
      </c>
      <c r="J5208" s="32">
        <v>0</v>
      </c>
      <c r="K5208" s="89">
        <f>+L5208-J5472</f>
        <v>1294</v>
      </c>
      <c r="L5208" s="7">
        <v>1294</v>
      </c>
      <c r="M5208" s="36">
        <f t="shared" si="320"/>
        <v>7.727975270479134</v>
      </c>
    </row>
    <row r="5209" spans="1:19" ht="15.75" customHeight="1" x14ac:dyDescent="0.3">
      <c r="A5209" s="9">
        <v>5403</v>
      </c>
      <c r="B5209" t="s">
        <v>465</v>
      </c>
      <c r="C5209" s="25">
        <v>44715</v>
      </c>
      <c r="D5209" s="26">
        <v>0.36618055555555556</v>
      </c>
      <c r="E5209" t="s">
        <v>29</v>
      </c>
      <c r="F5209" t="s">
        <v>634</v>
      </c>
      <c r="G5209" t="s">
        <v>211</v>
      </c>
      <c r="H5209" t="s">
        <v>216</v>
      </c>
      <c r="I5209">
        <v>549</v>
      </c>
      <c r="J5209" s="32">
        <v>0</v>
      </c>
      <c r="K5209" s="89">
        <f>+L5209-J5468</f>
        <v>430</v>
      </c>
      <c r="L5209" s="7">
        <v>430</v>
      </c>
      <c r="M5209" s="36">
        <f t="shared" si="320"/>
        <v>127.67441860465117</v>
      </c>
    </row>
    <row r="5210" spans="1:19" ht="15.75" customHeight="1" x14ac:dyDescent="0.3">
      <c r="A5210" s="9">
        <v>5455</v>
      </c>
      <c r="B5210" t="s">
        <v>465</v>
      </c>
      <c r="C5210" s="25">
        <v>44716</v>
      </c>
      <c r="D5210" s="26">
        <v>0.78123842592592585</v>
      </c>
      <c r="E5210" t="s">
        <v>29</v>
      </c>
      <c r="F5210" t="s">
        <v>634</v>
      </c>
      <c r="G5210" t="s">
        <v>211</v>
      </c>
      <c r="H5210" t="s">
        <v>216</v>
      </c>
      <c r="I5210">
        <v>433.87</v>
      </c>
      <c r="J5210" s="32">
        <v>0</v>
      </c>
      <c r="K5210" s="89">
        <f>+L5210-J5469</f>
        <v>1062</v>
      </c>
      <c r="L5210" s="7">
        <v>1062</v>
      </c>
      <c r="M5210" s="36">
        <f t="shared" si="320"/>
        <v>40.854048964218457</v>
      </c>
    </row>
    <row r="5211" spans="1:19" ht="15.75" customHeight="1" x14ac:dyDescent="0.3">
      <c r="A5211" s="9">
        <v>5595</v>
      </c>
      <c r="B5211" t="s">
        <v>465</v>
      </c>
      <c r="C5211" s="25">
        <v>44719</v>
      </c>
      <c r="D5211" s="26">
        <v>0.55701388888888892</v>
      </c>
      <c r="E5211" t="s">
        <v>29</v>
      </c>
      <c r="F5211" t="s">
        <v>634</v>
      </c>
      <c r="G5211" t="s">
        <v>211</v>
      </c>
      <c r="H5211" t="s">
        <v>216</v>
      </c>
      <c r="I5211">
        <v>641.61</v>
      </c>
      <c r="J5211" s="7">
        <v>0</v>
      </c>
      <c r="K5211" s="89">
        <f>+L5211-J4769</f>
        <v>1757</v>
      </c>
      <c r="L5211" s="7">
        <v>1757</v>
      </c>
      <c r="M5211" s="36">
        <f t="shared" si="320"/>
        <v>36.517359134889013</v>
      </c>
    </row>
    <row r="5212" spans="1:19" ht="15.75" customHeight="1" x14ac:dyDescent="0.3">
      <c r="A5212" s="9">
        <v>5653</v>
      </c>
      <c r="B5212" t="s">
        <v>465</v>
      </c>
      <c r="C5212" s="25">
        <v>44720</v>
      </c>
      <c r="D5212" s="26">
        <v>0.58515046296296302</v>
      </c>
      <c r="E5212" t="s">
        <v>29</v>
      </c>
      <c r="F5212" t="s">
        <v>634</v>
      </c>
      <c r="G5212" t="s">
        <v>211</v>
      </c>
      <c r="H5212" t="s">
        <v>216</v>
      </c>
      <c r="I5212">
        <v>357</v>
      </c>
      <c r="J5212" s="32">
        <v>0</v>
      </c>
      <c r="K5212" s="89">
        <f>+L5212-J4771</f>
        <v>1062</v>
      </c>
      <c r="L5212" s="7">
        <v>1062</v>
      </c>
      <c r="M5212" s="36">
        <f t="shared" si="320"/>
        <v>33.61581920903955</v>
      </c>
    </row>
    <row r="5213" spans="1:19" ht="15.75" customHeight="1" x14ac:dyDescent="0.3">
      <c r="A5213" s="9">
        <v>5874</v>
      </c>
      <c r="B5213" t="s">
        <v>465</v>
      </c>
      <c r="C5213" s="25">
        <v>44724</v>
      </c>
      <c r="D5213" s="26">
        <v>0.34740740740740739</v>
      </c>
      <c r="E5213" t="s">
        <v>29</v>
      </c>
      <c r="F5213" t="s">
        <v>639</v>
      </c>
      <c r="G5213" t="s">
        <v>44</v>
      </c>
      <c r="H5213" t="s">
        <v>216</v>
      </c>
      <c r="I5213">
        <v>102.04</v>
      </c>
      <c r="J5213" s="32">
        <v>0</v>
      </c>
      <c r="K5213" s="89">
        <f>+L5213-J4772</f>
        <v>1162</v>
      </c>
      <c r="L5213" s="7">
        <v>1162</v>
      </c>
      <c r="M5213" s="36">
        <f t="shared" si="320"/>
        <v>8.7814113597246131</v>
      </c>
    </row>
    <row r="5214" spans="1:19" ht="15.75" customHeight="1" x14ac:dyDescent="0.3">
      <c r="A5214" s="9">
        <v>5875</v>
      </c>
      <c r="B5214" t="s">
        <v>465</v>
      </c>
      <c r="C5214" s="25">
        <v>44724</v>
      </c>
      <c r="D5214" s="26">
        <v>0.68100694444444443</v>
      </c>
      <c r="E5214" t="s">
        <v>29</v>
      </c>
      <c r="F5214" t="s">
        <v>634</v>
      </c>
      <c r="G5214" t="s">
        <v>211</v>
      </c>
      <c r="H5214" t="s">
        <v>216</v>
      </c>
      <c r="I5214">
        <v>544</v>
      </c>
      <c r="J5214" s="32">
        <v>0</v>
      </c>
      <c r="K5214" s="89">
        <f>+L5214-J4773</f>
        <v>586</v>
      </c>
      <c r="L5214" s="31">
        <v>586</v>
      </c>
      <c r="M5214" s="36">
        <f t="shared" si="320"/>
        <v>92.832764505119457</v>
      </c>
    </row>
    <row r="5215" spans="1:19" ht="15.75" customHeight="1" x14ac:dyDescent="0.3">
      <c r="A5215" s="9">
        <v>5930</v>
      </c>
      <c r="B5215" t="s">
        <v>465</v>
      </c>
      <c r="C5215" s="25">
        <v>44725</v>
      </c>
      <c r="D5215" s="26">
        <v>0.5845717592592593</v>
      </c>
      <c r="E5215" t="s">
        <v>29</v>
      </c>
      <c r="F5215" t="s">
        <v>634</v>
      </c>
      <c r="G5215" t="s">
        <v>211</v>
      </c>
      <c r="H5215" t="s">
        <v>216</v>
      </c>
      <c r="I5215">
        <v>306.48</v>
      </c>
      <c r="J5215" s="32">
        <v>0</v>
      </c>
      <c r="K5215" s="89">
        <f>+L5215-J4778</f>
        <v>911</v>
      </c>
      <c r="L5215" s="7">
        <v>911</v>
      </c>
      <c r="M5215" s="36">
        <f t="shared" si="320"/>
        <v>33.642151481888035</v>
      </c>
      <c r="N5215" s="2"/>
      <c r="O5215" s="2"/>
      <c r="P5215" s="2"/>
      <c r="Q5215" s="2"/>
      <c r="R5215" s="2"/>
      <c r="S5215" s="2"/>
    </row>
    <row r="5216" spans="1:19" ht="15.75" customHeight="1" x14ac:dyDescent="0.3">
      <c r="A5216" s="9">
        <v>5975</v>
      </c>
      <c r="B5216" t="s">
        <v>465</v>
      </c>
      <c r="C5216" s="25">
        <v>44726</v>
      </c>
      <c r="D5216" s="26">
        <v>0.91969907407407403</v>
      </c>
      <c r="E5216" t="s">
        <v>29</v>
      </c>
      <c r="F5216" t="s">
        <v>639</v>
      </c>
      <c r="G5216" t="s">
        <v>44</v>
      </c>
      <c r="H5216" t="s">
        <v>216</v>
      </c>
      <c r="I5216">
        <v>100</v>
      </c>
      <c r="J5216" s="53">
        <v>0</v>
      </c>
      <c r="K5216" s="94">
        <v>1126</v>
      </c>
      <c r="L5216" s="34">
        <v>1126</v>
      </c>
      <c r="M5216" s="36">
        <f t="shared" si="320"/>
        <v>8.8809946714031973</v>
      </c>
      <c r="N5216" s="2"/>
      <c r="O5216" s="2"/>
      <c r="P5216" s="2"/>
      <c r="Q5216" s="2"/>
      <c r="R5216" s="2"/>
      <c r="S5216" s="2"/>
    </row>
    <row r="5217" spans="1:13" ht="12.75" customHeight="1" x14ac:dyDescent="0.3">
      <c r="A5217" s="9">
        <v>6041</v>
      </c>
      <c r="B5217" t="s">
        <v>465</v>
      </c>
      <c r="C5217" s="25">
        <v>44727</v>
      </c>
      <c r="D5217" s="26">
        <v>0.52167824074074076</v>
      </c>
      <c r="E5217" t="s">
        <v>29</v>
      </c>
      <c r="F5217" t="s">
        <v>634</v>
      </c>
      <c r="G5217" t="s">
        <v>211</v>
      </c>
      <c r="H5217" t="s">
        <v>216</v>
      </c>
      <c r="I5217">
        <v>536.32000000000005</v>
      </c>
      <c r="J5217" s="53">
        <v>0</v>
      </c>
      <c r="K5217" s="94">
        <v>587</v>
      </c>
      <c r="L5217" s="7">
        <v>587</v>
      </c>
      <c r="M5217" s="36">
        <f t="shared" si="320"/>
        <v>91.366269165247033</v>
      </c>
    </row>
    <row r="5218" spans="1:13" ht="15.75" customHeight="1" x14ac:dyDescent="0.3">
      <c r="A5218" s="9">
        <v>6098</v>
      </c>
      <c r="B5218" t="s">
        <v>465</v>
      </c>
      <c r="C5218" s="25">
        <v>44728</v>
      </c>
      <c r="D5218" s="26">
        <v>9.1018518518518512E-2</v>
      </c>
      <c r="E5218" t="s">
        <v>29</v>
      </c>
      <c r="F5218" t="s">
        <v>634</v>
      </c>
      <c r="G5218" t="s">
        <v>211</v>
      </c>
      <c r="H5218" t="s">
        <v>216</v>
      </c>
      <c r="I5218">
        <v>309.06</v>
      </c>
      <c r="J5218" s="53">
        <v>0</v>
      </c>
      <c r="K5218" s="94">
        <v>910</v>
      </c>
      <c r="L5218" s="7">
        <v>910</v>
      </c>
      <c r="M5218" s="36">
        <f t="shared" si="320"/>
        <v>33.962637362637366</v>
      </c>
    </row>
    <row r="5219" spans="1:13" ht="15.75" customHeight="1" x14ac:dyDescent="0.3">
      <c r="A5219" s="9">
        <v>6099</v>
      </c>
      <c r="B5219" t="s">
        <v>465</v>
      </c>
      <c r="C5219" s="25">
        <v>44728</v>
      </c>
      <c r="D5219" s="26">
        <v>0.63307870370370367</v>
      </c>
      <c r="E5219" t="s">
        <v>29</v>
      </c>
      <c r="F5219" t="s">
        <v>637</v>
      </c>
      <c r="G5219" t="s">
        <v>196</v>
      </c>
      <c r="H5219" t="s">
        <v>216</v>
      </c>
      <c r="I5219">
        <v>100</v>
      </c>
      <c r="J5219" s="52">
        <v>0</v>
      </c>
      <c r="K5219" s="89">
        <v>489</v>
      </c>
      <c r="L5219" s="7">
        <v>489</v>
      </c>
      <c r="M5219" s="36">
        <f t="shared" si="320"/>
        <v>20.449897750511248</v>
      </c>
    </row>
    <row r="5220" spans="1:13" ht="15.75" customHeight="1" x14ac:dyDescent="0.3">
      <c r="A5220" s="9">
        <v>6150</v>
      </c>
      <c r="B5220" t="s">
        <v>465</v>
      </c>
      <c r="C5220" s="25">
        <v>44729</v>
      </c>
      <c r="D5220" s="26">
        <v>0.75089120370370377</v>
      </c>
      <c r="E5220" t="s">
        <v>29</v>
      </c>
      <c r="F5220" t="s">
        <v>639</v>
      </c>
      <c r="G5220" t="s">
        <v>44</v>
      </c>
      <c r="H5220" t="s">
        <v>216</v>
      </c>
      <c r="I5220">
        <v>168.47</v>
      </c>
      <c r="J5220" s="53">
        <v>0</v>
      </c>
      <c r="K5220" s="89">
        <v>644</v>
      </c>
      <c r="L5220" s="7">
        <v>644</v>
      </c>
      <c r="M5220" s="36">
        <f t="shared" si="320"/>
        <v>26.159937888198758</v>
      </c>
    </row>
    <row r="5221" spans="1:13" ht="15.75" customHeight="1" x14ac:dyDescent="0.3">
      <c r="A5221" s="9">
        <v>6205</v>
      </c>
      <c r="B5221" t="s">
        <v>465</v>
      </c>
      <c r="C5221" s="25">
        <v>44730</v>
      </c>
      <c r="D5221" s="26">
        <v>0.43450231481481483</v>
      </c>
      <c r="E5221" t="s">
        <v>29</v>
      </c>
      <c r="F5221" t="s">
        <v>674</v>
      </c>
      <c r="G5221" t="s">
        <v>487</v>
      </c>
      <c r="H5221" t="s">
        <v>216</v>
      </c>
      <c r="I5221">
        <v>336.87</v>
      </c>
      <c r="J5221" s="53">
        <v>0</v>
      </c>
      <c r="K5221" s="89">
        <v>504</v>
      </c>
      <c r="L5221" s="7">
        <v>504</v>
      </c>
      <c r="M5221" s="36">
        <f t="shared" si="320"/>
        <v>66.839285714285708</v>
      </c>
    </row>
    <row r="5222" spans="1:13" ht="15.75" customHeight="1" x14ac:dyDescent="0.3">
      <c r="A5222" s="9">
        <v>6261</v>
      </c>
      <c r="B5222" t="s">
        <v>465</v>
      </c>
      <c r="C5222" s="25">
        <v>44732</v>
      </c>
      <c r="D5222" s="26">
        <v>0.68800925925925915</v>
      </c>
      <c r="E5222" t="s">
        <v>29</v>
      </c>
      <c r="F5222" t="s">
        <v>634</v>
      </c>
      <c r="G5222" t="s">
        <v>211</v>
      </c>
      <c r="H5222" t="s">
        <v>216</v>
      </c>
      <c r="I5222">
        <v>419.04</v>
      </c>
      <c r="J5222" s="53">
        <v>0</v>
      </c>
      <c r="K5222" s="89">
        <v>1047</v>
      </c>
      <c r="L5222" s="7">
        <v>1047</v>
      </c>
      <c r="M5222" s="36">
        <f t="shared" si="320"/>
        <v>40.022922636103154</v>
      </c>
    </row>
    <row r="5223" spans="1:13" ht="15.75" customHeight="1" x14ac:dyDescent="0.3">
      <c r="A5223" s="9">
        <v>6293</v>
      </c>
      <c r="B5223" t="s">
        <v>465</v>
      </c>
      <c r="C5223" s="25">
        <v>44733</v>
      </c>
      <c r="D5223" s="26">
        <v>0.52643518518518517</v>
      </c>
      <c r="E5223" t="s">
        <v>29</v>
      </c>
      <c r="F5223" t="s">
        <v>693</v>
      </c>
      <c r="G5223" t="s">
        <v>277</v>
      </c>
      <c r="H5223" t="s">
        <v>216</v>
      </c>
      <c r="I5223">
        <v>270.02</v>
      </c>
      <c r="J5223" s="32">
        <v>0</v>
      </c>
      <c r="K5223" s="89">
        <v>780</v>
      </c>
      <c r="L5223" s="34">
        <v>780</v>
      </c>
      <c r="M5223" s="91">
        <f t="shared" si="320"/>
        <v>34.617948717948714</v>
      </c>
    </row>
    <row r="5224" spans="1:13" ht="15.75" customHeight="1" x14ac:dyDescent="0.3">
      <c r="A5224" s="9">
        <v>6593</v>
      </c>
      <c r="B5224" t="s">
        <v>465</v>
      </c>
      <c r="C5224" s="25">
        <v>44739</v>
      </c>
      <c r="D5224" s="26">
        <v>0.72599537037037043</v>
      </c>
      <c r="E5224" t="s">
        <v>29</v>
      </c>
      <c r="F5224" t="s">
        <v>639</v>
      </c>
      <c r="G5224" t="s">
        <v>44</v>
      </c>
      <c r="H5224" t="s">
        <v>216</v>
      </c>
      <c r="I5224">
        <v>134.77000000000001</v>
      </c>
      <c r="J5224" s="32">
        <v>0</v>
      </c>
      <c r="K5224" s="89">
        <v>359</v>
      </c>
      <c r="L5224" s="7">
        <v>359</v>
      </c>
      <c r="M5224" s="91">
        <f t="shared" si="320"/>
        <v>37.540389972144851</v>
      </c>
    </row>
    <row r="5225" spans="1:13" ht="15.75" customHeight="1" x14ac:dyDescent="0.3">
      <c r="A5225" s="9">
        <v>6653</v>
      </c>
      <c r="B5225" t="s">
        <v>465</v>
      </c>
      <c r="C5225" s="25">
        <v>44740</v>
      </c>
      <c r="D5225" s="26">
        <v>8.262731481481482E-2</v>
      </c>
      <c r="E5225" t="s">
        <v>29</v>
      </c>
      <c r="F5225" t="s">
        <v>634</v>
      </c>
      <c r="G5225" t="s">
        <v>211</v>
      </c>
      <c r="H5225" t="s">
        <v>216</v>
      </c>
      <c r="I5225">
        <v>235.13</v>
      </c>
      <c r="J5225" s="32">
        <v>0</v>
      </c>
      <c r="K5225" s="89">
        <v>587</v>
      </c>
      <c r="L5225" s="7">
        <v>587</v>
      </c>
      <c r="M5225" s="91">
        <f t="shared" si="320"/>
        <v>40.056218057921633</v>
      </c>
    </row>
    <row r="5226" spans="1:13" ht="15.75" customHeight="1" x14ac:dyDescent="0.3">
      <c r="A5226" s="9">
        <v>6710</v>
      </c>
      <c r="B5226" t="s">
        <v>465</v>
      </c>
      <c r="C5226" s="25">
        <v>44741</v>
      </c>
      <c r="D5226" s="26">
        <v>0.8230439814814815</v>
      </c>
      <c r="E5226" t="s">
        <v>29</v>
      </c>
      <c r="F5226" t="s">
        <v>632</v>
      </c>
      <c r="G5226" t="s">
        <v>161</v>
      </c>
      <c r="H5226" t="s">
        <v>216</v>
      </c>
      <c r="I5226">
        <v>282.72000000000003</v>
      </c>
      <c r="J5226" s="33">
        <v>0</v>
      </c>
      <c r="K5226" s="96">
        <v>1045</v>
      </c>
      <c r="L5226" s="31">
        <v>1045</v>
      </c>
      <c r="M5226" s="230">
        <f t="shared" si="320"/>
        <v>27.054545454545458</v>
      </c>
    </row>
    <row r="5227" spans="1:13" ht="15.75" hidden="1" customHeight="1" x14ac:dyDescent="0.3">
      <c r="B5227" t="s">
        <v>194</v>
      </c>
      <c r="C5227" s="25">
        <v>44758</v>
      </c>
      <c r="D5227" s="26">
        <v>0.36078703703703702</v>
      </c>
      <c r="E5227" t="s">
        <v>30</v>
      </c>
      <c r="F5227" t="s">
        <v>774</v>
      </c>
      <c r="G5227" t="s">
        <v>161</v>
      </c>
      <c r="H5227" s="128" t="s">
        <v>195</v>
      </c>
      <c r="I5227" s="173">
        <v>174.69</v>
      </c>
      <c r="J5227" s="231">
        <f>174+205+173+163</f>
        <v>715</v>
      </c>
      <c r="K5227" s="151"/>
      <c r="L5227" s="231">
        <v>1753</v>
      </c>
      <c r="M5227" s="150">
        <f>+J5227/L5227*100</f>
        <v>40.787221905305195</v>
      </c>
    </row>
    <row r="5228" spans="1:13" ht="15.75" hidden="1" customHeight="1" x14ac:dyDescent="0.3">
      <c r="B5228" t="s">
        <v>194</v>
      </c>
      <c r="C5228" s="25">
        <v>44758</v>
      </c>
      <c r="D5228" s="26">
        <v>0.89226851851851852</v>
      </c>
      <c r="E5228" t="s">
        <v>30</v>
      </c>
      <c r="F5228" t="s">
        <v>165</v>
      </c>
      <c r="G5228" t="s">
        <v>185</v>
      </c>
      <c r="H5228" s="128" t="s">
        <v>195</v>
      </c>
      <c r="I5228" s="173">
        <v>289.7</v>
      </c>
      <c r="J5228" s="23"/>
      <c r="K5228" s="23"/>
      <c r="L5228" s="23"/>
      <c r="M5228" s="91" t="e">
        <f>I5228/K5228*100</f>
        <v>#DIV/0!</v>
      </c>
    </row>
    <row r="5229" spans="1:13" ht="15.75" hidden="1" customHeight="1" x14ac:dyDescent="0.3">
      <c r="B5229" t="s">
        <v>194</v>
      </c>
      <c r="C5229" s="25">
        <v>44759</v>
      </c>
      <c r="D5229" s="26">
        <v>0.71657407407407403</v>
      </c>
      <c r="E5229" t="s">
        <v>30</v>
      </c>
      <c r="F5229" t="s">
        <v>210</v>
      </c>
      <c r="G5229" t="s">
        <v>211</v>
      </c>
      <c r="H5229" s="128" t="s">
        <v>195</v>
      </c>
      <c r="I5229" s="173">
        <v>172.47</v>
      </c>
      <c r="J5229" s="231">
        <f>172+290</f>
        <v>462</v>
      </c>
      <c r="K5229" s="151"/>
      <c r="L5229" s="231">
        <v>1145</v>
      </c>
      <c r="M5229" s="149">
        <f>+J5229/L5229*100</f>
        <v>40.349344978165938</v>
      </c>
    </row>
    <row r="5230" spans="1:13" ht="15.75" hidden="1" customHeight="1" x14ac:dyDescent="0.3">
      <c r="B5230" t="s">
        <v>194</v>
      </c>
      <c r="C5230" s="25">
        <v>44760</v>
      </c>
      <c r="D5230" s="26">
        <v>0.30866898148148147</v>
      </c>
      <c r="E5230" t="s">
        <v>30</v>
      </c>
      <c r="F5230" t="s">
        <v>169</v>
      </c>
      <c r="G5230" t="s">
        <v>196</v>
      </c>
      <c r="H5230" t="s">
        <v>195</v>
      </c>
      <c r="I5230" s="160">
        <v>160.62</v>
      </c>
      <c r="J5230" s="8"/>
      <c r="K5230" s="8">
        <v>645181</v>
      </c>
      <c r="L5230" s="8">
        <f>+K5230-J5230</f>
        <v>645181</v>
      </c>
      <c r="M5230" s="254">
        <f>+J5230/L5230*100</f>
        <v>0</v>
      </c>
    </row>
    <row r="5231" spans="1:13" ht="15.75" hidden="1" customHeight="1" x14ac:dyDescent="0.3">
      <c r="B5231" t="s">
        <v>194</v>
      </c>
      <c r="C5231" s="25">
        <v>44761</v>
      </c>
      <c r="D5231" s="26">
        <v>0.3871296296296296</v>
      </c>
      <c r="E5231" t="s">
        <v>30</v>
      </c>
      <c r="F5231" t="s">
        <v>391</v>
      </c>
      <c r="G5231" t="s">
        <v>392</v>
      </c>
      <c r="H5231" t="s">
        <v>195</v>
      </c>
      <c r="I5231" s="160">
        <v>164.28</v>
      </c>
      <c r="J5231" s="8"/>
      <c r="K5231" s="8">
        <v>645614</v>
      </c>
      <c r="L5231" s="8">
        <f>+K5231-J5231</f>
        <v>645614</v>
      </c>
      <c r="M5231" s="254">
        <f>+J5231/L5231*100</f>
        <v>0</v>
      </c>
    </row>
    <row r="5232" spans="1:13" ht="15.75" hidden="1" customHeight="1" x14ac:dyDescent="0.3">
      <c r="B5232" t="s">
        <v>194</v>
      </c>
      <c r="C5232" s="25">
        <v>44762</v>
      </c>
      <c r="D5232" s="26">
        <v>0.25778935185185187</v>
      </c>
      <c r="E5232" t="s">
        <v>30</v>
      </c>
      <c r="F5232" t="s">
        <v>311</v>
      </c>
      <c r="G5232" t="s">
        <v>303</v>
      </c>
      <c r="H5232" t="s">
        <v>195</v>
      </c>
      <c r="I5232" s="161">
        <v>150.96</v>
      </c>
      <c r="J5232" s="44"/>
      <c r="K5232" s="44">
        <v>646033</v>
      </c>
      <c r="L5232" s="44">
        <f>+K5232-J5232</f>
        <v>646033</v>
      </c>
      <c r="M5232" s="267">
        <f>+J5232/L5232*100</f>
        <v>0</v>
      </c>
    </row>
    <row r="5233" spans="2:13" ht="15.75" hidden="1" customHeight="1" x14ac:dyDescent="0.3">
      <c r="B5233" t="s">
        <v>194</v>
      </c>
      <c r="C5233" s="25">
        <v>44762</v>
      </c>
      <c r="D5233" s="26">
        <v>0.46128472222222222</v>
      </c>
      <c r="E5233" t="s">
        <v>30</v>
      </c>
      <c r="F5233" t="s">
        <v>166</v>
      </c>
      <c r="G5233" t="s">
        <v>161</v>
      </c>
      <c r="H5233" t="s">
        <v>195</v>
      </c>
      <c r="I5233" s="160">
        <v>145.9</v>
      </c>
      <c r="J5233" s="160">
        <f>146+150+164+161</f>
        <v>621</v>
      </c>
      <c r="K5233" s="160">
        <v>646392</v>
      </c>
      <c r="L5233" s="160">
        <v>1082</v>
      </c>
      <c r="M5233" s="254">
        <f>+J5233/L5233*100</f>
        <v>57.393715341959336</v>
      </c>
    </row>
    <row r="5234" spans="2:13" ht="15.75" hidden="1" customHeight="1" x14ac:dyDescent="0.3">
      <c r="B5234" t="s">
        <v>280</v>
      </c>
      <c r="C5234" s="25">
        <v>44563</v>
      </c>
      <c r="D5234" s="26">
        <v>0.49403935185185183</v>
      </c>
      <c r="E5234" t="s">
        <v>24</v>
      </c>
      <c r="F5234" t="s">
        <v>346</v>
      </c>
      <c r="G5234" t="s">
        <v>203</v>
      </c>
      <c r="H5234" t="s">
        <v>126</v>
      </c>
      <c r="I5234">
        <v>408.62</v>
      </c>
      <c r="J5234" s="34">
        <v>0</v>
      </c>
      <c r="K5234" s="50">
        <f t="shared" ref="K5234:K5251" si="322">+L5234-J5234</f>
        <v>1089.47</v>
      </c>
      <c r="L5234" s="34">
        <v>1089.47</v>
      </c>
      <c r="M5234" s="118">
        <f t="shared" ref="M5234:M5251" si="323">I5234/K5234*100</f>
        <v>37.506310407812968</v>
      </c>
    </row>
    <row r="5235" spans="2:13" ht="15.75" hidden="1" customHeight="1" x14ac:dyDescent="0.3">
      <c r="B5235" t="s">
        <v>280</v>
      </c>
      <c r="C5235" s="25">
        <v>44565</v>
      </c>
      <c r="D5235" s="26">
        <v>2.0486111111111111E-2</v>
      </c>
      <c r="E5235" t="s">
        <v>24</v>
      </c>
      <c r="F5235" t="s">
        <v>278</v>
      </c>
      <c r="G5235" t="s">
        <v>279</v>
      </c>
      <c r="H5235" t="s">
        <v>126</v>
      </c>
      <c r="I5235">
        <v>374.43</v>
      </c>
      <c r="J5235" s="7">
        <v>0</v>
      </c>
      <c r="K5235" s="73">
        <f t="shared" si="322"/>
        <v>882.65</v>
      </c>
      <c r="L5235" s="7">
        <v>882.65</v>
      </c>
      <c r="M5235" s="36">
        <f t="shared" si="323"/>
        <v>42.421118223531415</v>
      </c>
    </row>
    <row r="5236" spans="2:13" ht="15.75" hidden="1" customHeight="1" x14ac:dyDescent="0.3">
      <c r="B5236" t="s">
        <v>280</v>
      </c>
      <c r="C5236" s="25">
        <v>44566</v>
      </c>
      <c r="D5236" s="26">
        <v>0.99204861111111109</v>
      </c>
      <c r="E5236" t="s">
        <v>24</v>
      </c>
      <c r="F5236" t="s">
        <v>210</v>
      </c>
      <c r="G5236" t="s">
        <v>211</v>
      </c>
      <c r="H5236" t="s">
        <v>126</v>
      </c>
      <c r="I5236">
        <v>336.52</v>
      </c>
      <c r="J5236" s="7">
        <v>0</v>
      </c>
      <c r="K5236" s="73">
        <f t="shared" si="322"/>
        <v>767.36</v>
      </c>
      <c r="L5236" s="7">
        <v>767.36</v>
      </c>
      <c r="M5236" s="36">
        <f t="shared" si="323"/>
        <v>43.854253544620512</v>
      </c>
    </row>
    <row r="5237" spans="2:13" ht="15.75" hidden="1" customHeight="1" x14ac:dyDescent="0.3">
      <c r="B5237" t="s">
        <v>280</v>
      </c>
      <c r="C5237" s="25">
        <v>44568</v>
      </c>
      <c r="D5237" s="26">
        <v>0.60074074074074069</v>
      </c>
      <c r="E5237" t="s">
        <v>24</v>
      </c>
      <c r="F5237" t="s">
        <v>175</v>
      </c>
      <c r="G5237" t="s">
        <v>172</v>
      </c>
      <c r="H5237" t="s">
        <v>126</v>
      </c>
      <c r="I5237">
        <v>336.5</v>
      </c>
      <c r="J5237" s="7">
        <v>0</v>
      </c>
      <c r="K5237" s="11">
        <f t="shared" si="322"/>
        <v>1025.8</v>
      </c>
      <c r="L5237" s="34">
        <v>1025.8</v>
      </c>
      <c r="M5237" s="36">
        <f t="shared" si="323"/>
        <v>32.803665431858064</v>
      </c>
    </row>
    <row r="5238" spans="2:13" ht="15.75" hidden="1" customHeight="1" x14ac:dyDescent="0.3">
      <c r="B5238" t="s">
        <v>280</v>
      </c>
      <c r="C5238" s="25">
        <v>44569</v>
      </c>
      <c r="D5238" s="26">
        <v>0.83858796296296301</v>
      </c>
      <c r="E5238" t="s">
        <v>24</v>
      </c>
      <c r="F5238" t="s">
        <v>210</v>
      </c>
      <c r="G5238" t="s">
        <v>211</v>
      </c>
      <c r="H5238" t="s">
        <v>126</v>
      </c>
      <c r="I5238">
        <v>364.4</v>
      </c>
      <c r="J5238" s="7">
        <v>0</v>
      </c>
      <c r="K5238" s="11">
        <f t="shared" si="322"/>
        <v>806.31</v>
      </c>
      <c r="L5238" s="7">
        <v>806.31</v>
      </c>
      <c r="M5238" s="36">
        <f t="shared" si="323"/>
        <v>45.193535984918952</v>
      </c>
    </row>
    <row r="5239" spans="2:13" ht="15.75" hidden="1" customHeight="1" x14ac:dyDescent="0.3">
      <c r="B5239" t="s">
        <v>280</v>
      </c>
      <c r="C5239" s="25">
        <v>44571</v>
      </c>
      <c r="D5239" s="26">
        <v>0.65027777777777784</v>
      </c>
      <c r="E5239" t="s">
        <v>24</v>
      </c>
      <c r="F5239" t="s">
        <v>210</v>
      </c>
      <c r="G5239" t="s">
        <v>211</v>
      </c>
      <c r="H5239" t="s">
        <v>126</v>
      </c>
      <c r="I5239">
        <v>398.97</v>
      </c>
      <c r="J5239" s="7">
        <v>0</v>
      </c>
      <c r="K5239" s="11">
        <f t="shared" si="322"/>
        <v>1072.47</v>
      </c>
      <c r="L5239" s="7">
        <v>1072.47</v>
      </c>
      <c r="M5239" s="36">
        <f t="shared" si="323"/>
        <v>37.201040588547933</v>
      </c>
    </row>
    <row r="5240" spans="2:13" ht="15.75" hidden="1" customHeight="1" x14ac:dyDescent="0.3">
      <c r="B5240" t="s">
        <v>280</v>
      </c>
      <c r="C5240" s="25">
        <v>44572</v>
      </c>
      <c r="D5240" s="26">
        <v>0.74174768518518519</v>
      </c>
      <c r="E5240" t="s">
        <v>24</v>
      </c>
      <c r="F5240" t="s">
        <v>175</v>
      </c>
      <c r="G5240" t="s">
        <v>172</v>
      </c>
      <c r="H5240" t="s">
        <v>126</v>
      </c>
      <c r="I5240">
        <v>310.39999999999998</v>
      </c>
      <c r="J5240" s="7">
        <v>0</v>
      </c>
      <c r="K5240" s="11">
        <f t="shared" si="322"/>
        <v>951.67</v>
      </c>
      <c r="L5240" s="7">
        <v>951.67</v>
      </c>
      <c r="M5240" s="36">
        <f t="shared" si="323"/>
        <v>32.616348103859529</v>
      </c>
    </row>
    <row r="5241" spans="2:13" ht="15.75" hidden="1" customHeight="1" x14ac:dyDescent="0.3">
      <c r="B5241" t="s">
        <v>280</v>
      </c>
      <c r="C5241" s="25">
        <v>44573</v>
      </c>
      <c r="D5241" s="26">
        <v>0.83479166666666671</v>
      </c>
      <c r="E5241" t="s">
        <v>24</v>
      </c>
      <c r="F5241" t="s">
        <v>210</v>
      </c>
      <c r="G5241" t="s">
        <v>211</v>
      </c>
      <c r="H5241" t="s">
        <v>126</v>
      </c>
      <c r="I5241">
        <v>338.41</v>
      </c>
      <c r="J5241" s="7">
        <v>0</v>
      </c>
      <c r="K5241" s="11">
        <f t="shared" si="322"/>
        <v>814.54</v>
      </c>
      <c r="L5241" s="7">
        <v>814.54</v>
      </c>
      <c r="M5241" s="36">
        <f t="shared" si="323"/>
        <v>41.546148746531792</v>
      </c>
    </row>
    <row r="5242" spans="2:13" ht="15.75" hidden="1" customHeight="1" x14ac:dyDescent="0.3">
      <c r="B5242" t="s">
        <v>280</v>
      </c>
      <c r="C5242" s="25">
        <v>44575</v>
      </c>
      <c r="D5242" s="26">
        <v>1.283564814814815E-2</v>
      </c>
      <c r="E5242" t="s">
        <v>24</v>
      </c>
      <c r="F5242" t="s">
        <v>210</v>
      </c>
      <c r="G5242" t="s">
        <v>211</v>
      </c>
      <c r="H5242" t="s">
        <v>126</v>
      </c>
      <c r="I5242">
        <v>376.49</v>
      </c>
      <c r="J5242" s="7">
        <v>0</v>
      </c>
      <c r="K5242" s="11">
        <f t="shared" si="322"/>
        <v>902.17</v>
      </c>
      <c r="L5242" s="7">
        <v>902.17</v>
      </c>
      <c r="M5242" s="36">
        <f t="shared" si="323"/>
        <v>41.731602691288785</v>
      </c>
    </row>
    <row r="5243" spans="2:13" ht="15.75" hidden="1" customHeight="1" x14ac:dyDescent="0.3">
      <c r="B5243" t="s">
        <v>280</v>
      </c>
      <c r="C5243" s="25">
        <v>44576</v>
      </c>
      <c r="D5243" s="26">
        <v>0.36068287037037039</v>
      </c>
      <c r="E5243" t="s">
        <v>24</v>
      </c>
      <c r="F5243" t="s">
        <v>205</v>
      </c>
      <c r="G5243" t="s">
        <v>206</v>
      </c>
      <c r="H5243" t="s">
        <v>126</v>
      </c>
      <c r="I5243">
        <v>316.02</v>
      </c>
      <c r="J5243" s="7">
        <v>919240</v>
      </c>
      <c r="K5243" s="11">
        <f t="shared" si="322"/>
        <v>900</v>
      </c>
      <c r="L5243" s="7">
        <v>920140</v>
      </c>
      <c r="M5243" s="36">
        <f t="shared" si="323"/>
        <v>35.11333333333333</v>
      </c>
    </row>
    <row r="5244" spans="2:13" ht="15.75" hidden="1" customHeight="1" x14ac:dyDescent="0.3">
      <c r="B5244" t="s">
        <v>280</v>
      </c>
      <c r="C5244" s="25">
        <v>44577</v>
      </c>
      <c r="D5244" s="26">
        <v>0.44318287037037035</v>
      </c>
      <c r="E5244" t="s">
        <v>24</v>
      </c>
      <c r="F5244" t="s">
        <v>210</v>
      </c>
      <c r="G5244" t="s">
        <v>211</v>
      </c>
      <c r="H5244" t="s">
        <v>126</v>
      </c>
      <c r="I5244">
        <v>310.33999999999997</v>
      </c>
      <c r="J5244" s="7">
        <v>920140</v>
      </c>
      <c r="K5244" s="11">
        <f t="shared" si="322"/>
        <v>727</v>
      </c>
      <c r="L5244" s="7">
        <v>920867</v>
      </c>
      <c r="M5244" s="36">
        <f t="shared" si="323"/>
        <v>42.687757909215954</v>
      </c>
    </row>
    <row r="5245" spans="2:13" ht="15.75" hidden="1" customHeight="1" x14ac:dyDescent="0.3">
      <c r="B5245" t="s">
        <v>280</v>
      </c>
      <c r="C5245" s="25">
        <v>44585</v>
      </c>
      <c r="D5245" s="26">
        <v>0.57026620370370373</v>
      </c>
      <c r="E5245" t="s">
        <v>24</v>
      </c>
      <c r="F5245" t="s">
        <v>210</v>
      </c>
      <c r="G5245" t="s">
        <v>211</v>
      </c>
      <c r="H5245" t="s">
        <v>126</v>
      </c>
      <c r="I5245">
        <v>476.75</v>
      </c>
      <c r="J5245" s="7">
        <v>920867</v>
      </c>
      <c r="K5245" s="11">
        <f t="shared" si="322"/>
        <v>1089</v>
      </c>
      <c r="L5245" s="34">
        <v>921956</v>
      </c>
      <c r="M5245" s="36">
        <f t="shared" si="323"/>
        <v>43.778696051423324</v>
      </c>
    </row>
    <row r="5246" spans="2:13" ht="15.75" hidden="1" customHeight="1" x14ac:dyDescent="0.3">
      <c r="B5246" t="s">
        <v>280</v>
      </c>
      <c r="C5246" s="25">
        <v>44586</v>
      </c>
      <c r="D5246" s="26">
        <v>0.78440972222222216</v>
      </c>
      <c r="E5246" t="s">
        <v>24</v>
      </c>
      <c r="F5246" t="s">
        <v>175</v>
      </c>
      <c r="G5246" t="s">
        <v>172</v>
      </c>
      <c r="H5246" t="s">
        <v>126</v>
      </c>
      <c r="I5246">
        <v>330.59</v>
      </c>
      <c r="J5246" s="7">
        <v>921956</v>
      </c>
      <c r="K5246" s="11">
        <f t="shared" si="322"/>
        <v>1002</v>
      </c>
      <c r="L5246" s="7">
        <v>922958</v>
      </c>
      <c r="M5246" s="36">
        <f t="shared" si="323"/>
        <v>32.993013972055884</v>
      </c>
    </row>
    <row r="5247" spans="2:13" ht="15.75" hidden="1" customHeight="1" x14ac:dyDescent="0.3">
      <c r="B5247" t="s">
        <v>280</v>
      </c>
      <c r="C5247" s="25">
        <v>44587</v>
      </c>
      <c r="D5247" s="26">
        <v>0.64857638888888891</v>
      </c>
      <c r="E5247" t="s">
        <v>24</v>
      </c>
      <c r="F5247" t="s">
        <v>210</v>
      </c>
      <c r="G5247" t="s">
        <v>211</v>
      </c>
      <c r="H5247" t="s">
        <v>126</v>
      </c>
      <c r="I5247">
        <v>393.46</v>
      </c>
      <c r="J5247" s="7">
        <v>922958</v>
      </c>
      <c r="K5247" s="11">
        <f t="shared" si="322"/>
        <v>812</v>
      </c>
      <c r="L5247" s="7">
        <v>923770</v>
      </c>
      <c r="M5247" s="36">
        <f t="shared" si="323"/>
        <v>48.455665024630541</v>
      </c>
    </row>
    <row r="5248" spans="2:13" ht="15.75" hidden="1" customHeight="1" x14ac:dyDescent="0.3">
      <c r="B5248" t="s">
        <v>280</v>
      </c>
      <c r="C5248" s="25">
        <v>44589</v>
      </c>
      <c r="D5248" s="26">
        <v>2.3414351851851853E-2</v>
      </c>
      <c r="E5248" t="s">
        <v>24</v>
      </c>
      <c r="F5248" t="s">
        <v>210</v>
      </c>
      <c r="G5248" t="s">
        <v>211</v>
      </c>
      <c r="H5248" t="s">
        <v>126</v>
      </c>
      <c r="I5248">
        <v>397.99</v>
      </c>
      <c r="J5248" s="7">
        <v>0</v>
      </c>
      <c r="K5248" s="11">
        <f t="shared" si="322"/>
        <v>1064.3499999999999</v>
      </c>
      <c r="L5248" s="7">
        <v>1064.3499999999999</v>
      </c>
      <c r="M5248" s="36">
        <f t="shared" si="323"/>
        <v>37.392774933057737</v>
      </c>
    </row>
    <row r="5249" spans="1:13" ht="15.75" hidden="1" customHeight="1" x14ac:dyDescent="0.3">
      <c r="B5249" t="s">
        <v>280</v>
      </c>
      <c r="C5249" s="25">
        <v>44590</v>
      </c>
      <c r="D5249" s="26">
        <v>0.37657407407407412</v>
      </c>
      <c r="E5249" t="s">
        <v>24</v>
      </c>
      <c r="F5249" t="s">
        <v>175</v>
      </c>
      <c r="G5249" t="s">
        <v>172</v>
      </c>
      <c r="H5249" t="s">
        <v>126</v>
      </c>
      <c r="I5249">
        <v>251.88</v>
      </c>
      <c r="J5249" s="7">
        <v>0</v>
      </c>
      <c r="K5249" s="11">
        <f t="shared" si="322"/>
        <v>900.85</v>
      </c>
      <c r="L5249" s="7">
        <v>900.85</v>
      </c>
      <c r="M5249" s="36">
        <f t="shared" si="323"/>
        <v>27.960259754676137</v>
      </c>
    </row>
    <row r="5250" spans="1:13" ht="15.75" hidden="1" customHeight="1" x14ac:dyDescent="0.3">
      <c r="B5250" t="s">
        <v>280</v>
      </c>
      <c r="C5250" s="25">
        <v>44590</v>
      </c>
      <c r="D5250" s="26">
        <v>0.98318287037037033</v>
      </c>
      <c r="E5250" t="s">
        <v>24</v>
      </c>
      <c r="F5250" t="s">
        <v>210</v>
      </c>
      <c r="G5250" t="s">
        <v>211</v>
      </c>
      <c r="H5250" t="s">
        <v>126</v>
      </c>
      <c r="I5250">
        <v>407.56</v>
      </c>
      <c r="J5250" s="7">
        <v>0</v>
      </c>
      <c r="K5250" s="11">
        <f t="shared" si="322"/>
        <v>811.73</v>
      </c>
      <c r="L5250" s="7">
        <v>811.73</v>
      </c>
      <c r="M5250" s="36">
        <f t="shared" si="323"/>
        <v>50.208813275350174</v>
      </c>
    </row>
    <row r="5251" spans="1:13" ht="15.75" hidden="1" customHeight="1" x14ac:dyDescent="0.3">
      <c r="B5251" t="s">
        <v>280</v>
      </c>
      <c r="C5251" s="25">
        <v>44592</v>
      </c>
      <c r="D5251" s="26">
        <v>5.3738425925925926E-2</v>
      </c>
      <c r="E5251" t="s">
        <v>24</v>
      </c>
      <c r="F5251" t="s">
        <v>210</v>
      </c>
      <c r="G5251" t="s">
        <v>211</v>
      </c>
      <c r="H5251" t="s">
        <v>126</v>
      </c>
      <c r="I5251">
        <v>447.56</v>
      </c>
      <c r="J5251" s="7">
        <v>0</v>
      </c>
      <c r="K5251" s="11">
        <f t="shared" si="322"/>
        <v>1063.27</v>
      </c>
      <c r="L5251" s="7">
        <v>1063.27</v>
      </c>
      <c r="M5251" s="36">
        <f t="shared" si="323"/>
        <v>42.092789225690559</v>
      </c>
    </row>
    <row r="5252" spans="1:13" ht="15.75" hidden="1" customHeight="1" x14ac:dyDescent="0.3">
      <c r="A5252" s="9">
        <v>6751</v>
      </c>
      <c r="B5252" t="s">
        <v>507</v>
      </c>
      <c r="C5252" s="25">
        <v>44742</v>
      </c>
      <c r="D5252" s="26">
        <v>0.432650462962963</v>
      </c>
      <c r="E5252" t="s">
        <v>29</v>
      </c>
      <c r="F5252" t="s">
        <v>210</v>
      </c>
      <c r="G5252" t="s">
        <v>211</v>
      </c>
      <c r="H5252" t="s">
        <v>251</v>
      </c>
      <c r="I5252" s="148">
        <v>160.02000000000001</v>
      </c>
      <c r="J5252" s="164">
        <f>235+200+172+100+325+135+160</f>
        <v>1327</v>
      </c>
      <c r="K5252" s="177">
        <v>10372</v>
      </c>
      <c r="L5252" s="164">
        <v>3452</v>
      </c>
      <c r="M5252" s="232">
        <f>+J5252/L5252*100</f>
        <v>38.441483198146003</v>
      </c>
    </row>
    <row r="5253" spans="1:13" ht="15.75" hidden="1" customHeight="1" x14ac:dyDescent="0.3">
      <c r="B5253" t="s">
        <v>194</v>
      </c>
      <c r="C5253" s="25">
        <v>44763</v>
      </c>
      <c r="D5253" s="26">
        <v>0.26200231481481479</v>
      </c>
      <c r="E5253" t="s">
        <v>30</v>
      </c>
      <c r="F5253" t="s">
        <v>165</v>
      </c>
      <c r="G5253" t="s">
        <v>185</v>
      </c>
      <c r="H5253" t="s">
        <v>195</v>
      </c>
      <c r="I5253" s="160">
        <v>295.72000000000003</v>
      </c>
      <c r="J5253" s="8"/>
      <c r="K5253" s="8">
        <v>646997</v>
      </c>
      <c r="L5253" s="279">
        <f>+K5253-J5253</f>
        <v>646997</v>
      </c>
      <c r="M5253" s="254">
        <f>+J5253/L5253*100</f>
        <v>0</v>
      </c>
    </row>
    <row r="5254" spans="1:13" ht="13.5" hidden="1" customHeight="1" x14ac:dyDescent="0.3">
      <c r="B5254" t="s">
        <v>194</v>
      </c>
      <c r="C5254" s="25">
        <v>44763</v>
      </c>
      <c r="D5254" s="26">
        <v>0.66434027777777771</v>
      </c>
      <c r="E5254" t="s">
        <v>30</v>
      </c>
      <c r="F5254" t="s">
        <v>210</v>
      </c>
      <c r="G5254" t="s">
        <v>211</v>
      </c>
      <c r="H5254" t="s">
        <v>195</v>
      </c>
      <c r="I5254" s="160">
        <v>166.75</v>
      </c>
      <c r="J5254" s="160">
        <f>167+296</f>
        <v>463</v>
      </c>
      <c r="K5254" s="160">
        <v>647555</v>
      </c>
      <c r="L5254" s="160">
        <v>637</v>
      </c>
      <c r="M5254" s="254">
        <f>+J5254/L5254*100</f>
        <v>72.684458398744113</v>
      </c>
    </row>
    <row r="5255" spans="1:13" ht="15.75" hidden="1" customHeight="1" x14ac:dyDescent="0.3">
      <c r="B5255" t="s">
        <v>194</v>
      </c>
      <c r="C5255" s="25">
        <v>44764</v>
      </c>
      <c r="D5255" s="26">
        <v>0.26738425925925929</v>
      </c>
      <c r="E5255" t="s">
        <v>30</v>
      </c>
      <c r="F5255" t="s">
        <v>169</v>
      </c>
      <c r="G5255" t="s">
        <v>196</v>
      </c>
      <c r="H5255" t="s">
        <v>195</v>
      </c>
      <c r="I5255" s="160">
        <v>156.36000000000001</v>
      </c>
      <c r="J5255" s="8"/>
      <c r="K5255" s="8">
        <v>648051</v>
      </c>
      <c r="L5255" s="8">
        <f>+K5255-J5255</f>
        <v>648051</v>
      </c>
      <c r="M5255" s="254">
        <f>+J5255/L5255*100</f>
        <v>0</v>
      </c>
    </row>
    <row r="5256" spans="1:13" ht="15.75" hidden="1" customHeight="1" x14ac:dyDescent="0.3">
      <c r="A5256" s="9">
        <v>1339</v>
      </c>
      <c r="B5256" t="s">
        <v>507</v>
      </c>
      <c r="C5256" s="25">
        <v>44645</v>
      </c>
      <c r="D5256" s="26">
        <v>0.38656249999999998</v>
      </c>
      <c r="E5256" t="s">
        <v>26</v>
      </c>
      <c r="F5256" t="s">
        <v>210</v>
      </c>
      <c r="G5256" t="s">
        <v>211</v>
      </c>
      <c r="H5256" t="s">
        <v>189</v>
      </c>
      <c r="I5256">
        <v>592.44000000000005</v>
      </c>
      <c r="J5256" s="37">
        <v>0</v>
      </c>
      <c r="K5256" s="92">
        <f t="shared" ref="K5256:K5276" si="324">+L5256-J5256</f>
        <v>1045.26</v>
      </c>
      <c r="L5256" s="37">
        <v>1045.26</v>
      </c>
      <c r="M5256" s="118">
        <f t="shared" ref="M5256:M5287" si="325">I5256/K5256*100</f>
        <v>56.678721083749508</v>
      </c>
    </row>
    <row r="5257" spans="1:13" ht="15.75" hidden="1" customHeight="1" x14ac:dyDescent="0.3">
      <c r="A5257" s="9">
        <v>1340</v>
      </c>
      <c r="B5257" t="s">
        <v>507</v>
      </c>
      <c r="C5257" s="25">
        <v>44646</v>
      </c>
      <c r="D5257" s="26">
        <v>0.34675925925925927</v>
      </c>
      <c r="E5257" t="s">
        <v>26</v>
      </c>
      <c r="F5257" t="s">
        <v>210</v>
      </c>
      <c r="G5257" t="s">
        <v>211</v>
      </c>
      <c r="H5257" t="s">
        <v>189</v>
      </c>
      <c r="I5257">
        <v>335.97</v>
      </c>
      <c r="J5257" s="32">
        <v>0</v>
      </c>
      <c r="K5257" s="89">
        <f t="shared" si="324"/>
        <v>1066</v>
      </c>
      <c r="L5257" s="32">
        <v>1066</v>
      </c>
      <c r="M5257" s="36">
        <f t="shared" si="325"/>
        <v>31.516885553470921</v>
      </c>
    </row>
    <row r="5258" spans="1:13" ht="15.75" hidden="1" customHeight="1" x14ac:dyDescent="0.3">
      <c r="A5258" s="9">
        <v>1924</v>
      </c>
      <c r="B5258" t="s">
        <v>507</v>
      </c>
      <c r="C5258" s="25">
        <v>44648</v>
      </c>
      <c r="D5258" s="26">
        <v>0.9693518518518518</v>
      </c>
      <c r="E5258" t="s">
        <v>26</v>
      </c>
      <c r="F5258" t="s">
        <v>197</v>
      </c>
      <c r="G5258" t="s">
        <v>44</v>
      </c>
      <c r="H5258" t="s">
        <v>251</v>
      </c>
      <c r="I5258">
        <v>448.9</v>
      </c>
      <c r="J5258" s="7">
        <v>0</v>
      </c>
      <c r="K5258" s="89">
        <f t="shared" si="324"/>
        <v>1398.19</v>
      </c>
      <c r="L5258" s="7">
        <v>1398.19</v>
      </c>
      <c r="M5258" s="36">
        <f t="shared" si="325"/>
        <v>32.105793919281354</v>
      </c>
    </row>
    <row r="5259" spans="1:13" ht="15.75" hidden="1" customHeight="1" x14ac:dyDescent="0.3">
      <c r="A5259" s="9">
        <v>1925</v>
      </c>
      <c r="B5259" t="s">
        <v>507</v>
      </c>
      <c r="C5259" s="25">
        <v>44649</v>
      </c>
      <c r="D5259" s="26">
        <v>0.68909722222222225</v>
      </c>
      <c r="E5259" t="s">
        <v>26</v>
      </c>
      <c r="F5259" t="s">
        <v>210</v>
      </c>
      <c r="G5259" t="s">
        <v>211</v>
      </c>
      <c r="H5259" t="s">
        <v>251</v>
      </c>
      <c r="I5259">
        <v>323.22000000000003</v>
      </c>
      <c r="J5259" s="7">
        <v>0</v>
      </c>
      <c r="K5259" s="89">
        <f t="shared" si="324"/>
        <v>588.12</v>
      </c>
      <c r="L5259" s="32">
        <v>588.12</v>
      </c>
      <c r="M5259" s="36">
        <f t="shared" si="325"/>
        <v>54.958171801673132</v>
      </c>
    </row>
    <row r="5260" spans="1:13" ht="15.75" hidden="1" customHeight="1" x14ac:dyDescent="0.3">
      <c r="A5260" s="9">
        <v>1926</v>
      </c>
      <c r="B5260" t="s">
        <v>507</v>
      </c>
      <c r="C5260" s="25">
        <v>44651</v>
      </c>
      <c r="D5260" s="26">
        <v>1.3819444444444445E-2</v>
      </c>
      <c r="E5260" t="s">
        <v>26</v>
      </c>
      <c r="F5260" t="s">
        <v>210</v>
      </c>
      <c r="G5260" t="s">
        <v>211</v>
      </c>
      <c r="H5260" t="s">
        <v>251</v>
      </c>
      <c r="I5260">
        <v>422.67</v>
      </c>
      <c r="J5260" s="7">
        <v>0</v>
      </c>
      <c r="K5260" s="89">
        <f t="shared" si="324"/>
        <v>972.19</v>
      </c>
      <c r="L5260" s="32">
        <v>972.19</v>
      </c>
      <c r="M5260" s="36">
        <f t="shared" si="325"/>
        <v>43.476069492588898</v>
      </c>
    </row>
    <row r="5261" spans="1:13" ht="15.75" hidden="1" customHeight="1" x14ac:dyDescent="0.3">
      <c r="A5261" s="9">
        <v>3188</v>
      </c>
      <c r="B5261" t="s">
        <v>507</v>
      </c>
      <c r="C5261" s="25">
        <v>44655</v>
      </c>
      <c r="D5261" s="26">
        <v>0.80461805555555566</v>
      </c>
      <c r="E5261" t="s">
        <v>27</v>
      </c>
      <c r="F5261" t="s">
        <v>175</v>
      </c>
      <c r="G5261" t="s">
        <v>172</v>
      </c>
      <c r="H5261" t="s">
        <v>251</v>
      </c>
      <c r="I5261" s="4">
        <v>336.74</v>
      </c>
      <c r="J5261" s="7">
        <v>0</v>
      </c>
      <c r="K5261" s="89">
        <f t="shared" si="324"/>
        <v>957.48</v>
      </c>
      <c r="L5261" s="32">
        <v>957.48</v>
      </c>
      <c r="M5261" s="36">
        <f t="shared" si="325"/>
        <v>35.169403016250996</v>
      </c>
    </row>
    <row r="5262" spans="1:13" ht="15.75" hidden="1" customHeight="1" x14ac:dyDescent="0.3">
      <c r="A5262" s="9">
        <v>3189</v>
      </c>
      <c r="B5262" t="s">
        <v>507</v>
      </c>
      <c r="C5262" s="25">
        <v>44656</v>
      </c>
      <c r="D5262" s="26">
        <v>0.8959259259259259</v>
      </c>
      <c r="E5262" t="s">
        <v>27</v>
      </c>
      <c r="F5262" t="s">
        <v>197</v>
      </c>
      <c r="G5262" t="s">
        <v>44</v>
      </c>
      <c r="H5262" t="s">
        <v>251</v>
      </c>
      <c r="I5262" s="4">
        <v>100.14</v>
      </c>
      <c r="J5262" s="7">
        <v>0</v>
      </c>
      <c r="K5262" s="89">
        <f t="shared" si="324"/>
        <v>571.54</v>
      </c>
      <c r="L5262" s="32">
        <v>571.54</v>
      </c>
      <c r="M5262" s="36">
        <f t="shared" si="325"/>
        <v>17.521083388739196</v>
      </c>
    </row>
    <row r="5263" spans="1:13" ht="15.75" hidden="1" customHeight="1" x14ac:dyDescent="0.3">
      <c r="A5263" s="9">
        <v>3190</v>
      </c>
      <c r="B5263" t="s">
        <v>507</v>
      </c>
      <c r="C5263" s="25">
        <v>44656</v>
      </c>
      <c r="D5263" s="26">
        <v>0.95391203703703698</v>
      </c>
      <c r="E5263" t="s">
        <v>27</v>
      </c>
      <c r="F5263" t="s">
        <v>343</v>
      </c>
      <c r="G5263" t="s">
        <v>344</v>
      </c>
      <c r="H5263" t="s">
        <v>251</v>
      </c>
      <c r="I5263" s="4">
        <v>158.79</v>
      </c>
      <c r="J5263" s="7">
        <v>0</v>
      </c>
      <c r="K5263" s="89">
        <f t="shared" si="324"/>
        <v>653.34</v>
      </c>
      <c r="L5263" s="32">
        <v>653.34</v>
      </c>
      <c r="M5263" s="36">
        <f t="shared" si="325"/>
        <v>24.304343833226188</v>
      </c>
    </row>
    <row r="5264" spans="1:13" ht="15.75" hidden="1" customHeight="1" x14ac:dyDescent="0.3">
      <c r="A5264" s="9">
        <v>3191</v>
      </c>
      <c r="B5264" t="s">
        <v>507</v>
      </c>
      <c r="C5264" s="25">
        <v>44657</v>
      </c>
      <c r="D5264" s="26">
        <v>0.55322916666666666</v>
      </c>
      <c r="E5264" t="s">
        <v>27</v>
      </c>
      <c r="F5264" t="s">
        <v>210</v>
      </c>
      <c r="G5264" t="s">
        <v>211</v>
      </c>
      <c r="H5264" t="s">
        <v>251</v>
      </c>
      <c r="I5264" s="4">
        <v>210.25</v>
      </c>
      <c r="J5264" s="7">
        <v>0</v>
      </c>
      <c r="K5264" s="90">
        <f t="shared" si="324"/>
        <v>587.72</v>
      </c>
      <c r="L5264" s="37">
        <v>587.72</v>
      </c>
      <c r="M5264" s="91">
        <f t="shared" si="325"/>
        <v>35.773837881984619</v>
      </c>
    </row>
    <row r="5265" spans="1:13" ht="15.75" hidden="1" customHeight="1" x14ac:dyDescent="0.3">
      <c r="A5265" s="9">
        <v>3192</v>
      </c>
      <c r="B5265" t="s">
        <v>507</v>
      </c>
      <c r="C5265" s="25">
        <v>44658</v>
      </c>
      <c r="D5265" s="26">
        <v>0.75584490740740751</v>
      </c>
      <c r="E5265" t="s">
        <v>27</v>
      </c>
      <c r="F5265" t="s">
        <v>210</v>
      </c>
      <c r="G5265" t="s">
        <v>211</v>
      </c>
      <c r="H5265" t="s">
        <v>251</v>
      </c>
      <c r="I5265" s="4">
        <v>474.3</v>
      </c>
      <c r="J5265" s="7">
        <v>0</v>
      </c>
      <c r="K5265" s="90">
        <f t="shared" si="324"/>
        <v>1121.58</v>
      </c>
      <c r="L5265" s="32">
        <v>1121.58</v>
      </c>
      <c r="M5265" s="91">
        <f t="shared" si="325"/>
        <v>42.288557213930353</v>
      </c>
    </row>
    <row r="5266" spans="1:13" ht="15.75" hidden="1" customHeight="1" x14ac:dyDescent="0.3">
      <c r="A5266" s="9">
        <v>3193</v>
      </c>
      <c r="B5266" t="s">
        <v>507</v>
      </c>
      <c r="C5266" s="25">
        <v>44662</v>
      </c>
      <c r="D5266" s="26">
        <v>0.44280092592592596</v>
      </c>
      <c r="E5266" t="s">
        <v>27</v>
      </c>
      <c r="F5266" t="s">
        <v>534</v>
      </c>
      <c r="G5266" t="s">
        <v>535</v>
      </c>
      <c r="H5266" t="s">
        <v>251</v>
      </c>
      <c r="I5266" s="4">
        <v>383.53</v>
      </c>
      <c r="J5266" s="7">
        <v>0</v>
      </c>
      <c r="K5266" s="90">
        <f t="shared" si="324"/>
        <v>976.79</v>
      </c>
      <c r="L5266" s="32">
        <v>976.79</v>
      </c>
      <c r="M5266" s="91">
        <f t="shared" si="325"/>
        <v>39.264324982851996</v>
      </c>
    </row>
    <row r="5267" spans="1:13" ht="15.75" hidden="1" customHeight="1" x14ac:dyDescent="0.3">
      <c r="A5267" s="9">
        <v>3194</v>
      </c>
      <c r="B5267" t="s">
        <v>507</v>
      </c>
      <c r="C5267" s="25">
        <v>44663</v>
      </c>
      <c r="D5267" s="26">
        <v>0.37799768518518517</v>
      </c>
      <c r="E5267" t="s">
        <v>27</v>
      </c>
      <c r="F5267" t="s">
        <v>343</v>
      </c>
      <c r="G5267" t="s">
        <v>344</v>
      </c>
      <c r="H5267" t="s">
        <v>251</v>
      </c>
      <c r="I5267" s="4">
        <v>156.82</v>
      </c>
      <c r="J5267" s="7">
        <v>0</v>
      </c>
      <c r="K5267" s="90">
        <f t="shared" si="324"/>
        <v>380.56</v>
      </c>
      <c r="L5267" s="32">
        <v>380.56</v>
      </c>
      <c r="M5267" s="91">
        <f t="shared" si="325"/>
        <v>41.207693924742486</v>
      </c>
    </row>
    <row r="5268" spans="1:13" ht="15.75" hidden="1" customHeight="1" x14ac:dyDescent="0.3">
      <c r="A5268" s="9">
        <v>3195</v>
      </c>
      <c r="B5268" t="s">
        <v>507</v>
      </c>
      <c r="C5268" s="25">
        <v>44663</v>
      </c>
      <c r="D5268" s="26">
        <v>0.70851851851851855</v>
      </c>
      <c r="E5268" t="s">
        <v>27</v>
      </c>
      <c r="F5268" t="s">
        <v>210</v>
      </c>
      <c r="G5268" t="s">
        <v>211</v>
      </c>
      <c r="H5268" t="s">
        <v>251</v>
      </c>
      <c r="I5268" s="4">
        <v>260.33999999999997</v>
      </c>
      <c r="J5268" s="7">
        <v>0</v>
      </c>
      <c r="K5268" s="90">
        <f t="shared" si="324"/>
        <v>885</v>
      </c>
      <c r="L5268" s="32">
        <v>885</v>
      </c>
      <c r="M5268" s="91">
        <f t="shared" si="325"/>
        <v>29.416949152542372</v>
      </c>
    </row>
    <row r="5269" spans="1:13" ht="15.75" hidden="1" customHeight="1" x14ac:dyDescent="0.3">
      <c r="A5269" s="9">
        <v>3196</v>
      </c>
      <c r="B5269" t="s">
        <v>507</v>
      </c>
      <c r="C5269" s="25">
        <v>44664</v>
      </c>
      <c r="D5269" s="26">
        <v>0.82157407407407401</v>
      </c>
      <c r="E5269" t="s">
        <v>27</v>
      </c>
      <c r="F5269" t="s">
        <v>210</v>
      </c>
      <c r="G5269" t="s">
        <v>211</v>
      </c>
      <c r="H5269" t="s">
        <v>251</v>
      </c>
      <c r="I5269" s="4">
        <v>489.09</v>
      </c>
      <c r="J5269" s="7">
        <v>0</v>
      </c>
      <c r="K5269" s="90">
        <f t="shared" si="324"/>
        <v>1600</v>
      </c>
      <c r="L5269" s="32">
        <v>1600</v>
      </c>
      <c r="M5269" s="91">
        <f t="shared" si="325"/>
        <v>30.568124999999995</v>
      </c>
    </row>
    <row r="5270" spans="1:13" ht="15.75" hidden="1" customHeight="1" x14ac:dyDescent="0.3">
      <c r="A5270" s="9">
        <v>3197</v>
      </c>
      <c r="B5270" t="s">
        <v>507</v>
      </c>
      <c r="C5270" s="25">
        <v>44665</v>
      </c>
      <c r="D5270" s="26">
        <v>0.88638888888888889</v>
      </c>
      <c r="E5270" t="s">
        <v>27</v>
      </c>
      <c r="F5270" t="s">
        <v>175</v>
      </c>
      <c r="G5270" t="s">
        <v>172</v>
      </c>
      <c r="H5270" t="s">
        <v>251</v>
      </c>
      <c r="I5270" s="4">
        <v>359</v>
      </c>
      <c r="J5270" s="7">
        <v>0</v>
      </c>
      <c r="K5270" s="90">
        <f t="shared" si="324"/>
        <v>1047</v>
      </c>
      <c r="L5270" s="32">
        <v>1047</v>
      </c>
      <c r="M5270" s="91">
        <f t="shared" si="325"/>
        <v>34.288443170964662</v>
      </c>
    </row>
    <row r="5271" spans="1:13" ht="15.75" hidden="1" customHeight="1" x14ac:dyDescent="0.3">
      <c r="A5271" s="9">
        <v>3198</v>
      </c>
      <c r="B5271" t="s">
        <v>507</v>
      </c>
      <c r="C5271" s="25">
        <v>44669</v>
      </c>
      <c r="D5271" s="26">
        <v>0.36331018518518521</v>
      </c>
      <c r="E5271" t="s">
        <v>27</v>
      </c>
      <c r="F5271" t="s">
        <v>210</v>
      </c>
      <c r="G5271" t="s">
        <v>211</v>
      </c>
      <c r="H5271" t="s">
        <v>251</v>
      </c>
      <c r="I5271" s="4">
        <v>340.76</v>
      </c>
      <c r="J5271" s="32">
        <v>0</v>
      </c>
      <c r="K5271" s="90">
        <f t="shared" si="324"/>
        <v>825</v>
      </c>
      <c r="L5271" s="32">
        <v>825</v>
      </c>
      <c r="M5271" s="91">
        <f t="shared" si="325"/>
        <v>41.304242424242418</v>
      </c>
    </row>
    <row r="5272" spans="1:13" ht="15.75" hidden="1" customHeight="1" x14ac:dyDescent="0.3">
      <c r="A5272" s="9">
        <v>3199</v>
      </c>
      <c r="B5272" t="s">
        <v>507</v>
      </c>
      <c r="C5272" s="25">
        <v>44670</v>
      </c>
      <c r="D5272" s="26">
        <v>5.2534722222222219E-2</v>
      </c>
      <c r="E5272" t="s">
        <v>27</v>
      </c>
      <c r="F5272" t="s">
        <v>210</v>
      </c>
      <c r="G5272" t="s">
        <v>211</v>
      </c>
      <c r="H5272" t="s">
        <v>251</v>
      </c>
      <c r="I5272" s="4">
        <v>401.15</v>
      </c>
      <c r="J5272" s="32">
        <v>0</v>
      </c>
      <c r="K5272" s="90">
        <f t="shared" si="324"/>
        <v>1064.8399999999999</v>
      </c>
      <c r="L5272" s="32">
        <v>1064.8399999999999</v>
      </c>
      <c r="M5272" s="91">
        <f t="shared" si="325"/>
        <v>37.672326358889599</v>
      </c>
    </row>
    <row r="5273" spans="1:13" ht="15.75" hidden="1" customHeight="1" x14ac:dyDescent="0.3">
      <c r="A5273" s="9">
        <v>3200</v>
      </c>
      <c r="B5273" t="s">
        <v>507</v>
      </c>
      <c r="C5273" s="25">
        <v>44671</v>
      </c>
      <c r="D5273" s="26">
        <v>0.38276620370370368</v>
      </c>
      <c r="E5273" t="s">
        <v>27</v>
      </c>
      <c r="F5273" t="s">
        <v>428</v>
      </c>
      <c r="G5273" t="s">
        <v>429</v>
      </c>
      <c r="H5273" t="s">
        <v>251</v>
      </c>
      <c r="I5273" s="4">
        <v>200.19</v>
      </c>
      <c r="J5273" s="32">
        <v>0</v>
      </c>
      <c r="K5273" s="90">
        <f t="shared" si="324"/>
        <v>930.78</v>
      </c>
      <c r="L5273" s="32">
        <v>930.78</v>
      </c>
      <c r="M5273" s="119">
        <f t="shared" si="325"/>
        <v>21.507767678721073</v>
      </c>
    </row>
    <row r="5274" spans="1:13" ht="15.75" hidden="1" customHeight="1" x14ac:dyDescent="0.3">
      <c r="A5274" s="9">
        <v>3201</v>
      </c>
      <c r="B5274" t="s">
        <v>507</v>
      </c>
      <c r="C5274" s="25">
        <v>44671</v>
      </c>
      <c r="D5274" s="26">
        <v>0.71635416666666663</v>
      </c>
      <c r="E5274" t="s">
        <v>27</v>
      </c>
      <c r="F5274" t="s">
        <v>557</v>
      </c>
      <c r="G5274" t="s">
        <v>558</v>
      </c>
      <c r="H5274" t="s">
        <v>251</v>
      </c>
      <c r="I5274" s="4">
        <v>200</v>
      </c>
      <c r="J5274" s="32">
        <v>0</v>
      </c>
      <c r="K5274" s="90">
        <f t="shared" si="324"/>
        <v>1281</v>
      </c>
      <c r="L5274" s="32">
        <v>1281</v>
      </c>
      <c r="M5274" s="119">
        <f t="shared" si="325"/>
        <v>15.612802498048401</v>
      </c>
    </row>
    <row r="5275" spans="1:13" ht="15.75" hidden="1" customHeight="1" x14ac:dyDescent="0.3">
      <c r="A5275" s="9">
        <v>3202</v>
      </c>
      <c r="B5275" t="s">
        <v>507</v>
      </c>
      <c r="C5275" s="25">
        <v>44672</v>
      </c>
      <c r="D5275" s="26">
        <v>3.5034722222222224E-2</v>
      </c>
      <c r="E5275" t="s">
        <v>27</v>
      </c>
      <c r="F5275" t="s">
        <v>210</v>
      </c>
      <c r="G5275" t="s">
        <v>211</v>
      </c>
      <c r="H5275" t="s">
        <v>251</v>
      </c>
      <c r="I5275" s="4">
        <v>330.05</v>
      </c>
      <c r="J5275" s="32">
        <v>0</v>
      </c>
      <c r="K5275" s="92">
        <f t="shared" si="324"/>
        <v>1063</v>
      </c>
      <c r="L5275" s="37">
        <v>1063</v>
      </c>
      <c r="M5275" s="118">
        <f t="shared" si="325"/>
        <v>31.048918156161808</v>
      </c>
    </row>
    <row r="5276" spans="1:13" ht="15.75" hidden="1" customHeight="1" x14ac:dyDescent="0.3">
      <c r="A5276" s="9">
        <v>3203</v>
      </c>
      <c r="B5276" t="s">
        <v>507</v>
      </c>
      <c r="C5276" s="25">
        <v>44672</v>
      </c>
      <c r="D5276" s="26">
        <v>0.95648148148148149</v>
      </c>
      <c r="E5276" t="s">
        <v>27</v>
      </c>
      <c r="F5276" t="s">
        <v>210</v>
      </c>
      <c r="G5276" t="s">
        <v>211</v>
      </c>
      <c r="H5276" t="s">
        <v>251</v>
      </c>
      <c r="I5276" s="4">
        <v>401.47</v>
      </c>
      <c r="J5276" s="32">
        <v>0</v>
      </c>
      <c r="K5276" s="89">
        <f t="shared" si="324"/>
        <v>1063</v>
      </c>
      <c r="L5276" s="32">
        <v>1063</v>
      </c>
      <c r="M5276" s="36">
        <f t="shared" si="325"/>
        <v>37.767638758231428</v>
      </c>
    </row>
    <row r="5277" spans="1:13" ht="15.75" hidden="1" customHeight="1" x14ac:dyDescent="0.3">
      <c r="A5277" s="9">
        <v>3744</v>
      </c>
      <c r="B5277" t="s">
        <v>507</v>
      </c>
      <c r="C5277" s="25">
        <v>44683</v>
      </c>
      <c r="D5277" s="26">
        <v>0.67282407407407396</v>
      </c>
      <c r="E5277" t="s">
        <v>28</v>
      </c>
      <c r="F5277" t="s">
        <v>165</v>
      </c>
      <c r="G5277" t="s">
        <v>185</v>
      </c>
      <c r="H5277" t="s">
        <v>122</v>
      </c>
      <c r="I5277">
        <v>449</v>
      </c>
      <c r="J5277" s="7">
        <v>0</v>
      </c>
      <c r="K5277" s="89">
        <f>+L5277-J5408</f>
        <v>445</v>
      </c>
      <c r="L5277" s="7">
        <v>445</v>
      </c>
      <c r="M5277" s="36">
        <f t="shared" si="325"/>
        <v>100.89887640449437</v>
      </c>
    </row>
    <row r="5278" spans="1:13" ht="15.75" hidden="1" customHeight="1" x14ac:dyDescent="0.3">
      <c r="A5278" s="9">
        <v>3838</v>
      </c>
      <c r="B5278" t="s">
        <v>507</v>
      </c>
      <c r="C5278" s="25">
        <v>44685</v>
      </c>
      <c r="D5278" s="26">
        <v>0.73952546296296295</v>
      </c>
      <c r="E5278" t="s">
        <v>28</v>
      </c>
      <c r="F5278" t="s">
        <v>165</v>
      </c>
      <c r="G5278" t="s">
        <v>185</v>
      </c>
      <c r="H5278" t="s">
        <v>251</v>
      </c>
      <c r="I5278">
        <v>189.18</v>
      </c>
      <c r="J5278" s="32">
        <v>0</v>
      </c>
      <c r="K5278" s="89">
        <f>+L5278-J5409</f>
        <v>1869</v>
      </c>
      <c r="L5278" s="32">
        <v>1869</v>
      </c>
      <c r="M5278" s="36">
        <f t="shared" si="325"/>
        <v>10.121990369181381</v>
      </c>
    </row>
    <row r="5279" spans="1:13" ht="15.75" hidden="1" customHeight="1" x14ac:dyDescent="0.3">
      <c r="A5279" s="9">
        <v>3894</v>
      </c>
      <c r="B5279" t="s">
        <v>507</v>
      </c>
      <c r="C5279" s="25">
        <v>44686</v>
      </c>
      <c r="D5279" s="26">
        <v>0.71510416666666676</v>
      </c>
      <c r="E5279" t="s">
        <v>28</v>
      </c>
      <c r="F5279" t="s">
        <v>210</v>
      </c>
      <c r="G5279" t="s">
        <v>211</v>
      </c>
      <c r="H5279" t="s">
        <v>251</v>
      </c>
      <c r="I5279">
        <v>400.03</v>
      </c>
      <c r="J5279" s="32">
        <v>0</v>
      </c>
      <c r="K5279" s="89">
        <f>+L5279-J5410</f>
        <v>571</v>
      </c>
      <c r="L5279" s="32">
        <v>571</v>
      </c>
      <c r="M5279" s="36">
        <f t="shared" si="325"/>
        <v>70.057793345008761</v>
      </c>
    </row>
    <row r="5280" spans="1:13" ht="15.75" hidden="1" customHeight="1" x14ac:dyDescent="0.3">
      <c r="A5280" s="9">
        <v>3913</v>
      </c>
      <c r="B5280" t="s">
        <v>507</v>
      </c>
      <c r="C5280" s="25">
        <v>44687</v>
      </c>
      <c r="D5280" s="26">
        <v>0.60439814814814818</v>
      </c>
      <c r="E5280" t="s">
        <v>28</v>
      </c>
      <c r="F5280" t="s">
        <v>428</v>
      </c>
      <c r="G5280" t="s">
        <v>429</v>
      </c>
      <c r="H5280" t="s">
        <v>189</v>
      </c>
      <c r="I5280">
        <v>302</v>
      </c>
      <c r="J5280" s="32">
        <v>0</v>
      </c>
      <c r="K5280" s="89">
        <f>+L5280-J5280</f>
        <v>920.63</v>
      </c>
      <c r="L5280" s="32">
        <v>920.63</v>
      </c>
      <c r="M5280" s="36">
        <f t="shared" si="325"/>
        <v>32.803623605574444</v>
      </c>
    </row>
    <row r="5281" spans="1:13" ht="15.75" hidden="1" customHeight="1" x14ac:dyDescent="0.3">
      <c r="A5281" s="9">
        <v>3995</v>
      </c>
      <c r="B5281" t="s">
        <v>507</v>
      </c>
      <c r="C5281" s="25">
        <v>44688</v>
      </c>
      <c r="D5281" s="26">
        <v>0.68052083333333335</v>
      </c>
      <c r="E5281" t="s">
        <v>28</v>
      </c>
      <c r="F5281" t="s">
        <v>197</v>
      </c>
      <c r="G5281" t="s">
        <v>44</v>
      </c>
      <c r="H5281" t="s">
        <v>251</v>
      </c>
      <c r="I5281">
        <v>106.29</v>
      </c>
      <c r="J5281" s="32">
        <v>0</v>
      </c>
      <c r="K5281" s="89">
        <f>+L5281-J5410</f>
        <v>1736</v>
      </c>
      <c r="L5281" s="32">
        <v>1736</v>
      </c>
      <c r="M5281" s="36">
        <f t="shared" si="325"/>
        <v>6.1226958525345623</v>
      </c>
    </row>
    <row r="5282" spans="1:13" ht="15.75" hidden="1" customHeight="1" x14ac:dyDescent="0.3">
      <c r="A5282" s="9">
        <v>3996</v>
      </c>
      <c r="B5282" t="s">
        <v>507</v>
      </c>
      <c r="C5282" s="25">
        <v>44688</v>
      </c>
      <c r="D5282" s="26">
        <v>0.91804398148148147</v>
      </c>
      <c r="E5282" t="s">
        <v>28</v>
      </c>
      <c r="F5282" t="s">
        <v>488</v>
      </c>
      <c r="G5282" t="s">
        <v>489</v>
      </c>
      <c r="H5282" t="s">
        <v>251</v>
      </c>
      <c r="I5282">
        <v>383.07</v>
      </c>
      <c r="J5282" s="32">
        <v>0</v>
      </c>
      <c r="K5282" s="89">
        <f>+L5282-J5411</f>
        <v>345</v>
      </c>
      <c r="L5282" s="32">
        <v>345</v>
      </c>
      <c r="M5282" s="36">
        <f t="shared" si="325"/>
        <v>111.03478260869566</v>
      </c>
    </row>
    <row r="5283" spans="1:13" ht="15.75" hidden="1" customHeight="1" x14ac:dyDescent="0.3">
      <c r="A5283" s="9">
        <v>4041</v>
      </c>
      <c r="B5283" t="s">
        <v>507</v>
      </c>
      <c r="C5283" s="25">
        <v>44689</v>
      </c>
      <c r="D5283" s="26">
        <v>0.31547453703703704</v>
      </c>
      <c r="E5283" t="s">
        <v>28</v>
      </c>
      <c r="F5283" t="s">
        <v>210</v>
      </c>
      <c r="G5283" t="s">
        <v>211</v>
      </c>
      <c r="H5283" t="s">
        <v>251</v>
      </c>
      <c r="I5283">
        <v>111.47</v>
      </c>
      <c r="J5283" s="32">
        <v>0</v>
      </c>
      <c r="K5283" s="89">
        <f>+L5283-J5412</f>
        <v>248</v>
      </c>
      <c r="L5283" s="32">
        <v>248</v>
      </c>
      <c r="M5283" s="36">
        <f t="shared" si="325"/>
        <v>44.947580645161288</v>
      </c>
    </row>
    <row r="5284" spans="1:13" ht="15.75" hidden="1" customHeight="1" x14ac:dyDescent="0.3">
      <c r="A5284" s="9">
        <v>4088</v>
      </c>
      <c r="B5284" t="s">
        <v>507</v>
      </c>
      <c r="C5284" s="25">
        <v>44690</v>
      </c>
      <c r="D5284" s="26">
        <v>0.8383680555555556</v>
      </c>
      <c r="E5284" t="s">
        <v>28</v>
      </c>
      <c r="F5284" t="s">
        <v>210</v>
      </c>
      <c r="G5284" t="s">
        <v>211</v>
      </c>
      <c r="H5284" t="s">
        <v>251</v>
      </c>
      <c r="I5284">
        <v>480.06</v>
      </c>
      <c r="J5284" s="32">
        <v>0</v>
      </c>
      <c r="K5284" s="89">
        <f>+L5284-J5413</f>
        <v>1122</v>
      </c>
      <c r="L5284" s="32">
        <v>1122</v>
      </c>
      <c r="M5284" s="36">
        <f t="shared" si="325"/>
        <v>42.786096256684495</v>
      </c>
    </row>
    <row r="5285" spans="1:13" ht="15.75" hidden="1" customHeight="1" x14ac:dyDescent="0.3">
      <c r="A5285" s="9">
        <v>4400</v>
      </c>
      <c r="B5285" t="s">
        <v>507</v>
      </c>
      <c r="C5285" s="25">
        <v>44696</v>
      </c>
      <c r="D5285" s="26">
        <v>0.35037037037037039</v>
      </c>
      <c r="E5285" t="s">
        <v>28</v>
      </c>
      <c r="F5285" t="s">
        <v>197</v>
      </c>
      <c r="G5285" t="s">
        <v>44</v>
      </c>
      <c r="H5285" t="s">
        <v>251</v>
      </c>
      <c r="I5285">
        <v>88.92</v>
      </c>
      <c r="J5285" s="32">
        <v>0</v>
      </c>
      <c r="K5285" s="89">
        <f>+L5285-J5553</f>
        <v>1178</v>
      </c>
      <c r="L5285" s="32">
        <v>1178</v>
      </c>
      <c r="M5285" s="36">
        <f t="shared" si="325"/>
        <v>7.5483870967741939</v>
      </c>
    </row>
    <row r="5286" spans="1:13" ht="15.75" hidden="1" customHeight="1" x14ac:dyDescent="0.3">
      <c r="A5286" s="9">
        <v>4402</v>
      </c>
      <c r="B5286" t="s">
        <v>507</v>
      </c>
      <c r="C5286" s="25">
        <v>44696</v>
      </c>
      <c r="D5286" s="26">
        <v>0.72042824074074074</v>
      </c>
      <c r="E5286" t="s">
        <v>28</v>
      </c>
      <c r="F5286" t="s">
        <v>210</v>
      </c>
      <c r="G5286" t="s">
        <v>211</v>
      </c>
      <c r="H5286" t="s">
        <v>251</v>
      </c>
      <c r="I5286">
        <v>348.5</v>
      </c>
      <c r="J5286" s="32">
        <v>0</v>
      </c>
      <c r="K5286" s="89">
        <f>+L5286-J5558</f>
        <v>75</v>
      </c>
      <c r="L5286" s="37">
        <v>75</v>
      </c>
      <c r="M5286" s="36">
        <f t="shared" si="325"/>
        <v>464.66666666666663</v>
      </c>
    </row>
    <row r="5287" spans="1:13" ht="15.75" hidden="1" customHeight="1" x14ac:dyDescent="0.3">
      <c r="A5287" s="9">
        <v>4408</v>
      </c>
      <c r="B5287" t="s">
        <v>507</v>
      </c>
      <c r="C5287" s="25">
        <v>44696</v>
      </c>
      <c r="D5287" s="26">
        <v>0.6627777777777778</v>
      </c>
      <c r="E5287" t="s">
        <v>28</v>
      </c>
      <c r="F5287" t="s">
        <v>166</v>
      </c>
      <c r="G5287" t="s">
        <v>161</v>
      </c>
      <c r="H5287" t="s">
        <v>251</v>
      </c>
      <c r="I5287">
        <v>100</v>
      </c>
      <c r="J5287" s="32">
        <v>0</v>
      </c>
      <c r="K5287" s="89">
        <f>+L5287-J5559</f>
        <v>511</v>
      </c>
      <c r="L5287" s="32">
        <v>511</v>
      </c>
      <c r="M5287" s="36">
        <f t="shared" si="325"/>
        <v>19.569471624266143</v>
      </c>
    </row>
    <row r="5288" spans="1:13" ht="15.75" hidden="1" customHeight="1" x14ac:dyDescent="0.3">
      <c r="A5288" s="9">
        <v>4465</v>
      </c>
      <c r="B5288" t="s">
        <v>507</v>
      </c>
      <c r="C5288" s="25">
        <v>44697</v>
      </c>
      <c r="D5288" s="26">
        <v>0.68093750000000008</v>
      </c>
      <c r="E5288" t="s">
        <v>28</v>
      </c>
      <c r="F5288" t="s">
        <v>210</v>
      </c>
      <c r="G5288" t="s">
        <v>211</v>
      </c>
      <c r="H5288" t="s">
        <v>251</v>
      </c>
      <c r="I5288">
        <v>427.93</v>
      </c>
      <c r="J5288" s="32">
        <v>0</v>
      </c>
      <c r="K5288" s="89">
        <f>+L5288-J5560</f>
        <v>1062</v>
      </c>
      <c r="L5288" s="32">
        <v>1062</v>
      </c>
      <c r="M5288" s="36">
        <f t="shared" ref="M5288:M5319" si="326">I5288/K5288*100</f>
        <v>40.294726930320152</v>
      </c>
    </row>
    <row r="5289" spans="1:13" ht="15.75" hidden="1" customHeight="1" x14ac:dyDescent="0.3">
      <c r="A5289" s="9">
        <v>4517</v>
      </c>
      <c r="B5289" t="s">
        <v>507</v>
      </c>
      <c r="C5289" s="25">
        <v>44698</v>
      </c>
      <c r="D5289" s="26">
        <v>0.53672453703703704</v>
      </c>
      <c r="E5289" t="s">
        <v>28</v>
      </c>
      <c r="F5289" t="s">
        <v>262</v>
      </c>
      <c r="G5289" t="s">
        <v>263</v>
      </c>
      <c r="H5289" t="s">
        <v>251</v>
      </c>
      <c r="I5289">
        <v>130.01</v>
      </c>
      <c r="J5289" s="32">
        <v>0</v>
      </c>
      <c r="K5289" s="89">
        <f>+L5289-J5561</f>
        <v>847</v>
      </c>
      <c r="L5289" s="32">
        <v>847</v>
      </c>
      <c r="M5289" s="36">
        <f t="shared" si="326"/>
        <v>15.349468713105075</v>
      </c>
    </row>
    <row r="5290" spans="1:13" ht="15.75" hidden="1" customHeight="1" x14ac:dyDescent="0.3">
      <c r="A5290" s="9">
        <v>4568</v>
      </c>
      <c r="B5290" t="s">
        <v>507</v>
      </c>
      <c r="C5290" s="25">
        <v>44699</v>
      </c>
      <c r="D5290" s="26">
        <v>0.33398148148148149</v>
      </c>
      <c r="E5290" t="s">
        <v>28</v>
      </c>
      <c r="F5290" t="s">
        <v>197</v>
      </c>
      <c r="G5290" t="s">
        <v>44</v>
      </c>
      <c r="H5290" t="s">
        <v>251</v>
      </c>
      <c r="I5290">
        <v>151.18</v>
      </c>
      <c r="J5290" s="32">
        <v>0</v>
      </c>
      <c r="K5290" s="89">
        <f>+L5290-J5562</f>
        <v>294</v>
      </c>
      <c r="L5290" s="32">
        <v>294</v>
      </c>
      <c r="M5290" s="36">
        <f t="shared" si="326"/>
        <v>51.421768707482997</v>
      </c>
    </row>
    <row r="5291" spans="1:13" ht="15.75" hidden="1" customHeight="1" x14ac:dyDescent="0.3">
      <c r="A5291" s="9">
        <v>4624</v>
      </c>
      <c r="B5291" t="s">
        <v>507</v>
      </c>
      <c r="C5291" s="25">
        <v>44700</v>
      </c>
      <c r="D5291" s="26">
        <v>0.884699074074074</v>
      </c>
      <c r="E5291" t="s">
        <v>28</v>
      </c>
      <c r="F5291" t="s">
        <v>210</v>
      </c>
      <c r="G5291" t="s">
        <v>211</v>
      </c>
      <c r="H5291" t="s">
        <v>251</v>
      </c>
      <c r="I5291">
        <v>402</v>
      </c>
      <c r="J5291" s="32">
        <v>0</v>
      </c>
      <c r="K5291" s="89">
        <f>+L5291-J5562</f>
        <v>587</v>
      </c>
      <c r="L5291" s="37">
        <v>587</v>
      </c>
      <c r="M5291" s="36">
        <f t="shared" si="326"/>
        <v>68.483816013628612</v>
      </c>
    </row>
    <row r="5292" spans="1:13" ht="15.75" hidden="1" customHeight="1" x14ac:dyDescent="0.3">
      <c r="A5292" s="9">
        <v>4675</v>
      </c>
      <c r="B5292" t="s">
        <v>507</v>
      </c>
      <c r="C5292" s="25">
        <v>44701</v>
      </c>
      <c r="D5292" s="26">
        <v>0.76203703703703696</v>
      </c>
      <c r="E5292" t="s">
        <v>28</v>
      </c>
      <c r="F5292" t="s">
        <v>278</v>
      </c>
      <c r="G5292" t="s">
        <v>279</v>
      </c>
      <c r="H5292" t="s">
        <v>251</v>
      </c>
      <c r="I5292">
        <v>316</v>
      </c>
      <c r="J5292" s="32">
        <v>0</v>
      </c>
      <c r="K5292" s="89">
        <f t="shared" ref="K5292:K5298" si="327">+L5292-J5540</f>
        <v>712</v>
      </c>
      <c r="L5292" s="32">
        <v>712</v>
      </c>
      <c r="M5292" s="36">
        <f t="shared" si="326"/>
        <v>44.382022471910112</v>
      </c>
    </row>
    <row r="5293" spans="1:13" ht="15.75" hidden="1" customHeight="1" x14ac:dyDescent="0.3">
      <c r="A5293" s="9">
        <v>4676</v>
      </c>
      <c r="B5293" t="s">
        <v>507</v>
      </c>
      <c r="C5293" s="25">
        <v>44701</v>
      </c>
      <c r="D5293" s="26">
        <v>0.96151620370370372</v>
      </c>
      <c r="E5293" t="s">
        <v>28</v>
      </c>
      <c r="F5293" t="s">
        <v>210</v>
      </c>
      <c r="G5293" t="s">
        <v>211</v>
      </c>
      <c r="H5293" t="s">
        <v>251</v>
      </c>
      <c r="I5293">
        <v>103.25</v>
      </c>
      <c r="J5293" s="32">
        <v>0</v>
      </c>
      <c r="K5293" s="89">
        <f t="shared" si="327"/>
        <v>350</v>
      </c>
      <c r="L5293" s="32">
        <v>350</v>
      </c>
      <c r="M5293" s="36">
        <f t="shared" si="326"/>
        <v>29.5</v>
      </c>
    </row>
    <row r="5294" spans="1:13" ht="15.75" hidden="1" customHeight="1" x14ac:dyDescent="0.3">
      <c r="A5294" s="9">
        <v>4782</v>
      </c>
      <c r="B5294" t="s">
        <v>507</v>
      </c>
      <c r="C5294" s="25">
        <v>44703</v>
      </c>
      <c r="D5294" s="26">
        <v>0.30109953703703701</v>
      </c>
      <c r="E5294" t="s">
        <v>28</v>
      </c>
      <c r="F5294" t="s">
        <v>624</v>
      </c>
      <c r="G5294" t="s">
        <v>277</v>
      </c>
      <c r="H5294" t="s">
        <v>251</v>
      </c>
      <c r="I5294">
        <v>277.91000000000003</v>
      </c>
      <c r="J5294" s="32">
        <v>0</v>
      </c>
      <c r="K5294" s="89">
        <f t="shared" si="327"/>
        <v>777</v>
      </c>
      <c r="L5294" s="32">
        <v>777</v>
      </c>
      <c r="M5294" s="36">
        <f t="shared" si="326"/>
        <v>35.767052767052768</v>
      </c>
    </row>
    <row r="5295" spans="1:13" ht="15.75" hidden="1" customHeight="1" x14ac:dyDescent="0.3">
      <c r="A5295" s="9">
        <v>4836</v>
      </c>
      <c r="B5295" t="s">
        <v>507</v>
      </c>
      <c r="C5295" s="25">
        <v>44704</v>
      </c>
      <c r="D5295" s="26">
        <v>0.51716435185185183</v>
      </c>
      <c r="E5295" t="s">
        <v>28</v>
      </c>
      <c r="F5295" t="s">
        <v>197</v>
      </c>
      <c r="G5295" t="s">
        <v>44</v>
      </c>
      <c r="H5295" t="s">
        <v>251</v>
      </c>
      <c r="I5295">
        <v>135</v>
      </c>
      <c r="J5295" s="32">
        <v>0</v>
      </c>
      <c r="K5295" s="89">
        <f t="shared" si="327"/>
        <v>364</v>
      </c>
      <c r="L5295" s="32">
        <v>364</v>
      </c>
      <c r="M5295" s="36">
        <f t="shared" si="326"/>
        <v>37.087912087912088</v>
      </c>
    </row>
    <row r="5296" spans="1:13" ht="15.75" hidden="1" customHeight="1" x14ac:dyDescent="0.3">
      <c r="A5296" s="9">
        <v>4837</v>
      </c>
      <c r="B5296" t="s">
        <v>507</v>
      </c>
      <c r="C5296" s="25">
        <v>44704</v>
      </c>
      <c r="D5296" s="26">
        <v>0.89505787037037043</v>
      </c>
      <c r="E5296" t="s">
        <v>28</v>
      </c>
      <c r="F5296" t="s">
        <v>210</v>
      </c>
      <c r="G5296" t="s">
        <v>211</v>
      </c>
      <c r="H5296" t="s">
        <v>251</v>
      </c>
      <c r="I5296">
        <v>248.57</v>
      </c>
      <c r="J5296" s="32">
        <v>0</v>
      </c>
      <c r="K5296" s="89">
        <f t="shared" si="327"/>
        <v>587</v>
      </c>
      <c r="L5296" s="32">
        <v>587</v>
      </c>
      <c r="M5296" s="36">
        <f t="shared" si="326"/>
        <v>42.345826235093696</v>
      </c>
    </row>
    <row r="5297" spans="1:13" ht="15.75" hidden="1" customHeight="1" x14ac:dyDescent="0.3">
      <c r="A5297" s="9">
        <v>4890</v>
      </c>
      <c r="B5297" t="s">
        <v>507</v>
      </c>
      <c r="C5297" s="25">
        <v>44705</v>
      </c>
      <c r="D5297" s="26">
        <v>0.92107638888888888</v>
      </c>
      <c r="E5297" t="s">
        <v>28</v>
      </c>
      <c r="F5297" t="s">
        <v>165</v>
      </c>
      <c r="G5297" t="s">
        <v>185</v>
      </c>
      <c r="H5297" t="s">
        <v>251</v>
      </c>
      <c r="I5297">
        <v>277.88</v>
      </c>
      <c r="J5297" s="32">
        <v>0</v>
      </c>
      <c r="K5297" s="89">
        <f t="shared" si="327"/>
        <v>549</v>
      </c>
      <c r="L5297" s="32">
        <v>549</v>
      </c>
      <c r="M5297" s="36">
        <f t="shared" si="326"/>
        <v>50.615664845173036</v>
      </c>
    </row>
    <row r="5298" spans="1:13" ht="15.75" hidden="1" customHeight="1" x14ac:dyDescent="0.3">
      <c r="A5298" s="9">
        <v>4954</v>
      </c>
      <c r="B5298" t="s">
        <v>507</v>
      </c>
      <c r="C5298" s="25">
        <v>44706</v>
      </c>
      <c r="D5298" s="26">
        <v>0.76362268518518517</v>
      </c>
      <c r="E5298" t="s">
        <v>28</v>
      </c>
      <c r="F5298" t="s">
        <v>210</v>
      </c>
      <c r="G5298" t="s">
        <v>211</v>
      </c>
      <c r="H5298" t="s">
        <v>251</v>
      </c>
      <c r="I5298">
        <v>245.72</v>
      </c>
      <c r="J5298" s="32">
        <v>0</v>
      </c>
      <c r="K5298" s="89">
        <f t="shared" si="327"/>
        <v>572</v>
      </c>
      <c r="L5298" s="32">
        <v>572</v>
      </c>
      <c r="M5298" s="36">
        <f t="shared" si="326"/>
        <v>42.95804195804196</v>
      </c>
    </row>
    <row r="5299" spans="1:13" ht="15.75" hidden="1" customHeight="1" x14ac:dyDescent="0.3">
      <c r="A5299" s="9">
        <v>5215</v>
      </c>
      <c r="B5299" t="s">
        <v>507</v>
      </c>
      <c r="C5299" s="25">
        <v>44711</v>
      </c>
      <c r="D5299" s="26">
        <v>0.77035879629629633</v>
      </c>
      <c r="E5299" t="s">
        <v>28</v>
      </c>
      <c r="F5299" t="s">
        <v>679</v>
      </c>
      <c r="G5299" t="s">
        <v>392</v>
      </c>
      <c r="H5299" t="s">
        <v>251</v>
      </c>
      <c r="I5299">
        <v>360.82</v>
      </c>
      <c r="J5299" s="32">
        <v>0</v>
      </c>
      <c r="K5299" s="89">
        <f>+L5299-J5526</f>
        <v>961</v>
      </c>
      <c r="L5299" s="7">
        <v>961</v>
      </c>
      <c r="M5299" s="36">
        <f t="shared" si="326"/>
        <v>37.546305931321541</v>
      </c>
    </row>
    <row r="5300" spans="1:13" ht="15.75" hidden="1" customHeight="1" x14ac:dyDescent="0.3">
      <c r="A5300" s="9">
        <v>5244</v>
      </c>
      <c r="B5300" t="s">
        <v>507</v>
      </c>
      <c r="C5300" s="25">
        <v>44712</v>
      </c>
      <c r="D5300" s="26">
        <v>0.35925925925925922</v>
      </c>
      <c r="E5300" t="s">
        <v>28</v>
      </c>
      <c r="F5300" t="s">
        <v>639</v>
      </c>
      <c r="G5300" t="s">
        <v>44</v>
      </c>
      <c r="H5300" t="s">
        <v>251</v>
      </c>
      <c r="I5300">
        <v>100.08</v>
      </c>
      <c r="J5300" s="32">
        <v>0</v>
      </c>
      <c r="K5300" s="89">
        <f>+L5300-J5527</f>
        <v>260</v>
      </c>
      <c r="L5300" s="7">
        <v>260</v>
      </c>
      <c r="M5300" s="36">
        <f t="shared" si="326"/>
        <v>38.492307692307691</v>
      </c>
    </row>
    <row r="5301" spans="1:13" ht="15.75" hidden="1" customHeight="1" x14ac:dyDescent="0.3">
      <c r="A5301" s="9">
        <v>5245</v>
      </c>
      <c r="B5301" t="s">
        <v>507</v>
      </c>
      <c r="C5301" s="25">
        <v>44712</v>
      </c>
      <c r="D5301" s="26">
        <v>0.7345949074074074</v>
      </c>
      <c r="E5301" t="s">
        <v>28</v>
      </c>
      <c r="F5301" t="s">
        <v>634</v>
      </c>
      <c r="G5301" t="s">
        <v>211</v>
      </c>
      <c r="H5301" t="s">
        <v>251</v>
      </c>
      <c r="I5301">
        <v>265.18</v>
      </c>
      <c r="J5301" s="32">
        <v>0</v>
      </c>
      <c r="K5301" s="89">
        <f>+L5301-J5528</f>
        <v>587</v>
      </c>
      <c r="L5301" s="7">
        <v>587</v>
      </c>
      <c r="M5301" s="36">
        <f t="shared" si="326"/>
        <v>45.175468483816019</v>
      </c>
    </row>
    <row r="5302" spans="1:13" ht="15.75" hidden="1" customHeight="1" x14ac:dyDescent="0.3">
      <c r="A5302" s="9">
        <v>5359</v>
      </c>
      <c r="B5302" t="s">
        <v>507</v>
      </c>
      <c r="C5302" s="25">
        <v>44714</v>
      </c>
      <c r="D5302" s="26">
        <v>0.57298611111111108</v>
      </c>
      <c r="E5302" t="s">
        <v>29</v>
      </c>
      <c r="F5302" t="s">
        <v>645</v>
      </c>
      <c r="G5302" t="s">
        <v>279</v>
      </c>
      <c r="H5302" t="s">
        <v>251</v>
      </c>
      <c r="I5302">
        <v>332.24</v>
      </c>
      <c r="J5302" s="32">
        <v>0</v>
      </c>
      <c r="K5302" s="89">
        <f>+L5302-J5529</f>
        <v>714</v>
      </c>
      <c r="L5302" s="7">
        <v>714</v>
      </c>
      <c r="M5302" s="36">
        <f t="shared" si="326"/>
        <v>46.53221288515406</v>
      </c>
    </row>
    <row r="5303" spans="1:13" ht="15.75" hidden="1" customHeight="1" x14ac:dyDescent="0.3">
      <c r="A5303" s="9">
        <v>5360</v>
      </c>
      <c r="B5303" t="s">
        <v>507</v>
      </c>
      <c r="C5303" s="25">
        <v>44714</v>
      </c>
      <c r="D5303" s="26">
        <v>0.77546296296296291</v>
      </c>
      <c r="E5303" t="s">
        <v>29</v>
      </c>
      <c r="F5303" t="s">
        <v>634</v>
      </c>
      <c r="G5303" t="s">
        <v>211</v>
      </c>
      <c r="H5303" t="s">
        <v>251</v>
      </c>
      <c r="I5303">
        <v>120.28</v>
      </c>
      <c r="J5303" s="32">
        <v>0</v>
      </c>
      <c r="K5303" s="89">
        <f>+L5303-J5530</f>
        <v>350</v>
      </c>
      <c r="L5303" s="7">
        <v>350</v>
      </c>
      <c r="M5303" s="36">
        <f t="shared" si="326"/>
        <v>34.36571428571429</v>
      </c>
    </row>
    <row r="5304" spans="1:13" ht="15.75" hidden="1" customHeight="1" x14ac:dyDescent="0.3">
      <c r="A5304" s="9">
        <v>5620</v>
      </c>
      <c r="B5304" t="s">
        <v>507</v>
      </c>
      <c r="C5304" s="25">
        <v>44719</v>
      </c>
      <c r="D5304" s="26">
        <v>0.5476388888888889</v>
      </c>
      <c r="E5304" t="s">
        <v>29</v>
      </c>
      <c r="F5304" t="s">
        <v>651</v>
      </c>
      <c r="G5304" t="s">
        <v>172</v>
      </c>
      <c r="H5304" t="s">
        <v>251</v>
      </c>
      <c r="I5304">
        <v>405.25</v>
      </c>
      <c r="J5304" s="32">
        <v>0</v>
      </c>
      <c r="K5304" s="89">
        <f>+L5304-J4862</f>
        <v>921</v>
      </c>
      <c r="L5304" s="7">
        <v>921</v>
      </c>
      <c r="M5304" s="36">
        <f t="shared" si="326"/>
        <v>44.001085776330072</v>
      </c>
    </row>
    <row r="5305" spans="1:13" ht="15.75" hidden="1" customHeight="1" x14ac:dyDescent="0.3">
      <c r="A5305" s="9">
        <v>5674</v>
      </c>
      <c r="B5305" t="s">
        <v>507</v>
      </c>
      <c r="C5305" s="25">
        <v>44720</v>
      </c>
      <c r="D5305" s="26">
        <v>0.64430555555555558</v>
      </c>
      <c r="E5305" t="s">
        <v>29</v>
      </c>
      <c r="F5305" t="s">
        <v>634</v>
      </c>
      <c r="G5305" t="s">
        <v>211</v>
      </c>
      <c r="H5305" t="s">
        <v>251</v>
      </c>
      <c r="I5305">
        <v>357.85</v>
      </c>
      <c r="J5305" s="52">
        <v>0</v>
      </c>
      <c r="K5305" s="89">
        <f>+L5305-J4905</f>
        <v>831</v>
      </c>
      <c r="L5305" s="51">
        <v>831</v>
      </c>
      <c r="M5305" s="10">
        <f t="shared" si="326"/>
        <v>43.062575210589657</v>
      </c>
    </row>
    <row r="5306" spans="1:13" ht="15.75" hidden="1" customHeight="1" x14ac:dyDescent="0.3">
      <c r="A5306" s="9">
        <v>5728</v>
      </c>
      <c r="B5306" t="s">
        <v>507</v>
      </c>
      <c r="C5306" s="25">
        <v>44721</v>
      </c>
      <c r="D5306" s="26">
        <v>0.56261574074074072</v>
      </c>
      <c r="E5306" t="s">
        <v>29</v>
      </c>
      <c r="F5306" t="s">
        <v>634</v>
      </c>
      <c r="G5306" t="s">
        <v>211</v>
      </c>
      <c r="H5306" t="s">
        <v>251</v>
      </c>
      <c r="I5306">
        <v>404.48</v>
      </c>
      <c r="J5306" s="52">
        <v>0</v>
      </c>
      <c r="K5306" s="89">
        <v>1062</v>
      </c>
      <c r="L5306" s="51">
        <v>1062</v>
      </c>
      <c r="M5306" s="10">
        <f t="shared" si="326"/>
        <v>38.086629001883246</v>
      </c>
    </row>
    <row r="5307" spans="1:13" ht="15.75" hidden="1" customHeight="1" x14ac:dyDescent="0.3">
      <c r="A5307" s="9">
        <v>5992</v>
      </c>
      <c r="B5307" t="s">
        <v>507</v>
      </c>
      <c r="C5307" s="25">
        <v>44726</v>
      </c>
      <c r="D5307" s="26">
        <v>0.46060185185185182</v>
      </c>
      <c r="E5307" t="s">
        <v>29</v>
      </c>
      <c r="F5307" t="s">
        <v>651</v>
      </c>
      <c r="G5307" t="s">
        <v>172</v>
      </c>
      <c r="H5307" t="s">
        <v>251</v>
      </c>
      <c r="I5307">
        <v>404.24</v>
      </c>
      <c r="J5307" s="52">
        <v>0</v>
      </c>
      <c r="K5307" s="89">
        <v>1041</v>
      </c>
      <c r="L5307" s="51">
        <v>1041</v>
      </c>
      <c r="M5307" s="10">
        <f t="shared" si="326"/>
        <v>38.83189241114313</v>
      </c>
    </row>
    <row r="5308" spans="1:13" ht="15.75" hidden="1" customHeight="1" x14ac:dyDescent="0.3">
      <c r="A5308" s="9">
        <v>5993</v>
      </c>
      <c r="B5308" t="s">
        <v>507</v>
      </c>
      <c r="C5308" s="25">
        <v>44726</v>
      </c>
      <c r="D5308" s="26">
        <v>0.93342592592592588</v>
      </c>
      <c r="E5308" t="s">
        <v>29</v>
      </c>
      <c r="F5308" t="s">
        <v>634</v>
      </c>
      <c r="G5308" t="s">
        <v>211</v>
      </c>
      <c r="H5308" t="s">
        <v>251</v>
      </c>
      <c r="I5308">
        <v>282.08999999999997</v>
      </c>
      <c r="J5308" s="52">
        <v>0</v>
      </c>
      <c r="K5308" s="89">
        <v>695</v>
      </c>
      <c r="L5308" s="51">
        <v>695</v>
      </c>
      <c r="M5308" s="10">
        <f t="shared" si="326"/>
        <v>40.588489208633085</v>
      </c>
    </row>
    <row r="5309" spans="1:13" ht="15.75" hidden="1" customHeight="1" x14ac:dyDescent="0.3">
      <c r="A5309" s="9">
        <v>6112</v>
      </c>
      <c r="B5309" t="s">
        <v>507</v>
      </c>
      <c r="C5309" s="25">
        <v>44728</v>
      </c>
      <c r="D5309" s="26">
        <v>0.46827546296296302</v>
      </c>
      <c r="E5309" t="s">
        <v>29</v>
      </c>
      <c r="F5309" t="s">
        <v>634</v>
      </c>
      <c r="G5309" t="s">
        <v>211</v>
      </c>
      <c r="H5309" t="s">
        <v>251</v>
      </c>
      <c r="I5309">
        <v>396.55</v>
      </c>
      <c r="J5309" s="52">
        <v>0</v>
      </c>
      <c r="K5309" s="89">
        <v>1063</v>
      </c>
      <c r="L5309" s="51">
        <v>1063</v>
      </c>
      <c r="M5309" s="10">
        <f t="shared" si="326"/>
        <v>37.304797742238947</v>
      </c>
    </row>
    <row r="5310" spans="1:13" ht="15.75" hidden="1" customHeight="1" x14ac:dyDescent="0.3">
      <c r="A5310" s="9">
        <v>6169</v>
      </c>
      <c r="B5310" t="s">
        <v>507</v>
      </c>
      <c r="C5310" s="25">
        <v>44729</v>
      </c>
      <c r="D5310" s="26">
        <v>0.48439814814814813</v>
      </c>
      <c r="E5310" t="s">
        <v>29</v>
      </c>
      <c r="F5310" t="s">
        <v>708</v>
      </c>
      <c r="G5310" t="s">
        <v>277</v>
      </c>
      <c r="H5310" t="s">
        <v>251</v>
      </c>
      <c r="I5310">
        <v>264.8</v>
      </c>
      <c r="J5310" s="32">
        <v>0</v>
      </c>
      <c r="K5310" s="89">
        <v>784</v>
      </c>
      <c r="L5310" s="7">
        <v>784</v>
      </c>
      <c r="M5310" s="36">
        <f t="shared" si="326"/>
        <v>33.775510204081634</v>
      </c>
    </row>
    <row r="5311" spans="1:13" ht="15.75" hidden="1" customHeight="1" x14ac:dyDescent="0.3">
      <c r="A5311" s="9">
        <v>6218</v>
      </c>
      <c r="B5311" t="s">
        <v>507</v>
      </c>
      <c r="C5311" s="25">
        <v>44730</v>
      </c>
      <c r="D5311" s="26">
        <v>0.62997685185185182</v>
      </c>
      <c r="E5311" t="s">
        <v>29</v>
      </c>
      <c r="F5311" t="s">
        <v>663</v>
      </c>
      <c r="G5311" t="s">
        <v>344</v>
      </c>
      <c r="H5311" t="s">
        <v>251</v>
      </c>
      <c r="I5311">
        <v>100</v>
      </c>
      <c r="J5311" s="32">
        <v>0</v>
      </c>
      <c r="K5311" s="89">
        <v>467</v>
      </c>
      <c r="L5311" s="7">
        <v>467</v>
      </c>
      <c r="M5311" s="36">
        <f t="shared" si="326"/>
        <v>21.413276231263385</v>
      </c>
    </row>
    <row r="5312" spans="1:13" ht="15.75" hidden="1" customHeight="1" x14ac:dyDescent="0.3">
      <c r="A5312" s="9">
        <v>6219</v>
      </c>
      <c r="B5312" t="s">
        <v>507</v>
      </c>
      <c r="C5312" s="25">
        <v>44730</v>
      </c>
      <c r="D5312" s="26">
        <v>0.93193287037037031</v>
      </c>
      <c r="E5312" t="s">
        <v>29</v>
      </c>
      <c r="F5312" t="s">
        <v>634</v>
      </c>
      <c r="G5312" t="s">
        <v>211</v>
      </c>
      <c r="H5312" t="s">
        <v>251</v>
      </c>
      <c r="I5312">
        <v>303.54000000000002</v>
      </c>
      <c r="J5312" s="32">
        <v>0</v>
      </c>
      <c r="K5312" s="89">
        <v>503</v>
      </c>
      <c r="L5312" s="35">
        <v>503</v>
      </c>
      <c r="M5312" s="36">
        <f t="shared" si="326"/>
        <v>60.345924453280318</v>
      </c>
    </row>
    <row r="5313" spans="1:13" ht="15.75" hidden="1" customHeight="1" x14ac:dyDescent="0.3">
      <c r="A5313" s="9">
        <v>6246</v>
      </c>
      <c r="B5313" t="s">
        <v>507</v>
      </c>
      <c r="C5313" s="25">
        <v>44731</v>
      </c>
      <c r="D5313" s="26">
        <v>0.60682870370370368</v>
      </c>
      <c r="E5313" t="s">
        <v>29</v>
      </c>
      <c r="F5313" t="s">
        <v>635</v>
      </c>
      <c r="G5313" t="s">
        <v>185</v>
      </c>
      <c r="H5313" t="s">
        <v>251</v>
      </c>
      <c r="I5313">
        <v>248.77</v>
      </c>
      <c r="J5313" s="32">
        <v>0</v>
      </c>
      <c r="K5313" s="89">
        <v>547</v>
      </c>
      <c r="L5313" s="7">
        <v>547</v>
      </c>
      <c r="M5313" s="36">
        <f t="shared" si="326"/>
        <v>45.47897623400366</v>
      </c>
    </row>
    <row r="5314" spans="1:13" ht="15.75" hidden="1" customHeight="1" x14ac:dyDescent="0.3">
      <c r="A5314" s="9">
        <v>6269</v>
      </c>
      <c r="B5314" t="s">
        <v>507</v>
      </c>
      <c r="C5314" s="25">
        <v>44732</v>
      </c>
      <c r="D5314" s="26">
        <v>0.72298611111111111</v>
      </c>
      <c r="E5314" t="s">
        <v>29</v>
      </c>
      <c r="F5314" t="s">
        <v>634</v>
      </c>
      <c r="G5314" t="s">
        <v>211</v>
      </c>
      <c r="H5314" t="s">
        <v>251</v>
      </c>
      <c r="I5314" s="148">
        <v>234.83</v>
      </c>
      <c r="J5314" s="32">
        <v>0</v>
      </c>
      <c r="K5314" s="89">
        <v>573</v>
      </c>
      <c r="L5314" s="31">
        <v>573</v>
      </c>
      <c r="M5314" s="36">
        <f t="shared" si="326"/>
        <v>40.982547993019196</v>
      </c>
    </row>
    <row r="5315" spans="1:13" ht="15.75" hidden="1" customHeight="1" x14ac:dyDescent="0.3">
      <c r="A5315" s="9">
        <v>6344</v>
      </c>
      <c r="B5315" t="s">
        <v>507</v>
      </c>
      <c r="C5315" s="25">
        <v>44734</v>
      </c>
      <c r="D5315" s="26">
        <v>0.55901620370370375</v>
      </c>
      <c r="E5315" t="s">
        <v>29</v>
      </c>
      <c r="F5315" t="s">
        <v>652</v>
      </c>
      <c r="G5315" t="s">
        <v>535</v>
      </c>
      <c r="H5315" t="s">
        <v>251</v>
      </c>
      <c r="I5315" s="148">
        <v>200</v>
      </c>
      <c r="J5315" s="32">
        <v>0</v>
      </c>
      <c r="K5315" s="89">
        <v>914</v>
      </c>
      <c r="L5315" s="7">
        <v>914</v>
      </c>
      <c r="M5315" s="36">
        <f t="shared" si="326"/>
        <v>21.881838074398249</v>
      </c>
    </row>
    <row r="5316" spans="1:13" ht="15.75" hidden="1" customHeight="1" x14ac:dyDescent="0.3">
      <c r="A5316" s="9">
        <v>6345</v>
      </c>
      <c r="B5316" t="s">
        <v>507</v>
      </c>
      <c r="C5316" s="25">
        <v>44734</v>
      </c>
      <c r="D5316" s="26">
        <v>0.63981481481481484</v>
      </c>
      <c r="E5316" t="s">
        <v>29</v>
      </c>
      <c r="F5316" t="s">
        <v>651</v>
      </c>
      <c r="G5316" t="s">
        <v>172</v>
      </c>
      <c r="H5316" t="s">
        <v>251</v>
      </c>
      <c r="I5316" s="148">
        <v>171.42</v>
      </c>
      <c r="J5316" s="32">
        <v>0</v>
      </c>
      <c r="K5316" s="89">
        <v>49</v>
      </c>
      <c r="L5316" s="34">
        <v>49</v>
      </c>
      <c r="M5316" s="36">
        <f t="shared" si="326"/>
        <v>349.83673469387753</v>
      </c>
    </row>
    <row r="5317" spans="1:13" ht="15.75" hidden="1" customHeight="1" x14ac:dyDescent="0.3">
      <c r="A5317" s="9">
        <v>6669</v>
      </c>
      <c r="B5317" t="s">
        <v>507</v>
      </c>
      <c r="C5317" s="25">
        <v>44740</v>
      </c>
      <c r="D5317" s="26">
        <v>0.36449074074074073</v>
      </c>
      <c r="E5317" t="s">
        <v>29</v>
      </c>
      <c r="F5317" t="s">
        <v>663</v>
      </c>
      <c r="G5317" t="s">
        <v>344</v>
      </c>
      <c r="H5317" t="s">
        <v>251</v>
      </c>
      <c r="I5317" s="148">
        <v>100</v>
      </c>
      <c r="J5317" s="32">
        <v>0</v>
      </c>
      <c r="K5317" s="89">
        <v>346</v>
      </c>
      <c r="L5317" s="7">
        <v>346</v>
      </c>
      <c r="M5317" s="36">
        <f t="shared" si="326"/>
        <v>28.901734104046245</v>
      </c>
    </row>
    <row r="5318" spans="1:13" ht="15.75" hidden="1" customHeight="1" x14ac:dyDescent="0.3">
      <c r="A5318" s="9">
        <v>6670</v>
      </c>
      <c r="B5318" t="s">
        <v>507</v>
      </c>
      <c r="C5318" s="25">
        <v>44740</v>
      </c>
      <c r="D5318" s="26">
        <v>0.69851851851851843</v>
      </c>
      <c r="E5318" t="s">
        <v>29</v>
      </c>
      <c r="F5318" t="s">
        <v>634</v>
      </c>
      <c r="G5318" t="s">
        <v>211</v>
      </c>
      <c r="H5318" t="s">
        <v>251</v>
      </c>
      <c r="I5318" s="148">
        <v>324.24</v>
      </c>
      <c r="J5318" s="32">
        <v>0</v>
      </c>
      <c r="K5318" s="89">
        <v>505</v>
      </c>
      <c r="L5318" s="7">
        <v>505</v>
      </c>
      <c r="M5318" s="36">
        <f t="shared" si="326"/>
        <v>64.205940594059413</v>
      </c>
    </row>
    <row r="5319" spans="1:13" ht="15.75" hidden="1" customHeight="1" x14ac:dyDescent="0.3">
      <c r="A5319" s="9">
        <v>6725</v>
      </c>
      <c r="B5319" t="s">
        <v>507</v>
      </c>
      <c r="C5319" s="25">
        <v>44741</v>
      </c>
      <c r="D5319" s="26">
        <v>0.76766203703703706</v>
      </c>
      <c r="E5319" t="s">
        <v>29</v>
      </c>
      <c r="F5319" t="s">
        <v>635</v>
      </c>
      <c r="G5319" t="s">
        <v>185</v>
      </c>
      <c r="H5319" t="s">
        <v>251</v>
      </c>
      <c r="I5319" s="148">
        <v>134.77000000000001</v>
      </c>
      <c r="J5319" s="33">
        <v>0</v>
      </c>
      <c r="K5319" s="96">
        <v>549</v>
      </c>
      <c r="L5319" s="35">
        <v>549</v>
      </c>
      <c r="M5319" s="121">
        <f t="shared" si="326"/>
        <v>24.548269581056466</v>
      </c>
    </row>
    <row r="5320" spans="1:13" hidden="1" x14ac:dyDescent="0.3">
      <c r="B5320" t="s">
        <v>194</v>
      </c>
      <c r="C5320" s="25">
        <v>44764</v>
      </c>
      <c r="D5320" s="26">
        <v>0.55010416666666673</v>
      </c>
      <c r="E5320" t="s">
        <v>30</v>
      </c>
      <c r="F5320" t="s">
        <v>428</v>
      </c>
      <c r="G5320" t="s">
        <v>429</v>
      </c>
      <c r="H5320" t="s">
        <v>195</v>
      </c>
      <c r="I5320" s="160">
        <v>160.04</v>
      </c>
      <c r="J5320" s="8"/>
      <c r="K5320" s="8">
        <v>648468</v>
      </c>
      <c r="L5320" s="8">
        <f>+K5320-J5320</f>
        <v>648468</v>
      </c>
      <c r="M5320" s="254">
        <f>+J5320/L5320*100</f>
        <v>0</v>
      </c>
    </row>
    <row r="5321" spans="1:13" ht="15.75" hidden="1" customHeight="1" x14ac:dyDescent="0.3">
      <c r="B5321" t="s">
        <v>194</v>
      </c>
      <c r="C5321" s="25">
        <v>44765</v>
      </c>
      <c r="D5321" s="26">
        <v>0.46620370370370368</v>
      </c>
      <c r="E5321" t="s">
        <v>30</v>
      </c>
      <c r="F5321" t="s">
        <v>343</v>
      </c>
      <c r="G5321" t="s">
        <v>344</v>
      </c>
      <c r="H5321" t="s">
        <v>195</v>
      </c>
      <c r="I5321" s="160">
        <v>168.41</v>
      </c>
      <c r="J5321" s="8"/>
      <c r="K5321" s="8">
        <v>648943</v>
      </c>
      <c r="L5321" s="8">
        <f>+K5321-J5321</f>
        <v>648943</v>
      </c>
      <c r="M5321" s="254">
        <f>+J5321/L5321*100</f>
        <v>0</v>
      </c>
    </row>
    <row r="5322" spans="1:13" ht="15.75" hidden="1" customHeight="1" x14ac:dyDescent="0.3">
      <c r="B5322" t="s">
        <v>194</v>
      </c>
      <c r="C5322" s="25">
        <v>44766</v>
      </c>
      <c r="D5322" s="26">
        <v>0.37479166666666663</v>
      </c>
      <c r="E5322" t="s">
        <v>30</v>
      </c>
      <c r="F5322" t="s">
        <v>166</v>
      </c>
      <c r="G5322" t="s">
        <v>161</v>
      </c>
      <c r="H5322" t="s">
        <v>195</v>
      </c>
      <c r="I5322" s="160">
        <v>175.37</v>
      </c>
      <c r="J5322" s="160">
        <f>175+168+160+156</f>
        <v>659</v>
      </c>
      <c r="K5322" s="160">
        <v>649378</v>
      </c>
      <c r="L5322" s="160">
        <v>982</v>
      </c>
      <c r="M5322" s="272" t="s">
        <v>1080</v>
      </c>
    </row>
    <row r="5323" spans="1:13" ht="15.75" hidden="1" customHeight="1" x14ac:dyDescent="0.3">
      <c r="B5323" t="s">
        <v>194</v>
      </c>
      <c r="C5323" s="25">
        <v>44766</v>
      </c>
      <c r="D5323" s="26">
        <v>0.7974768518518518</v>
      </c>
      <c r="E5323" t="s">
        <v>30</v>
      </c>
      <c r="F5323" t="s">
        <v>165</v>
      </c>
      <c r="G5323" t="s">
        <v>185</v>
      </c>
      <c r="H5323" t="s">
        <v>195</v>
      </c>
      <c r="I5323" s="160">
        <v>285.01</v>
      </c>
      <c r="J5323" s="8"/>
      <c r="K5323" s="8">
        <v>650016</v>
      </c>
      <c r="L5323" s="24">
        <f>+K5323-J5323</f>
        <v>650016</v>
      </c>
      <c r="M5323" s="254">
        <f>+J5323/L5323*100</f>
        <v>0</v>
      </c>
    </row>
    <row r="5324" spans="1:13" ht="15.75" hidden="1" customHeight="1" x14ac:dyDescent="0.3">
      <c r="B5324" t="s">
        <v>194</v>
      </c>
      <c r="C5324" s="25">
        <v>44767</v>
      </c>
      <c r="D5324" s="26">
        <v>0.4950694444444444</v>
      </c>
      <c r="E5324" t="s">
        <v>30</v>
      </c>
      <c r="F5324" t="s">
        <v>210</v>
      </c>
      <c r="G5324" t="s">
        <v>211</v>
      </c>
      <c r="H5324" t="s">
        <v>195</v>
      </c>
      <c r="I5324" s="160">
        <v>163.01</v>
      </c>
      <c r="J5324" s="160">
        <f>163+285</f>
        <v>448</v>
      </c>
      <c r="K5324" s="160">
        <v>650557</v>
      </c>
      <c r="L5324" s="160">
        <v>1165</v>
      </c>
      <c r="M5324" s="267">
        <f>+J5324/L5324*100</f>
        <v>38.454935622317599</v>
      </c>
    </row>
    <row r="5325" spans="1:13" ht="15.75" hidden="1" customHeight="1" x14ac:dyDescent="0.3">
      <c r="B5325" t="s">
        <v>244</v>
      </c>
      <c r="C5325" s="25">
        <v>44562</v>
      </c>
      <c r="D5325" s="26">
        <v>0.96209490740740744</v>
      </c>
      <c r="E5325" t="s">
        <v>24</v>
      </c>
      <c r="F5325" t="s">
        <v>241</v>
      </c>
      <c r="G5325" t="s">
        <v>242</v>
      </c>
      <c r="H5325" t="s">
        <v>247</v>
      </c>
      <c r="I5325">
        <v>252.19</v>
      </c>
      <c r="J5325" s="34">
        <v>0</v>
      </c>
      <c r="K5325" s="30">
        <f t="shared" ref="K5325:K5356" si="328">+L5325-J5325</f>
        <v>678.57</v>
      </c>
      <c r="L5325" s="34">
        <v>678.57</v>
      </c>
      <c r="M5325" s="118">
        <f t="shared" ref="M5325:M5356" si="329">I5325/K5325*100</f>
        <v>37.164920347200727</v>
      </c>
    </row>
    <row r="5326" spans="1:13" ht="15.75" hidden="1" customHeight="1" x14ac:dyDescent="0.3">
      <c r="B5326" t="s">
        <v>244</v>
      </c>
      <c r="C5326" s="25">
        <v>44563</v>
      </c>
      <c r="D5326" s="26">
        <v>0.8809027777777777</v>
      </c>
      <c r="E5326" t="s">
        <v>24</v>
      </c>
      <c r="F5326" t="s">
        <v>332</v>
      </c>
      <c r="G5326" t="s">
        <v>333</v>
      </c>
      <c r="H5326" t="s">
        <v>247</v>
      </c>
      <c r="I5326">
        <v>351.79</v>
      </c>
      <c r="J5326" s="7">
        <v>0</v>
      </c>
      <c r="K5326" s="11">
        <f t="shared" si="328"/>
        <v>873.44</v>
      </c>
      <c r="L5326" s="7">
        <v>873.44</v>
      </c>
      <c r="M5326" s="36">
        <f t="shared" si="329"/>
        <v>40.276378457592962</v>
      </c>
    </row>
    <row r="5327" spans="1:13" ht="15.75" hidden="1" customHeight="1" x14ac:dyDescent="0.3">
      <c r="B5327" t="s">
        <v>244</v>
      </c>
      <c r="C5327" s="25">
        <v>44564</v>
      </c>
      <c r="D5327" s="26">
        <v>0.93178240740740748</v>
      </c>
      <c r="E5327" t="s">
        <v>24</v>
      </c>
      <c r="F5327" t="s">
        <v>241</v>
      </c>
      <c r="G5327" t="s">
        <v>242</v>
      </c>
      <c r="H5327" t="s">
        <v>247</v>
      </c>
      <c r="I5327">
        <v>310</v>
      </c>
      <c r="J5327" s="7">
        <v>0</v>
      </c>
      <c r="K5327" s="11">
        <f t="shared" si="328"/>
        <v>902.96</v>
      </c>
      <c r="L5327" s="31">
        <v>902.96</v>
      </c>
      <c r="M5327" s="36">
        <f t="shared" si="329"/>
        <v>34.331531850801802</v>
      </c>
    </row>
    <row r="5328" spans="1:13" ht="15.75" hidden="1" customHeight="1" x14ac:dyDescent="0.3">
      <c r="B5328" t="s">
        <v>244</v>
      </c>
      <c r="C5328" s="25">
        <v>44565</v>
      </c>
      <c r="D5328" s="26">
        <v>0.79626157407407405</v>
      </c>
      <c r="E5328" t="s">
        <v>24</v>
      </c>
      <c r="F5328" t="s">
        <v>262</v>
      </c>
      <c r="G5328" t="s">
        <v>263</v>
      </c>
      <c r="H5328" t="s">
        <v>247</v>
      </c>
      <c r="I5328">
        <v>181.33</v>
      </c>
      <c r="J5328" s="7">
        <v>0</v>
      </c>
      <c r="K5328" s="11">
        <f t="shared" si="328"/>
        <v>468.27</v>
      </c>
      <c r="L5328" s="7">
        <v>468.27</v>
      </c>
      <c r="M5328" s="36">
        <f t="shared" si="329"/>
        <v>38.723386080679958</v>
      </c>
    </row>
    <row r="5329" spans="1:13" ht="15.75" hidden="1" customHeight="1" x14ac:dyDescent="0.3">
      <c r="B5329" t="s">
        <v>244</v>
      </c>
      <c r="C5329" s="25">
        <v>44567</v>
      </c>
      <c r="D5329" s="26">
        <v>0.12100694444444444</v>
      </c>
      <c r="E5329" t="s">
        <v>24</v>
      </c>
      <c r="F5329" t="s">
        <v>319</v>
      </c>
      <c r="G5329" t="s">
        <v>320</v>
      </c>
      <c r="H5329" t="s">
        <v>247</v>
      </c>
      <c r="I5329">
        <v>350.01</v>
      </c>
      <c r="J5329" s="7">
        <v>0</v>
      </c>
      <c r="K5329" s="11">
        <f t="shared" si="328"/>
        <v>887.27</v>
      </c>
      <c r="L5329" s="7">
        <v>887.27</v>
      </c>
      <c r="M5329" s="36">
        <f t="shared" si="329"/>
        <v>39.4479696146607</v>
      </c>
    </row>
    <row r="5330" spans="1:13" ht="15.75" hidden="1" customHeight="1" x14ac:dyDescent="0.3">
      <c r="B5330" t="s">
        <v>244</v>
      </c>
      <c r="C5330" s="25">
        <v>44568</v>
      </c>
      <c r="D5330" s="26">
        <v>0.70565972222222229</v>
      </c>
      <c r="E5330" t="s">
        <v>24</v>
      </c>
      <c r="F5330" t="s">
        <v>319</v>
      </c>
      <c r="G5330" t="s">
        <v>320</v>
      </c>
      <c r="H5330" t="s">
        <v>247</v>
      </c>
      <c r="I5330">
        <v>432.36</v>
      </c>
      <c r="J5330" s="7">
        <v>0</v>
      </c>
      <c r="K5330" s="11">
        <f t="shared" si="328"/>
        <v>1186.46</v>
      </c>
      <c r="L5330" s="31">
        <v>1186.46</v>
      </c>
      <c r="M5330" s="36">
        <f t="shared" si="329"/>
        <v>36.441177957958971</v>
      </c>
    </row>
    <row r="5331" spans="1:13" ht="15.75" hidden="1" customHeight="1" x14ac:dyDescent="0.3">
      <c r="A5331" s="9">
        <v>719</v>
      </c>
      <c r="B5331" t="s">
        <v>244</v>
      </c>
      <c r="C5331" s="25">
        <v>44600</v>
      </c>
      <c r="D5331" s="26">
        <v>890</v>
      </c>
      <c r="E5331" t="s">
        <v>25</v>
      </c>
      <c r="F5331" t="s">
        <v>319</v>
      </c>
      <c r="G5331" t="s">
        <v>320</v>
      </c>
      <c r="H5331" t="s">
        <v>247</v>
      </c>
      <c r="I5331">
        <v>353.05</v>
      </c>
      <c r="J5331" s="7">
        <v>0</v>
      </c>
      <c r="K5331" s="11">
        <f t="shared" si="328"/>
        <v>890.77</v>
      </c>
      <c r="L5331" s="7">
        <v>890.77</v>
      </c>
      <c r="M5331" s="36">
        <f t="shared" si="329"/>
        <v>39.634249020510346</v>
      </c>
    </row>
    <row r="5332" spans="1:13" ht="15.75" hidden="1" customHeight="1" x14ac:dyDescent="0.3">
      <c r="A5332" s="9">
        <v>720</v>
      </c>
      <c r="B5332" t="s">
        <v>244</v>
      </c>
      <c r="C5332" s="25">
        <v>44602</v>
      </c>
      <c r="D5332" s="26">
        <v>0.56293981481481481</v>
      </c>
      <c r="E5332" t="s">
        <v>25</v>
      </c>
      <c r="F5332" t="s">
        <v>319</v>
      </c>
      <c r="G5332" t="s">
        <v>320</v>
      </c>
      <c r="H5332" t="s">
        <v>247</v>
      </c>
      <c r="I5332">
        <v>471.93</v>
      </c>
      <c r="J5332" s="7">
        <v>0</v>
      </c>
      <c r="K5332" s="11">
        <f t="shared" si="328"/>
        <v>1426.74</v>
      </c>
      <c r="L5332" s="32">
        <v>1426.74</v>
      </c>
      <c r="M5332" s="36">
        <f t="shared" si="329"/>
        <v>33.077505361873918</v>
      </c>
    </row>
    <row r="5333" spans="1:13" ht="15.75" hidden="1" customHeight="1" x14ac:dyDescent="0.3">
      <c r="A5333" s="9">
        <v>721</v>
      </c>
      <c r="B5333" t="s">
        <v>244</v>
      </c>
      <c r="C5333" s="25">
        <v>44603</v>
      </c>
      <c r="D5333" s="26">
        <v>0.7231481481481481</v>
      </c>
      <c r="E5333" t="s">
        <v>25</v>
      </c>
      <c r="F5333" t="s">
        <v>368</v>
      </c>
      <c r="G5333" t="s">
        <v>369</v>
      </c>
      <c r="H5333" t="s">
        <v>247</v>
      </c>
      <c r="I5333">
        <v>447.5</v>
      </c>
      <c r="J5333" s="7">
        <v>0</v>
      </c>
      <c r="K5333" s="11">
        <f t="shared" si="328"/>
        <v>1106.3900000000001</v>
      </c>
      <c r="L5333" s="34">
        <v>1106.3900000000001</v>
      </c>
      <c r="M5333" s="36">
        <f t="shared" si="329"/>
        <v>40.446858702627459</v>
      </c>
    </row>
    <row r="5334" spans="1:13" ht="15.75" hidden="1" customHeight="1" x14ac:dyDescent="0.3">
      <c r="A5334" s="9">
        <v>722</v>
      </c>
      <c r="B5334" t="s">
        <v>244</v>
      </c>
      <c r="C5334" s="25">
        <v>44605</v>
      </c>
      <c r="D5334" s="26">
        <v>0.90252314814814805</v>
      </c>
      <c r="E5334" t="s">
        <v>25</v>
      </c>
      <c r="F5334" t="s">
        <v>441</v>
      </c>
      <c r="G5334" t="s">
        <v>442</v>
      </c>
      <c r="H5334" t="s">
        <v>247</v>
      </c>
      <c r="I5334">
        <v>311.63</v>
      </c>
      <c r="J5334" s="7">
        <v>0</v>
      </c>
      <c r="K5334" s="11">
        <f t="shared" si="328"/>
        <v>804.81</v>
      </c>
      <c r="L5334" s="7">
        <v>804.81</v>
      </c>
      <c r="M5334" s="36">
        <f t="shared" si="329"/>
        <v>38.720940346168661</v>
      </c>
    </row>
    <row r="5335" spans="1:13" ht="15.75" hidden="1" customHeight="1" x14ac:dyDescent="0.3">
      <c r="A5335" s="9">
        <v>723</v>
      </c>
      <c r="B5335" t="s">
        <v>244</v>
      </c>
      <c r="C5335" s="25">
        <v>44607</v>
      </c>
      <c r="D5335" s="26">
        <v>0.92136574074074085</v>
      </c>
      <c r="E5335" t="s">
        <v>25</v>
      </c>
      <c r="F5335" t="s">
        <v>447</v>
      </c>
      <c r="G5335" t="s">
        <v>448</v>
      </c>
      <c r="H5335" t="s">
        <v>247</v>
      </c>
      <c r="I5335">
        <v>250</v>
      </c>
      <c r="J5335" s="7">
        <v>0</v>
      </c>
      <c r="K5335" s="11">
        <f t="shared" si="328"/>
        <v>1157.44</v>
      </c>
      <c r="L5335" s="7">
        <v>1157.44</v>
      </c>
      <c r="M5335" s="36">
        <f t="shared" si="329"/>
        <v>21.599391761128008</v>
      </c>
    </row>
    <row r="5336" spans="1:13" ht="15.75" hidden="1" customHeight="1" x14ac:dyDescent="0.3">
      <c r="A5336" s="9">
        <v>724</v>
      </c>
      <c r="B5336" t="s">
        <v>244</v>
      </c>
      <c r="C5336" s="25">
        <v>44608</v>
      </c>
      <c r="D5336" s="26">
        <v>0.73927083333333332</v>
      </c>
      <c r="E5336" t="s">
        <v>25</v>
      </c>
      <c r="F5336" t="s">
        <v>319</v>
      </c>
      <c r="G5336" t="s">
        <v>320</v>
      </c>
      <c r="H5336" t="s">
        <v>247</v>
      </c>
      <c r="I5336">
        <v>416.56</v>
      </c>
      <c r="J5336" s="7">
        <v>0</v>
      </c>
      <c r="K5336" s="11">
        <f t="shared" si="328"/>
        <v>714.65</v>
      </c>
      <c r="L5336" s="7">
        <v>714.65</v>
      </c>
      <c r="M5336" s="36">
        <f t="shared" si="329"/>
        <v>58.288672776883786</v>
      </c>
    </row>
    <row r="5337" spans="1:13" ht="15.75" hidden="1" customHeight="1" x14ac:dyDescent="0.3">
      <c r="A5337" s="9">
        <v>725</v>
      </c>
      <c r="B5337" t="s">
        <v>244</v>
      </c>
      <c r="C5337" s="25">
        <v>44609</v>
      </c>
      <c r="D5337" s="26">
        <v>0.77254629629629623</v>
      </c>
      <c r="E5337" t="s">
        <v>25</v>
      </c>
      <c r="F5337" t="s">
        <v>450</v>
      </c>
      <c r="G5337" t="s">
        <v>451</v>
      </c>
      <c r="H5337" t="s">
        <v>247</v>
      </c>
      <c r="I5337">
        <v>395.73</v>
      </c>
      <c r="J5337" s="31">
        <v>0</v>
      </c>
      <c r="K5337" s="11">
        <f t="shared" si="328"/>
        <v>900.15</v>
      </c>
      <c r="L5337" s="37">
        <v>900.15</v>
      </c>
      <c r="M5337" s="36">
        <f t="shared" si="329"/>
        <v>43.96267288785203</v>
      </c>
    </row>
    <row r="5338" spans="1:13" ht="15.75" hidden="1" customHeight="1" x14ac:dyDescent="0.3">
      <c r="A5338" s="9">
        <v>726</v>
      </c>
      <c r="B5338" t="s">
        <v>244</v>
      </c>
      <c r="C5338" s="25">
        <v>44612</v>
      </c>
      <c r="D5338" s="26">
        <v>0.85195601851851854</v>
      </c>
      <c r="E5338" t="s">
        <v>25</v>
      </c>
      <c r="F5338" t="s">
        <v>319</v>
      </c>
      <c r="G5338" t="s">
        <v>320</v>
      </c>
      <c r="H5338" t="s">
        <v>247</v>
      </c>
      <c r="I5338">
        <v>359.98</v>
      </c>
      <c r="J5338" s="31">
        <v>0</v>
      </c>
      <c r="K5338" s="11">
        <f t="shared" si="328"/>
        <v>919.97</v>
      </c>
      <c r="L5338" s="7">
        <v>919.97</v>
      </c>
      <c r="M5338" s="36">
        <f t="shared" si="329"/>
        <v>39.129536832722806</v>
      </c>
    </row>
    <row r="5339" spans="1:13" ht="15.75" hidden="1" customHeight="1" x14ac:dyDescent="0.3">
      <c r="A5339" s="9">
        <v>727</v>
      </c>
      <c r="B5339" t="s">
        <v>244</v>
      </c>
      <c r="C5339" s="25">
        <v>44614</v>
      </c>
      <c r="D5339" s="26">
        <v>0.61053240740740744</v>
      </c>
      <c r="E5339" t="s">
        <v>25</v>
      </c>
      <c r="F5339" t="s">
        <v>447</v>
      </c>
      <c r="G5339" t="s">
        <v>448</v>
      </c>
      <c r="H5339" t="s">
        <v>247</v>
      </c>
      <c r="I5339">
        <v>390.63</v>
      </c>
      <c r="J5339" s="54"/>
      <c r="K5339" s="82">
        <f t="shared" si="328"/>
        <v>145266</v>
      </c>
      <c r="L5339" s="8">
        <v>145266</v>
      </c>
      <c r="M5339" s="36">
        <f t="shared" si="329"/>
        <v>0.26890669530378752</v>
      </c>
    </row>
    <row r="5340" spans="1:13" ht="15" hidden="1" customHeight="1" x14ac:dyDescent="0.3">
      <c r="A5340" s="9">
        <v>728</v>
      </c>
      <c r="B5340" t="s">
        <v>244</v>
      </c>
      <c r="C5340" s="25">
        <v>44616</v>
      </c>
      <c r="D5340" s="26">
        <v>6.4861111111111105E-2</v>
      </c>
      <c r="E5340" t="s">
        <v>25</v>
      </c>
      <c r="F5340" t="s">
        <v>319</v>
      </c>
      <c r="G5340" t="s">
        <v>320</v>
      </c>
      <c r="H5340" t="s">
        <v>247</v>
      </c>
      <c r="I5340">
        <v>320.36</v>
      </c>
      <c r="J5340" s="54"/>
      <c r="K5340" s="82">
        <f t="shared" si="328"/>
        <v>100000</v>
      </c>
      <c r="L5340" s="8">
        <v>100000</v>
      </c>
      <c r="M5340" s="36">
        <f t="shared" si="329"/>
        <v>0.32035999999999998</v>
      </c>
    </row>
    <row r="5341" spans="1:13" ht="15.75" hidden="1" customHeight="1" x14ac:dyDescent="0.3">
      <c r="A5341" s="9">
        <v>729</v>
      </c>
      <c r="B5341" t="s">
        <v>244</v>
      </c>
      <c r="C5341" s="25">
        <v>44616</v>
      </c>
      <c r="D5341" s="26">
        <v>6.4861111111111105E-2</v>
      </c>
      <c r="E5341" t="s">
        <v>25</v>
      </c>
      <c r="F5341" t="s">
        <v>319</v>
      </c>
      <c r="G5341" t="s">
        <v>320</v>
      </c>
      <c r="H5341" t="s">
        <v>247</v>
      </c>
      <c r="I5341">
        <v>320.36</v>
      </c>
      <c r="J5341" s="8"/>
      <c r="K5341" s="8">
        <f t="shared" si="328"/>
        <v>100000</v>
      </c>
      <c r="L5341" s="44">
        <v>100000</v>
      </c>
      <c r="M5341" s="36">
        <f t="shared" si="329"/>
        <v>0.32035999999999998</v>
      </c>
    </row>
    <row r="5342" spans="1:13" ht="15.75" hidden="1" customHeight="1" x14ac:dyDescent="0.3">
      <c r="A5342" s="9">
        <v>730</v>
      </c>
      <c r="B5342" t="s">
        <v>244</v>
      </c>
      <c r="C5342" s="25">
        <v>44617</v>
      </c>
      <c r="D5342" s="26">
        <v>0.66718749999999993</v>
      </c>
      <c r="E5342" t="s">
        <v>25</v>
      </c>
      <c r="F5342" t="s">
        <v>419</v>
      </c>
      <c r="G5342" t="s">
        <v>238</v>
      </c>
      <c r="H5342" t="s">
        <v>247</v>
      </c>
      <c r="I5342">
        <v>437.75</v>
      </c>
      <c r="J5342" s="8"/>
      <c r="K5342" s="8">
        <f t="shared" si="328"/>
        <v>900000</v>
      </c>
      <c r="L5342" s="8">
        <v>900000</v>
      </c>
      <c r="M5342" s="36">
        <f t="shared" si="329"/>
        <v>4.8638888888888891E-2</v>
      </c>
    </row>
    <row r="5343" spans="1:13" ht="15.75" hidden="1" customHeight="1" x14ac:dyDescent="0.3">
      <c r="A5343" s="9">
        <v>1855</v>
      </c>
      <c r="B5343" t="s">
        <v>244</v>
      </c>
      <c r="C5343" s="25">
        <v>44621</v>
      </c>
      <c r="D5343" s="26">
        <v>0.77945601851851853</v>
      </c>
      <c r="E5343" t="s">
        <v>26</v>
      </c>
      <c r="F5343" t="s">
        <v>406</v>
      </c>
      <c r="G5343" t="s">
        <v>409</v>
      </c>
      <c r="H5343" t="s">
        <v>247</v>
      </c>
      <c r="I5343">
        <v>346.41</v>
      </c>
      <c r="J5343" s="7"/>
      <c r="K5343" s="90">
        <f t="shared" si="328"/>
        <v>12345</v>
      </c>
      <c r="L5343" s="7">
        <v>12345</v>
      </c>
      <c r="M5343" s="36">
        <f t="shared" si="329"/>
        <v>2.8060753341433782</v>
      </c>
    </row>
    <row r="5344" spans="1:13" ht="15.75" hidden="1" customHeight="1" x14ac:dyDescent="0.3">
      <c r="A5344" s="9">
        <v>1856</v>
      </c>
      <c r="B5344" t="s">
        <v>244</v>
      </c>
      <c r="C5344" s="25">
        <v>44623</v>
      </c>
      <c r="D5344" s="26">
        <v>0.94414351851851863</v>
      </c>
      <c r="E5344" t="s">
        <v>26</v>
      </c>
      <c r="F5344" t="s">
        <v>319</v>
      </c>
      <c r="G5344" t="s">
        <v>320</v>
      </c>
      <c r="H5344" t="s">
        <v>247</v>
      </c>
      <c r="I5344">
        <v>341.21</v>
      </c>
      <c r="J5344" s="8"/>
      <c r="K5344" s="92">
        <f t="shared" si="328"/>
        <v>1234</v>
      </c>
      <c r="L5344" s="44">
        <v>1234</v>
      </c>
      <c r="M5344" s="36">
        <f t="shared" si="329"/>
        <v>27.650729335494329</v>
      </c>
    </row>
    <row r="5345" spans="1:13" ht="15.75" hidden="1" customHeight="1" x14ac:dyDescent="0.3">
      <c r="A5345" s="9">
        <v>1857</v>
      </c>
      <c r="B5345" t="s">
        <v>244</v>
      </c>
      <c r="C5345" s="25">
        <v>44627</v>
      </c>
      <c r="D5345" s="26">
        <v>0.73417824074074067</v>
      </c>
      <c r="E5345" t="s">
        <v>26</v>
      </c>
      <c r="F5345" t="s">
        <v>419</v>
      </c>
      <c r="G5345" t="s">
        <v>238</v>
      </c>
      <c r="H5345" t="s">
        <v>247</v>
      </c>
      <c r="I5345">
        <v>474.51</v>
      </c>
      <c r="J5345" s="8"/>
      <c r="K5345" s="89">
        <f t="shared" si="328"/>
        <v>696969</v>
      </c>
      <c r="L5345" s="8">
        <v>696969</v>
      </c>
      <c r="M5345" s="36">
        <f t="shared" si="329"/>
        <v>6.8081937647155033E-2</v>
      </c>
    </row>
    <row r="5346" spans="1:13" ht="15.75" hidden="1" customHeight="1" x14ac:dyDescent="0.3">
      <c r="A5346" s="9">
        <v>1858</v>
      </c>
      <c r="B5346" t="s">
        <v>244</v>
      </c>
      <c r="C5346" s="25">
        <v>44628</v>
      </c>
      <c r="D5346" s="26">
        <v>0.12785879629629629</v>
      </c>
      <c r="E5346" t="s">
        <v>26</v>
      </c>
      <c r="F5346" t="s">
        <v>319</v>
      </c>
      <c r="G5346" t="s">
        <v>320</v>
      </c>
      <c r="H5346" t="s">
        <v>247</v>
      </c>
      <c r="I5346">
        <v>246.54</v>
      </c>
      <c r="J5346" s="8"/>
      <c r="K5346" s="89">
        <f t="shared" si="328"/>
        <v>100000</v>
      </c>
      <c r="L5346" s="8">
        <v>100000</v>
      </c>
      <c r="M5346" s="36">
        <f t="shared" si="329"/>
        <v>0.24654000000000001</v>
      </c>
    </row>
    <row r="5347" spans="1:13" ht="15.75" hidden="1" customHeight="1" x14ac:dyDescent="0.3">
      <c r="A5347" s="9">
        <v>1859</v>
      </c>
      <c r="B5347" t="s">
        <v>244</v>
      </c>
      <c r="C5347" s="25">
        <v>44631</v>
      </c>
      <c r="D5347" s="26">
        <v>0.8627083333333333</v>
      </c>
      <c r="E5347" t="s">
        <v>26</v>
      </c>
      <c r="F5347" t="s">
        <v>319</v>
      </c>
      <c r="G5347" t="s">
        <v>320</v>
      </c>
      <c r="H5347" t="s">
        <v>247</v>
      </c>
      <c r="I5347">
        <v>454.85</v>
      </c>
      <c r="J5347" s="23"/>
      <c r="K5347" s="89">
        <f t="shared" si="328"/>
        <v>100000</v>
      </c>
      <c r="L5347" s="8">
        <v>100000</v>
      </c>
      <c r="M5347" s="36">
        <f t="shared" si="329"/>
        <v>0.45485000000000003</v>
      </c>
    </row>
    <row r="5348" spans="1:13" ht="15.75" hidden="1" customHeight="1" x14ac:dyDescent="0.3">
      <c r="A5348" s="9">
        <v>1860</v>
      </c>
      <c r="B5348" t="s">
        <v>244</v>
      </c>
      <c r="C5348" s="25">
        <v>44634</v>
      </c>
      <c r="D5348" s="26">
        <v>0.76216435185185183</v>
      </c>
      <c r="E5348" t="s">
        <v>26</v>
      </c>
      <c r="F5348" t="s">
        <v>419</v>
      </c>
      <c r="G5348" t="s">
        <v>238</v>
      </c>
      <c r="H5348" t="s">
        <v>247</v>
      </c>
      <c r="I5348">
        <v>457.14</v>
      </c>
      <c r="J5348" s="79"/>
      <c r="K5348" s="89">
        <f t="shared" si="328"/>
        <v>100000</v>
      </c>
      <c r="L5348" s="8">
        <v>100000</v>
      </c>
      <c r="M5348" s="36">
        <f t="shared" si="329"/>
        <v>0.45713999999999999</v>
      </c>
    </row>
    <row r="5349" spans="1:13" ht="15.75" hidden="1" customHeight="1" x14ac:dyDescent="0.3">
      <c r="A5349" s="9">
        <v>1861</v>
      </c>
      <c r="B5349" t="s">
        <v>244</v>
      </c>
      <c r="C5349" s="25">
        <v>44636</v>
      </c>
      <c r="D5349" s="26">
        <v>0.39498842592592592</v>
      </c>
      <c r="E5349" t="s">
        <v>26</v>
      </c>
      <c r="F5349" t="s">
        <v>406</v>
      </c>
      <c r="G5349" t="s">
        <v>407</v>
      </c>
      <c r="H5349" t="s">
        <v>247</v>
      </c>
      <c r="I5349">
        <v>431.83</v>
      </c>
      <c r="J5349" s="79"/>
      <c r="K5349" s="89">
        <f t="shared" si="328"/>
        <v>585233</v>
      </c>
      <c r="L5349" s="54">
        <v>585233</v>
      </c>
      <c r="M5349" s="36">
        <f t="shared" si="329"/>
        <v>7.3787705067896031E-2</v>
      </c>
    </row>
    <row r="5350" spans="1:13" ht="15.75" hidden="1" customHeight="1" x14ac:dyDescent="0.3">
      <c r="A5350" s="9">
        <v>1862</v>
      </c>
      <c r="B5350" t="s">
        <v>244</v>
      </c>
      <c r="C5350" s="25">
        <v>44637</v>
      </c>
      <c r="D5350" s="26">
        <v>0.67498842592592589</v>
      </c>
      <c r="E5350" t="s">
        <v>26</v>
      </c>
      <c r="F5350" t="s">
        <v>342</v>
      </c>
      <c r="G5350" t="s">
        <v>491</v>
      </c>
      <c r="H5350" t="s">
        <v>247</v>
      </c>
      <c r="I5350">
        <v>170.12</v>
      </c>
      <c r="J5350" s="76">
        <v>0</v>
      </c>
      <c r="K5350" s="89">
        <f t="shared" si="328"/>
        <v>12345</v>
      </c>
      <c r="L5350" s="8">
        <v>12345</v>
      </c>
      <c r="M5350" s="36">
        <f t="shared" si="329"/>
        <v>1.3780477926285946</v>
      </c>
    </row>
    <row r="5351" spans="1:13" ht="15.75" hidden="1" customHeight="1" x14ac:dyDescent="0.3">
      <c r="A5351" s="9">
        <v>1863</v>
      </c>
      <c r="B5351" t="s">
        <v>244</v>
      </c>
      <c r="C5351" s="25">
        <v>44638</v>
      </c>
      <c r="D5351" s="26">
        <v>0.63577546296296295</v>
      </c>
      <c r="E5351" t="s">
        <v>26</v>
      </c>
      <c r="F5351" t="s">
        <v>319</v>
      </c>
      <c r="G5351" t="s">
        <v>320</v>
      </c>
      <c r="H5351" t="s">
        <v>247</v>
      </c>
      <c r="I5351">
        <v>300.01</v>
      </c>
      <c r="J5351" s="78"/>
      <c r="K5351" s="89">
        <f t="shared" si="328"/>
        <v>1234</v>
      </c>
      <c r="L5351" s="8">
        <v>1234</v>
      </c>
      <c r="M5351" s="36">
        <f t="shared" si="329"/>
        <v>24.311993517017825</v>
      </c>
    </row>
    <row r="5352" spans="1:13" ht="15.75" hidden="1" customHeight="1" x14ac:dyDescent="0.3">
      <c r="A5352" s="9">
        <v>3103</v>
      </c>
      <c r="B5352" t="s">
        <v>244</v>
      </c>
      <c r="C5352" s="25">
        <v>44652</v>
      </c>
      <c r="D5352" s="26">
        <v>1.6655092592592593E-2</v>
      </c>
      <c r="E5352" t="s">
        <v>27</v>
      </c>
      <c r="F5352" t="s">
        <v>237</v>
      </c>
      <c r="G5352" t="s">
        <v>238</v>
      </c>
      <c r="H5352" t="s">
        <v>247</v>
      </c>
      <c r="I5352" s="4">
        <v>485.55</v>
      </c>
      <c r="J5352" s="23"/>
      <c r="K5352" s="89">
        <f t="shared" si="328"/>
        <v>12520</v>
      </c>
      <c r="L5352" s="19">
        <v>12520</v>
      </c>
      <c r="M5352" s="36">
        <f t="shared" si="329"/>
        <v>3.8781948881789137</v>
      </c>
    </row>
    <row r="5353" spans="1:13" ht="15.75" hidden="1" customHeight="1" x14ac:dyDescent="0.3">
      <c r="A5353" s="9">
        <v>3104</v>
      </c>
      <c r="B5353" t="s">
        <v>244</v>
      </c>
      <c r="C5353" s="25">
        <v>44654</v>
      </c>
      <c r="D5353" s="26">
        <v>0.62817129629629631</v>
      </c>
      <c r="E5353" t="s">
        <v>27</v>
      </c>
      <c r="F5353" t="s">
        <v>296</v>
      </c>
      <c r="G5353" t="s">
        <v>297</v>
      </c>
      <c r="H5353" t="s">
        <v>247</v>
      </c>
      <c r="I5353" s="4">
        <v>150</v>
      </c>
      <c r="J5353" s="23"/>
      <c r="K5353" s="89">
        <f t="shared" si="328"/>
        <v>100000</v>
      </c>
      <c r="L5353" s="19">
        <v>100000</v>
      </c>
      <c r="M5353" s="36">
        <f t="shared" si="329"/>
        <v>0.15</v>
      </c>
    </row>
    <row r="5354" spans="1:13" ht="15.75" hidden="1" customHeight="1" x14ac:dyDescent="0.3">
      <c r="A5354" s="9">
        <v>3105</v>
      </c>
      <c r="B5354" t="s">
        <v>244</v>
      </c>
      <c r="C5354" s="25">
        <v>44654</v>
      </c>
      <c r="D5354" s="26">
        <v>0.78328703703703706</v>
      </c>
      <c r="E5354" t="s">
        <v>27</v>
      </c>
      <c r="F5354" t="s">
        <v>319</v>
      </c>
      <c r="G5354" t="s">
        <v>320</v>
      </c>
      <c r="H5354" t="s">
        <v>247</v>
      </c>
      <c r="I5354" s="4">
        <v>275.08</v>
      </c>
      <c r="J5354" s="23"/>
      <c r="K5354" s="89">
        <f t="shared" si="328"/>
        <v>100000</v>
      </c>
      <c r="L5354" s="19">
        <v>100000</v>
      </c>
      <c r="M5354" s="36">
        <f t="shared" si="329"/>
        <v>0.27507999999999999</v>
      </c>
    </row>
    <row r="5355" spans="1:13" ht="15.75" hidden="1" customHeight="1" x14ac:dyDescent="0.3">
      <c r="A5355" s="9">
        <v>3106</v>
      </c>
      <c r="B5355" t="s">
        <v>244</v>
      </c>
      <c r="C5355" s="25">
        <v>44656</v>
      </c>
      <c r="D5355" s="26">
        <v>0.98593750000000002</v>
      </c>
      <c r="E5355" t="s">
        <v>27</v>
      </c>
      <c r="F5355" t="s">
        <v>319</v>
      </c>
      <c r="G5355" t="s">
        <v>320</v>
      </c>
      <c r="H5355" t="s">
        <v>247</v>
      </c>
      <c r="I5355" s="4">
        <v>432.12</v>
      </c>
      <c r="J5355" s="8"/>
      <c r="K5355" s="89">
        <f t="shared" si="328"/>
        <v>100000</v>
      </c>
      <c r="L5355" s="19">
        <v>100000</v>
      </c>
      <c r="M5355" s="36">
        <f t="shared" si="329"/>
        <v>0.43212</v>
      </c>
    </row>
    <row r="5356" spans="1:13" ht="15.75" hidden="1" customHeight="1" x14ac:dyDescent="0.3">
      <c r="A5356" s="9">
        <v>3107</v>
      </c>
      <c r="B5356" t="s">
        <v>244</v>
      </c>
      <c r="C5356" s="25">
        <v>44657</v>
      </c>
      <c r="D5356" s="26">
        <v>0.94858796296296299</v>
      </c>
      <c r="E5356" t="s">
        <v>27</v>
      </c>
      <c r="F5356" t="s">
        <v>450</v>
      </c>
      <c r="G5356" t="s">
        <v>451</v>
      </c>
      <c r="H5356" t="s">
        <v>247</v>
      </c>
      <c r="I5356" s="4">
        <v>327.27999999999997</v>
      </c>
      <c r="J5356" s="8"/>
      <c r="K5356" s="89">
        <f t="shared" si="328"/>
        <v>50000</v>
      </c>
      <c r="L5356" s="19">
        <v>50000</v>
      </c>
      <c r="M5356" s="36">
        <f t="shared" si="329"/>
        <v>0.65455999999999992</v>
      </c>
    </row>
    <row r="5357" spans="1:13" ht="15.75" hidden="1" customHeight="1" x14ac:dyDescent="0.3">
      <c r="A5357" s="9">
        <v>3108</v>
      </c>
      <c r="B5357" t="s">
        <v>244</v>
      </c>
      <c r="C5357" s="25">
        <v>44661</v>
      </c>
      <c r="D5357" s="26">
        <v>0.771550925925926</v>
      </c>
      <c r="E5357" t="s">
        <v>27</v>
      </c>
      <c r="F5357" t="s">
        <v>319</v>
      </c>
      <c r="G5357" t="s">
        <v>320</v>
      </c>
      <c r="H5357" t="s">
        <v>247</v>
      </c>
      <c r="I5357" s="4">
        <v>366</v>
      </c>
      <c r="J5357" s="8"/>
      <c r="K5357" s="89">
        <f t="shared" ref="K5357:K5375" si="330">+L5357-J5357</f>
        <v>100000</v>
      </c>
      <c r="L5357" s="19">
        <v>100000</v>
      </c>
      <c r="M5357" s="36">
        <f t="shared" ref="M5357:M5388" si="331">I5357/K5357*100</f>
        <v>0.36599999999999999</v>
      </c>
    </row>
    <row r="5358" spans="1:13" ht="15.75" hidden="1" customHeight="1" x14ac:dyDescent="0.3">
      <c r="A5358" s="9">
        <v>3109</v>
      </c>
      <c r="B5358" t="s">
        <v>244</v>
      </c>
      <c r="C5358" s="25">
        <v>44663</v>
      </c>
      <c r="D5358" s="26">
        <v>0.70216435185185189</v>
      </c>
      <c r="E5358" t="s">
        <v>27</v>
      </c>
      <c r="F5358" t="s">
        <v>319</v>
      </c>
      <c r="G5358" t="s">
        <v>320</v>
      </c>
      <c r="H5358" t="s">
        <v>247</v>
      </c>
      <c r="I5358" s="4">
        <v>444.81</v>
      </c>
      <c r="J5358" s="8"/>
      <c r="K5358" s="89">
        <f t="shared" si="330"/>
        <v>100000</v>
      </c>
      <c r="L5358" s="19">
        <v>100000</v>
      </c>
      <c r="M5358" s="36">
        <f t="shared" si="331"/>
        <v>0.44480999999999998</v>
      </c>
    </row>
    <row r="5359" spans="1:13" ht="15.75" hidden="1" customHeight="1" x14ac:dyDescent="0.3">
      <c r="A5359" s="9">
        <v>3110</v>
      </c>
      <c r="B5359" t="s">
        <v>244</v>
      </c>
      <c r="C5359" s="25">
        <v>44663</v>
      </c>
      <c r="D5359" s="26">
        <v>0.92443287037037036</v>
      </c>
      <c r="E5359" t="s">
        <v>27</v>
      </c>
      <c r="F5359" t="s">
        <v>385</v>
      </c>
      <c r="G5359" t="s">
        <v>386</v>
      </c>
      <c r="H5359" t="s">
        <v>247</v>
      </c>
      <c r="I5359" s="4">
        <v>147.65</v>
      </c>
      <c r="J5359" s="8"/>
      <c r="K5359" s="89">
        <f t="shared" si="330"/>
        <v>100000</v>
      </c>
      <c r="L5359" s="48">
        <v>100000</v>
      </c>
      <c r="M5359" s="36">
        <f t="shared" si="331"/>
        <v>0.14765</v>
      </c>
    </row>
    <row r="5360" spans="1:13" ht="15.75" hidden="1" customHeight="1" x14ac:dyDescent="0.3">
      <c r="A5360" s="9">
        <v>3111</v>
      </c>
      <c r="B5360" t="s">
        <v>244</v>
      </c>
      <c r="C5360" s="25">
        <v>44664</v>
      </c>
      <c r="D5360" s="26">
        <v>0.22616898148148148</v>
      </c>
      <c r="E5360" t="s">
        <v>27</v>
      </c>
      <c r="F5360" t="s">
        <v>450</v>
      </c>
      <c r="G5360" t="s">
        <v>451</v>
      </c>
      <c r="H5360" t="s">
        <v>247</v>
      </c>
      <c r="I5360" s="4">
        <v>208.02</v>
      </c>
      <c r="J5360" s="8"/>
      <c r="K5360" s="89">
        <f t="shared" si="330"/>
        <v>50000</v>
      </c>
      <c r="L5360" s="19">
        <v>50000</v>
      </c>
      <c r="M5360" s="36">
        <f t="shared" si="331"/>
        <v>0.41603999999999997</v>
      </c>
    </row>
    <row r="5361" spans="1:13" ht="15.75" hidden="1" customHeight="1" x14ac:dyDescent="0.3">
      <c r="A5361" s="9">
        <v>3112</v>
      </c>
      <c r="B5361" t="s">
        <v>244</v>
      </c>
      <c r="C5361" s="25">
        <v>44668</v>
      </c>
      <c r="D5361" s="26">
        <v>0.53402777777777777</v>
      </c>
      <c r="E5361" t="s">
        <v>27</v>
      </c>
      <c r="F5361" t="s">
        <v>296</v>
      </c>
      <c r="G5361" t="s">
        <v>297</v>
      </c>
      <c r="H5361" t="s">
        <v>247</v>
      </c>
      <c r="I5361" s="4">
        <v>250.36</v>
      </c>
      <c r="J5361" s="8"/>
      <c r="K5361" s="89">
        <f t="shared" si="330"/>
        <v>100000</v>
      </c>
      <c r="L5361" s="19">
        <v>100000</v>
      </c>
      <c r="M5361" s="36">
        <f t="shared" si="331"/>
        <v>0.25035999999999997</v>
      </c>
    </row>
    <row r="5362" spans="1:13" ht="15.75" hidden="1" customHeight="1" x14ac:dyDescent="0.3">
      <c r="A5362" s="9">
        <v>3113</v>
      </c>
      <c r="B5362" t="s">
        <v>244</v>
      </c>
      <c r="C5362" s="25">
        <v>44669</v>
      </c>
      <c r="D5362" s="26">
        <v>0.49076388888888894</v>
      </c>
      <c r="E5362" t="s">
        <v>27</v>
      </c>
      <c r="F5362" t="s">
        <v>555</v>
      </c>
      <c r="G5362" t="s">
        <v>556</v>
      </c>
      <c r="H5362" t="s">
        <v>247</v>
      </c>
      <c r="I5362" s="4">
        <v>100</v>
      </c>
      <c r="J5362" s="8"/>
      <c r="K5362" s="89">
        <f t="shared" si="330"/>
        <v>7081</v>
      </c>
      <c r="L5362" s="19">
        <v>7081</v>
      </c>
      <c r="M5362" s="36">
        <f t="shared" si="331"/>
        <v>1.4122299110295156</v>
      </c>
    </row>
    <row r="5363" spans="1:13" ht="15.75" hidden="1" customHeight="1" x14ac:dyDescent="0.3">
      <c r="A5363" s="9">
        <v>3114</v>
      </c>
      <c r="B5363" t="s">
        <v>244</v>
      </c>
      <c r="C5363" s="25">
        <v>44669</v>
      </c>
      <c r="D5363" s="26">
        <v>0.57762731481481489</v>
      </c>
      <c r="E5363" t="s">
        <v>27</v>
      </c>
      <c r="F5363" t="s">
        <v>291</v>
      </c>
      <c r="G5363" t="s">
        <v>445</v>
      </c>
      <c r="H5363" t="s">
        <v>247</v>
      </c>
      <c r="I5363" s="57">
        <v>241.44</v>
      </c>
      <c r="J5363" s="8"/>
      <c r="K5363" s="89">
        <f t="shared" si="330"/>
        <v>300000</v>
      </c>
      <c r="L5363" s="182">
        <v>300000</v>
      </c>
      <c r="M5363" s="36">
        <f t="shared" si="331"/>
        <v>8.048000000000001E-2</v>
      </c>
    </row>
    <row r="5364" spans="1:13" ht="15.75" hidden="1" customHeight="1" x14ac:dyDescent="0.3">
      <c r="A5364" s="9">
        <v>3115</v>
      </c>
      <c r="B5364" t="s">
        <v>244</v>
      </c>
      <c r="C5364" s="25">
        <v>44670</v>
      </c>
      <c r="D5364" s="26">
        <v>0.43516203703703704</v>
      </c>
      <c r="E5364" t="s">
        <v>27</v>
      </c>
      <c r="F5364" t="s">
        <v>447</v>
      </c>
      <c r="G5364" t="s">
        <v>448</v>
      </c>
      <c r="H5364" t="s">
        <v>247</v>
      </c>
      <c r="I5364" s="4">
        <v>150</v>
      </c>
      <c r="J5364" s="8"/>
      <c r="K5364" s="89">
        <f t="shared" si="330"/>
        <v>12345</v>
      </c>
      <c r="L5364" s="19">
        <v>12345</v>
      </c>
      <c r="M5364" s="36">
        <f t="shared" si="331"/>
        <v>1.2150668286755772</v>
      </c>
    </row>
    <row r="5365" spans="1:13" ht="15.75" hidden="1" customHeight="1" x14ac:dyDescent="0.3">
      <c r="A5365" s="9">
        <v>3116</v>
      </c>
      <c r="B5365" t="s">
        <v>244</v>
      </c>
      <c r="C5365" s="25">
        <v>44671</v>
      </c>
      <c r="D5365" s="26">
        <v>0.15129629629629629</v>
      </c>
      <c r="E5365" t="s">
        <v>27</v>
      </c>
      <c r="F5365" t="s">
        <v>443</v>
      </c>
      <c r="G5365" t="s">
        <v>444</v>
      </c>
      <c r="H5365" t="s">
        <v>247</v>
      </c>
      <c r="I5365" s="4">
        <v>100</v>
      </c>
      <c r="J5365" s="44"/>
      <c r="K5365" s="89">
        <f t="shared" si="330"/>
        <v>1234</v>
      </c>
      <c r="L5365" s="19">
        <v>1234</v>
      </c>
      <c r="M5365" s="36">
        <f t="shared" si="331"/>
        <v>8.1037277147487838</v>
      </c>
    </row>
    <row r="5366" spans="1:13" ht="15.75" hidden="1" customHeight="1" x14ac:dyDescent="0.3">
      <c r="A5366" s="9">
        <v>3117</v>
      </c>
      <c r="B5366" t="s">
        <v>244</v>
      </c>
      <c r="C5366" s="25">
        <v>44671</v>
      </c>
      <c r="D5366" s="26">
        <v>0.22615740740740742</v>
      </c>
      <c r="E5366" t="s">
        <v>27</v>
      </c>
      <c r="F5366" t="s">
        <v>296</v>
      </c>
      <c r="G5366" t="s">
        <v>297</v>
      </c>
      <c r="H5366" t="s">
        <v>247</v>
      </c>
      <c r="I5366" s="4">
        <v>300</v>
      </c>
      <c r="J5366" s="8"/>
      <c r="K5366" s="89">
        <f t="shared" si="330"/>
        <v>10000</v>
      </c>
      <c r="L5366" s="48">
        <v>10000</v>
      </c>
      <c r="M5366" s="36">
        <f t="shared" si="331"/>
        <v>3</v>
      </c>
    </row>
    <row r="5367" spans="1:13" ht="15.75" hidden="1" customHeight="1" x14ac:dyDescent="0.3">
      <c r="A5367" s="9">
        <v>3118</v>
      </c>
      <c r="B5367" t="s">
        <v>244</v>
      </c>
      <c r="C5367" s="25">
        <v>44671</v>
      </c>
      <c r="D5367" s="26">
        <v>0.47759259259259257</v>
      </c>
      <c r="E5367" t="s">
        <v>27</v>
      </c>
      <c r="F5367" t="s">
        <v>296</v>
      </c>
      <c r="G5367" t="s">
        <v>297</v>
      </c>
      <c r="H5367" t="s">
        <v>247</v>
      </c>
      <c r="I5367" s="4">
        <v>63.01</v>
      </c>
      <c r="J5367" s="8"/>
      <c r="K5367" s="89">
        <f t="shared" si="330"/>
        <v>150000</v>
      </c>
      <c r="L5367" s="19">
        <v>150000</v>
      </c>
      <c r="M5367" s="36">
        <f t="shared" si="331"/>
        <v>4.2006666666666664E-2</v>
      </c>
    </row>
    <row r="5368" spans="1:13" ht="15.75" hidden="1" customHeight="1" x14ac:dyDescent="0.3">
      <c r="A5368" s="9">
        <v>3119</v>
      </c>
      <c r="B5368" t="s">
        <v>244</v>
      </c>
      <c r="C5368" s="25">
        <v>44671</v>
      </c>
      <c r="D5368" s="26">
        <v>0.92385416666666664</v>
      </c>
      <c r="E5368" t="s">
        <v>27</v>
      </c>
      <c r="F5368" t="s">
        <v>450</v>
      </c>
      <c r="G5368" t="s">
        <v>451</v>
      </c>
      <c r="H5368" t="s">
        <v>247</v>
      </c>
      <c r="I5368" s="4">
        <v>252.81</v>
      </c>
      <c r="J5368" s="8"/>
      <c r="K5368" s="89">
        <f t="shared" si="330"/>
        <v>500000</v>
      </c>
      <c r="L5368" s="19">
        <v>500000</v>
      </c>
      <c r="M5368" s="36">
        <f t="shared" si="331"/>
        <v>5.0562000000000003E-2</v>
      </c>
    </row>
    <row r="5369" spans="1:13" ht="15.75" hidden="1" customHeight="1" x14ac:dyDescent="0.3">
      <c r="A5369" s="9">
        <v>3120</v>
      </c>
      <c r="B5369" t="s">
        <v>244</v>
      </c>
      <c r="C5369" s="25">
        <v>44672</v>
      </c>
      <c r="D5369" s="26">
        <v>0.88537037037037036</v>
      </c>
      <c r="E5369" t="s">
        <v>27</v>
      </c>
      <c r="F5369" t="s">
        <v>385</v>
      </c>
      <c r="G5369" t="s">
        <v>386</v>
      </c>
      <c r="H5369" t="s">
        <v>247</v>
      </c>
      <c r="I5369" s="4">
        <v>205.09</v>
      </c>
      <c r="J5369" s="8"/>
      <c r="K5369" s="89">
        <f t="shared" si="330"/>
        <v>10000</v>
      </c>
      <c r="L5369" s="19">
        <v>10000</v>
      </c>
      <c r="M5369" s="36">
        <f t="shared" si="331"/>
        <v>2.0508999999999999</v>
      </c>
    </row>
    <row r="5370" spans="1:13" ht="15.75" hidden="1" customHeight="1" x14ac:dyDescent="0.3">
      <c r="A5370" s="9">
        <v>3121</v>
      </c>
      <c r="B5370" t="s">
        <v>244</v>
      </c>
      <c r="C5370" s="25">
        <v>44673</v>
      </c>
      <c r="D5370" s="26">
        <v>0.63222222222222224</v>
      </c>
      <c r="E5370" t="s">
        <v>27</v>
      </c>
      <c r="F5370" t="s">
        <v>291</v>
      </c>
      <c r="G5370" t="s">
        <v>445</v>
      </c>
      <c r="H5370" t="s">
        <v>247</v>
      </c>
      <c r="I5370" s="4">
        <v>367.42</v>
      </c>
      <c r="J5370" s="8"/>
      <c r="K5370" s="89">
        <f t="shared" si="330"/>
        <v>897456</v>
      </c>
      <c r="L5370" s="19">
        <v>897456</v>
      </c>
      <c r="M5370" s="36">
        <f t="shared" si="331"/>
        <v>4.0940168654507857E-2</v>
      </c>
    </row>
    <row r="5371" spans="1:13" ht="15.75" hidden="1" customHeight="1" x14ac:dyDescent="0.3">
      <c r="A5371" s="9">
        <v>3122</v>
      </c>
      <c r="B5371" t="s">
        <v>244</v>
      </c>
      <c r="C5371" s="25">
        <v>44674</v>
      </c>
      <c r="D5371" s="26">
        <v>0.75953703703703701</v>
      </c>
      <c r="E5371" t="s">
        <v>27</v>
      </c>
      <c r="F5371" t="s">
        <v>483</v>
      </c>
      <c r="G5371" t="s">
        <v>484</v>
      </c>
      <c r="H5371" t="s">
        <v>247</v>
      </c>
      <c r="I5371" s="4">
        <v>100</v>
      </c>
      <c r="J5371" s="54"/>
      <c r="K5371" s="89">
        <f t="shared" si="330"/>
        <v>1234</v>
      </c>
      <c r="L5371" s="19">
        <v>1234</v>
      </c>
      <c r="M5371" s="36">
        <f t="shared" si="331"/>
        <v>8.1037277147487838</v>
      </c>
    </row>
    <row r="5372" spans="1:13" hidden="1" x14ac:dyDescent="0.3">
      <c r="A5372" s="9">
        <v>3123</v>
      </c>
      <c r="B5372" t="s">
        <v>244</v>
      </c>
      <c r="C5372" s="25">
        <v>44675</v>
      </c>
      <c r="D5372" s="26">
        <v>0.64916666666666667</v>
      </c>
      <c r="E5372" t="s">
        <v>27</v>
      </c>
      <c r="F5372" t="s">
        <v>568</v>
      </c>
      <c r="G5372" t="s">
        <v>569</v>
      </c>
      <c r="H5372" t="s">
        <v>247</v>
      </c>
      <c r="I5372" s="4">
        <v>150</v>
      </c>
      <c r="J5372" s="8"/>
      <c r="K5372" s="90">
        <f t="shared" si="330"/>
        <v>54444</v>
      </c>
      <c r="L5372" s="19">
        <v>54444</v>
      </c>
      <c r="M5372" s="91">
        <f t="shared" si="331"/>
        <v>0.27551245316288298</v>
      </c>
    </row>
    <row r="5373" spans="1:13" ht="15.75" hidden="1" customHeight="1" x14ac:dyDescent="0.3">
      <c r="A5373" s="9">
        <v>3124</v>
      </c>
      <c r="B5373" t="s">
        <v>244</v>
      </c>
      <c r="C5373" s="25">
        <v>44675</v>
      </c>
      <c r="D5373" s="26">
        <v>0.92638888888888893</v>
      </c>
      <c r="E5373" t="s">
        <v>27</v>
      </c>
      <c r="F5373" t="s">
        <v>568</v>
      </c>
      <c r="G5373" t="s">
        <v>569</v>
      </c>
      <c r="H5373" t="s">
        <v>247</v>
      </c>
      <c r="I5373" s="4">
        <v>150</v>
      </c>
      <c r="J5373" s="8"/>
      <c r="K5373" s="92">
        <f t="shared" si="330"/>
        <v>452663</v>
      </c>
      <c r="L5373" s="48">
        <v>452663</v>
      </c>
      <c r="M5373" s="118">
        <f t="shared" si="331"/>
        <v>3.3137234543136947E-2</v>
      </c>
    </row>
    <row r="5374" spans="1:13" ht="15.75" hidden="1" customHeight="1" x14ac:dyDescent="0.3">
      <c r="A5374" s="9">
        <v>3125</v>
      </c>
      <c r="B5374" t="s">
        <v>244</v>
      </c>
      <c r="C5374" s="25">
        <v>44676</v>
      </c>
      <c r="D5374" s="26">
        <v>0.81674768518518526</v>
      </c>
      <c r="E5374" t="s">
        <v>27</v>
      </c>
      <c r="F5374" t="s">
        <v>368</v>
      </c>
      <c r="G5374" t="s">
        <v>369</v>
      </c>
      <c r="H5374" t="s">
        <v>247</v>
      </c>
      <c r="I5374">
        <v>150</v>
      </c>
      <c r="J5374" s="8"/>
      <c r="K5374" s="89">
        <f t="shared" si="330"/>
        <v>0</v>
      </c>
      <c r="L5374" s="7"/>
      <c r="M5374" s="36" t="e">
        <f t="shared" si="331"/>
        <v>#DIV/0!</v>
      </c>
    </row>
    <row r="5375" spans="1:13" ht="15.75" hidden="1" customHeight="1" x14ac:dyDescent="0.3">
      <c r="A5375" s="9">
        <v>3126</v>
      </c>
      <c r="B5375" t="s">
        <v>244</v>
      </c>
      <c r="C5375" s="25">
        <v>44679</v>
      </c>
      <c r="D5375" s="26">
        <v>0.60012731481481485</v>
      </c>
      <c r="E5375" t="s">
        <v>27</v>
      </c>
      <c r="F5375" t="s">
        <v>406</v>
      </c>
      <c r="G5375" t="s">
        <v>409</v>
      </c>
      <c r="H5375" t="s">
        <v>247</v>
      </c>
      <c r="I5375">
        <f>100+100</f>
        <v>200</v>
      </c>
      <c r="J5375" s="8"/>
      <c r="K5375" s="89">
        <f t="shared" si="330"/>
        <v>0</v>
      </c>
      <c r="L5375" s="34"/>
      <c r="M5375" s="36" t="e">
        <f t="shared" si="331"/>
        <v>#DIV/0!</v>
      </c>
    </row>
    <row r="5376" spans="1:13" ht="15.75" hidden="1" customHeight="1" x14ac:dyDescent="0.3">
      <c r="A5376" s="9">
        <v>3731</v>
      </c>
      <c r="B5376" t="s">
        <v>244</v>
      </c>
      <c r="C5376" s="25">
        <v>44683</v>
      </c>
      <c r="D5376" s="26">
        <v>0.82664351851851858</v>
      </c>
      <c r="E5376" t="s">
        <v>28</v>
      </c>
      <c r="F5376" t="s">
        <v>241</v>
      </c>
      <c r="G5376" t="s">
        <v>242</v>
      </c>
      <c r="H5376" t="s">
        <v>247</v>
      </c>
      <c r="I5376">
        <v>150.18</v>
      </c>
      <c r="J5376" s="23"/>
      <c r="K5376" s="89">
        <f>+L5376-J5508</f>
        <v>7080</v>
      </c>
      <c r="L5376" s="8">
        <v>7080</v>
      </c>
      <c r="M5376" s="36">
        <f t="shared" si="331"/>
        <v>2.1211864406779664</v>
      </c>
    </row>
    <row r="5377" spans="1:13" ht="15.75" hidden="1" customHeight="1" x14ac:dyDescent="0.3">
      <c r="A5377" s="9">
        <v>3773</v>
      </c>
      <c r="B5377" t="s">
        <v>244</v>
      </c>
      <c r="C5377" s="25">
        <v>44684</v>
      </c>
      <c r="D5377" s="26">
        <v>0.43446759259259254</v>
      </c>
      <c r="E5377" t="s">
        <v>28</v>
      </c>
      <c r="F5377" t="s">
        <v>406</v>
      </c>
      <c r="G5377" t="s">
        <v>409</v>
      </c>
      <c r="H5377" t="s">
        <v>247</v>
      </c>
      <c r="I5377">
        <v>100</v>
      </c>
      <c r="J5377" s="8"/>
      <c r="K5377" s="82"/>
      <c r="L5377" s="8">
        <v>58696</v>
      </c>
      <c r="M5377" s="36" t="e">
        <f t="shared" si="331"/>
        <v>#DIV/0!</v>
      </c>
    </row>
    <row r="5378" spans="1:13" ht="15.75" hidden="1" customHeight="1" x14ac:dyDescent="0.3">
      <c r="A5378" s="9">
        <v>3774</v>
      </c>
      <c r="B5378" t="s">
        <v>244</v>
      </c>
      <c r="C5378" s="25">
        <v>44684</v>
      </c>
      <c r="D5378" s="26">
        <v>0.9130787037037037</v>
      </c>
      <c r="E5378" t="s">
        <v>28</v>
      </c>
      <c r="F5378" t="s">
        <v>574</v>
      </c>
      <c r="G5378" t="s">
        <v>575</v>
      </c>
      <c r="H5378" t="s">
        <v>247</v>
      </c>
      <c r="I5378">
        <v>300</v>
      </c>
      <c r="J5378" s="7">
        <v>0</v>
      </c>
      <c r="K5378" s="82"/>
      <c r="L5378" s="8">
        <v>236145</v>
      </c>
      <c r="M5378" s="36" t="e">
        <f t="shared" si="331"/>
        <v>#DIV/0!</v>
      </c>
    </row>
    <row r="5379" spans="1:13" ht="15.75" hidden="1" customHeight="1" x14ac:dyDescent="0.3">
      <c r="A5379" s="9">
        <v>3829</v>
      </c>
      <c r="B5379" t="s">
        <v>244</v>
      </c>
      <c r="C5379" s="25">
        <v>44685</v>
      </c>
      <c r="D5379" s="26">
        <v>0.69876157407407413</v>
      </c>
      <c r="E5379" t="s">
        <v>28</v>
      </c>
      <c r="F5379" t="s">
        <v>319</v>
      </c>
      <c r="G5379" t="s">
        <v>320</v>
      </c>
      <c r="H5379" t="s">
        <v>247</v>
      </c>
      <c r="I5379">
        <v>200</v>
      </c>
      <c r="J5379" s="8"/>
      <c r="K5379" s="82"/>
      <c r="L5379" s="8">
        <v>100000</v>
      </c>
      <c r="M5379" s="36" t="e">
        <f t="shared" si="331"/>
        <v>#DIV/0!</v>
      </c>
    </row>
    <row r="5380" spans="1:13" ht="15.75" hidden="1" customHeight="1" x14ac:dyDescent="0.3">
      <c r="A5380" s="9">
        <v>3830</v>
      </c>
      <c r="B5380" t="s">
        <v>244</v>
      </c>
      <c r="C5380" s="25">
        <v>44685</v>
      </c>
      <c r="D5380" s="26">
        <v>0.88359953703703698</v>
      </c>
      <c r="E5380" t="s">
        <v>28</v>
      </c>
      <c r="F5380" t="s">
        <v>592</v>
      </c>
      <c r="G5380" t="s">
        <v>593</v>
      </c>
      <c r="H5380" t="s">
        <v>247</v>
      </c>
      <c r="I5380">
        <v>170.01</v>
      </c>
      <c r="J5380" s="8"/>
      <c r="K5380" s="82"/>
      <c r="L5380" s="44">
        <v>84499</v>
      </c>
      <c r="M5380" s="36" t="e">
        <f t="shared" si="331"/>
        <v>#DIV/0!</v>
      </c>
    </row>
    <row r="5381" spans="1:13" ht="15.75" hidden="1" customHeight="1" x14ac:dyDescent="0.3">
      <c r="A5381" s="9">
        <v>3887</v>
      </c>
      <c r="B5381" t="s">
        <v>244</v>
      </c>
      <c r="C5381" s="25">
        <v>44686</v>
      </c>
      <c r="D5381" s="26">
        <v>0.13760416666666667</v>
      </c>
      <c r="E5381" t="s">
        <v>28</v>
      </c>
      <c r="F5381" t="s">
        <v>294</v>
      </c>
      <c r="G5381" t="s">
        <v>295</v>
      </c>
      <c r="H5381" t="s">
        <v>247</v>
      </c>
      <c r="I5381">
        <v>53.05</v>
      </c>
      <c r="J5381" s="8"/>
      <c r="K5381" s="82"/>
      <c r="L5381" s="8">
        <v>1234</v>
      </c>
      <c r="M5381" s="36" t="e">
        <f t="shared" si="331"/>
        <v>#DIV/0!</v>
      </c>
    </row>
    <row r="5382" spans="1:13" ht="15.75" hidden="1" customHeight="1" x14ac:dyDescent="0.3">
      <c r="A5382" s="9">
        <v>3888</v>
      </c>
      <c r="B5382" t="s">
        <v>244</v>
      </c>
      <c r="C5382" s="25">
        <v>44686</v>
      </c>
      <c r="D5382" s="26">
        <v>0.32497685185185182</v>
      </c>
      <c r="E5382" t="s">
        <v>28</v>
      </c>
      <c r="F5382" t="s">
        <v>298</v>
      </c>
      <c r="G5382" t="s">
        <v>299</v>
      </c>
      <c r="H5382" t="s">
        <v>247</v>
      </c>
      <c r="I5382">
        <v>244.1</v>
      </c>
      <c r="J5382" s="8"/>
      <c r="K5382" s="82"/>
      <c r="L5382" s="54">
        <v>2022</v>
      </c>
      <c r="M5382" s="36" t="e">
        <f t="shared" si="331"/>
        <v>#DIV/0!</v>
      </c>
    </row>
    <row r="5383" spans="1:13" ht="15.75" hidden="1" customHeight="1" x14ac:dyDescent="0.3">
      <c r="A5383" s="9">
        <v>3946</v>
      </c>
      <c r="B5383" t="s">
        <v>244</v>
      </c>
      <c r="C5383" s="25">
        <v>44687</v>
      </c>
      <c r="D5383" s="26">
        <v>0.81156249999999996</v>
      </c>
      <c r="E5383" t="s">
        <v>28</v>
      </c>
      <c r="F5383" t="s">
        <v>368</v>
      </c>
      <c r="G5383" t="s">
        <v>369</v>
      </c>
      <c r="H5383" t="s">
        <v>247</v>
      </c>
      <c r="I5383">
        <v>150</v>
      </c>
      <c r="J5383" s="8"/>
      <c r="K5383" s="89">
        <f>+L5383-J5513</f>
        <v>10708</v>
      </c>
      <c r="L5383" s="8">
        <v>10708</v>
      </c>
      <c r="M5383" s="36">
        <f t="shared" si="331"/>
        <v>1.4008218154650729</v>
      </c>
    </row>
    <row r="5384" spans="1:13" ht="15.75" hidden="1" customHeight="1" x14ac:dyDescent="0.3">
      <c r="A5384" s="9">
        <v>3947</v>
      </c>
      <c r="B5384" t="s">
        <v>244</v>
      </c>
      <c r="C5384" s="25">
        <v>44687</v>
      </c>
      <c r="D5384" s="26">
        <v>0.84341435185185187</v>
      </c>
      <c r="E5384" t="s">
        <v>28</v>
      </c>
      <c r="F5384" t="s">
        <v>419</v>
      </c>
      <c r="G5384" t="s">
        <v>238</v>
      </c>
      <c r="H5384" t="s">
        <v>247</v>
      </c>
      <c r="I5384">
        <v>260.45</v>
      </c>
      <c r="J5384" s="8"/>
      <c r="K5384" s="89">
        <f>+L5384-J5514</f>
        <v>696969</v>
      </c>
      <c r="L5384" s="44">
        <v>696969</v>
      </c>
      <c r="M5384" s="36">
        <f t="shared" si="331"/>
        <v>3.7368950412428673E-2</v>
      </c>
    </row>
    <row r="5385" spans="1:13" ht="15.75" hidden="1" customHeight="1" x14ac:dyDescent="0.3">
      <c r="A5385" s="9">
        <v>3990</v>
      </c>
      <c r="B5385" t="s">
        <v>244</v>
      </c>
      <c r="C5385" s="25">
        <v>44688</v>
      </c>
      <c r="D5385" s="26">
        <v>0.49660879629629634</v>
      </c>
      <c r="E5385" t="s">
        <v>28</v>
      </c>
      <c r="F5385" t="s">
        <v>387</v>
      </c>
      <c r="G5385" t="s">
        <v>388</v>
      </c>
      <c r="H5385" t="s">
        <v>247</v>
      </c>
      <c r="I5385">
        <v>92.64</v>
      </c>
      <c r="J5385" s="8"/>
      <c r="K5385" s="89">
        <f>+L5385-J5515</f>
        <v>522582</v>
      </c>
      <c r="L5385" s="8">
        <v>522582</v>
      </c>
      <c r="M5385" s="36">
        <f t="shared" si="331"/>
        <v>1.7727361447581431E-2</v>
      </c>
    </row>
    <row r="5386" spans="1:13" ht="15.75" hidden="1" customHeight="1" x14ac:dyDescent="0.3">
      <c r="A5386" s="9">
        <v>4034</v>
      </c>
      <c r="B5386" t="s">
        <v>244</v>
      </c>
      <c r="C5386" s="25">
        <v>44689</v>
      </c>
      <c r="D5386" s="26">
        <v>0.72245370370370365</v>
      </c>
      <c r="E5386" t="s">
        <v>28</v>
      </c>
      <c r="F5386" t="s">
        <v>319</v>
      </c>
      <c r="G5386" t="s">
        <v>320</v>
      </c>
      <c r="H5386" t="s">
        <v>247</v>
      </c>
      <c r="I5386">
        <v>100</v>
      </c>
      <c r="J5386" s="8"/>
      <c r="K5386" s="89">
        <f>+L5386-J5516</f>
        <v>1234</v>
      </c>
      <c r="L5386" s="8">
        <v>1234</v>
      </c>
      <c r="M5386" s="36">
        <f t="shared" si="331"/>
        <v>8.1037277147487838</v>
      </c>
    </row>
    <row r="5387" spans="1:13" ht="15.75" hidden="1" customHeight="1" x14ac:dyDescent="0.3">
      <c r="A5387" s="9">
        <v>4035</v>
      </c>
      <c r="B5387" t="s">
        <v>244</v>
      </c>
      <c r="C5387" s="25">
        <v>44689</v>
      </c>
      <c r="D5387" s="26">
        <v>0.82885416666666656</v>
      </c>
      <c r="E5387" t="s">
        <v>28</v>
      </c>
      <c r="F5387" t="s">
        <v>441</v>
      </c>
      <c r="G5387" t="s">
        <v>442</v>
      </c>
      <c r="H5387" t="s">
        <v>247</v>
      </c>
      <c r="I5387">
        <v>131.91999999999999</v>
      </c>
      <c r="J5387" s="8"/>
      <c r="K5387" s="89" t="e">
        <f>+L5387-#REF!</f>
        <v>#REF!</v>
      </c>
      <c r="L5387" s="8">
        <v>7878</v>
      </c>
      <c r="M5387" s="36" t="e">
        <f t="shared" si="331"/>
        <v>#REF!</v>
      </c>
    </row>
    <row r="5388" spans="1:13" ht="15.75" hidden="1" customHeight="1" x14ac:dyDescent="0.3">
      <c r="A5388" s="9">
        <v>4127</v>
      </c>
      <c r="B5388" t="s">
        <v>244</v>
      </c>
      <c r="C5388" s="25">
        <v>44691</v>
      </c>
      <c r="D5388" s="26">
        <v>5.7870370370370376E-3</v>
      </c>
      <c r="E5388" t="s">
        <v>28</v>
      </c>
      <c r="F5388" t="s">
        <v>319</v>
      </c>
      <c r="G5388" t="s">
        <v>320</v>
      </c>
      <c r="H5388" t="s">
        <v>247</v>
      </c>
      <c r="I5388">
        <v>100</v>
      </c>
      <c r="J5388" s="78"/>
      <c r="K5388" s="89">
        <f>+L5388-J5519</f>
        <v>1234</v>
      </c>
      <c r="L5388" s="8">
        <v>1234</v>
      </c>
      <c r="M5388" s="36">
        <f t="shared" si="331"/>
        <v>8.1037277147487838</v>
      </c>
    </row>
    <row r="5389" spans="1:13" ht="15.75" hidden="1" customHeight="1" x14ac:dyDescent="0.3">
      <c r="A5389" s="9">
        <v>4128</v>
      </c>
      <c r="B5389" t="s">
        <v>244</v>
      </c>
      <c r="C5389" s="25">
        <v>44691</v>
      </c>
      <c r="D5389" s="26">
        <v>0.1049537037037037</v>
      </c>
      <c r="E5389" t="s">
        <v>28</v>
      </c>
      <c r="F5389" t="s">
        <v>443</v>
      </c>
      <c r="G5389" t="s">
        <v>444</v>
      </c>
      <c r="H5389" t="s">
        <v>247</v>
      </c>
      <c r="I5389">
        <v>200</v>
      </c>
      <c r="J5389" s="78"/>
      <c r="K5389" s="89">
        <f>+L5389-J5520</f>
        <v>100000</v>
      </c>
      <c r="L5389" s="8">
        <v>100000</v>
      </c>
      <c r="M5389" s="36">
        <f t="shared" ref="M5389:M5408" si="332">I5389/K5389*100</f>
        <v>0.2</v>
      </c>
    </row>
    <row r="5390" spans="1:13" ht="15.75" hidden="1" customHeight="1" x14ac:dyDescent="0.3">
      <c r="A5390" s="9">
        <v>4129</v>
      </c>
      <c r="B5390" t="s">
        <v>244</v>
      </c>
      <c r="C5390" s="25">
        <v>44691</v>
      </c>
      <c r="D5390" s="26">
        <v>0.24539351851851854</v>
      </c>
      <c r="E5390" t="s">
        <v>28</v>
      </c>
      <c r="F5390" t="s">
        <v>234</v>
      </c>
      <c r="G5390" t="s">
        <v>235</v>
      </c>
      <c r="H5390" t="s">
        <v>247</v>
      </c>
      <c r="I5390">
        <v>231.56</v>
      </c>
      <c r="J5390" s="78"/>
      <c r="K5390" s="89">
        <f>+L5390-J5521</f>
        <v>858585</v>
      </c>
      <c r="L5390" s="8">
        <v>858585</v>
      </c>
      <c r="M5390" s="36">
        <f t="shared" si="332"/>
        <v>2.6969956381721089E-2</v>
      </c>
    </row>
    <row r="5391" spans="1:13" ht="15.75" hidden="1" customHeight="1" x14ac:dyDescent="0.3">
      <c r="A5391" s="9">
        <v>4130</v>
      </c>
      <c r="B5391" t="s">
        <v>244</v>
      </c>
      <c r="C5391" s="25">
        <v>44691</v>
      </c>
      <c r="D5391" s="26">
        <v>0.98857638888888888</v>
      </c>
      <c r="E5391" t="s">
        <v>28</v>
      </c>
      <c r="F5391" t="s">
        <v>298</v>
      </c>
      <c r="G5391" t="s">
        <v>299</v>
      </c>
      <c r="H5391" t="s">
        <v>247</v>
      </c>
      <c r="I5391">
        <v>265.48</v>
      </c>
      <c r="J5391" s="78"/>
      <c r="K5391" s="89">
        <f>+L5391-J5522</f>
        <v>2525</v>
      </c>
      <c r="L5391" s="8">
        <v>2525</v>
      </c>
      <c r="M5391" s="36">
        <f t="shared" si="332"/>
        <v>10.514059405940595</v>
      </c>
    </row>
    <row r="5392" spans="1:13" ht="15.75" hidden="1" customHeight="1" x14ac:dyDescent="0.3">
      <c r="A5392" s="9">
        <v>4174</v>
      </c>
      <c r="B5392" t="s">
        <v>244</v>
      </c>
      <c r="C5392" s="25">
        <v>44692</v>
      </c>
      <c r="D5392" s="26">
        <v>0.50466435185185188</v>
      </c>
      <c r="E5392" t="s">
        <v>28</v>
      </c>
      <c r="F5392" t="s">
        <v>332</v>
      </c>
      <c r="G5392" t="s">
        <v>333</v>
      </c>
      <c r="H5392" t="s">
        <v>247</v>
      </c>
      <c r="I5392">
        <v>98.04</v>
      </c>
      <c r="J5392" s="24"/>
      <c r="K5392" s="89">
        <f>+L5392-J5524</f>
        <v>100000</v>
      </c>
      <c r="L5392" s="44">
        <v>100000</v>
      </c>
      <c r="M5392" s="36">
        <f t="shared" si="332"/>
        <v>9.8040000000000002E-2</v>
      </c>
    </row>
    <row r="5393" spans="1:13" ht="15.75" hidden="1" customHeight="1" x14ac:dyDescent="0.3">
      <c r="A5393" s="9">
        <v>4219</v>
      </c>
      <c r="B5393" t="s">
        <v>244</v>
      </c>
      <c r="C5393" s="25">
        <v>44693</v>
      </c>
      <c r="D5393" s="26">
        <v>0.27616898148148145</v>
      </c>
      <c r="E5393" t="s">
        <v>28</v>
      </c>
      <c r="F5393" t="s">
        <v>291</v>
      </c>
      <c r="G5393" t="s">
        <v>292</v>
      </c>
      <c r="H5393" t="s">
        <v>247</v>
      </c>
      <c r="I5393">
        <v>271.38</v>
      </c>
      <c r="J5393" s="24"/>
      <c r="K5393" s="89">
        <f>+L5393-J5525</f>
        <v>100000</v>
      </c>
      <c r="L5393" s="8">
        <v>100000</v>
      </c>
      <c r="M5393" s="36">
        <f t="shared" si="332"/>
        <v>0.27138000000000001</v>
      </c>
    </row>
    <row r="5394" spans="1:13" ht="15.75" hidden="1" customHeight="1" x14ac:dyDescent="0.3">
      <c r="A5394" s="9">
        <v>4220</v>
      </c>
      <c r="B5394" t="s">
        <v>244</v>
      </c>
      <c r="C5394" s="25">
        <v>44693</v>
      </c>
      <c r="D5394" s="26">
        <v>0.74831018518518511</v>
      </c>
      <c r="E5394" t="s">
        <v>28</v>
      </c>
      <c r="F5394" t="s">
        <v>606</v>
      </c>
      <c r="G5394" t="s">
        <v>607</v>
      </c>
      <c r="H5394" t="s">
        <v>247</v>
      </c>
      <c r="I5394">
        <v>130.08000000000001</v>
      </c>
      <c r="J5394" s="24"/>
      <c r="K5394" s="89">
        <f>+L5394-J5526</f>
        <v>90000</v>
      </c>
      <c r="L5394" s="8">
        <v>90000</v>
      </c>
      <c r="M5394" s="36">
        <f t="shared" si="332"/>
        <v>0.14453333333333335</v>
      </c>
    </row>
    <row r="5395" spans="1:13" ht="15.75" hidden="1" customHeight="1" x14ac:dyDescent="0.3">
      <c r="A5395" s="9">
        <v>4334</v>
      </c>
      <c r="B5395" t="s">
        <v>244</v>
      </c>
      <c r="C5395" s="25">
        <v>44695</v>
      </c>
      <c r="D5395" s="26">
        <v>0.80398148148148152</v>
      </c>
      <c r="E5395" t="s">
        <v>28</v>
      </c>
      <c r="F5395" t="s">
        <v>329</v>
      </c>
      <c r="G5395" t="s">
        <v>330</v>
      </c>
      <c r="H5395" t="s">
        <v>247</v>
      </c>
      <c r="I5395">
        <v>150.47999999999999</v>
      </c>
      <c r="J5395" s="24"/>
      <c r="K5395" s="89">
        <f t="shared" ref="K5395:K5402" si="333">+L5395-J5668</f>
        <v>1234</v>
      </c>
      <c r="L5395" s="8">
        <v>1234</v>
      </c>
      <c r="M5395" s="36">
        <f t="shared" si="332"/>
        <v>12.194489465153969</v>
      </c>
    </row>
    <row r="5396" spans="1:13" ht="15.75" hidden="1" customHeight="1" x14ac:dyDescent="0.3">
      <c r="A5396" s="9">
        <v>4335</v>
      </c>
      <c r="B5396" t="s">
        <v>244</v>
      </c>
      <c r="C5396" s="25">
        <v>44695</v>
      </c>
      <c r="D5396" s="26">
        <v>0.9094444444444445</v>
      </c>
      <c r="E5396" t="s">
        <v>28</v>
      </c>
      <c r="F5396" t="s">
        <v>319</v>
      </c>
      <c r="G5396" t="s">
        <v>320</v>
      </c>
      <c r="H5396" t="s">
        <v>247</v>
      </c>
      <c r="I5396">
        <v>100</v>
      </c>
      <c r="J5396" s="24"/>
      <c r="K5396" s="89">
        <f t="shared" si="333"/>
        <v>1234</v>
      </c>
      <c r="L5396" s="8">
        <v>1234</v>
      </c>
      <c r="M5396" s="36">
        <f t="shared" si="332"/>
        <v>8.1037277147487838</v>
      </c>
    </row>
    <row r="5397" spans="1:13" ht="15.75" hidden="1" customHeight="1" x14ac:dyDescent="0.3">
      <c r="A5397" s="9">
        <v>4336</v>
      </c>
      <c r="B5397" t="s">
        <v>244</v>
      </c>
      <c r="C5397" s="25">
        <v>44695</v>
      </c>
      <c r="D5397" s="26">
        <v>0.98802083333333324</v>
      </c>
      <c r="E5397" t="s">
        <v>28</v>
      </c>
      <c r="F5397" t="s">
        <v>319</v>
      </c>
      <c r="G5397" t="s">
        <v>320</v>
      </c>
      <c r="H5397" t="s">
        <v>247</v>
      </c>
      <c r="I5397">
        <v>100</v>
      </c>
      <c r="J5397" s="8"/>
      <c r="K5397" s="89">
        <f t="shared" si="333"/>
        <v>1103</v>
      </c>
      <c r="L5397" s="44">
        <v>1103</v>
      </c>
      <c r="M5397" s="36">
        <f t="shared" si="332"/>
        <v>9.0661831368993653</v>
      </c>
    </row>
    <row r="5398" spans="1:13" ht="15.75" hidden="1" customHeight="1" x14ac:dyDescent="0.3">
      <c r="A5398" s="9">
        <v>4393</v>
      </c>
      <c r="B5398" t="s">
        <v>244</v>
      </c>
      <c r="C5398" s="25">
        <v>44696</v>
      </c>
      <c r="D5398" s="26">
        <v>0.66228009259259257</v>
      </c>
      <c r="E5398" t="s">
        <v>28</v>
      </c>
      <c r="F5398" t="s">
        <v>387</v>
      </c>
      <c r="G5398" t="s">
        <v>388</v>
      </c>
      <c r="H5398" t="s">
        <v>247</v>
      </c>
      <c r="I5398">
        <v>200</v>
      </c>
      <c r="J5398" s="8"/>
      <c r="K5398" s="89">
        <f t="shared" si="333"/>
        <v>1234</v>
      </c>
      <c r="L5398" s="8">
        <v>1234</v>
      </c>
      <c r="M5398" s="36">
        <f t="shared" si="332"/>
        <v>16.207455429497568</v>
      </c>
    </row>
    <row r="5399" spans="1:13" ht="15.75" hidden="1" customHeight="1" x14ac:dyDescent="0.3">
      <c r="A5399" s="9">
        <v>4394</v>
      </c>
      <c r="B5399" t="s">
        <v>244</v>
      </c>
      <c r="C5399" s="25">
        <v>44696</v>
      </c>
      <c r="D5399" s="26">
        <v>0.68008101851851854</v>
      </c>
      <c r="E5399" t="s">
        <v>28</v>
      </c>
      <c r="F5399" t="s">
        <v>341</v>
      </c>
      <c r="G5399" t="s">
        <v>388</v>
      </c>
      <c r="H5399" t="s">
        <v>247</v>
      </c>
      <c r="I5399">
        <v>100</v>
      </c>
      <c r="J5399" s="8"/>
      <c r="K5399" s="89">
        <f t="shared" si="333"/>
        <v>14789</v>
      </c>
      <c r="L5399" s="8">
        <v>14789</v>
      </c>
      <c r="M5399" s="36">
        <f t="shared" si="332"/>
        <v>0.67617824058421805</v>
      </c>
    </row>
    <row r="5400" spans="1:13" ht="15.75" hidden="1" customHeight="1" x14ac:dyDescent="0.3">
      <c r="A5400" s="9">
        <v>4395</v>
      </c>
      <c r="B5400" t="s">
        <v>244</v>
      </c>
      <c r="C5400" s="25">
        <v>44696</v>
      </c>
      <c r="D5400" s="26">
        <v>0.70504629629629623</v>
      </c>
      <c r="E5400" t="s">
        <v>28</v>
      </c>
      <c r="F5400" t="s">
        <v>523</v>
      </c>
      <c r="G5400" t="s">
        <v>388</v>
      </c>
      <c r="H5400" t="s">
        <v>247</v>
      </c>
      <c r="I5400">
        <v>91.51</v>
      </c>
      <c r="J5400" s="82"/>
      <c r="K5400" s="89">
        <f t="shared" si="333"/>
        <v>100000</v>
      </c>
      <c r="L5400" s="44">
        <v>100000</v>
      </c>
      <c r="M5400" s="36">
        <f t="shared" si="332"/>
        <v>9.1510000000000008E-2</v>
      </c>
    </row>
    <row r="5401" spans="1:13" ht="15.75" hidden="1" customHeight="1" x14ac:dyDescent="0.3">
      <c r="A5401" s="9">
        <v>4396</v>
      </c>
      <c r="B5401" t="s">
        <v>244</v>
      </c>
      <c r="C5401" s="25">
        <v>44696</v>
      </c>
      <c r="D5401" s="26">
        <v>0.98265046296296299</v>
      </c>
      <c r="E5401" t="s">
        <v>28</v>
      </c>
      <c r="F5401" t="s">
        <v>262</v>
      </c>
      <c r="G5401" t="s">
        <v>263</v>
      </c>
      <c r="H5401" t="s">
        <v>247</v>
      </c>
      <c r="I5401">
        <v>180.96</v>
      </c>
      <c r="J5401" s="82"/>
      <c r="K5401" s="89">
        <f t="shared" si="333"/>
        <v>112233</v>
      </c>
      <c r="L5401" s="8">
        <v>112233</v>
      </c>
      <c r="M5401" s="36">
        <f t="shared" si="332"/>
        <v>0.16123600010692044</v>
      </c>
    </row>
    <row r="5402" spans="1:13" ht="15.75" hidden="1" customHeight="1" x14ac:dyDescent="0.3">
      <c r="A5402" s="9">
        <v>4464</v>
      </c>
      <c r="B5402" t="s">
        <v>244</v>
      </c>
      <c r="C5402" s="25">
        <v>44697</v>
      </c>
      <c r="D5402" s="26">
        <v>0.81809027777777776</v>
      </c>
      <c r="E5402" t="s">
        <v>28</v>
      </c>
      <c r="F5402" t="s">
        <v>419</v>
      </c>
      <c r="G5402" t="s">
        <v>238</v>
      </c>
      <c r="H5402" t="s">
        <v>247</v>
      </c>
      <c r="I5402">
        <v>181.63</v>
      </c>
      <c r="J5402" s="82"/>
      <c r="K5402" s="89">
        <f t="shared" si="333"/>
        <v>696969</v>
      </c>
      <c r="L5402" s="54">
        <v>696969</v>
      </c>
      <c r="M5402" s="36">
        <f t="shared" si="332"/>
        <v>2.6059982581721711E-2</v>
      </c>
    </row>
    <row r="5403" spans="1:13" ht="15.75" hidden="1" customHeight="1" x14ac:dyDescent="0.3">
      <c r="A5403" s="9">
        <v>4564</v>
      </c>
      <c r="B5403" t="s">
        <v>244</v>
      </c>
      <c r="C5403" s="25">
        <v>44699</v>
      </c>
      <c r="D5403" s="26">
        <v>0.68450231481481483</v>
      </c>
      <c r="E5403" t="s">
        <v>28</v>
      </c>
      <c r="F5403" t="s">
        <v>419</v>
      </c>
      <c r="G5403" t="s">
        <v>238</v>
      </c>
      <c r="H5403" t="s">
        <v>247</v>
      </c>
      <c r="I5403">
        <v>256.3</v>
      </c>
      <c r="J5403" s="103"/>
      <c r="K5403" s="89">
        <f>+L5403-J5675</f>
        <v>10708</v>
      </c>
      <c r="L5403" s="8">
        <v>10708</v>
      </c>
      <c r="M5403" s="36">
        <f t="shared" si="332"/>
        <v>2.3935375420246543</v>
      </c>
    </row>
    <row r="5404" spans="1:13" ht="15.75" hidden="1" customHeight="1" x14ac:dyDescent="0.3">
      <c r="A5404" s="9">
        <v>5212</v>
      </c>
      <c r="B5404" t="s">
        <v>244</v>
      </c>
      <c r="C5404" s="25">
        <v>44711</v>
      </c>
      <c r="D5404" s="26">
        <v>0.86954861111111104</v>
      </c>
      <c r="E5404" t="s">
        <v>28</v>
      </c>
      <c r="F5404" t="s">
        <v>664</v>
      </c>
      <c r="G5404" t="s">
        <v>388</v>
      </c>
      <c r="H5404" t="s">
        <v>247</v>
      </c>
      <c r="I5404">
        <v>198</v>
      </c>
      <c r="J5404" s="53">
        <v>0</v>
      </c>
      <c r="K5404" s="89"/>
      <c r="L5404" s="7"/>
      <c r="M5404" s="36" t="e">
        <f t="shared" si="332"/>
        <v>#DIV/0!</v>
      </c>
    </row>
    <row r="5405" spans="1:13" ht="15.75" hidden="1" customHeight="1" x14ac:dyDescent="0.3">
      <c r="A5405" s="9">
        <v>5614</v>
      </c>
      <c r="B5405" t="s">
        <v>244</v>
      </c>
      <c r="C5405" s="25">
        <v>44719</v>
      </c>
      <c r="D5405" s="26">
        <v>0.60743055555555558</v>
      </c>
      <c r="E5405" t="s">
        <v>29</v>
      </c>
      <c r="F5405" t="s">
        <v>723</v>
      </c>
      <c r="G5405" t="s">
        <v>238</v>
      </c>
      <c r="H5405" t="s">
        <v>247</v>
      </c>
      <c r="I5405">
        <v>254.67</v>
      </c>
      <c r="J5405" s="32">
        <v>0</v>
      </c>
      <c r="K5405" s="89">
        <f>+L5405-J4964</f>
        <v>0</v>
      </c>
      <c r="L5405" s="34"/>
      <c r="M5405" s="36" t="e">
        <f t="shared" si="332"/>
        <v>#DIV/0!</v>
      </c>
    </row>
    <row r="5406" spans="1:13" ht="15.75" hidden="1" customHeight="1" x14ac:dyDescent="0.3">
      <c r="A5406" s="9">
        <v>5615</v>
      </c>
      <c r="B5406" t="s">
        <v>244</v>
      </c>
      <c r="C5406" s="25">
        <v>44719</v>
      </c>
      <c r="D5406" s="26">
        <v>0.61370370370370375</v>
      </c>
      <c r="E5406" t="s">
        <v>29</v>
      </c>
      <c r="F5406" t="s">
        <v>723</v>
      </c>
      <c r="G5406" t="s">
        <v>238</v>
      </c>
      <c r="H5406" t="s">
        <v>247</v>
      </c>
      <c r="I5406">
        <v>183.28</v>
      </c>
      <c r="J5406" s="32">
        <v>0</v>
      </c>
      <c r="K5406" s="89">
        <f>+L5406-J4965</f>
        <v>0</v>
      </c>
      <c r="L5406" s="7"/>
      <c r="M5406" s="36" t="e">
        <f t="shared" si="332"/>
        <v>#DIV/0!</v>
      </c>
    </row>
    <row r="5407" spans="1:13" ht="15.75" hidden="1" customHeight="1" x14ac:dyDescent="0.3">
      <c r="A5407" s="9">
        <v>6108</v>
      </c>
      <c r="B5407" t="s">
        <v>244</v>
      </c>
      <c r="C5407" s="25">
        <v>44728</v>
      </c>
      <c r="D5407" s="26">
        <v>0.83354166666666663</v>
      </c>
      <c r="E5407" t="s">
        <v>29</v>
      </c>
      <c r="F5407" t="s">
        <v>728</v>
      </c>
      <c r="G5407" t="s">
        <v>320</v>
      </c>
      <c r="H5407" t="s">
        <v>239</v>
      </c>
      <c r="I5407">
        <v>199.61</v>
      </c>
      <c r="J5407" s="32">
        <v>0</v>
      </c>
      <c r="K5407" s="89"/>
      <c r="L5407" s="23"/>
      <c r="M5407" s="36" t="e">
        <f t="shared" si="332"/>
        <v>#DIV/0!</v>
      </c>
    </row>
    <row r="5408" spans="1:13" ht="15.75" hidden="1" customHeight="1" x14ac:dyDescent="0.3">
      <c r="A5408" s="9">
        <v>6109</v>
      </c>
      <c r="B5408" t="s">
        <v>244</v>
      </c>
      <c r="C5408" s="25">
        <v>44728</v>
      </c>
      <c r="D5408" s="26">
        <v>0.83824074074074073</v>
      </c>
      <c r="E5408" t="s">
        <v>29</v>
      </c>
      <c r="F5408" t="s">
        <v>728</v>
      </c>
      <c r="G5408" t="s">
        <v>320</v>
      </c>
      <c r="H5408" t="s">
        <v>239</v>
      </c>
      <c r="I5408">
        <v>160.37</v>
      </c>
      <c r="J5408" s="32">
        <v>0</v>
      </c>
      <c r="K5408" s="89"/>
      <c r="L5408" s="23"/>
      <c r="M5408" s="36" t="e">
        <f t="shared" si="332"/>
        <v>#DIV/0!</v>
      </c>
    </row>
    <row r="5409" spans="1:13" ht="15.75" hidden="1" customHeight="1" x14ac:dyDescent="0.3">
      <c r="A5409" s="9">
        <v>6342</v>
      </c>
      <c r="B5409" t="s">
        <v>244</v>
      </c>
      <c r="C5409" s="25">
        <v>44734</v>
      </c>
      <c r="D5409" s="26">
        <v>0.61603009259259256</v>
      </c>
      <c r="E5409" t="s">
        <v>29</v>
      </c>
      <c r="F5409" t="s">
        <v>757</v>
      </c>
      <c r="G5409" t="s">
        <v>295</v>
      </c>
      <c r="H5409" t="s">
        <v>247</v>
      </c>
      <c r="I5409">
        <v>170.58</v>
      </c>
      <c r="J5409" s="32">
        <v>0</v>
      </c>
      <c r="K5409" s="89"/>
      <c r="L5409" s="23"/>
      <c r="M5409" s="221"/>
    </row>
    <row r="5410" spans="1:13" ht="15.75" hidden="1" customHeight="1" x14ac:dyDescent="0.3">
      <c r="A5410" s="9">
        <v>6608</v>
      </c>
      <c r="B5410" t="s">
        <v>244</v>
      </c>
      <c r="C5410" s="25">
        <v>44739</v>
      </c>
      <c r="D5410" s="26">
        <v>0.77650462962962974</v>
      </c>
      <c r="E5410" t="s">
        <v>29</v>
      </c>
      <c r="F5410" t="s">
        <v>762</v>
      </c>
      <c r="G5410" t="s">
        <v>369</v>
      </c>
      <c r="H5410" t="s">
        <v>247</v>
      </c>
      <c r="I5410">
        <v>150</v>
      </c>
      <c r="J5410" s="32">
        <v>0</v>
      </c>
      <c r="K5410" s="89"/>
      <c r="L5410" s="49"/>
      <c r="M5410" s="36" t="e">
        <f t="shared" ref="M5410:M5424" si="334">I5410/K5410*100</f>
        <v>#DIV/0!</v>
      </c>
    </row>
    <row r="5411" spans="1:13" ht="15.75" hidden="1" customHeight="1" x14ac:dyDescent="0.3">
      <c r="A5411" s="9">
        <v>6609</v>
      </c>
      <c r="B5411" t="s">
        <v>244</v>
      </c>
      <c r="C5411" s="25">
        <v>44739</v>
      </c>
      <c r="D5411" s="26">
        <v>0.88984953703703706</v>
      </c>
      <c r="E5411" t="s">
        <v>29</v>
      </c>
      <c r="F5411" t="s">
        <v>647</v>
      </c>
      <c r="G5411" t="s">
        <v>242</v>
      </c>
      <c r="H5411" t="s">
        <v>247</v>
      </c>
      <c r="I5411">
        <v>185.13</v>
      </c>
      <c r="J5411" s="32">
        <v>0</v>
      </c>
      <c r="K5411" s="89"/>
      <c r="L5411" s="23"/>
      <c r="M5411" s="36" t="e">
        <f t="shared" si="334"/>
        <v>#DIV/0!</v>
      </c>
    </row>
    <row r="5412" spans="1:13" ht="15.75" hidden="1" customHeight="1" x14ac:dyDescent="0.3">
      <c r="B5412" t="s">
        <v>393</v>
      </c>
      <c r="C5412" s="25">
        <v>44583</v>
      </c>
      <c r="D5412" s="26">
        <v>6.5023148148148149E-2</v>
      </c>
      <c r="E5412" t="s">
        <v>24</v>
      </c>
      <c r="F5412" t="s">
        <v>226</v>
      </c>
      <c r="G5412" t="s">
        <v>227</v>
      </c>
      <c r="H5412" t="s">
        <v>230</v>
      </c>
      <c r="I5412">
        <v>255.6</v>
      </c>
      <c r="J5412" s="7">
        <v>0</v>
      </c>
      <c r="K5412" s="11">
        <f t="shared" ref="K5412:K5422" si="335">+L5412-J5412</f>
        <v>463.27</v>
      </c>
      <c r="L5412" s="7">
        <v>463.27</v>
      </c>
      <c r="M5412" s="36">
        <f t="shared" si="334"/>
        <v>55.173009260258596</v>
      </c>
    </row>
    <row r="5413" spans="1:13" ht="15.75" hidden="1" customHeight="1" x14ac:dyDescent="0.3">
      <c r="A5413" s="9">
        <v>663</v>
      </c>
      <c r="B5413" t="s">
        <v>393</v>
      </c>
      <c r="C5413" s="25">
        <v>44606</v>
      </c>
      <c r="D5413" s="26">
        <v>0.45999999999999996</v>
      </c>
      <c r="E5413" t="s">
        <v>25</v>
      </c>
      <c r="F5413" t="s">
        <v>387</v>
      </c>
      <c r="G5413" t="s">
        <v>388</v>
      </c>
      <c r="H5413" t="s">
        <v>224</v>
      </c>
      <c r="I5413">
        <v>405.85</v>
      </c>
      <c r="J5413" s="7">
        <v>0</v>
      </c>
      <c r="K5413" s="11">
        <f t="shared" si="335"/>
        <v>1059.1500000000001</v>
      </c>
      <c r="L5413" s="7">
        <v>1059.1500000000001</v>
      </c>
      <c r="M5413" s="36">
        <f t="shared" si="334"/>
        <v>38.318462918377946</v>
      </c>
    </row>
    <row r="5414" spans="1:13" ht="15.75" hidden="1" customHeight="1" x14ac:dyDescent="0.3">
      <c r="A5414" s="9">
        <v>675</v>
      </c>
      <c r="B5414" t="s">
        <v>393</v>
      </c>
      <c r="C5414" s="25">
        <v>44593</v>
      </c>
      <c r="D5414" s="26">
        <v>4.3078703703703702E-2</v>
      </c>
      <c r="E5414" t="s">
        <v>25</v>
      </c>
      <c r="F5414" t="s">
        <v>226</v>
      </c>
      <c r="G5414" t="s">
        <v>227</v>
      </c>
      <c r="H5414" t="s">
        <v>230</v>
      </c>
      <c r="I5414">
        <v>327.45999999999998</v>
      </c>
      <c r="J5414" s="7">
        <v>0</v>
      </c>
      <c r="K5414" s="11">
        <f t="shared" si="335"/>
        <v>608.91</v>
      </c>
      <c r="L5414" s="7">
        <v>608.91</v>
      </c>
      <c r="M5414" s="36">
        <f t="shared" si="334"/>
        <v>53.778062439440966</v>
      </c>
    </row>
    <row r="5415" spans="1:13" ht="15.75" hidden="1" customHeight="1" x14ac:dyDescent="0.3">
      <c r="A5415" s="9">
        <v>677</v>
      </c>
      <c r="B5415" t="s">
        <v>393</v>
      </c>
      <c r="C5415" s="25">
        <v>44599</v>
      </c>
      <c r="D5415" s="26">
        <v>0.1042013888888889</v>
      </c>
      <c r="E5415" t="s">
        <v>25</v>
      </c>
      <c r="F5415" t="s">
        <v>226</v>
      </c>
      <c r="G5415" t="s">
        <v>227</v>
      </c>
      <c r="H5415" t="s">
        <v>230</v>
      </c>
      <c r="I5415">
        <v>315.93</v>
      </c>
      <c r="J5415" s="7">
        <v>0</v>
      </c>
      <c r="K5415" s="11">
        <f t="shared" si="335"/>
        <v>567.88</v>
      </c>
      <c r="L5415" s="7">
        <v>567.88</v>
      </c>
      <c r="M5415" s="36">
        <f t="shared" si="334"/>
        <v>55.633232373036556</v>
      </c>
    </row>
    <row r="5416" spans="1:13" ht="15.75" hidden="1" customHeight="1" x14ac:dyDescent="0.3">
      <c r="A5416" s="9">
        <v>678</v>
      </c>
      <c r="B5416" t="s">
        <v>393</v>
      </c>
      <c r="C5416" s="25">
        <v>44603</v>
      </c>
      <c r="D5416" s="26">
        <v>5.8981481481481489E-2</v>
      </c>
      <c r="E5416" t="s">
        <v>25</v>
      </c>
      <c r="F5416" t="s">
        <v>226</v>
      </c>
      <c r="G5416" t="s">
        <v>227</v>
      </c>
      <c r="H5416" t="s">
        <v>230</v>
      </c>
      <c r="I5416">
        <v>385.71</v>
      </c>
      <c r="J5416" s="34">
        <v>0</v>
      </c>
      <c r="K5416" s="11">
        <f t="shared" si="335"/>
        <v>638.29999999999995</v>
      </c>
      <c r="L5416" s="34">
        <v>638.29999999999995</v>
      </c>
      <c r="M5416" s="36">
        <f t="shared" si="334"/>
        <v>60.427698574338088</v>
      </c>
    </row>
    <row r="5417" spans="1:13" ht="15.75" hidden="1" customHeight="1" x14ac:dyDescent="0.3">
      <c r="A5417" s="9">
        <v>1754</v>
      </c>
      <c r="B5417" t="s">
        <v>393</v>
      </c>
      <c r="C5417" s="25">
        <v>44651</v>
      </c>
      <c r="D5417" s="26">
        <v>0.15511574074074075</v>
      </c>
      <c r="E5417" t="s">
        <v>26</v>
      </c>
      <c r="F5417" t="s">
        <v>226</v>
      </c>
      <c r="G5417" t="s">
        <v>227</v>
      </c>
      <c r="H5417" t="s">
        <v>224</v>
      </c>
      <c r="I5417">
        <v>227.64</v>
      </c>
      <c r="J5417" s="34">
        <v>0</v>
      </c>
      <c r="K5417" s="89">
        <f t="shared" si="335"/>
        <v>885896</v>
      </c>
      <c r="L5417" s="8">
        <v>885896</v>
      </c>
      <c r="M5417" s="36">
        <f t="shared" si="334"/>
        <v>2.5696018494270209E-2</v>
      </c>
    </row>
    <row r="5418" spans="1:13" ht="15.75" hidden="1" customHeight="1" x14ac:dyDescent="0.3">
      <c r="A5418" s="9">
        <v>1762</v>
      </c>
      <c r="B5418" t="s">
        <v>393</v>
      </c>
      <c r="C5418" s="25">
        <v>44623</v>
      </c>
      <c r="D5418" s="26">
        <v>4.3437499999999997E-2</v>
      </c>
      <c r="E5418" t="s">
        <v>26</v>
      </c>
      <c r="F5418" t="s">
        <v>226</v>
      </c>
      <c r="G5418" t="s">
        <v>227</v>
      </c>
      <c r="H5418" t="s">
        <v>230</v>
      </c>
      <c r="I5418">
        <v>261.66000000000003</v>
      </c>
      <c r="J5418" s="34"/>
      <c r="K5418" s="89">
        <f t="shared" si="335"/>
        <v>10000</v>
      </c>
      <c r="L5418" s="7">
        <v>10000</v>
      </c>
      <c r="M5418" s="36">
        <f t="shared" si="334"/>
        <v>2.6166</v>
      </c>
    </row>
    <row r="5419" spans="1:13" ht="15.75" hidden="1" customHeight="1" x14ac:dyDescent="0.3">
      <c r="A5419" s="9">
        <v>1763</v>
      </c>
      <c r="B5419" t="s">
        <v>393</v>
      </c>
      <c r="C5419" s="25">
        <v>44627</v>
      </c>
      <c r="D5419" s="26">
        <v>8.8240740740740745E-2</v>
      </c>
      <c r="E5419" t="s">
        <v>26</v>
      </c>
      <c r="F5419" t="s">
        <v>226</v>
      </c>
      <c r="G5419" t="s">
        <v>227</v>
      </c>
      <c r="H5419" t="s">
        <v>230</v>
      </c>
      <c r="I5419">
        <v>361.21</v>
      </c>
      <c r="J5419" s="44"/>
      <c r="K5419" s="89">
        <f t="shared" si="335"/>
        <v>858969</v>
      </c>
      <c r="L5419" s="8">
        <v>858969</v>
      </c>
      <c r="M5419" s="36">
        <f t="shared" si="334"/>
        <v>4.2051575784457874E-2</v>
      </c>
    </row>
    <row r="5420" spans="1:13" ht="15.75" hidden="1" customHeight="1" x14ac:dyDescent="0.3">
      <c r="A5420" s="9">
        <v>3012</v>
      </c>
      <c r="B5420" t="s">
        <v>393</v>
      </c>
      <c r="C5420" s="25">
        <v>44656</v>
      </c>
      <c r="D5420" s="26">
        <v>0.14466435185185186</v>
      </c>
      <c r="E5420" t="s">
        <v>27</v>
      </c>
      <c r="F5420" t="s">
        <v>226</v>
      </c>
      <c r="G5420" t="s">
        <v>227</v>
      </c>
      <c r="H5420" t="s">
        <v>224</v>
      </c>
      <c r="I5420" s="4">
        <v>200</v>
      </c>
      <c r="J5420" s="34">
        <v>0</v>
      </c>
      <c r="K5420" s="89">
        <f t="shared" si="335"/>
        <v>100000</v>
      </c>
      <c r="L5420" s="19">
        <v>100000</v>
      </c>
      <c r="M5420" s="36">
        <f t="shared" si="334"/>
        <v>0.2</v>
      </c>
    </row>
    <row r="5421" spans="1:13" ht="15.75" hidden="1" customHeight="1" x14ac:dyDescent="0.3">
      <c r="A5421" s="9">
        <v>3013</v>
      </c>
      <c r="B5421" t="s">
        <v>393</v>
      </c>
      <c r="C5421" s="25">
        <v>44658</v>
      </c>
      <c r="D5421" s="26">
        <v>0.15884259259259259</v>
      </c>
      <c r="E5421" t="s">
        <v>27</v>
      </c>
      <c r="F5421" t="s">
        <v>226</v>
      </c>
      <c r="G5421" t="s">
        <v>227</v>
      </c>
      <c r="H5421" t="s">
        <v>224</v>
      </c>
      <c r="I5421" s="4">
        <v>200</v>
      </c>
      <c r="J5421" s="34">
        <v>0</v>
      </c>
      <c r="K5421" s="89">
        <f t="shared" si="335"/>
        <v>850000</v>
      </c>
      <c r="L5421" s="19">
        <v>850000</v>
      </c>
      <c r="M5421" s="36">
        <f t="shared" si="334"/>
        <v>2.3529411764705882E-2</v>
      </c>
    </row>
    <row r="5422" spans="1:13" ht="15.75" hidden="1" customHeight="1" x14ac:dyDescent="0.3">
      <c r="A5422" s="9">
        <v>3014</v>
      </c>
      <c r="B5422" t="s">
        <v>393</v>
      </c>
      <c r="C5422" s="25">
        <v>44658</v>
      </c>
      <c r="D5422" s="26">
        <v>0.98856481481481484</v>
      </c>
      <c r="E5422" t="s">
        <v>27</v>
      </c>
      <c r="F5422" t="s">
        <v>226</v>
      </c>
      <c r="G5422" t="s">
        <v>227</v>
      </c>
      <c r="H5422" t="s">
        <v>224</v>
      </c>
      <c r="I5422" s="4">
        <v>162.87</v>
      </c>
      <c r="J5422" s="34">
        <v>0</v>
      </c>
      <c r="K5422" s="89">
        <f t="shared" si="335"/>
        <v>850000</v>
      </c>
      <c r="L5422" s="19">
        <v>850000</v>
      </c>
      <c r="M5422" s="36">
        <f t="shared" si="334"/>
        <v>1.9161176470588237E-2</v>
      </c>
    </row>
    <row r="5423" spans="1:13" ht="15.75" hidden="1" customHeight="1" x14ac:dyDescent="0.3">
      <c r="A5423" s="9">
        <v>4214</v>
      </c>
      <c r="B5423" t="s">
        <v>393</v>
      </c>
      <c r="C5423" s="25">
        <v>44693</v>
      </c>
      <c r="D5423" s="26">
        <v>8.6122685185185177E-2</v>
      </c>
      <c r="E5423" t="s">
        <v>28</v>
      </c>
      <c r="F5423" t="s">
        <v>226</v>
      </c>
      <c r="G5423" t="s">
        <v>227</v>
      </c>
      <c r="H5423" t="s">
        <v>224</v>
      </c>
      <c r="I5423">
        <v>100</v>
      </c>
      <c r="J5423"/>
      <c r="K5423" s="89">
        <f>+L5423-J5556</f>
        <v>858999</v>
      </c>
      <c r="L5423">
        <v>858999</v>
      </c>
      <c r="M5423" s="10">
        <f t="shared" si="334"/>
        <v>1.1641457091335379E-2</v>
      </c>
    </row>
    <row r="5424" spans="1:13" ht="15.75" hidden="1" customHeight="1" x14ac:dyDescent="0.3">
      <c r="A5424" s="9">
        <v>4279</v>
      </c>
      <c r="B5424" t="s">
        <v>393</v>
      </c>
      <c r="C5424" s="25">
        <v>44694</v>
      </c>
      <c r="D5424" s="26">
        <v>9.0254629629629643E-2</v>
      </c>
      <c r="E5424" t="s">
        <v>28</v>
      </c>
      <c r="F5424" t="s">
        <v>226</v>
      </c>
      <c r="G5424" t="s">
        <v>227</v>
      </c>
      <c r="H5424" t="s">
        <v>224</v>
      </c>
      <c r="I5424">
        <v>172.83</v>
      </c>
      <c r="J5424"/>
      <c r="K5424" s="89">
        <f>+L5424-J5697</f>
        <v>999888</v>
      </c>
      <c r="L5424">
        <v>999888</v>
      </c>
      <c r="M5424" s="10">
        <f t="shared" si="334"/>
        <v>1.7284935912822236E-2</v>
      </c>
    </row>
    <row r="5425" spans="1:13" ht="15.75" hidden="1" customHeight="1" x14ac:dyDescent="0.3">
      <c r="A5425" s="9">
        <v>6457</v>
      </c>
      <c r="B5425" t="s">
        <v>270</v>
      </c>
      <c r="C5425" s="25">
        <v>44736</v>
      </c>
      <c r="D5425" s="26">
        <v>0.43962962962962965</v>
      </c>
      <c r="E5425" t="s">
        <v>29</v>
      </c>
      <c r="F5425" t="s">
        <v>634</v>
      </c>
      <c r="G5425" t="s">
        <v>211</v>
      </c>
      <c r="H5425" t="s">
        <v>132</v>
      </c>
      <c r="I5425" s="159">
        <v>380.19</v>
      </c>
      <c r="J5425" s="198">
        <f>380+318+71+98+316+297+415+354</f>
        <v>2249</v>
      </c>
      <c r="K5425" s="228">
        <v>913</v>
      </c>
      <c r="L5425" s="154">
        <v>6357</v>
      </c>
      <c r="M5425" s="232">
        <f>+J5425/L5425*100</f>
        <v>35.378323108384457</v>
      </c>
    </row>
    <row r="5426" spans="1:13" ht="15.75" hidden="1" customHeight="1" x14ac:dyDescent="0.3">
      <c r="B5426" t="s">
        <v>194</v>
      </c>
      <c r="C5426" s="25">
        <v>44768</v>
      </c>
      <c r="D5426" s="26">
        <v>0.75627314814814817</v>
      </c>
      <c r="E5426" t="s">
        <v>30</v>
      </c>
      <c r="F5426" t="s">
        <v>169</v>
      </c>
      <c r="G5426" t="s">
        <v>196</v>
      </c>
      <c r="H5426" t="s">
        <v>195</v>
      </c>
      <c r="I5426" s="160">
        <v>183.98</v>
      </c>
      <c r="J5426" s="8"/>
      <c r="K5426" s="8">
        <v>651073</v>
      </c>
      <c r="L5426" s="8">
        <f>+K5426-J5426</f>
        <v>651073</v>
      </c>
      <c r="M5426" s="254">
        <f>+J5426/L5426*100</f>
        <v>0</v>
      </c>
    </row>
    <row r="5427" spans="1:13" ht="15.75" hidden="1" customHeight="1" x14ac:dyDescent="0.3">
      <c r="B5427" t="s">
        <v>194</v>
      </c>
      <c r="C5427" s="25">
        <v>44769</v>
      </c>
      <c r="D5427" s="26">
        <v>0.44230324074074073</v>
      </c>
      <c r="E5427" t="s">
        <v>30</v>
      </c>
      <c r="F5427" t="s">
        <v>391</v>
      </c>
      <c r="G5427" t="s">
        <v>392</v>
      </c>
      <c r="H5427" t="s">
        <v>195</v>
      </c>
      <c r="I5427" s="160">
        <v>170.74</v>
      </c>
      <c r="J5427" s="8"/>
      <c r="K5427" s="8">
        <v>651488</v>
      </c>
      <c r="L5427" s="8">
        <f>+K5427-J5427</f>
        <v>651488</v>
      </c>
      <c r="M5427" s="254">
        <f>+J5427/L5427*100</f>
        <v>0</v>
      </c>
    </row>
    <row r="5428" spans="1:13" ht="15.75" hidden="1" customHeight="1" x14ac:dyDescent="0.3">
      <c r="B5428" t="s">
        <v>194</v>
      </c>
      <c r="C5428" s="25">
        <v>44773</v>
      </c>
      <c r="D5428" s="26">
        <v>0.45505787037037032</v>
      </c>
      <c r="E5428" t="s">
        <v>30</v>
      </c>
      <c r="F5428" t="s">
        <v>343</v>
      </c>
      <c r="G5428" t="s">
        <v>344</v>
      </c>
      <c r="H5428" t="s">
        <v>195</v>
      </c>
      <c r="I5428" s="160">
        <v>170.71</v>
      </c>
      <c r="J5428" s="8"/>
      <c r="K5428" s="8">
        <v>648468</v>
      </c>
      <c r="L5428" s="8">
        <f>+K5428-J5428</f>
        <v>648468</v>
      </c>
      <c r="M5428" s="254">
        <f>+J5428/L5428*100</f>
        <v>0</v>
      </c>
    </row>
    <row r="5429" spans="1:13" ht="15.75" hidden="1" customHeight="1" x14ac:dyDescent="0.3">
      <c r="B5429" t="s">
        <v>270</v>
      </c>
      <c r="C5429" s="25">
        <v>44566</v>
      </c>
      <c r="D5429" s="26">
        <v>0.53986111111111112</v>
      </c>
      <c r="E5429" t="s">
        <v>24</v>
      </c>
      <c r="F5429" t="s">
        <v>210</v>
      </c>
      <c r="G5429" t="s">
        <v>211</v>
      </c>
      <c r="H5429" t="s">
        <v>132</v>
      </c>
      <c r="I5429">
        <v>374.77</v>
      </c>
      <c r="J5429" s="51">
        <v>0</v>
      </c>
      <c r="K5429" s="30">
        <f t="shared" ref="K5429:K5460" si="336">+L5429-J5429</f>
        <v>855.93</v>
      </c>
      <c r="L5429" s="51">
        <v>855.93</v>
      </c>
      <c r="M5429" s="61">
        <f t="shared" ref="M5429:M5460" si="337">I5429/K5429*100</f>
        <v>43.785122615167126</v>
      </c>
    </row>
    <row r="5430" spans="1:13" ht="15.75" hidden="1" customHeight="1" x14ac:dyDescent="0.3">
      <c r="B5430" t="s">
        <v>270</v>
      </c>
      <c r="C5430" s="25">
        <v>44568</v>
      </c>
      <c r="D5430" s="26">
        <v>0.46561342592592592</v>
      </c>
      <c r="E5430" t="s">
        <v>24</v>
      </c>
      <c r="F5430" t="s">
        <v>210</v>
      </c>
      <c r="G5430" t="s">
        <v>211</v>
      </c>
      <c r="H5430" t="s">
        <v>132</v>
      </c>
      <c r="I5430">
        <v>390.01</v>
      </c>
      <c r="J5430" s="51">
        <v>0</v>
      </c>
      <c r="K5430" s="11">
        <f t="shared" si="336"/>
        <v>1065.0999999999999</v>
      </c>
      <c r="L5430" s="51">
        <v>1065.0999999999999</v>
      </c>
      <c r="M5430" s="10">
        <f t="shared" si="337"/>
        <v>36.617219040465685</v>
      </c>
    </row>
    <row r="5431" spans="1:13" ht="15.75" hidden="1" customHeight="1" x14ac:dyDescent="0.3">
      <c r="B5431" t="s">
        <v>270</v>
      </c>
      <c r="C5431" s="25">
        <v>44570</v>
      </c>
      <c r="D5431" s="26">
        <v>0.93972222222222224</v>
      </c>
      <c r="E5431" t="s">
        <v>24</v>
      </c>
      <c r="F5431" t="s">
        <v>205</v>
      </c>
      <c r="G5431" t="s">
        <v>206</v>
      </c>
      <c r="H5431" t="s">
        <v>132</v>
      </c>
      <c r="I5431">
        <v>331.86</v>
      </c>
      <c r="J5431" s="51">
        <v>0</v>
      </c>
      <c r="K5431" s="11">
        <f t="shared" si="336"/>
        <v>963.21</v>
      </c>
      <c r="L5431" s="51">
        <v>963.21</v>
      </c>
      <c r="M5431" s="10">
        <f t="shared" si="337"/>
        <v>34.453545955710588</v>
      </c>
    </row>
    <row r="5432" spans="1:13" ht="15.75" hidden="1" customHeight="1" x14ac:dyDescent="0.3">
      <c r="B5432" t="s">
        <v>270</v>
      </c>
      <c r="C5432" s="25">
        <v>44572</v>
      </c>
      <c r="D5432" s="26">
        <v>0.13158564814814813</v>
      </c>
      <c r="E5432" t="s">
        <v>24</v>
      </c>
      <c r="F5432" t="s">
        <v>210</v>
      </c>
      <c r="G5432" t="s">
        <v>211</v>
      </c>
      <c r="H5432" t="s">
        <v>132</v>
      </c>
      <c r="I5432">
        <v>310.67</v>
      </c>
      <c r="J5432" s="51">
        <v>0</v>
      </c>
      <c r="K5432" s="11">
        <f t="shared" si="336"/>
        <v>1240.1199999999999</v>
      </c>
      <c r="L5432" s="51">
        <v>1240.1199999999999</v>
      </c>
      <c r="M5432" s="10">
        <f t="shared" si="337"/>
        <v>25.051607908912043</v>
      </c>
    </row>
    <row r="5433" spans="1:13" ht="15.75" hidden="1" customHeight="1" x14ac:dyDescent="0.3">
      <c r="B5433" t="s">
        <v>270</v>
      </c>
      <c r="C5433" s="25">
        <v>44573</v>
      </c>
      <c r="D5433" s="26">
        <v>0.93694444444444447</v>
      </c>
      <c r="E5433" t="s">
        <v>24</v>
      </c>
      <c r="F5433" t="s">
        <v>210</v>
      </c>
      <c r="G5433" t="s">
        <v>211</v>
      </c>
      <c r="H5433" t="s">
        <v>132</v>
      </c>
      <c r="I5433">
        <v>475.6</v>
      </c>
      <c r="J5433" s="51">
        <v>0</v>
      </c>
      <c r="K5433" s="11">
        <f t="shared" si="336"/>
        <v>1114.28</v>
      </c>
      <c r="L5433" s="51">
        <v>1114.28</v>
      </c>
      <c r="M5433" s="10">
        <f t="shared" si="337"/>
        <v>42.682270165488028</v>
      </c>
    </row>
    <row r="5434" spans="1:13" ht="15.75" hidden="1" customHeight="1" x14ac:dyDescent="0.3">
      <c r="B5434" t="s">
        <v>270</v>
      </c>
      <c r="C5434" s="25">
        <v>44576</v>
      </c>
      <c r="D5434" s="26">
        <v>0.50359953703703708</v>
      </c>
      <c r="E5434" t="s">
        <v>24</v>
      </c>
      <c r="F5434" t="s">
        <v>175</v>
      </c>
      <c r="G5434" t="s">
        <v>172</v>
      </c>
      <c r="H5434" t="s">
        <v>132</v>
      </c>
      <c r="I5434">
        <v>367.49</v>
      </c>
      <c r="J5434" s="51">
        <v>0</v>
      </c>
      <c r="K5434" s="11">
        <f t="shared" si="336"/>
        <v>950.59</v>
      </c>
      <c r="L5434" s="51">
        <v>950.59</v>
      </c>
      <c r="M5434" s="10">
        <f t="shared" si="337"/>
        <v>38.659148528808423</v>
      </c>
    </row>
    <row r="5435" spans="1:13" ht="15.75" hidden="1" customHeight="1" x14ac:dyDescent="0.3">
      <c r="B5435" t="s">
        <v>270</v>
      </c>
      <c r="C5435" s="25">
        <v>44577</v>
      </c>
      <c r="D5435" s="26">
        <v>0.47137731481481482</v>
      </c>
      <c r="E5435" t="s">
        <v>24</v>
      </c>
      <c r="F5435" t="s">
        <v>210</v>
      </c>
      <c r="G5435" t="s">
        <v>211</v>
      </c>
      <c r="H5435" t="s">
        <v>132</v>
      </c>
      <c r="I5435">
        <v>360.22</v>
      </c>
      <c r="J5435" s="51">
        <v>0</v>
      </c>
      <c r="K5435" s="11">
        <f t="shared" si="336"/>
        <v>823.21</v>
      </c>
      <c r="L5435" s="51">
        <v>823.21</v>
      </c>
      <c r="M5435" s="10">
        <f t="shared" si="337"/>
        <v>43.757971841935841</v>
      </c>
    </row>
    <row r="5436" spans="1:13" ht="15.75" hidden="1" customHeight="1" x14ac:dyDescent="0.3">
      <c r="B5436" t="s">
        <v>270</v>
      </c>
      <c r="C5436" s="25">
        <v>44578</v>
      </c>
      <c r="D5436" s="26">
        <v>0.62949074074074074</v>
      </c>
      <c r="E5436" t="s">
        <v>24</v>
      </c>
      <c r="F5436" t="s">
        <v>210</v>
      </c>
      <c r="G5436" t="s">
        <v>211</v>
      </c>
      <c r="H5436" t="s">
        <v>132</v>
      </c>
      <c r="I5436">
        <v>435.89</v>
      </c>
      <c r="J5436" s="51">
        <v>0</v>
      </c>
      <c r="K5436" s="11">
        <f t="shared" si="336"/>
        <v>1032.54</v>
      </c>
      <c r="L5436" s="51">
        <v>1032.54</v>
      </c>
      <c r="M5436" s="10">
        <f t="shared" si="337"/>
        <v>42.215313692447751</v>
      </c>
    </row>
    <row r="5437" spans="1:13" ht="15.75" hidden="1" customHeight="1" x14ac:dyDescent="0.3">
      <c r="B5437" t="s">
        <v>270</v>
      </c>
      <c r="C5437" s="25">
        <v>44579</v>
      </c>
      <c r="D5437" s="26">
        <v>0.748113425925926</v>
      </c>
      <c r="E5437" t="s">
        <v>24</v>
      </c>
      <c r="F5437" t="s">
        <v>175</v>
      </c>
      <c r="G5437" t="s">
        <v>172</v>
      </c>
      <c r="H5437" t="s">
        <v>132</v>
      </c>
      <c r="I5437">
        <v>170.33</v>
      </c>
      <c r="J5437" s="51">
        <v>0</v>
      </c>
      <c r="K5437" s="11">
        <f t="shared" si="336"/>
        <v>988.74</v>
      </c>
      <c r="L5437" s="51">
        <v>988.74</v>
      </c>
      <c r="M5437" s="10">
        <f t="shared" si="337"/>
        <v>17.226975746910213</v>
      </c>
    </row>
    <row r="5438" spans="1:13" ht="15.75" hidden="1" customHeight="1" x14ac:dyDescent="0.3">
      <c r="B5438" t="s">
        <v>270</v>
      </c>
      <c r="C5438" s="25">
        <v>44580</v>
      </c>
      <c r="D5438" s="26">
        <v>0.39674768518518522</v>
      </c>
      <c r="E5438" t="s">
        <v>24</v>
      </c>
      <c r="F5438" t="s">
        <v>171</v>
      </c>
      <c r="G5438" t="s">
        <v>172</v>
      </c>
      <c r="H5438" t="s">
        <v>132</v>
      </c>
      <c r="I5438">
        <v>213.75</v>
      </c>
      <c r="J5438" s="51">
        <v>0</v>
      </c>
      <c r="K5438" s="11">
        <f t="shared" si="336"/>
        <v>138.91</v>
      </c>
      <c r="L5438" s="51">
        <v>138.91</v>
      </c>
      <c r="M5438" s="10">
        <f t="shared" si="337"/>
        <v>153.87661075516522</v>
      </c>
    </row>
    <row r="5439" spans="1:13" ht="15.75" hidden="1" customHeight="1" x14ac:dyDescent="0.3">
      <c r="B5439" t="s">
        <v>270</v>
      </c>
      <c r="C5439" s="25">
        <v>44580</v>
      </c>
      <c r="D5439" s="26">
        <v>0.90203703703703697</v>
      </c>
      <c r="E5439" t="s">
        <v>24</v>
      </c>
      <c r="F5439" t="s">
        <v>210</v>
      </c>
      <c r="G5439" t="s">
        <v>211</v>
      </c>
      <c r="H5439" t="s">
        <v>132</v>
      </c>
      <c r="I5439">
        <v>363.14</v>
      </c>
      <c r="J5439" s="51">
        <v>0</v>
      </c>
      <c r="K5439" s="11">
        <f t="shared" si="336"/>
        <v>693.83</v>
      </c>
      <c r="L5439" s="51">
        <v>693.83</v>
      </c>
      <c r="M5439" s="10">
        <f t="shared" si="337"/>
        <v>52.338469077439711</v>
      </c>
    </row>
    <row r="5440" spans="1:13" ht="15.75" hidden="1" customHeight="1" x14ac:dyDescent="0.3">
      <c r="B5440" t="s">
        <v>270</v>
      </c>
      <c r="C5440" s="25">
        <v>44582</v>
      </c>
      <c r="D5440" s="26">
        <v>0.76666666666666661</v>
      </c>
      <c r="E5440" t="s">
        <v>24</v>
      </c>
      <c r="F5440" t="s">
        <v>210</v>
      </c>
      <c r="G5440" t="s">
        <v>211</v>
      </c>
      <c r="H5440" t="s">
        <v>132</v>
      </c>
      <c r="I5440">
        <v>407.8</v>
      </c>
      <c r="J5440" s="51">
        <v>0</v>
      </c>
      <c r="K5440" s="11">
        <f t="shared" si="336"/>
        <v>1064.8599999999999</v>
      </c>
      <c r="L5440" s="51">
        <v>1064.8599999999999</v>
      </c>
      <c r="M5440" s="10">
        <f t="shared" si="337"/>
        <v>38.296114043160607</v>
      </c>
    </row>
    <row r="5441" spans="1:13" ht="15.75" hidden="1" customHeight="1" x14ac:dyDescent="0.3">
      <c r="B5441" t="s">
        <v>270</v>
      </c>
      <c r="C5441" s="25">
        <v>44592</v>
      </c>
      <c r="D5441" s="26">
        <v>0.55972222222222223</v>
      </c>
      <c r="E5441" t="s">
        <v>24</v>
      </c>
      <c r="F5441" t="s">
        <v>175</v>
      </c>
      <c r="G5441" t="s">
        <v>172</v>
      </c>
      <c r="H5441" t="s">
        <v>132</v>
      </c>
      <c r="I5441">
        <v>347.55</v>
      </c>
      <c r="J5441" s="51">
        <v>0</v>
      </c>
      <c r="K5441" s="11">
        <f t="shared" si="336"/>
        <v>967.32</v>
      </c>
      <c r="L5441" s="51">
        <v>967.32</v>
      </c>
      <c r="M5441" s="10">
        <f t="shared" si="337"/>
        <v>35.929165115990571</v>
      </c>
    </row>
    <row r="5442" spans="1:13" ht="15.75" hidden="1" customHeight="1" x14ac:dyDescent="0.3">
      <c r="A5442" s="9">
        <v>952</v>
      </c>
      <c r="B5442" t="s">
        <v>270</v>
      </c>
      <c r="C5442" s="25">
        <v>44593</v>
      </c>
      <c r="D5442" s="26">
        <v>0.98487268518518523</v>
      </c>
      <c r="E5442" t="s">
        <v>25</v>
      </c>
      <c r="F5442" t="s">
        <v>210</v>
      </c>
      <c r="G5442" t="s">
        <v>211</v>
      </c>
      <c r="H5442" t="s">
        <v>132</v>
      </c>
      <c r="I5442">
        <v>370.9</v>
      </c>
      <c r="J5442" s="51">
        <v>0</v>
      </c>
      <c r="K5442" s="11">
        <f t="shared" si="336"/>
        <v>823.52</v>
      </c>
      <c r="L5442" s="51">
        <v>823.52</v>
      </c>
      <c r="M5442" s="10">
        <f t="shared" si="337"/>
        <v>45.038371867107053</v>
      </c>
    </row>
    <row r="5443" spans="1:13" ht="15.75" hidden="1" customHeight="1" x14ac:dyDescent="0.3">
      <c r="A5443" s="9">
        <v>953</v>
      </c>
      <c r="B5443" t="s">
        <v>270</v>
      </c>
      <c r="C5443" s="25">
        <v>44595</v>
      </c>
      <c r="D5443" s="26">
        <v>0.76818287037037036</v>
      </c>
      <c r="E5443" t="s">
        <v>25</v>
      </c>
      <c r="F5443" t="s">
        <v>210</v>
      </c>
      <c r="G5443" t="s">
        <v>211</v>
      </c>
      <c r="H5443" t="s">
        <v>132</v>
      </c>
      <c r="I5443">
        <v>432.02</v>
      </c>
      <c r="J5443" s="51">
        <v>0</v>
      </c>
      <c r="K5443" s="11">
        <f t="shared" si="336"/>
        <v>1076.54</v>
      </c>
      <c r="L5443" s="51">
        <v>1076.54</v>
      </c>
      <c r="M5443" s="10">
        <f t="shared" si="337"/>
        <v>40.130417820053133</v>
      </c>
    </row>
    <row r="5444" spans="1:13" ht="15.75" hidden="1" customHeight="1" x14ac:dyDescent="0.3">
      <c r="A5444" s="9">
        <v>954</v>
      </c>
      <c r="B5444" t="s">
        <v>270</v>
      </c>
      <c r="C5444" s="25">
        <v>44596</v>
      </c>
      <c r="D5444" s="26">
        <v>0.87793981481481476</v>
      </c>
      <c r="E5444" t="s">
        <v>25</v>
      </c>
      <c r="F5444" t="s">
        <v>175</v>
      </c>
      <c r="G5444" t="s">
        <v>172</v>
      </c>
      <c r="H5444" t="s">
        <v>132</v>
      </c>
      <c r="I5444">
        <v>334.32</v>
      </c>
      <c r="J5444" s="51">
        <v>0</v>
      </c>
      <c r="K5444" s="11">
        <f t="shared" si="336"/>
        <v>901.83</v>
      </c>
      <c r="L5444" s="51">
        <v>901.83</v>
      </c>
      <c r="M5444" s="10">
        <f t="shared" si="337"/>
        <v>37.071288380293396</v>
      </c>
    </row>
    <row r="5445" spans="1:13" ht="15.75" hidden="1" customHeight="1" x14ac:dyDescent="0.3">
      <c r="A5445" s="9">
        <v>955</v>
      </c>
      <c r="B5445" t="s">
        <v>270</v>
      </c>
      <c r="C5445" s="25">
        <v>44598</v>
      </c>
      <c r="D5445" s="26">
        <v>0.35340277777777779</v>
      </c>
      <c r="E5445" t="s">
        <v>25</v>
      </c>
      <c r="F5445" t="s">
        <v>210</v>
      </c>
      <c r="G5445" t="s">
        <v>211</v>
      </c>
      <c r="H5445" t="s">
        <v>132</v>
      </c>
      <c r="I5445">
        <v>368.62</v>
      </c>
      <c r="J5445" s="51">
        <v>0</v>
      </c>
      <c r="K5445" s="11">
        <f t="shared" si="336"/>
        <v>832.28</v>
      </c>
      <c r="L5445" s="51">
        <v>832.28</v>
      </c>
      <c r="M5445" s="10">
        <f t="shared" si="337"/>
        <v>44.290383044167832</v>
      </c>
    </row>
    <row r="5446" spans="1:13" ht="15.75" hidden="1" customHeight="1" x14ac:dyDescent="0.3">
      <c r="A5446" s="9">
        <v>956</v>
      </c>
      <c r="B5446" t="s">
        <v>270</v>
      </c>
      <c r="C5446" s="25">
        <v>44599</v>
      </c>
      <c r="D5446" s="26">
        <v>0.7093287037037036</v>
      </c>
      <c r="E5446" t="s">
        <v>25</v>
      </c>
      <c r="F5446" t="s">
        <v>210</v>
      </c>
      <c r="G5446" t="s">
        <v>211</v>
      </c>
      <c r="H5446" t="s">
        <v>132</v>
      </c>
      <c r="I5446">
        <v>413.75</v>
      </c>
      <c r="J5446" s="51">
        <v>0</v>
      </c>
      <c r="K5446" s="11">
        <f t="shared" si="336"/>
        <v>1064.1300000000001</v>
      </c>
      <c r="L5446" s="51">
        <v>1064.1300000000001</v>
      </c>
      <c r="M5446" s="10">
        <f t="shared" si="337"/>
        <v>38.881527632901992</v>
      </c>
    </row>
    <row r="5447" spans="1:13" ht="15.75" hidden="1" customHeight="1" x14ac:dyDescent="0.3">
      <c r="A5447" s="9">
        <v>957</v>
      </c>
      <c r="B5447" t="s">
        <v>270</v>
      </c>
      <c r="C5447" s="25">
        <v>44600</v>
      </c>
      <c r="D5447" s="26">
        <v>0.9083796296296297</v>
      </c>
      <c r="E5447" t="s">
        <v>25</v>
      </c>
      <c r="F5447" t="s">
        <v>205</v>
      </c>
      <c r="G5447" t="s">
        <v>206</v>
      </c>
      <c r="H5447" t="s">
        <v>132</v>
      </c>
      <c r="I5447">
        <v>355.69</v>
      </c>
      <c r="J5447" s="51">
        <v>0</v>
      </c>
      <c r="K5447" s="11">
        <f t="shared" si="336"/>
        <v>960.75</v>
      </c>
      <c r="L5447" s="51">
        <v>960.75</v>
      </c>
      <c r="M5447" s="10">
        <f t="shared" si="337"/>
        <v>37.022118136872237</v>
      </c>
    </row>
    <row r="5448" spans="1:13" ht="15.75" hidden="1" customHeight="1" x14ac:dyDescent="0.3">
      <c r="A5448" s="9">
        <v>958</v>
      </c>
      <c r="B5448" t="s">
        <v>270</v>
      </c>
      <c r="C5448" s="25">
        <v>44601</v>
      </c>
      <c r="D5448" s="26">
        <v>0.57568287037037036</v>
      </c>
      <c r="E5448" t="s">
        <v>25</v>
      </c>
      <c r="F5448" t="s">
        <v>210</v>
      </c>
      <c r="G5448" t="s">
        <v>211</v>
      </c>
      <c r="H5448" t="s">
        <v>132</v>
      </c>
      <c r="I5448">
        <v>295.52999999999997</v>
      </c>
      <c r="J5448" s="7">
        <v>0</v>
      </c>
      <c r="K5448" s="11">
        <f t="shared" si="336"/>
        <v>692.75</v>
      </c>
      <c r="L5448" s="32">
        <v>692.75</v>
      </c>
      <c r="M5448" s="36">
        <f t="shared" si="337"/>
        <v>42.660411403825336</v>
      </c>
    </row>
    <row r="5449" spans="1:13" ht="15.75" hidden="1" customHeight="1" x14ac:dyDescent="0.3">
      <c r="A5449" s="9">
        <v>959</v>
      </c>
      <c r="B5449" t="s">
        <v>270</v>
      </c>
      <c r="C5449" s="25">
        <v>44602</v>
      </c>
      <c r="D5449" s="26">
        <v>0.70796296296296291</v>
      </c>
      <c r="E5449" t="s">
        <v>25</v>
      </c>
      <c r="F5449" t="s">
        <v>210</v>
      </c>
      <c r="G5449" t="s">
        <v>211</v>
      </c>
      <c r="H5449" t="s">
        <v>132</v>
      </c>
      <c r="I5449">
        <v>410.97</v>
      </c>
      <c r="J5449" s="7">
        <v>0</v>
      </c>
      <c r="K5449" s="11">
        <f t="shared" si="336"/>
        <v>1068.56</v>
      </c>
      <c r="L5449" s="32">
        <v>1068.56</v>
      </c>
      <c r="M5449" s="36">
        <f t="shared" si="337"/>
        <v>38.460170697012806</v>
      </c>
    </row>
    <row r="5450" spans="1:13" ht="15.75" hidden="1" customHeight="1" x14ac:dyDescent="0.3">
      <c r="A5450" s="9">
        <v>960</v>
      </c>
      <c r="B5450" t="s">
        <v>270</v>
      </c>
      <c r="C5450" s="25">
        <v>44604</v>
      </c>
      <c r="D5450" s="26">
        <v>0.41597222222222219</v>
      </c>
      <c r="E5450" t="s">
        <v>25</v>
      </c>
      <c r="F5450" t="s">
        <v>175</v>
      </c>
      <c r="G5450" t="s">
        <v>172</v>
      </c>
      <c r="H5450" t="s">
        <v>132</v>
      </c>
      <c r="I5450">
        <v>359.06</v>
      </c>
      <c r="J5450" s="7">
        <v>0</v>
      </c>
      <c r="K5450" s="11">
        <f t="shared" si="336"/>
        <v>1006.97</v>
      </c>
      <c r="L5450" s="7">
        <v>1006.97</v>
      </c>
      <c r="M5450" s="36">
        <f t="shared" si="337"/>
        <v>35.657467451860533</v>
      </c>
    </row>
    <row r="5451" spans="1:13" ht="15.75" hidden="1" customHeight="1" x14ac:dyDescent="0.3">
      <c r="A5451" s="9">
        <v>961</v>
      </c>
      <c r="B5451" t="s">
        <v>270</v>
      </c>
      <c r="C5451" s="25">
        <v>44605</v>
      </c>
      <c r="D5451" s="26">
        <v>0.57354166666666673</v>
      </c>
      <c r="E5451" t="s">
        <v>25</v>
      </c>
      <c r="F5451" t="s">
        <v>210</v>
      </c>
      <c r="G5451" t="s">
        <v>211</v>
      </c>
      <c r="H5451" t="s">
        <v>132</v>
      </c>
      <c r="I5451">
        <v>350</v>
      </c>
      <c r="J5451" s="7">
        <v>0</v>
      </c>
      <c r="K5451" s="11">
        <f t="shared" si="336"/>
        <v>1177.1500000000001</v>
      </c>
      <c r="L5451" s="7">
        <v>1177.1500000000001</v>
      </c>
      <c r="M5451" s="36">
        <f t="shared" si="337"/>
        <v>29.732829291084396</v>
      </c>
    </row>
    <row r="5452" spans="1:13" ht="15.75" hidden="1" customHeight="1" x14ac:dyDescent="0.3">
      <c r="A5452" s="9">
        <v>962</v>
      </c>
      <c r="B5452" t="s">
        <v>270</v>
      </c>
      <c r="C5452" s="25">
        <v>44606</v>
      </c>
      <c r="D5452" s="26">
        <v>0.80858796296296298</v>
      </c>
      <c r="E5452" t="s">
        <v>25</v>
      </c>
      <c r="F5452" t="s">
        <v>210</v>
      </c>
      <c r="G5452" t="s">
        <v>211</v>
      </c>
      <c r="H5452" t="s">
        <v>132</v>
      </c>
      <c r="I5452">
        <v>399.35</v>
      </c>
      <c r="J5452" s="7">
        <v>0</v>
      </c>
      <c r="K5452" s="11">
        <f t="shared" si="336"/>
        <v>1062.9000000000001</v>
      </c>
      <c r="L5452" s="32">
        <v>1062.9000000000001</v>
      </c>
      <c r="M5452" s="36">
        <f t="shared" si="337"/>
        <v>37.571737698748706</v>
      </c>
    </row>
    <row r="5453" spans="1:13" ht="15.75" hidden="1" customHeight="1" x14ac:dyDescent="0.3">
      <c r="A5453" s="9">
        <v>963</v>
      </c>
      <c r="B5453" t="s">
        <v>270</v>
      </c>
      <c r="C5453" s="25">
        <v>44608</v>
      </c>
      <c r="D5453" s="26">
        <v>0.55517361111111108</v>
      </c>
      <c r="E5453" t="s">
        <v>25</v>
      </c>
      <c r="F5453" t="s">
        <v>175</v>
      </c>
      <c r="G5453" t="s">
        <v>172</v>
      </c>
      <c r="H5453" t="s">
        <v>132</v>
      </c>
      <c r="I5453">
        <v>323.27</v>
      </c>
      <c r="J5453" s="76">
        <v>0</v>
      </c>
      <c r="K5453" s="11">
        <f t="shared" si="336"/>
        <v>941.14</v>
      </c>
      <c r="L5453" s="37">
        <v>941.14</v>
      </c>
      <c r="M5453" s="36">
        <f t="shared" si="337"/>
        <v>34.348768514779948</v>
      </c>
    </row>
    <row r="5454" spans="1:13" ht="15.75" hidden="1" customHeight="1" x14ac:dyDescent="0.3">
      <c r="A5454" s="9">
        <v>964</v>
      </c>
      <c r="B5454" t="s">
        <v>270</v>
      </c>
      <c r="C5454" s="25">
        <v>44616</v>
      </c>
      <c r="D5454" s="26">
        <v>0.34682870370370367</v>
      </c>
      <c r="E5454" t="s">
        <v>25</v>
      </c>
      <c r="F5454" t="s">
        <v>210</v>
      </c>
      <c r="G5454" t="s">
        <v>211</v>
      </c>
      <c r="H5454" t="s">
        <v>132</v>
      </c>
      <c r="I5454">
        <v>379.26</v>
      </c>
      <c r="J5454" s="76">
        <v>0</v>
      </c>
      <c r="K5454" s="11">
        <f t="shared" si="336"/>
        <v>848.2</v>
      </c>
      <c r="L5454" s="32">
        <v>848.2</v>
      </c>
      <c r="M5454" s="36">
        <f t="shared" si="337"/>
        <v>44.713510964395184</v>
      </c>
    </row>
    <row r="5455" spans="1:13" ht="15.75" hidden="1" customHeight="1" x14ac:dyDescent="0.3">
      <c r="A5455" s="9">
        <v>965</v>
      </c>
      <c r="B5455" t="s">
        <v>270</v>
      </c>
      <c r="C5455" s="25">
        <v>44617</v>
      </c>
      <c r="D5455" s="26">
        <v>0.69421296296296298</v>
      </c>
      <c r="E5455" t="s">
        <v>25</v>
      </c>
      <c r="F5455" t="s">
        <v>210</v>
      </c>
      <c r="G5455" t="s">
        <v>211</v>
      </c>
      <c r="H5455" t="s">
        <v>132</v>
      </c>
      <c r="I5455">
        <v>422.82</v>
      </c>
      <c r="J5455" s="76">
        <v>0</v>
      </c>
      <c r="K5455" s="11">
        <f t="shared" si="336"/>
        <v>1064.54</v>
      </c>
      <c r="L5455" s="32">
        <v>1064.54</v>
      </c>
      <c r="M5455" s="36">
        <f t="shared" si="337"/>
        <v>39.718563886749209</v>
      </c>
    </row>
    <row r="5456" spans="1:13" ht="15.75" hidden="1" customHeight="1" x14ac:dyDescent="0.3">
      <c r="A5456" s="9">
        <v>966</v>
      </c>
      <c r="B5456" t="s">
        <v>270</v>
      </c>
      <c r="C5456" s="25">
        <v>44618</v>
      </c>
      <c r="D5456" s="26">
        <v>0.92579861111111106</v>
      </c>
      <c r="E5456" t="s">
        <v>25</v>
      </c>
      <c r="F5456" t="s">
        <v>171</v>
      </c>
      <c r="G5456" t="s">
        <v>172</v>
      </c>
      <c r="H5456" t="s">
        <v>132</v>
      </c>
      <c r="I5456">
        <v>385.24</v>
      </c>
      <c r="J5456" s="76">
        <v>0</v>
      </c>
      <c r="K5456" s="11">
        <f t="shared" si="336"/>
        <v>1042.43</v>
      </c>
      <c r="L5456" s="33">
        <v>1042.43</v>
      </c>
      <c r="M5456" s="36">
        <f t="shared" si="337"/>
        <v>36.955958673484069</v>
      </c>
    </row>
    <row r="5457" spans="1:13" ht="15.75" hidden="1" customHeight="1" x14ac:dyDescent="0.3">
      <c r="A5457" s="9">
        <v>967</v>
      </c>
      <c r="B5457" t="s">
        <v>270</v>
      </c>
      <c r="C5457" s="25">
        <v>44619</v>
      </c>
      <c r="D5457" s="26">
        <v>0.64545138888888887</v>
      </c>
      <c r="E5457" t="s">
        <v>25</v>
      </c>
      <c r="F5457" t="s">
        <v>210</v>
      </c>
      <c r="G5457" t="s">
        <v>211</v>
      </c>
      <c r="H5457" t="s">
        <v>132</v>
      </c>
      <c r="I5457">
        <v>293.89999999999998</v>
      </c>
      <c r="J5457" s="7">
        <v>0</v>
      </c>
      <c r="K5457" s="73">
        <f t="shared" si="336"/>
        <v>690.18</v>
      </c>
      <c r="L5457" s="32">
        <v>690.18</v>
      </c>
      <c r="M5457" s="36">
        <f t="shared" si="337"/>
        <v>42.58309426526413</v>
      </c>
    </row>
    <row r="5458" spans="1:13" ht="15.75" hidden="1" customHeight="1" x14ac:dyDescent="0.3">
      <c r="A5458" s="9">
        <v>968</v>
      </c>
      <c r="B5458" t="s">
        <v>270</v>
      </c>
      <c r="C5458" s="25">
        <v>44620</v>
      </c>
      <c r="D5458" s="26">
        <v>0.5941319444444445</v>
      </c>
      <c r="E5458" t="s">
        <v>25</v>
      </c>
      <c r="F5458" t="s">
        <v>350</v>
      </c>
      <c r="G5458" t="s">
        <v>351</v>
      </c>
      <c r="H5458" t="s">
        <v>132</v>
      </c>
      <c r="I5458">
        <v>291.91000000000003</v>
      </c>
      <c r="J5458" s="7">
        <v>0</v>
      </c>
      <c r="K5458" s="28">
        <f t="shared" si="336"/>
        <v>652.54999999999995</v>
      </c>
      <c r="L5458" s="38">
        <v>652.54999999999995</v>
      </c>
      <c r="M5458" s="36">
        <f t="shared" si="337"/>
        <v>44.73373687840013</v>
      </c>
    </row>
    <row r="5459" spans="1:13" ht="15.75" hidden="1" customHeight="1" x14ac:dyDescent="0.3">
      <c r="A5459" s="9">
        <v>2122</v>
      </c>
      <c r="B5459" t="s">
        <v>270</v>
      </c>
      <c r="C5459" s="25">
        <v>44622</v>
      </c>
      <c r="D5459" s="26">
        <v>0.4586574074074074</v>
      </c>
      <c r="E5459" t="s">
        <v>26</v>
      </c>
      <c r="F5459" t="s">
        <v>169</v>
      </c>
      <c r="G5459" t="s">
        <v>196</v>
      </c>
      <c r="H5459" t="s">
        <v>132</v>
      </c>
      <c r="I5459">
        <v>148.09</v>
      </c>
      <c r="J5459" s="7">
        <v>0</v>
      </c>
      <c r="K5459" s="90">
        <f t="shared" si="336"/>
        <v>945.63</v>
      </c>
      <c r="L5459" s="7">
        <v>945.63</v>
      </c>
      <c r="M5459" s="36">
        <f t="shared" si="337"/>
        <v>15.660459164789611</v>
      </c>
    </row>
    <row r="5460" spans="1:13" ht="15.75" hidden="1" customHeight="1" x14ac:dyDescent="0.3">
      <c r="A5460" s="9">
        <v>2123</v>
      </c>
      <c r="B5460" t="s">
        <v>270</v>
      </c>
      <c r="C5460" s="25">
        <v>44623</v>
      </c>
      <c r="D5460" s="26">
        <v>0.85619212962962965</v>
      </c>
      <c r="E5460" t="s">
        <v>26</v>
      </c>
      <c r="F5460" t="s">
        <v>175</v>
      </c>
      <c r="G5460" t="s">
        <v>172</v>
      </c>
      <c r="H5460" t="s">
        <v>132</v>
      </c>
      <c r="I5460">
        <v>350.22</v>
      </c>
      <c r="J5460" s="7">
        <v>0</v>
      </c>
      <c r="K5460" s="92">
        <f t="shared" si="336"/>
        <v>440.38</v>
      </c>
      <c r="L5460" s="37">
        <v>440.38</v>
      </c>
      <c r="M5460" s="36">
        <f t="shared" si="337"/>
        <v>79.526772332985146</v>
      </c>
    </row>
    <row r="5461" spans="1:13" ht="15.75" hidden="1" customHeight="1" x14ac:dyDescent="0.3">
      <c r="A5461" s="9">
        <v>2124</v>
      </c>
      <c r="B5461" t="s">
        <v>270</v>
      </c>
      <c r="C5461" s="25">
        <v>44625</v>
      </c>
      <c r="D5461" s="26">
        <v>0.31047453703703703</v>
      </c>
      <c r="E5461" t="s">
        <v>26</v>
      </c>
      <c r="F5461" t="s">
        <v>210</v>
      </c>
      <c r="G5461" t="s">
        <v>211</v>
      </c>
      <c r="H5461" t="s">
        <v>132</v>
      </c>
      <c r="I5461">
        <v>339.75</v>
      </c>
      <c r="J5461" s="7">
        <v>0</v>
      </c>
      <c r="K5461" s="89">
        <f t="shared" ref="K5461:K5492" si="338">+L5461-J5461</f>
        <v>830.17</v>
      </c>
      <c r="L5461" s="37">
        <v>830.17</v>
      </c>
      <c r="M5461" s="36">
        <f t="shared" ref="M5461:M5492" si="339">I5461/K5461*100</f>
        <v>40.925352638616189</v>
      </c>
    </row>
    <row r="5462" spans="1:13" ht="15.75" hidden="1" customHeight="1" x14ac:dyDescent="0.3">
      <c r="A5462" s="9">
        <v>2125</v>
      </c>
      <c r="B5462" t="s">
        <v>270</v>
      </c>
      <c r="C5462" s="25">
        <v>44625</v>
      </c>
      <c r="D5462" s="26">
        <v>0.86997685185185192</v>
      </c>
      <c r="E5462" t="s">
        <v>26</v>
      </c>
      <c r="F5462" t="s">
        <v>278</v>
      </c>
      <c r="G5462" t="s">
        <v>279</v>
      </c>
      <c r="H5462" t="s">
        <v>132</v>
      </c>
      <c r="I5462">
        <v>133</v>
      </c>
      <c r="J5462" s="7">
        <v>0</v>
      </c>
      <c r="K5462" s="89">
        <f t="shared" si="338"/>
        <v>709.72</v>
      </c>
      <c r="L5462" s="32">
        <v>709.72</v>
      </c>
      <c r="M5462" s="36">
        <f t="shared" si="339"/>
        <v>18.73978470382686</v>
      </c>
    </row>
    <row r="5463" spans="1:13" ht="15.75" hidden="1" customHeight="1" x14ac:dyDescent="0.3">
      <c r="A5463" s="9">
        <v>2126</v>
      </c>
      <c r="B5463" t="s">
        <v>270</v>
      </c>
      <c r="C5463" s="25">
        <v>44626</v>
      </c>
      <c r="D5463" s="26">
        <v>0.65231481481481479</v>
      </c>
      <c r="E5463" t="s">
        <v>26</v>
      </c>
      <c r="F5463" t="s">
        <v>376</v>
      </c>
      <c r="G5463" t="s">
        <v>377</v>
      </c>
      <c r="H5463" t="s">
        <v>132</v>
      </c>
      <c r="I5463">
        <v>342.13</v>
      </c>
      <c r="J5463" s="7">
        <v>0</v>
      </c>
      <c r="K5463" s="89">
        <f t="shared" si="338"/>
        <v>636.77</v>
      </c>
      <c r="L5463" s="32">
        <v>636.77</v>
      </c>
      <c r="M5463" s="36">
        <f t="shared" si="339"/>
        <v>53.728975925373369</v>
      </c>
    </row>
    <row r="5464" spans="1:13" ht="15.75" hidden="1" customHeight="1" x14ac:dyDescent="0.3">
      <c r="A5464" s="9">
        <v>2127</v>
      </c>
      <c r="B5464" t="s">
        <v>270</v>
      </c>
      <c r="C5464" s="25">
        <v>44627</v>
      </c>
      <c r="D5464" s="26">
        <v>0.97280092592592593</v>
      </c>
      <c r="E5464" t="s">
        <v>26</v>
      </c>
      <c r="F5464" t="s">
        <v>165</v>
      </c>
      <c r="G5464" t="s">
        <v>185</v>
      </c>
      <c r="H5464" t="s">
        <v>132</v>
      </c>
      <c r="I5464">
        <v>156.59</v>
      </c>
      <c r="J5464" s="31">
        <v>0</v>
      </c>
      <c r="K5464" s="89">
        <f t="shared" si="338"/>
        <v>800.34</v>
      </c>
      <c r="L5464" s="32">
        <v>800.34</v>
      </c>
      <c r="M5464" s="36">
        <f t="shared" si="339"/>
        <v>19.565434690256641</v>
      </c>
    </row>
    <row r="5465" spans="1:13" ht="15.75" hidden="1" customHeight="1" x14ac:dyDescent="0.3">
      <c r="A5465" s="9">
        <v>2128</v>
      </c>
      <c r="B5465" t="s">
        <v>270</v>
      </c>
      <c r="C5465" s="25">
        <v>44628</v>
      </c>
      <c r="D5465" s="26">
        <v>0.94513888888888886</v>
      </c>
      <c r="E5465" t="s">
        <v>26</v>
      </c>
      <c r="F5465" t="s">
        <v>210</v>
      </c>
      <c r="G5465" t="s">
        <v>211</v>
      </c>
      <c r="H5465" t="s">
        <v>132</v>
      </c>
      <c r="I5465">
        <v>362.09</v>
      </c>
      <c r="J5465" s="7">
        <v>0</v>
      </c>
      <c r="K5465" s="89">
        <f t="shared" si="338"/>
        <v>552.19000000000005</v>
      </c>
      <c r="L5465" s="37">
        <v>552.19000000000005</v>
      </c>
      <c r="M5465" s="36">
        <f t="shared" si="339"/>
        <v>65.573443923287272</v>
      </c>
    </row>
    <row r="5466" spans="1:13" ht="15.75" hidden="1" customHeight="1" x14ac:dyDescent="0.3">
      <c r="A5466" s="9">
        <v>2129</v>
      </c>
      <c r="B5466" t="s">
        <v>270</v>
      </c>
      <c r="C5466" s="25">
        <v>44630</v>
      </c>
      <c r="D5466" s="26">
        <v>0.64039351851851845</v>
      </c>
      <c r="E5466" t="s">
        <v>26</v>
      </c>
      <c r="F5466" t="s">
        <v>175</v>
      </c>
      <c r="G5466" t="s">
        <v>172</v>
      </c>
      <c r="H5466" t="s">
        <v>132</v>
      </c>
      <c r="I5466">
        <v>375.61</v>
      </c>
      <c r="J5466" s="7">
        <v>0</v>
      </c>
      <c r="K5466" s="89">
        <f t="shared" si="338"/>
        <v>1031.1099999999999</v>
      </c>
      <c r="L5466" s="32">
        <v>1031.1099999999999</v>
      </c>
      <c r="M5466" s="36">
        <f t="shared" si="339"/>
        <v>36.427733219540116</v>
      </c>
    </row>
    <row r="5467" spans="1:13" ht="15.75" hidden="1" customHeight="1" x14ac:dyDescent="0.3">
      <c r="A5467" s="9">
        <v>2130</v>
      </c>
      <c r="B5467" t="s">
        <v>270</v>
      </c>
      <c r="C5467" s="25">
        <v>44631</v>
      </c>
      <c r="D5467" s="26">
        <v>0.93965277777777778</v>
      </c>
      <c r="E5467" t="s">
        <v>26</v>
      </c>
      <c r="F5467" t="s">
        <v>210</v>
      </c>
      <c r="G5467" t="s">
        <v>211</v>
      </c>
      <c r="H5467" t="s">
        <v>132</v>
      </c>
      <c r="I5467">
        <v>345.09</v>
      </c>
      <c r="J5467" s="7">
        <v>0</v>
      </c>
      <c r="K5467" s="89">
        <f t="shared" si="338"/>
        <v>863.66</v>
      </c>
      <c r="L5467" s="32">
        <v>863.66</v>
      </c>
      <c r="M5467" s="36">
        <f t="shared" si="339"/>
        <v>39.95669592200634</v>
      </c>
    </row>
    <row r="5468" spans="1:13" ht="15.75" hidden="1" customHeight="1" x14ac:dyDescent="0.3">
      <c r="A5468" s="9">
        <v>2131</v>
      </c>
      <c r="B5468" t="s">
        <v>270</v>
      </c>
      <c r="C5468" s="25">
        <v>44632</v>
      </c>
      <c r="D5468" s="26">
        <v>0.88608796296296299</v>
      </c>
      <c r="E5468" t="s">
        <v>26</v>
      </c>
      <c r="F5468" t="s">
        <v>210</v>
      </c>
      <c r="G5468" t="s">
        <v>211</v>
      </c>
      <c r="H5468" t="s">
        <v>132</v>
      </c>
      <c r="I5468">
        <v>345.25</v>
      </c>
      <c r="J5468" s="7">
        <v>0</v>
      </c>
      <c r="K5468" s="89">
        <f t="shared" si="338"/>
        <v>891.82</v>
      </c>
      <c r="L5468" s="32">
        <v>891.82</v>
      </c>
      <c r="M5468" s="36">
        <f t="shared" si="339"/>
        <v>38.712968984772708</v>
      </c>
    </row>
    <row r="5469" spans="1:13" ht="15.75" hidden="1" customHeight="1" x14ac:dyDescent="0.3">
      <c r="A5469" s="9">
        <v>2132</v>
      </c>
      <c r="B5469" t="s">
        <v>270</v>
      </c>
      <c r="C5469" s="25">
        <v>44634</v>
      </c>
      <c r="D5469" s="26">
        <v>0.8067939814814814</v>
      </c>
      <c r="E5469" t="s">
        <v>26</v>
      </c>
      <c r="F5469" t="s">
        <v>175</v>
      </c>
      <c r="G5469" t="s">
        <v>172</v>
      </c>
      <c r="H5469" t="s">
        <v>132</v>
      </c>
      <c r="I5469">
        <f>148.53+148.79</f>
        <v>297.32</v>
      </c>
      <c r="J5469" s="7">
        <v>0</v>
      </c>
      <c r="K5469" s="89">
        <f t="shared" si="338"/>
        <v>927.33</v>
      </c>
      <c r="L5469" s="32">
        <v>927.33</v>
      </c>
      <c r="M5469" s="36">
        <f t="shared" si="339"/>
        <v>32.061941272254749</v>
      </c>
    </row>
    <row r="5470" spans="1:13" ht="15.75" hidden="1" customHeight="1" x14ac:dyDescent="0.3">
      <c r="A5470" s="9">
        <v>2133</v>
      </c>
      <c r="B5470" t="s">
        <v>270</v>
      </c>
      <c r="C5470" s="25">
        <v>44636</v>
      </c>
      <c r="D5470" s="26">
        <v>0.55237268518518523</v>
      </c>
      <c r="E5470" t="s">
        <v>26</v>
      </c>
      <c r="F5470" t="s">
        <v>210</v>
      </c>
      <c r="G5470" t="s">
        <v>211</v>
      </c>
      <c r="H5470" t="s">
        <v>132</v>
      </c>
      <c r="I5470">
        <v>369.53</v>
      </c>
      <c r="J5470" s="7">
        <v>0</v>
      </c>
      <c r="K5470" s="89">
        <f t="shared" si="338"/>
        <v>854.93</v>
      </c>
      <c r="L5470" s="32">
        <v>854.93</v>
      </c>
      <c r="M5470" s="36">
        <f t="shared" si="339"/>
        <v>43.223421800615256</v>
      </c>
    </row>
    <row r="5471" spans="1:13" ht="15.75" hidden="1" customHeight="1" x14ac:dyDescent="0.3">
      <c r="A5471" s="9">
        <v>2134</v>
      </c>
      <c r="B5471" t="s">
        <v>270</v>
      </c>
      <c r="C5471" s="25">
        <v>44637</v>
      </c>
      <c r="D5471" s="26">
        <v>0.44773148148148145</v>
      </c>
      <c r="E5471" t="s">
        <v>26</v>
      </c>
      <c r="F5471" t="s">
        <v>210</v>
      </c>
      <c r="G5471" t="s">
        <v>211</v>
      </c>
      <c r="H5471" t="s">
        <v>132</v>
      </c>
      <c r="I5471">
        <v>395.2</v>
      </c>
      <c r="J5471" s="7">
        <v>0</v>
      </c>
      <c r="K5471" s="89">
        <f t="shared" si="338"/>
        <v>1062.92</v>
      </c>
      <c r="L5471" s="32">
        <v>1062.92</v>
      </c>
      <c r="M5471" s="36">
        <f t="shared" si="339"/>
        <v>37.180596846423057</v>
      </c>
    </row>
    <row r="5472" spans="1:13" ht="15.75" hidden="1" customHeight="1" x14ac:dyDescent="0.3">
      <c r="A5472" s="9">
        <v>2135</v>
      </c>
      <c r="B5472" t="s">
        <v>270</v>
      </c>
      <c r="C5472" s="25">
        <v>44638</v>
      </c>
      <c r="D5472" s="26">
        <v>0.4236226851851852</v>
      </c>
      <c r="E5472" t="s">
        <v>26</v>
      </c>
      <c r="F5472" t="s">
        <v>171</v>
      </c>
      <c r="G5472" t="s">
        <v>172</v>
      </c>
      <c r="H5472" t="s">
        <v>132</v>
      </c>
      <c r="I5472">
        <v>330.58</v>
      </c>
      <c r="J5472" s="7">
        <v>0</v>
      </c>
      <c r="K5472" s="89">
        <f t="shared" si="338"/>
        <v>924.56</v>
      </c>
      <c r="L5472" s="32">
        <v>924.56</v>
      </c>
      <c r="M5472" s="36">
        <f t="shared" si="339"/>
        <v>35.755386345937531</v>
      </c>
    </row>
    <row r="5473" spans="1:13" ht="15.75" hidden="1" customHeight="1" x14ac:dyDescent="0.3">
      <c r="A5473" s="9">
        <v>2136</v>
      </c>
      <c r="B5473" t="s">
        <v>270</v>
      </c>
      <c r="C5473" s="25">
        <v>44639</v>
      </c>
      <c r="D5473" s="26">
        <v>0.75430555555555545</v>
      </c>
      <c r="E5473" t="s">
        <v>26</v>
      </c>
      <c r="F5473" t="s">
        <v>210</v>
      </c>
      <c r="G5473" t="s">
        <v>211</v>
      </c>
      <c r="H5473" t="s">
        <v>132</v>
      </c>
      <c r="I5473">
        <v>360.04</v>
      </c>
      <c r="J5473" s="7">
        <v>0</v>
      </c>
      <c r="K5473" s="89">
        <f t="shared" si="338"/>
        <v>833.34</v>
      </c>
      <c r="L5473" s="37">
        <v>833.34</v>
      </c>
      <c r="M5473" s="36">
        <f t="shared" si="339"/>
        <v>43.204454364365084</v>
      </c>
    </row>
    <row r="5474" spans="1:13" ht="15.75" hidden="1" customHeight="1" x14ac:dyDescent="0.3">
      <c r="A5474" s="9">
        <v>2137</v>
      </c>
      <c r="B5474" t="s">
        <v>270</v>
      </c>
      <c r="C5474" s="25">
        <v>44640</v>
      </c>
      <c r="D5474" s="26">
        <v>0.12659722222222222</v>
      </c>
      <c r="E5474" t="s">
        <v>26</v>
      </c>
      <c r="F5474" t="s">
        <v>165</v>
      </c>
      <c r="G5474" t="s">
        <v>185</v>
      </c>
      <c r="H5474" t="s">
        <v>132</v>
      </c>
      <c r="I5474">
        <v>238</v>
      </c>
      <c r="J5474" s="7">
        <v>0</v>
      </c>
      <c r="K5474" s="89">
        <f t="shared" si="338"/>
        <v>547.55999999999995</v>
      </c>
      <c r="L5474" s="32">
        <v>547.55999999999995</v>
      </c>
      <c r="M5474" s="36">
        <f t="shared" si="339"/>
        <v>43.465556286069109</v>
      </c>
    </row>
    <row r="5475" spans="1:13" ht="15.75" hidden="1" customHeight="1" x14ac:dyDescent="0.3">
      <c r="A5475" s="9">
        <v>2138</v>
      </c>
      <c r="B5475" t="s">
        <v>270</v>
      </c>
      <c r="C5475" s="25">
        <v>44640</v>
      </c>
      <c r="D5475" s="26">
        <v>0.61120370370370369</v>
      </c>
      <c r="E5475" t="s">
        <v>26</v>
      </c>
      <c r="F5475" t="s">
        <v>210</v>
      </c>
      <c r="G5475" t="s">
        <v>211</v>
      </c>
      <c r="H5475" t="s">
        <v>132</v>
      </c>
      <c r="I5475">
        <v>193.8</v>
      </c>
      <c r="J5475" s="7">
        <v>0</v>
      </c>
      <c r="K5475" s="89">
        <f t="shared" si="338"/>
        <v>514.83000000000004</v>
      </c>
      <c r="L5475" s="37">
        <v>514.83000000000004</v>
      </c>
      <c r="M5475" s="36">
        <f t="shared" si="339"/>
        <v>37.643493968882929</v>
      </c>
    </row>
    <row r="5476" spans="1:13" ht="15.75" hidden="1" customHeight="1" x14ac:dyDescent="0.3">
      <c r="A5476" s="9">
        <v>2139</v>
      </c>
      <c r="B5476" t="s">
        <v>270</v>
      </c>
      <c r="C5476" s="25">
        <v>44641</v>
      </c>
      <c r="D5476" s="26">
        <v>0.81195601851851851</v>
      </c>
      <c r="E5476" t="s">
        <v>26</v>
      </c>
      <c r="F5476" t="s">
        <v>175</v>
      </c>
      <c r="G5476" t="s">
        <v>172</v>
      </c>
      <c r="H5476" t="s">
        <v>132</v>
      </c>
      <c r="I5476">
        <v>389.87</v>
      </c>
      <c r="J5476" s="7">
        <v>0</v>
      </c>
      <c r="K5476" s="96">
        <f t="shared" si="338"/>
        <v>939.23</v>
      </c>
      <c r="L5476" s="33">
        <v>939.23</v>
      </c>
      <c r="M5476" s="36">
        <f t="shared" si="339"/>
        <v>41.509534405843084</v>
      </c>
    </row>
    <row r="5477" spans="1:13" ht="15.75" hidden="1" customHeight="1" x14ac:dyDescent="0.3">
      <c r="A5477" s="9">
        <v>2140</v>
      </c>
      <c r="B5477" t="s">
        <v>270</v>
      </c>
      <c r="C5477" s="25">
        <v>44643</v>
      </c>
      <c r="D5477" s="26">
        <v>0.18346064814814814</v>
      </c>
      <c r="E5477" t="s">
        <v>26</v>
      </c>
      <c r="F5477" t="s">
        <v>210</v>
      </c>
      <c r="G5477" t="s">
        <v>211</v>
      </c>
      <c r="H5477" t="s">
        <v>132</v>
      </c>
      <c r="I5477">
        <v>346.76</v>
      </c>
      <c r="J5477" s="7">
        <v>0</v>
      </c>
      <c r="K5477" s="90">
        <f t="shared" si="338"/>
        <v>827.71</v>
      </c>
      <c r="L5477" s="32">
        <v>827.71</v>
      </c>
      <c r="M5477" s="36">
        <f t="shared" si="339"/>
        <v>41.893900037452731</v>
      </c>
    </row>
    <row r="5478" spans="1:13" ht="15.75" hidden="1" customHeight="1" x14ac:dyDescent="0.3">
      <c r="A5478" s="9">
        <v>2141</v>
      </c>
      <c r="B5478" t="s">
        <v>270</v>
      </c>
      <c r="C5478" s="25">
        <v>44644</v>
      </c>
      <c r="D5478" s="26">
        <v>0.4325694444444444</v>
      </c>
      <c r="E5478" t="s">
        <v>26</v>
      </c>
      <c r="F5478" t="s">
        <v>210</v>
      </c>
      <c r="G5478" t="s">
        <v>211</v>
      </c>
      <c r="H5478" t="s">
        <v>132</v>
      </c>
      <c r="I5478">
        <v>423.51</v>
      </c>
      <c r="J5478" s="7">
        <v>0</v>
      </c>
      <c r="K5478" s="92">
        <f t="shared" si="338"/>
        <v>1085.69</v>
      </c>
      <c r="L5478" s="37">
        <v>1085.69</v>
      </c>
      <c r="M5478" s="36">
        <f t="shared" si="339"/>
        <v>39.008372555701904</v>
      </c>
    </row>
    <row r="5479" spans="1:13" ht="15.75" hidden="1" customHeight="1" x14ac:dyDescent="0.3">
      <c r="A5479" s="9">
        <v>2142</v>
      </c>
      <c r="B5479" t="s">
        <v>270</v>
      </c>
      <c r="C5479" s="25">
        <v>44645</v>
      </c>
      <c r="D5479" s="26">
        <v>0.76126157407407413</v>
      </c>
      <c r="E5479" t="s">
        <v>26</v>
      </c>
      <c r="F5479" t="s">
        <v>171</v>
      </c>
      <c r="G5479" t="s">
        <v>172</v>
      </c>
      <c r="H5479" t="s">
        <v>132</v>
      </c>
      <c r="I5479">
        <v>363.51</v>
      </c>
      <c r="J5479" s="7">
        <v>0</v>
      </c>
      <c r="K5479" s="89">
        <f t="shared" si="338"/>
        <v>930.93</v>
      </c>
      <c r="L5479" s="32">
        <v>930.93</v>
      </c>
      <c r="M5479" s="36">
        <f t="shared" si="339"/>
        <v>39.048048725468085</v>
      </c>
    </row>
    <row r="5480" spans="1:13" ht="15.75" hidden="1" customHeight="1" x14ac:dyDescent="0.3">
      <c r="A5480" s="9">
        <v>2143</v>
      </c>
      <c r="B5480" t="s">
        <v>270</v>
      </c>
      <c r="C5480" s="25">
        <v>44646</v>
      </c>
      <c r="D5480" s="26">
        <v>0.92104166666666665</v>
      </c>
      <c r="E5480" t="s">
        <v>26</v>
      </c>
      <c r="F5480" t="s">
        <v>210</v>
      </c>
      <c r="G5480" t="s">
        <v>211</v>
      </c>
      <c r="H5480" t="s">
        <v>132</v>
      </c>
      <c r="I5480">
        <v>346.68</v>
      </c>
      <c r="J5480" s="7">
        <v>0</v>
      </c>
      <c r="K5480" s="89">
        <f t="shared" si="338"/>
        <v>835.54</v>
      </c>
      <c r="L5480" s="32">
        <v>835.54</v>
      </c>
      <c r="M5480" s="36">
        <f t="shared" si="339"/>
        <v>41.491729899226847</v>
      </c>
    </row>
    <row r="5481" spans="1:13" ht="15.75" hidden="1" customHeight="1" x14ac:dyDescent="0.3">
      <c r="A5481" s="9">
        <v>2144</v>
      </c>
      <c r="B5481" t="s">
        <v>270</v>
      </c>
      <c r="C5481" s="25">
        <v>44647</v>
      </c>
      <c r="D5481" s="26">
        <v>0.95763888888888893</v>
      </c>
      <c r="E5481" t="s">
        <v>26</v>
      </c>
      <c r="F5481" t="s">
        <v>210</v>
      </c>
      <c r="G5481" t="s">
        <v>211</v>
      </c>
      <c r="H5481" t="s">
        <v>132</v>
      </c>
      <c r="I5481">
        <v>380.48</v>
      </c>
      <c r="J5481" s="7">
        <v>0</v>
      </c>
      <c r="K5481" s="89">
        <f t="shared" si="338"/>
        <v>1062.76</v>
      </c>
      <c r="L5481" s="32">
        <v>1062.76</v>
      </c>
      <c r="M5481" s="36">
        <f t="shared" si="339"/>
        <v>35.801121607888895</v>
      </c>
    </row>
    <row r="5482" spans="1:13" ht="15.75" hidden="1" customHeight="1" x14ac:dyDescent="0.3">
      <c r="A5482" s="9">
        <v>2145</v>
      </c>
      <c r="B5482" t="s">
        <v>270</v>
      </c>
      <c r="C5482" s="25">
        <v>44650</v>
      </c>
      <c r="D5482" s="26">
        <v>0.77495370370370376</v>
      </c>
      <c r="E5482" t="s">
        <v>26</v>
      </c>
      <c r="F5482" t="s">
        <v>197</v>
      </c>
      <c r="G5482" t="s">
        <v>44</v>
      </c>
      <c r="H5482" t="s">
        <v>132</v>
      </c>
      <c r="I5482">
        <v>100.1</v>
      </c>
      <c r="J5482" s="7">
        <v>0</v>
      </c>
      <c r="K5482" s="89">
        <f t="shared" si="338"/>
        <v>1501.73</v>
      </c>
      <c r="L5482" s="32">
        <v>1501.73</v>
      </c>
      <c r="M5482" s="36">
        <f t="shared" si="339"/>
        <v>6.6656456220492366</v>
      </c>
    </row>
    <row r="5483" spans="1:13" ht="15.75" hidden="1" customHeight="1" x14ac:dyDescent="0.3">
      <c r="A5483" s="9">
        <v>2146</v>
      </c>
      <c r="B5483" t="s">
        <v>270</v>
      </c>
      <c r="C5483" s="25">
        <v>44651</v>
      </c>
      <c r="D5483" s="26">
        <v>0.37077546296296293</v>
      </c>
      <c r="E5483" t="s">
        <v>26</v>
      </c>
      <c r="F5483" t="s">
        <v>366</v>
      </c>
      <c r="G5483" t="s">
        <v>367</v>
      </c>
      <c r="H5483" t="s">
        <v>132</v>
      </c>
      <c r="I5483">
        <v>100</v>
      </c>
      <c r="J5483" s="7">
        <v>0</v>
      </c>
      <c r="K5483" s="89">
        <f t="shared" si="338"/>
        <v>436.25</v>
      </c>
      <c r="L5483" s="32">
        <v>436.25</v>
      </c>
      <c r="M5483" s="36">
        <f t="shared" si="339"/>
        <v>22.922636103151863</v>
      </c>
    </row>
    <row r="5484" spans="1:13" ht="15.75" hidden="1" customHeight="1" x14ac:dyDescent="0.3">
      <c r="A5484" s="9">
        <v>2147</v>
      </c>
      <c r="B5484" t="s">
        <v>270</v>
      </c>
      <c r="C5484" s="25">
        <v>44651</v>
      </c>
      <c r="D5484" s="26">
        <v>0.54251157407407413</v>
      </c>
      <c r="E5484" t="s">
        <v>26</v>
      </c>
      <c r="F5484" t="s">
        <v>210</v>
      </c>
      <c r="G5484" t="s">
        <v>211</v>
      </c>
      <c r="H5484" t="s">
        <v>132</v>
      </c>
      <c r="I5484">
        <v>417.34</v>
      </c>
      <c r="J5484" s="7">
        <v>0</v>
      </c>
      <c r="K5484" s="89">
        <f t="shared" si="338"/>
        <v>27</v>
      </c>
      <c r="L5484" s="32">
        <v>27</v>
      </c>
      <c r="M5484" s="36">
        <f t="shared" si="339"/>
        <v>1545.7037037037037</v>
      </c>
    </row>
    <row r="5485" spans="1:13" ht="15.75" hidden="1" customHeight="1" x14ac:dyDescent="0.3">
      <c r="A5485" s="9">
        <v>3404</v>
      </c>
      <c r="B5485" t="s">
        <v>270</v>
      </c>
      <c r="C5485" s="25">
        <v>44652</v>
      </c>
      <c r="D5485" s="26">
        <v>0.92987268518518518</v>
      </c>
      <c r="E5485" t="s">
        <v>27</v>
      </c>
      <c r="F5485" t="s">
        <v>210</v>
      </c>
      <c r="G5485" t="s">
        <v>211</v>
      </c>
      <c r="H5485" t="s">
        <v>132</v>
      </c>
      <c r="I5485" s="4">
        <v>407.9</v>
      </c>
      <c r="J5485" s="7">
        <v>0</v>
      </c>
      <c r="K5485" s="89">
        <f t="shared" si="338"/>
        <v>1065.78</v>
      </c>
      <c r="L5485" s="32">
        <v>1065.78</v>
      </c>
      <c r="M5485" s="36">
        <f t="shared" si="339"/>
        <v>38.272438964889567</v>
      </c>
    </row>
    <row r="5486" spans="1:13" ht="15.75" hidden="1" customHeight="1" x14ac:dyDescent="0.3">
      <c r="A5486" s="9">
        <v>3405</v>
      </c>
      <c r="B5486" t="s">
        <v>270</v>
      </c>
      <c r="C5486" s="25">
        <v>44656</v>
      </c>
      <c r="D5486" s="26">
        <v>0.42879629629629629</v>
      </c>
      <c r="E5486" t="s">
        <v>27</v>
      </c>
      <c r="F5486" t="s">
        <v>169</v>
      </c>
      <c r="G5486" t="s">
        <v>196</v>
      </c>
      <c r="H5486" t="s">
        <v>132</v>
      </c>
      <c r="I5486" s="4">
        <v>207.12</v>
      </c>
      <c r="J5486" s="7">
        <v>0</v>
      </c>
      <c r="K5486" s="89">
        <f t="shared" si="338"/>
        <v>527.24</v>
      </c>
      <c r="L5486" s="32">
        <v>527.24</v>
      </c>
      <c r="M5486" s="36">
        <f t="shared" si="339"/>
        <v>39.283817616265836</v>
      </c>
    </row>
    <row r="5487" spans="1:13" ht="15.75" hidden="1" customHeight="1" x14ac:dyDescent="0.3">
      <c r="A5487" s="9">
        <v>3406</v>
      </c>
      <c r="B5487" t="s">
        <v>270</v>
      </c>
      <c r="C5487" s="25">
        <v>44664</v>
      </c>
      <c r="D5487" s="26">
        <v>0.39799768518518519</v>
      </c>
      <c r="E5487" t="s">
        <v>27</v>
      </c>
      <c r="F5487" t="s">
        <v>541</v>
      </c>
      <c r="G5487" t="s">
        <v>542</v>
      </c>
      <c r="H5487" t="s">
        <v>132</v>
      </c>
      <c r="I5487" s="4">
        <v>250</v>
      </c>
      <c r="J5487" s="7">
        <v>0</v>
      </c>
      <c r="K5487" s="89">
        <f t="shared" si="338"/>
        <v>709.85</v>
      </c>
      <c r="L5487" s="37">
        <v>709.85</v>
      </c>
      <c r="M5487" s="36">
        <f t="shared" si="339"/>
        <v>35.218708177784038</v>
      </c>
    </row>
    <row r="5488" spans="1:13" ht="15.75" hidden="1" customHeight="1" x14ac:dyDescent="0.3">
      <c r="A5488" s="9">
        <v>3407</v>
      </c>
      <c r="B5488" t="s">
        <v>270</v>
      </c>
      <c r="C5488" s="25">
        <v>44664</v>
      </c>
      <c r="D5488" s="26">
        <v>0.74146990740740737</v>
      </c>
      <c r="E5488" t="s">
        <v>27</v>
      </c>
      <c r="F5488" t="s">
        <v>210</v>
      </c>
      <c r="G5488" t="s">
        <v>211</v>
      </c>
      <c r="H5488" t="s">
        <v>132</v>
      </c>
      <c r="I5488" s="4">
        <v>322.79000000000002</v>
      </c>
      <c r="J5488" s="7">
        <v>0</v>
      </c>
      <c r="K5488" s="89">
        <f t="shared" si="338"/>
        <v>1241.95</v>
      </c>
      <c r="L5488" s="32">
        <v>1241.95</v>
      </c>
      <c r="M5488" s="36">
        <f t="shared" si="339"/>
        <v>25.990579330890938</v>
      </c>
    </row>
    <row r="5489" spans="1:13" ht="15.75" hidden="1" customHeight="1" x14ac:dyDescent="0.3">
      <c r="A5489" s="9">
        <v>3408</v>
      </c>
      <c r="B5489" t="s">
        <v>270</v>
      </c>
      <c r="C5489" s="25">
        <v>44665</v>
      </c>
      <c r="D5489" s="26">
        <v>0.97324074074074074</v>
      </c>
      <c r="E5489" t="s">
        <v>27</v>
      </c>
      <c r="F5489" t="s">
        <v>210</v>
      </c>
      <c r="G5489" t="s">
        <v>211</v>
      </c>
      <c r="H5489" t="s">
        <v>132</v>
      </c>
      <c r="I5489" s="4">
        <v>487.42</v>
      </c>
      <c r="J5489" s="7">
        <v>0</v>
      </c>
      <c r="K5489" s="94">
        <f t="shared" si="338"/>
        <v>1649</v>
      </c>
      <c r="L5489" s="32">
        <v>1649</v>
      </c>
      <c r="M5489" s="36">
        <f t="shared" si="339"/>
        <v>29.558520315342633</v>
      </c>
    </row>
    <row r="5490" spans="1:13" ht="15.75" hidden="1" customHeight="1" x14ac:dyDescent="0.3">
      <c r="A5490" s="9">
        <v>3409</v>
      </c>
      <c r="B5490" t="s">
        <v>270</v>
      </c>
      <c r="C5490" s="25">
        <v>44667</v>
      </c>
      <c r="D5490" s="26">
        <v>0.58383101851851849</v>
      </c>
      <c r="E5490" t="s">
        <v>27</v>
      </c>
      <c r="F5490" t="s">
        <v>175</v>
      </c>
      <c r="G5490" t="s">
        <v>172</v>
      </c>
      <c r="H5490" t="s">
        <v>132</v>
      </c>
      <c r="I5490" s="4">
        <v>333.86</v>
      </c>
      <c r="J5490" s="7">
        <v>0</v>
      </c>
      <c r="K5490" s="89">
        <f t="shared" si="338"/>
        <v>900</v>
      </c>
      <c r="L5490" s="37">
        <v>900</v>
      </c>
      <c r="M5490" s="36">
        <f t="shared" si="339"/>
        <v>37.095555555555556</v>
      </c>
    </row>
    <row r="5491" spans="1:13" ht="15.75" hidden="1" customHeight="1" x14ac:dyDescent="0.3">
      <c r="A5491" s="9">
        <v>3410</v>
      </c>
      <c r="B5491" t="s">
        <v>270</v>
      </c>
      <c r="C5491" s="25">
        <v>44670</v>
      </c>
      <c r="D5491" s="26">
        <v>8.113425925925925E-3</v>
      </c>
      <c r="E5491" t="s">
        <v>27</v>
      </c>
      <c r="F5491" t="s">
        <v>210</v>
      </c>
      <c r="G5491" t="s">
        <v>211</v>
      </c>
      <c r="H5491" t="s">
        <v>132</v>
      </c>
      <c r="I5491" s="4">
        <v>360.44</v>
      </c>
      <c r="J5491" s="7">
        <v>0</v>
      </c>
      <c r="K5491" s="89">
        <f t="shared" si="338"/>
        <v>893.15</v>
      </c>
      <c r="L5491" s="32">
        <v>893.15</v>
      </c>
      <c r="M5491" s="36">
        <f t="shared" si="339"/>
        <v>40.356043217824556</v>
      </c>
    </row>
    <row r="5492" spans="1:13" ht="15.75" hidden="1" customHeight="1" x14ac:dyDescent="0.3">
      <c r="A5492" s="9">
        <v>3411</v>
      </c>
      <c r="B5492" t="s">
        <v>270</v>
      </c>
      <c r="C5492" s="25">
        <v>44670</v>
      </c>
      <c r="D5492" s="26">
        <v>0.83300925925925917</v>
      </c>
      <c r="E5492" t="s">
        <v>27</v>
      </c>
      <c r="F5492" t="s">
        <v>210</v>
      </c>
      <c r="G5492" t="s">
        <v>211</v>
      </c>
      <c r="H5492" t="s">
        <v>132</v>
      </c>
      <c r="I5492" s="4">
        <v>373.39</v>
      </c>
      <c r="J5492" s="7">
        <v>0</v>
      </c>
      <c r="K5492" s="89">
        <f t="shared" si="338"/>
        <v>1781.55</v>
      </c>
      <c r="L5492" s="32">
        <v>1781.55</v>
      </c>
      <c r="M5492" s="36">
        <f t="shared" si="339"/>
        <v>20.958715725070864</v>
      </c>
    </row>
    <row r="5493" spans="1:13" ht="15.75" hidden="1" customHeight="1" x14ac:dyDescent="0.3">
      <c r="A5493" s="9">
        <v>3412</v>
      </c>
      <c r="B5493" t="s">
        <v>270</v>
      </c>
      <c r="C5493" s="25">
        <v>44672</v>
      </c>
      <c r="D5493" s="26">
        <v>0.8510416666666667</v>
      </c>
      <c r="E5493" t="s">
        <v>27</v>
      </c>
      <c r="F5493" t="s">
        <v>559</v>
      </c>
      <c r="G5493" t="s">
        <v>303</v>
      </c>
      <c r="H5493" t="s">
        <v>132</v>
      </c>
      <c r="I5493" s="4">
        <v>102.04</v>
      </c>
      <c r="J5493" s="7">
        <v>0</v>
      </c>
      <c r="K5493" s="89">
        <f t="shared" ref="K5493:K5501" si="340">+L5493-J5493</f>
        <v>1465.47</v>
      </c>
      <c r="L5493" s="37">
        <v>1465.47</v>
      </c>
      <c r="M5493" s="36">
        <f t="shared" ref="M5493:M5524" si="341">I5493/K5493*100</f>
        <v>6.9629538646304594</v>
      </c>
    </row>
    <row r="5494" spans="1:13" ht="15.75" hidden="1" customHeight="1" x14ac:dyDescent="0.3">
      <c r="A5494" s="9">
        <v>3413</v>
      </c>
      <c r="B5494" t="s">
        <v>270</v>
      </c>
      <c r="C5494" s="25">
        <v>44672</v>
      </c>
      <c r="D5494" s="26">
        <v>0.98704861111111108</v>
      </c>
      <c r="E5494" t="s">
        <v>27</v>
      </c>
      <c r="F5494" t="s">
        <v>366</v>
      </c>
      <c r="G5494" t="s">
        <v>367</v>
      </c>
      <c r="H5494" t="s">
        <v>132</v>
      </c>
      <c r="I5494" s="4">
        <v>100.03</v>
      </c>
      <c r="J5494" s="7">
        <v>0</v>
      </c>
      <c r="K5494" s="89">
        <f t="shared" si="340"/>
        <v>2586</v>
      </c>
      <c r="L5494" s="32">
        <v>2586</v>
      </c>
      <c r="M5494" s="36">
        <f t="shared" si="341"/>
        <v>3.8681361175560709</v>
      </c>
    </row>
    <row r="5495" spans="1:13" ht="15.75" hidden="1" customHeight="1" x14ac:dyDescent="0.3">
      <c r="A5495" s="9">
        <v>3414</v>
      </c>
      <c r="B5495" t="s">
        <v>270</v>
      </c>
      <c r="C5495" s="25">
        <v>44673</v>
      </c>
      <c r="D5495" s="26">
        <v>0.37512731481481482</v>
      </c>
      <c r="E5495" t="s">
        <v>27</v>
      </c>
      <c r="F5495" t="s">
        <v>210</v>
      </c>
      <c r="G5495" t="s">
        <v>211</v>
      </c>
      <c r="H5495" t="s">
        <v>132</v>
      </c>
      <c r="I5495" s="4">
        <v>308.20999999999998</v>
      </c>
      <c r="J5495" s="7">
        <v>0</v>
      </c>
      <c r="K5495" s="89">
        <f t="shared" si="340"/>
        <v>199.23</v>
      </c>
      <c r="L5495" s="32">
        <v>199.23</v>
      </c>
      <c r="M5495" s="36">
        <f t="shared" si="341"/>
        <v>154.70059729960349</v>
      </c>
    </row>
    <row r="5496" spans="1:13" ht="15.75" hidden="1" customHeight="1" x14ac:dyDescent="0.3">
      <c r="A5496" s="9">
        <v>3415</v>
      </c>
      <c r="B5496" t="s">
        <v>270</v>
      </c>
      <c r="C5496" s="25">
        <v>44673</v>
      </c>
      <c r="D5496" s="26">
        <v>0.96181712962962962</v>
      </c>
      <c r="E5496" t="s">
        <v>27</v>
      </c>
      <c r="F5496" t="s">
        <v>278</v>
      </c>
      <c r="G5496" t="s">
        <v>279</v>
      </c>
      <c r="H5496" t="s">
        <v>132</v>
      </c>
      <c r="I5496" s="4">
        <v>148.15</v>
      </c>
      <c r="J5496" s="7">
        <v>0</v>
      </c>
      <c r="K5496" s="89">
        <f t="shared" si="340"/>
        <v>713.92</v>
      </c>
      <c r="L5496" s="32">
        <v>713.92</v>
      </c>
      <c r="M5496" s="36">
        <f t="shared" si="341"/>
        <v>20.751624831913944</v>
      </c>
    </row>
    <row r="5497" spans="1:13" ht="15.75" hidden="1" customHeight="1" x14ac:dyDescent="0.3">
      <c r="A5497" s="9">
        <v>3416</v>
      </c>
      <c r="B5497" t="s">
        <v>270</v>
      </c>
      <c r="C5497" s="25">
        <v>44674</v>
      </c>
      <c r="D5497" s="26">
        <v>0.16260416666666666</v>
      </c>
      <c r="E5497" t="s">
        <v>27</v>
      </c>
      <c r="F5497" t="s">
        <v>210</v>
      </c>
      <c r="G5497" t="s">
        <v>211</v>
      </c>
      <c r="H5497" t="s">
        <v>132</v>
      </c>
      <c r="I5497" s="4">
        <v>278.45</v>
      </c>
      <c r="J5497" s="7">
        <v>0</v>
      </c>
      <c r="K5497" s="89">
        <f t="shared" si="340"/>
        <v>349.99</v>
      </c>
      <c r="L5497" s="32">
        <v>349.99</v>
      </c>
      <c r="M5497" s="36">
        <f t="shared" si="341"/>
        <v>79.559415983313812</v>
      </c>
    </row>
    <row r="5498" spans="1:13" ht="15.75" hidden="1" customHeight="1" x14ac:dyDescent="0.3">
      <c r="A5498" s="9">
        <v>3417</v>
      </c>
      <c r="B5498" t="s">
        <v>270</v>
      </c>
      <c r="C5498" s="25">
        <v>44674</v>
      </c>
      <c r="D5498" s="26">
        <v>0.7742592592592592</v>
      </c>
      <c r="E5498" t="s">
        <v>27</v>
      </c>
      <c r="F5498" t="s">
        <v>169</v>
      </c>
      <c r="G5498" t="s">
        <v>196</v>
      </c>
      <c r="H5498" t="s">
        <v>132</v>
      </c>
      <c r="I5498" s="4">
        <v>153.15</v>
      </c>
      <c r="J5498" s="7">
        <v>0</v>
      </c>
      <c r="K5498" s="89">
        <f t="shared" si="340"/>
        <v>491.96</v>
      </c>
      <c r="L5498" s="32">
        <v>491.96</v>
      </c>
      <c r="M5498" s="36">
        <f t="shared" si="341"/>
        <v>31.130579721928616</v>
      </c>
    </row>
    <row r="5499" spans="1:13" ht="15.75" hidden="1" customHeight="1" x14ac:dyDescent="0.3">
      <c r="A5499" s="9">
        <v>3418</v>
      </c>
      <c r="B5499" t="s">
        <v>270</v>
      </c>
      <c r="C5499" s="25">
        <v>44675</v>
      </c>
      <c r="D5499" s="26">
        <v>0.54321759259259261</v>
      </c>
      <c r="E5499" t="s">
        <v>27</v>
      </c>
      <c r="F5499" t="s">
        <v>175</v>
      </c>
      <c r="G5499" t="s">
        <v>172</v>
      </c>
      <c r="H5499" t="s">
        <v>132</v>
      </c>
      <c r="I5499" s="4">
        <v>212.32</v>
      </c>
      <c r="J5499" s="7">
        <v>0</v>
      </c>
      <c r="K5499" s="89">
        <f t="shared" si="340"/>
        <v>557.30999999999995</v>
      </c>
      <c r="L5499" s="32">
        <v>557.30999999999995</v>
      </c>
      <c r="M5499" s="36">
        <f t="shared" si="341"/>
        <v>38.097288762089327</v>
      </c>
    </row>
    <row r="5500" spans="1:13" ht="15.75" hidden="1" customHeight="1" x14ac:dyDescent="0.3">
      <c r="A5500" s="9">
        <v>3419</v>
      </c>
      <c r="B5500" t="s">
        <v>270</v>
      </c>
      <c r="C5500" s="25">
        <v>44677</v>
      </c>
      <c r="D5500" s="26">
        <v>0.58810185185185182</v>
      </c>
      <c r="E5500" t="s">
        <v>27</v>
      </c>
      <c r="F5500" t="s">
        <v>210</v>
      </c>
      <c r="G5500" t="s">
        <v>211</v>
      </c>
      <c r="H5500" t="s">
        <v>132</v>
      </c>
      <c r="I5500">
        <v>370.59</v>
      </c>
      <c r="J5500" s="7">
        <v>0</v>
      </c>
      <c r="K5500" s="89">
        <f t="shared" si="340"/>
        <v>851.7</v>
      </c>
      <c r="L5500" s="7">
        <v>851.7</v>
      </c>
      <c r="M5500" s="36">
        <f t="shared" si="341"/>
        <v>43.511799929552652</v>
      </c>
    </row>
    <row r="5501" spans="1:13" ht="15.75" hidden="1" customHeight="1" x14ac:dyDescent="0.3">
      <c r="A5501" s="9">
        <v>3420</v>
      </c>
      <c r="B5501" t="s">
        <v>270</v>
      </c>
      <c r="C5501" s="25">
        <v>44678</v>
      </c>
      <c r="D5501" s="26">
        <v>0.67783564814814812</v>
      </c>
      <c r="E5501" t="s">
        <v>27</v>
      </c>
      <c r="F5501" t="s">
        <v>210</v>
      </c>
      <c r="G5501" t="s">
        <v>211</v>
      </c>
      <c r="H5501" t="s">
        <v>132</v>
      </c>
      <c r="I5501">
        <v>463.07</v>
      </c>
      <c r="J5501" s="7">
        <v>0</v>
      </c>
      <c r="K5501" s="89">
        <f t="shared" si="340"/>
        <v>1062.99</v>
      </c>
      <c r="L5501" s="7">
        <v>1062.99</v>
      </c>
      <c r="M5501" s="36">
        <f t="shared" si="341"/>
        <v>43.562968607418696</v>
      </c>
    </row>
    <row r="5502" spans="1:13" ht="15.75" hidden="1" customHeight="1" x14ac:dyDescent="0.3">
      <c r="A5502" s="9">
        <v>3741</v>
      </c>
      <c r="B5502" t="s">
        <v>270</v>
      </c>
      <c r="C5502" s="25">
        <v>44683</v>
      </c>
      <c r="D5502" s="26">
        <v>0.74314814814814811</v>
      </c>
      <c r="E5502" t="s">
        <v>28</v>
      </c>
      <c r="F5502" t="s">
        <v>428</v>
      </c>
      <c r="G5502" t="s">
        <v>429</v>
      </c>
      <c r="H5502" t="s">
        <v>132</v>
      </c>
      <c r="I5502">
        <v>150.02000000000001</v>
      </c>
      <c r="J5502" s="7">
        <v>0</v>
      </c>
      <c r="K5502" s="89">
        <f>+L5502-J5635</f>
        <v>902</v>
      </c>
      <c r="L5502" s="32">
        <v>902</v>
      </c>
      <c r="M5502" s="36">
        <f t="shared" si="341"/>
        <v>16.631929046563194</v>
      </c>
    </row>
    <row r="5503" spans="1:13" ht="15.75" hidden="1" customHeight="1" x14ac:dyDescent="0.3">
      <c r="A5503" s="9">
        <v>3782</v>
      </c>
      <c r="B5503" t="s">
        <v>270</v>
      </c>
      <c r="C5503" s="25">
        <v>44684</v>
      </c>
      <c r="D5503" s="26">
        <v>0.41784722222222226</v>
      </c>
      <c r="E5503" t="s">
        <v>28</v>
      </c>
      <c r="F5503" t="s">
        <v>175</v>
      </c>
      <c r="G5503" t="s">
        <v>172</v>
      </c>
      <c r="H5503" t="s">
        <v>132</v>
      </c>
      <c r="I5503">
        <v>282.89</v>
      </c>
      <c r="J5503" s="7">
        <v>0</v>
      </c>
      <c r="K5503" s="89">
        <f>+L5503-J5637</f>
        <v>281.55</v>
      </c>
      <c r="L5503" s="32">
        <v>281.55</v>
      </c>
      <c r="M5503" s="36">
        <f t="shared" si="341"/>
        <v>100.47593677854732</v>
      </c>
    </row>
    <row r="5504" spans="1:13" ht="15.75" hidden="1" customHeight="1" x14ac:dyDescent="0.3">
      <c r="A5504" s="9">
        <v>3846</v>
      </c>
      <c r="B5504" t="s">
        <v>270</v>
      </c>
      <c r="C5504" s="25">
        <v>44685</v>
      </c>
      <c r="D5504" s="26">
        <v>0.12211805555555555</v>
      </c>
      <c r="E5504" t="s">
        <v>28</v>
      </c>
      <c r="F5504" t="s">
        <v>210</v>
      </c>
      <c r="G5504" t="s">
        <v>211</v>
      </c>
      <c r="H5504" t="s">
        <v>132</v>
      </c>
      <c r="I5504">
        <v>297.58</v>
      </c>
      <c r="J5504" s="7">
        <v>0</v>
      </c>
      <c r="K5504" s="89">
        <f t="shared" ref="K5504:K5510" si="342">+L5504-J5634</f>
        <v>688</v>
      </c>
      <c r="L5504" s="32">
        <v>688</v>
      </c>
      <c r="M5504" s="36">
        <f t="shared" si="341"/>
        <v>43.252906976744185</v>
      </c>
    </row>
    <row r="5505" spans="1:13" ht="15.75" hidden="1" customHeight="1" x14ac:dyDescent="0.3">
      <c r="A5505" s="9">
        <v>3847</v>
      </c>
      <c r="B5505" t="s">
        <v>270</v>
      </c>
      <c r="C5505" s="25">
        <v>44685</v>
      </c>
      <c r="D5505" s="26">
        <v>0.9474999999999999</v>
      </c>
      <c r="E5505" t="s">
        <v>28</v>
      </c>
      <c r="F5505" t="s">
        <v>165</v>
      </c>
      <c r="G5505" t="s">
        <v>185</v>
      </c>
      <c r="H5505" t="s">
        <v>132</v>
      </c>
      <c r="I5505">
        <v>247.4</v>
      </c>
      <c r="J5505" s="7">
        <v>0</v>
      </c>
      <c r="K5505" s="89">
        <f t="shared" si="342"/>
        <v>550</v>
      </c>
      <c r="L5505" s="32">
        <v>550</v>
      </c>
      <c r="M5505" s="36">
        <f t="shared" si="341"/>
        <v>44.981818181818184</v>
      </c>
    </row>
    <row r="5506" spans="1:13" ht="15.75" hidden="1" customHeight="1" x14ac:dyDescent="0.3">
      <c r="A5506" s="9">
        <v>3900</v>
      </c>
      <c r="B5506" t="s">
        <v>270</v>
      </c>
      <c r="C5506" s="25">
        <v>44686</v>
      </c>
      <c r="D5506" s="26">
        <v>0.76734953703703701</v>
      </c>
      <c r="E5506" t="s">
        <v>28</v>
      </c>
      <c r="F5506" t="s">
        <v>335</v>
      </c>
      <c r="G5506" t="s">
        <v>336</v>
      </c>
      <c r="H5506" t="s">
        <v>132</v>
      </c>
      <c r="I5506">
        <v>374.68</v>
      </c>
      <c r="J5506" s="7">
        <v>0</v>
      </c>
      <c r="K5506" s="89">
        <f t="shared" si="342"/>
        <v>1223</v>
      </c>
      <c r="L5506" s="32">
        <v>1223</v>
      </c>
      <c r="M5506" s="36">
        <f t="shared" si="341"/>
        <v>30.636140637775959</v>
      </c>
    </row>
    <row r="5507" spans="1:13" ht="15.75" hidden="1" customHeight="1" x14ac:dyDescent="0.3">
      <c r="A5507" s="9">
        <v>3956</v>
      </c>
      <c r="B5507" t="s">
        <v>270</v>
      </c>
      <c r="C5507" s="25">
        <v>44687</v>
      </c>
      <c r="D5507" s="26">
        <v>0.79336805555555545</v>
      </c>
      <c r="E5507" t="s">
        <v>28</v>
      </c>
      <c r="F5507" t="s">
        <v>165</v>
      </c>
      <c r="G5507" t="s">
        <v>185</v>
      </c>
      <c r="H5507" t="s">
        <v>132</v>
      </c>
      <c r="I5507">
        <v>285.64999999999998</v>
      </c>
      <c r="J5507" s="7">
        <v>0</v>
      </c>
      <c r="K5507" s="89">
        <f t="shared" si="342"/>
        <v>620</v>
      </c>
      <c r="L5507" s="37">
        <v>620</v>
      </c>
      <c r="M5507" s="36">
        <f t="shared" si="341"/>
        <v>46.072580645161288</v>
      </c>
    </row>
    <row r="5508" spans="1:13" ht="15.75" hidden="1" customHeight="1" x14ac:dyDescent="0.3">
      <c r="A5508" s="9">
        <v>4003</v>
      </c>
      <c r="B5508" t="s">
        <v>270</v>
      </c>
      <c r="C5508" s="25">
        <v>44688</v>
      </c>
      <c r="D5508" s="26">
        <v>0.61099537037037044</v>
      </c>
      <c r="E5508" t="s">
        <v>28</v>
      </c>
      <c r="F5508" t="s">
        <v>335</v>
      </c>
      <c r="G5508" t="s">
        <v>336</v>
      </c>
      <c r="H5508" t="s">
        <v>132</v>
      </c>
      <c r="I5508">
        <v>304.75</v>
      </c>
      <c r="J5508" s="7">
        <v>0</v>
      </c>
      <c r="K5508" s="89">
        <f t="shared" si="342"/>
        <v>1007</v>
      </c>
      <c r="L5508" s="32">
        <v>1007</v>
      </c>
      <c r="M5508" s="36">
        <f t="shared" si="341"/>
        <v>30.263157894736842</v>
      </c>
    </row>
    <row r="5509" spans="1:13" ht="15.75" hidden="1" customHeight="1" x14ac:dyDescent="0.3">
      <c r="A5509" s="9">
        <v>4048</v>
      </c>
      <c r="B5509" t="s">
        <v>270</v>
      </c>
      <c r="C5509" s="25">
        <v>44689</v>
      </c>
      <c r="D5509" s="26">
        <v>0.6149189814814815</v>
      </c>
      <c r="E5509" t="s">
        <v>28</v>
      </c>
      <c r="F5509" t="s">
        <v>278</v>
      </c>
      <c r="G5509" t="s">
        <v>279</v>
      </c>
      <c r="H5509" t="s">
        <v>132</v>
      </c>
      <c r="I5509">
        <v>295.29000000000002</v>
      </c>
      <c r="J5509" s="7">
        <v>0</v>
      </c>
      <c r="K5509" s="89">
        <f t="shared" si="342"/>
        <v>784</v>
      </c>
      <c r="L5509" s="32">
        <v>784</v>
      </c>
      <c r="M5509" s="36">
        <f t="shared" si="341"/>
        <v>37.664540816326529</v>
      </c>
    </row>
    <row r="5510" spans="1:13" ht="15.75" hidden="1" customHeight="1" x14ac:dyDescent="0.3">
      <c r="A5510" s="9">
        <v>4049</v>
      </c>
      <c r="B5510" t="s">
        <v>270</v>
      </c>
      <c r="C5510" s="25">
        <v>44689</v>
      </c>
      <c r="D5510" s="26">
        <v>0.87822916666666673</v>
      </c>
      <c r="E5510" t="s">
        <v>28</v>
      </c>
      <c r="F5510" t="s">
        <v>210</v>
      </c>
      <c r="G5510" t="s">
        <v>211</v>
      </c>
      <c r="H5510" t="s">
        <v>132</v>
      </c>
      <c r="I5510">
        <v>97.34</v>
      </c>
      <c r="J5510" s="7">
        <v>0</v>
      </c>
      <c r="K5510" s="89">
        <f t="shared" si="342"/>
        <v>350</v>
      </c>
      <c r="L5510" s="32">
        <v>350</v>
      </c>
      <c r="M5510" s="36">
        <f t="shared" si="341"/>
        <v>27.811428571428571</v>
      </c>
    </row>
    <row r="5511" spans="1:13" ht="15.75" hidden="1" customHeight="1" x14ac:dyDescent="0.3">
      <c r="A5511" s="9">
        <v>4142</v>
      </c>
      <c r="B5511" t="s">
        <v>270</v>
      </c>
      <c r="C5511" s="25">
        <v>44691</v>
      </c>
      <c r="D5511" s="26">
        <v>0.52090277777777783</v>
      </c>
      <c r="E5511" t="s">
        <v>28</v>
      </c>
      <c r="F5511" t="s">
        <v>175</v>
      </c>
      <c r="G5511" t="s">
        <v>172</v>
      </c>
      <c r="H5511" t="s">
        <v>132</v>
      </c>
      <c r="I5511">
        <v>324.45999999999998</v>
      </c>
      <c r="J5511" s="7">
        <v>0</v>
      </c>
      <c r="K5511" s="89">
        <f>+L5511-J5643</f>
        <v>895</v>
      </c>
      <c r="L5511" s="32">
        <v>895</v>
      </c>
      <c r="M5511" s="36">
        <f t="shared" si="341"/>
        <v>36.252513966480443</v>
      </c>
    </row>
    <row r="5512" spans="1:13" ht="15.75" hidden="1" customHeight="1" x14ac:dyDescent="0.3">
      <c r="A5512" s="9">
        <v>4579</v>
      </c>
      <c r="B5512" t="s">
        <v>270</v>
      </c>
      <c r="C5512" s="25">
        <v>44699</v>
      </c>
      <c r="D5512" s="26">
        <v>0.42254629629629631</v>
      </c>
      <c r="E5512" t="s">
        <v>28</v>
      </c>
      <c r="F5512" t="s">
        <v>197</v>
      </c>
      <c r="G5512" t="s">
        <v>44</v>
      </c>
      <c r="H5512" t="s">
        <v>132</v>
      </c>
      <c r="I5512">
        <f>102.36+124.9</f>
        <v>227.26</v>
      </c>
      <c r="J5512" s="11">
        <v>0</v>
      </c>
      <c r="K5512" s="89">
        <f>+L5512-J5783</f>
        <v>-507778</v>
      </c>
      <c r="L5512" s="37">
        <v>650</v>
      </c>
      <c r="M5512" s="36">
        <f t="shared" si="341"/>
        <v>-4.4755779100315495E-2</v>
      </c>
    </row>
    <row r="5513" spans="1:13" ht="15.75" hidden="1" customHeight="1" x14ac:dyDescent="0.3">
      <c r="A5513" s="9">
        <v>4586</v>
      </c>
      <c r="B5513" t="s">
        <v>270</v>
      </c>
      <c r="C5513" s="25">
        <v>44699</v>
      </c>
      <c r="D5513" s="26">
        <v>0.99130787037037038</v>
      </c>
      <c r="E5513" t="s">
        <v>28</v>
      </c>
      <c r="F5513" t="s">
        <v>166</v>
      </c>
      <c r="G5513" t="s">
        <v>161</v>
      </c>
      <c r="H5513" t="s">
        <v>132</v>
      </c>
      <c r="I5513">
        <v>183.54</v>
      </c>
      <c r="J5513" s="11">
        <v>0</v>
      </c>
      <c r="K5513" s="89">
        <f>+L5513-J5784</f>
        <v>-508994</v>
      </c>
      <c r="L5513" s="32">
        <v>506</v>
      </c>
      <c r="M5513" s="36">
        <f t="shared" si="341"/>
        <v>-3.6059364157534267E-2</v>
      </c>
    </row>
    <row r="5514" spans="1:13" ht="15.75" hidden="1" customHeight="1" x14ac:dyDescent="0.3">
      <c r="A5514" s="9">
        <v>4631</v>
      </c>
      <c r="B5514" t="s">
        <v>270</v>
      </c>
      <c r="C5514" s="25">
        <v>44700</v>
      </c>
      <c r="D5514" s="26">
        <v>4.2604166666666665E-2</v>
      </c>
      <c r="E5514" t="s">
        <v>28</v>
      </c>
      <c r="F5514" t="s">
        <v>210</v>
      </c>
      <c r="G5514" t="s">
        <v>211</v>
      </c>
      <c r="H5514" t="s">
        <v>132</v>
      </c>
      <c r="I5514">
        <v>189.08</v>
      </c>
      <c r="J5514" s="7">
        <v>0</v>
      </c>
      <c r="K5514" s="89">
        <f>+L5514-J5785</f>
        <v>-510362</v>
      </c>
      <c r="L5514" s="37">
        <v>70</v>
      </c>
      <c r="M5514" s="36">
        <f t="shared" si="341"/>
        <v>-3.7048212837162642E-2</v>
      </c>
    </row>
    <row r="5515" spans="1:13" ht="15.75" hidden="1" customHeight="1" x14ac:dyDescent="0.3">
      <c r="A5515" s="9">
        <v>4684</v>
      </c>
      <c r="B5515" t="s">
        <v>270</v>
      </c>
      <c r="C5515" s="25">
        <v>44701</v>
      </c>
      <c r="D5515" s="26">
        <v>0.54189814814814818</v>
      </c>
      <c r="E5515" t="s">
        <v>28</v>
      </c>
      <c r="F5515" t="s">
        <v>210</v>
      </c>
      <c r="G5515" t="s">
        <v>211</v>
      </c>
      <c r="H5515" t="s">
        <v>132</v>
      </c>
      <c r="I5515">
        <v>412.66</v>
      </c>
      <c r="J5515" s="7">
        <v>0</v>
      </c>
      <c r="K5515" s="89">
        <f>+L5515-J5744</f>
        <v>1066</v>
      </c>
      <c r="L5515" s="32">
        <v>1066</v>
      </c>
      <c r="M5515" s="36">
        <f t="shared" si="341"/>
        <v>38.711069418386494</v>
      </c>
    </row>
    <row r="5516" spans="1:13" ht="15.75" hidden="1" customHeight="1" x14ac:dyDescent="0.3">
      <c r="A5516" s="9">
        <v>4744</v>
      </c>
      <c r="B5516" t="s">
        <v>270</v>
      </c>
      <c r="C5516" s="25">
        <v>44702</v>
      </c>
      <c r="D5516" s="26">
        <v>0.62269675925925927</v>
      </c>
      <c r="E5516" t="s">
        <v>28</v>
      </c>
      <c r="F5516" t="s">
        <v>262</v>
      </c>
      <c r="G5516" t="s">
        <v>263</v>
      </c>
      <c r="H5516" t="s">
        <v>132</v>
      </c>
      <c r="I5516">
        <v>200</v>
      </c>
      <c r="J5516" s="7">
        <v>0</v>
      </c>
      <c r="K5516" s="89">
        <f>+L5516-J5745</f>
        <v>905</v>
      </c>
      <c r="L5516" s="32">
        <v>905</v>
      </c>
      <c r="M5516" s="36">
        <f t="shared" si="341"/>
        <v>22.099447513812155</v>
      </c>
    </row>
    <row r="5517" spans="1:13" ht="15.75" hidden="1" customHeight="1" x14ac:dyDescent="0.3">
      <c r="A5517" s="9">
        <v>4793</v>
      </c>
      <c r="B5517" t="s">
        <v>270</v>
      </c>
      <c r="C5517" s="25">
        <v>44703</v>
      </c>
      <c r="D5517" s="26">
        <v>0.40166666666666667</v>
      </c>
      <c r="E5517" t="s">
        <v>28</v>
      </c>
      <c r="F5517" t="s">
        <v>197</v>
      </c>
      <c r="G5517" t="s">
        <v>44</v>
      </c>
      <c r="H5517" t="s">
        <v>132</v>
      </c>
      <c r="I5517">
        <v>115.68</v>
      </c>
      <c r="J5517" s="7">
        <v>0</v>
      </c>
      <c r="K5517" s="89">
        <f>+L5517-J5746</f>
        <v>298</v>
      </c>
      <c r="L5517" s="32">
        <v>298</v>
      </c>
      <c r="M5517" s="36">
        <f t="shared" si="341"/>
        <v>38.818791946308728</v>
      </c>
    </row>
    <row r="5518" spans="1:13" ht="15.75" hidden="1" customHeight="1" x14ac:dyDescent="0.3">
      <c r="A5518" s="9">
        <v>4794</v>
      </c>
      <c r="B5518" t="s">
        <v>270</v>
      </c>
      <c r="C5518" s="25">
        <v>44703</v>
      </c>
      <c r="D5518" s="26">
        <v>0.59184027777777781</v>
      </c>
      <c r="E5518" t="s">
        <v>28</v>
      </c>
      <c r="F5518" t="s">
        <v>488</v>
      </c>
      <c r="G5518" t="s">
        <v>489</v>
      </c>
      <c r="H5518" t="s">
        <v>132</v>
      </c>
      <c r="I5518">
        <v>139.72999999999999</v>
      </c>
      <c r="J5518" s="7">
        <v>0</v>
      </c>
      <c r="K5518" s="94">
        <f>+L5518-J5747</f>
        <v>338</v>
      </c>
      <c r="L5518" s="37">
        <v>338</v>
      </c>
      <c r="M5518" s="36">
        <f t="shared" si="341"/>
        <v>41.340236686390533</v>
      </c>
    </row>
    <row r="5519" spans="1:13" ht="15.75" hidden="1" customHeight="1" x14ac:dyDescent="0.3">
      <c r="A5519" s="9">
        <v>4799</v>
      </c>
      <c r="B5519" t="s">
        <v>270</v>
      </c>
      <c r="C5519" s="25">
        <v>44703</v>
      </c>
      <c r="D5519" s="26">
        <v>0.6905324074074074</v>
      </c>
      <c r="E5519" t="s">
        <v>28</v>
      </c>
      <c r="F5519" t="s">
        <v>166</v>
      </c>
      <c r="G5519" t="s">
        <v>161</v>
      </c>
      <c r="H5519" t="s">
        <v>132</v>
      </c>
      <c r="I5519">
        <v>225.18</v>
      </c>
      <c r="J5519" s="7">
        <v>0</v>
      </c>
      <c r="K5519" s="94">
        <f t="shared" ref="K5519:K5527" si="343">+L5519-J5743</f>
        <v>172</v>
      </c>
      <c r="L5519" s="32">
        <v>172</v>
      </c>
      <c r="M5519" s="36">
        <f t="shared" si="341"/>
        <v>130.91860465116278</v>
      </c>
    </row>
    <row r="5520" spans="1:13" ht="15.75" hidden="1" customHeight="1" x14ac:dyDescent="0.3">
      <c r="A5520" s="9">
        <v>4842</v>
      </c>
      <c r="B5520" t="s">
        <v>270</v>
      </c>
      <c r="C5520" s="25">
        <v>44704</v>
      </c>
      <c r="D5520" s="26">
        <v>0.63847222222222222</v>
      </c>
      <c r="E5520" t="s">
        <v>28</v>
      </c>
      <c r="F5520" t="s">
        <v>278</v>
      </c>
      <c r="G5520" t="s">
        <v>279</v>
      </c>
      <c r="H5520" t="s">
        <v>132</v>
      </c>
      <c r="I5520">
        <v>372.85</v>
      </c>
      <c r="J5520" s="7">
        <v>0</v>
      </c>
      <c r="K5520" s="89">
        <f t="shared" si="343"/>
        <v>790</v>
      </c>
      <c r="L5520" s="32">
        <v>790</v>
      </c>
      <c r="M5520" s="36">
        <f t="shared" si="341"/>
        <v>47.196202531645568</v>
      </c>
    </row>
    <row r="5521" spans="1:13" ht="15.75" hidden="1" customHeight="1" x14ac:dyDescent="0.3">
      <c r="A5521" s="9">
        <v>4903</v>
      </c>
      <c r="B5521" t="s">
        <v>270</v>
      </c>
      <c r="C5521" s="25">
        <v>44705</v>
      </c>
      <c r="D5521" s="26">
        <v>0.44113425925925925</v>
      </c>
      <c r="E5521" t="s">
        <v>28</v>
      </c>
      <c r="F5521" t="s">
        <v>169</v>
      </c>
      <c r="G5521" t="s">
        <v>196</v>
      </c>
      <c r="H5521" t="s">
        <v>132</v>
      </c>
      <c r="I5521">
        <v>100</v>
      </c>
      <c r="J5521" s="7">
        <v>0</v>
      </c>
      <c r="K5521" s="89">
        <f t="shared" si="343"/>
        <v>832</v>
      </c>
      <c r="L5521" s="32">
        <v>832</v>
      </c>
      <c r="M5521" s="36">
        <f t="shared" si="341"/>
        <v>12.01923076923077</v>
      </c>
    </row>
    <row r="5522" spans="1:13" ht="15.75" hidden="1" customHeight="1" x14ac:dyDescent="0.3">
      <c r="A5522" s="9">
        <v>4904</v>
      </c>
      <c r="B5522" t="s">
        <v>270</v>
      </c>
      <c r="C5522" s="25">
        <v>44705</v>
      </c>
      <c r="D5522" s="26">
        <v>0.62119212962962966</v>
      </c>
      <c r="E5522" t="s">
        <v>28</v>
      </c>
      <c r="F5522" t="s">
        <v>629</v>
      </c>
      <c r="G5522" t="s">
        <v>277</v>
      </c>
      <c r="H5522" t="s">
        <v>132</v>
      </c>
      <c r="I5522">
        <v>100.5</v>
      </c>
      <c r="J5522" s="7">
        <v>0</v>
      </c>
      <c r="K5522" s="89">
        <f t="shared" si="343"/>
        <v>268</v>
      </c>
      <c r="L5522" s="32">
        <v>268</v>
      </c>
      <c r="M5522" s="36">
        <f t="shared" si="341"/>
        <v>37.5</v>
      </c>
    </row>
    <row r="5523" spans="1:13" ht="15.75" hidden="1" customHeight="1" x14ac:dyDescent="0.3">
      <c r="A5523" s="9">
        <v>4961</v>
      </c>
      <c r="B5523" t="s">
        <v>270</v>
      </c>
      <c r="C5523" s="25">
        <v>44706</v>
      </c>
      <c r="D5523" s="26">
        <v>0.53070601851851851</v>
      </c>
      <c r="E5523" t="s">
        <v>28</v>
      </c>
      <c r="F5523" t="s">
        <v>197</v>
      </c>
      <c r="G5523" t="s">
        <v>44</v>
      </c>
      <c r="H5523" t="s">
        <v>132</v>
      </c>
      <c r="I5523">
        <v>202</v>
      </c>
      <c r="J5523" s="7">
        <v>0</v>
      </c>
      <c r="K5523" s="89">
        <f t="shared" si="343"/>
        <v>388</v>
      </c>
      <c r="L5523" s="32">
        <v>388</v>
      </c>
      <c r="M5523" s="36">
        <f t="shared" si="341"/>
        <v>52.0618556701031</v>
      </c>
    </row>
    <row r="5524" spans="1:13" ht="15.75" hidden="1" customHeight="1" x14ac:dyDescent="0.3">
      <c r="A5524" s="9">
        <v>4962</v>
      </c>
      <c r="B5524" t="s">
        <v>270</v>
      </c>
      <c r="C5524" s="25">
        <v>44706</v>
      </c>
      <c r="D5524" s="26">
        <v>0.64177083333333329</v>
      </c>
      <c r="E5524" t="s">
        <v>28</v>
      </c>
      <c r="F5524" t="s">
        <v>311</v>
      </c>
      <c r="G5524" t="s">
        <v>303</v>
      </c>
      <c r="H5524" t="s">
        <v>132</v>
      </c>
      <c r="I5524">
        <v>250</v>
      </c>
      <c r="J5524" s="7">
        <v>0</v>
      </c>
      <c r="K5524" s="89">
        <f t="shared" si="343"/>
        <v>156</v>
      </c>
      <c r="L5524" s="32">
        <v>156</v>
      </c>
      <c r="M5524" s="36">
        <f t="shared" si="341"/>
        <v>160.25641025641028</v>
      </c>
    </row>
    <row r="5525" spans="1:13" ht="15.75" hidden="1" customHeight="1" x14ac:dyDescent="0.3">
      <c r="A5525" s="9">
        <v>4963</v>
      </c>
      <c r="B5525" t="s">
        <v>270</v>
      </c>
      <c r="C5525" s="25">
        <v>44706</v>
      </c>
      <c r="D5525" s="26">
        <v>0.95163194444444443</v>
      </c>
      <c r="E5525" t="s">
        <v>28</v>
      </c>
      <c r="F5525" t="s">
        <v>210</v>
      </c>
      <c r="G5525" t="s">
        <v>211</v>
      </c>
      <c r="H5525" t="s">
        <v>132</v>
      </c>
      <c r="I5525">
        <v>236.33</v>
      </c>
      <c r="J5525" s="7">
        <v>0</v>
      </c>
      <c r="K5525" s="89">
        <f t="shared" si="343"/>
        <v>426</v>
      </c>
      <c r="L5525" s="32">
        <v>426</v>
      </c>
      <c r="M5525" s="36">
        <f t="shared" ref="M5525:M5546" si="344">I5525/K5525*100</f>
        <v>55.476525821596248</v>
      </c>
    </row>
    <row r="5526" spans="1:13" ht="15.75" hidden="1" customHeight="1" x14ac:dyDescent="0.3">
      <c r="A5526" s="9">
        <v>5002</v>
      </c>
      <c r="B5526" t="s">
        <v>270</v>
      </c>
      <c r="C5526" s="25">
        <v>44707</v>
      </c>
      <c r="D5526" s="26">
        <v>0.41510416666666666</v>
      </c>
      <c r="E5526" t="s">
        <v>28</v>
      </c>
      <c r="F5526" t="s">
        <v>645</v>
      </c>
      <c r="G5526" t="s">
        <v>279</v>
      </c>
      <c r="H5526" t="s">
        <v>132</v>
      </c>
      <c r="I5526">
        <v>307.08</v>
      </c>
      <c r="J5526" s="7">
        <v>0</v>
      </c>
      <c r="K5526" s="89">
        <f t="shared" si="343"/>
        <v>713</v>
      </c>
      <c r="L5526" s="7">
        <v>713</v>
      </c>
      <c r="M5526" s="36">
        <f t="shared" si="344"/>
        <v>43.068723702664798</v>
      </c>
    </row>
    <row r="5527" spans="1:13" ht="15.75" hidden="1" customHeight="1" x14ac:dyDescent="0.3">
      <c r="A5527" s="9">
        <v>5058</v>
      </c>
      <c r="B5527" t="s">
        <v>270</v>
      </c>
      <c r="C5527" s="25">
        <v>44708</v>
      </c>
      <c r="D5527" s="26">
        <v>0.91049768518518526</v>
      </c>
      <c r="E5527" t="s">
        <v>28</v>
      </c>
      <c r="F5527" t="s">
        <v>680</v>
      </c>
      <c r="G5527" t="s">
        <v>402</v>
      </c>
      <c r="H5527" t="s">
        <v>132</v>
      </c>
      <c r="I5527">
        <v>317</v>
      </c>
      <c r="J5527" s="7">
        <v>0</v>
      </c>
      <c r="K5527" s="89">
        <f t="shared" si="343"/>
        <v>1009</v>
      </c>
      <c r="L5527" s="7">
        <v>1009</v>
      </c>
      <c r="M5527" s="36">
        <f t="shared" si="344"/>
        <v>31.417244796828541</v>
      </c>
    </row>
    <row r="5528" spans="1:13" ht="15.75" hidden="1" customHeight="1" x14ac:dyDescent="0.3">
      <c r="A5528" s="9">
        <v>5109</v>
      </c>
      <c r="B5528" t="s">
        <v>270</v>
      </c>
      <c r="C5528" s="25">
        <v>44709</v>
      </c>
      <c r="D5528" s="26">
        <v>0.80026620370370372</v>
      </c>
      <c r="E5528" t="s">
        <v>28</v>
      </c>
      <c r="F5528" t="s">
        <v>638</v>
      </c>
      <c r="G5528" t="s">
        <v>263</v>
      </c>
      <c r="H5528" t="s">
        <v>132</v>
      </c>
      <c r="I5528">
        <v>192.66</v>
      </c>
      <c r="J5528" s="7">
        <v>0</v>
      </c>
      <c r="K5528" s="89">
        <f>+L5528-J5811</f>
        <v>-535346</v>
      </c>
      <c r="L5528" s="7">
        <v>434</v>
      </c>
      <c r="M5528" s="36">
        <f t="shared" si="344"/>
        <v>-3.5987940509502263E-2</v>
      </c>
    </row>
    <row r="5529" spans="1:13" ht="15.75" hidden="1" customHeight="1" x14ac:dyDescent="0.3">
      <c r="A5529" s="9">
        <v>5168</v>
      </c>
      <c r="B5529" t="s">
        <v>270</v>
      </c>
      <c r="C5529" s="25">
        <v>44710</v>
      </c>
      <c r="D5529" s="26">
        <v>0.18060185185185185</v>
      </c>
      <c r="E5529" t="s">
        <v>28</v>
      </c>
      <c r="F5529" t="s">
        <v>634</v>
      </c>
      <c r="G5529" t="s">
        <v>211</v>
      </c>
      <c r="H5529" t="s">
        <v>132</v>
      </c>
      <c r="I5529">
        <v>287.20999999999998</v>
      </c>
      <c r="J5529" s="7">
        <v>0</v>
      </c>
      <c r="K5529" s="90">
        <f>+L5529-J5812</f>
        <v>-535770</v>
      </c>
      <c r="L5529" s="34">
        <v>634</v>
      </c>
      <c r="M5529" s="36">
        <f t="shared" si="344"/>
        <v>-5.3606958209679527E-2</v>
      </c>
    </row>
    <row r="5530" spans="1:13" ht="15.75" hidden="1" customHeight="1" x14ac:dyDescent="0.3">
      <c r="A5530" s="9">
        <v>5169</v>
      </c>
      <c r="B5530" t="s">
        <v>270</v>
      </c>
      <c r="C5530" s="25">
        <v>44710</v>
      </c>
      <c r="D5530" s="26">
        <v>0.75901620370370371</v>
      </c>
      <c r="E5530" t="s">
        <v>28</v>
      </c>
      <c r="F5530" t="s">
        <v>645</v>
      </c>
      <c r="G5530" t="s">
        <v>279</v>
      </c>
      <c r="H5530" t="s">
        <v>132</v>
      </c>
      <c r="I5530">
        <v>284.67</v>
      </c>
      <c r="J5530" s="7">
        <v>0</v>
      </c>
      <c r="K5530" s="90">
        <f>+L5530-J5813</f>
        <v>-536737</v>
      </c>
      <c r="L5530" s="7">
        <v>714</v>
      </c>
      <c r="M5530" s="36">
        <f t="shared" si="344"/>
        <v>-5.3037148547612704E-2</v>
      </c>
    </row>
    <row r="5531" spans="1:13" ht="15.75" hidden="1" customHeight="1" x14ac:dyDescent="0.3">
      <c r="A5531" s="9">
        <v>5220</v>
      </c>
      <c r="B5531" t="s">
        <v>270</v>
      </c>
      <c r="C5531" s="25">
        <v>44711</v>
      </c>
      <c r="D5531" s="26">
        <v>0.7478125000000001</v>
      </c>
      <c r="E5531" t="s">
        <v>28</v>
      </c>
      <c r="F5531" t="s">
        <v>637</v>
      </c>
      <c r="G5531" t="s">
        <v>196</v>
      </c>
      <c r="H5531" t="s">
        <v>132</v>
      </c>
      <c r="I5531">
        <v>300</v>
      </c>
      <c r="J5531" s="32">
        <v>0</v>
      </c>
      <c r="K5531" s="90">
        <f>+L5531-J5805</f>
        <v>-528831</v>
      </c>
      <c r="L5531" s="7">
        <v>834</v>
      </c>
      <c r="M5531" s="36">
        <f t="shared" si="344"/>
        <v>-5.6728898268066742E-2</v>
      </c>
    </row>
    <row r="5532" spans="1:13" ht="15.75" hidden="1" customHeight="1" x14ac:dyDescent="0.3">
      <c r="A5532" s="9">
        <v>5303</v>
      </c>
      <c r="B5532" t="s">
        <v>270</v>
      </c>
      <c r="C5532" s="25">
        <v>44713</v>
      </c>
      <c r="D5532" s="26">
        <v>0.26409722222222221</v>
      </c>
      <c r="E5532" t="s">
        <v>29</v>
      </c>
      <c r="F5532" t="s">
        <v>638</v>
      </c>
      <c r="G5532" t="s">
        <v>263</v>
      </c>
      <c r="H5532" t="s">
        <v>132</v>
      </c>
      <c r="I5532">
        <v>200.01</v>
      </c>
      <c r="J5532" s="32">
        <v>0</v>
      </c>
      <c r="K5532" s="90">
        <f>+L5532-J5756</f>
        <v>636</v>
      </c>
      <c r="L5532" s="7">
        <v>636</v>
      </c>
      <c r="M5532" s="36">
        <f t="shared" si="344"/>
        <v>31.448113207547166</v>
      </c>
    </row>
    <row r="5533" spans="1:13" ht="15.75" hidden="1" customHeight="1" x14ac:dyDescent="0.3">
      <c r="A5533" s="9">
        <v>5304</v>
      </c>
      <c r="B5533" t="s">
        <v>270</v>
      </c>
      <c r="C5533" s="25">
        <v>44713</v>
      </c>
      <c r="D5533" s="26">
        <v>0.29928240740740741</v>
      </c>
      <c r="E5533" t="s">
        <v>29</v>
      </c>
      <c r="F5533" t="s">
        <v>639</v>
      </c>
      <c r="G5533" t="s">
        <v>44</v>
      </c>
      <c r="H5533" t="s">
        <v>132</v>
      </c>
      <c r="I5533">
        <v>93.12</v>
      </c>
      <c r="J5533" s="32">
        <v>0</v>
      </c>
      <c r="K5533" s="90">
        <f>+L5533-J5757</f>
        <v>46</v>
      </c>
      <c r="L5533" s="7">
        <v>46</v>
      </c>
      <c r="M5533" s="36">
        <f t="shared" si="344"/>
        <v>202.43478260869568</v>
      </c>
    </row>
    <row r="5534" spans="1:13" ht="15.75" hidden="1" customHeight="1" x14ac:dyDescent="0.3">
      <c r="A5534" s="9">
        <v>5305</v>
      </c>
      <c r="B5534" t="s">
        <v>270</v>
      </c>
      <c r="C5534" s="25">
        <v>44713</v>
      </c>
      <c r="D5534" s="26">
        <v>0.72859953703703706</v>
      </c>
      <c r="E5534" t="s">
        <v>29</v>
      </c>
      <c r="F5534" t="s">
        <v>634</v>
      </c>
      <c r="G5534" t="s">
        <v>211</v>
      </c>
      <c r="H5534" t="s">
        <v>132</v>
      </c>
      <c r="I5534" s="126">
        <v>240.84</v>
      </c>
      <c r="J5534" s="32">
        <v>0</v>
      </c>
      <c r="K5534" s="90">
        <f>+L5534-J5758</f>
        <v>587</v>
      </c>
      <c r="L5534" s="7">
        <v>587</v>
      </c>
      <c r="M5534" s="36">
        <f t="shared" si="344"/>
        <v>41.028960817717206</v>
      </c>
    </row>
    <row r="5535" spans="1:13" ht="15.75" hidden="1" customHeight="1" x14ac:dyDescent="0.3">
      <c r="A5535" s="9">
        <v>5370</v>
      </c>
      <c r="B5535" t="s">
        <v>270</v>
      </c>
      <c r="C5535" s="25">
        <v>44714</v>
      </c>
      <c r="D5535" s="26">
        <v>0.82530092592592597</v>
      </c>
      <c r="E5535" t="s">
        <v>29</v>
      </c>
      <c r="F5535" t="s">
        <v>634</v>
      </c>
      <c r="G5535" t="s">
        <v>211</v>
      </c>
      <c r="H5535" t="s">
        <v>132</v>
      </c>
      <c r="I5535" s="126">
        <v>433.32</v>
      </c>
      <c r="J5535" s="32">
        <v>0</v>
      </c>
      <c r="K5535" s="89">
        <f>+L5535-J5759</f>
        <v>1063</v>
      </c>
      <c r="L5535" s="34">
        <v>1063</v>
      </c>
      <c r="M5535" s="36">
        <f t="shared" si="344"/>
        <v>40.763875823142051</v>
      </c>
    </row>
    <row r="5536" spans="1:13" ht="15.75" hidden="1" customHeight="1" x14ac:dyDescent="0.3">
      <c r="A5536" s="9">
        <v>5481</v>
      </c>
      <c r="B5536" t="s">
        <v>270</v>
      </c>
      <c r="C5536" s="25">
        <v>44716</v>
      </c>
      <c r="D5536" s="26">
        <v>0.18160879629629631</v>
      </c>
      <c r="E5536" t="s">
        <v>29</v>
      </c>
      <c r="F5536" t="s">
        <v>638</v>
      </c>
      <c r="G5536" t="s">
        <v>263</v>
      </c>
      <c r="H5536" t="s">
        <v>132</v>
      </c>
      <c r="I5536" s="126">
        <v>200</v>
      </c>
      <c r="J5536" s="32">
        <v>0</v>
      </c>
      <c r="K5536" s="89">
        <f>+L5536-J5753</f>
        <v>792</v>
      </c>
      <c r="L5536" s="7">
        <v>792</v>
      </c>
      <c r="M5536" s="36">
        <f t="shared" si="344"/>
        <v>25.252525252525253</v>
      </c>
    </row>
    <row r="5537" spans="1:13" ht="15.75" hidden="1" customHeight="1" x14ac:dyDescent="0.3">
      <c r="A5537" s="9">
        <v>5527</v>
      </c>
      <c r="B5537" t="s">
        <v>270</v>
      </c>
      <c r="C5537" s="25">
        <v>44717</v>
      </c>
      <c r="D5537" s="26">
        <v>0.48987268518518517</v>
      </c>
      <c r="E5537" t="s">
        <v>29</v>
      </c>
      <c r="F5537" t="s">
        <v>662</v>
      </c>
      <c r="G5537" t="s">
        <v>542</v>
      </c>
      <c r="H5537" t="s">
        <v>132</v>
      </c>
      <c r="I5537" s="126">
        <v>200</v>
      </c>
      <c r="J5537" s="32">
        <v>0</v>
      </c>
      <c r="K5537" s="89">
        <f>+L5537-J5754</f>
        <v>446</v>
      </c>
      <c r="L5537" s="7">
        <v>446</v>
      </c>
      <c r="M5537" s="36">
        <f t="shared" si="344"/>
        <v>44.843049327354265</v>
      </c>
    </row>
    <row r="5538" spans="1:13" ht="15.75" hidden="1" customHeight="1" x14ac:dyDescent="0.3">
      <c r="A5538" s="9">
        <v>5528</v>
      </c>
      <c r="B5538" t="s">
        <v>270</v>
      </c>
      <c r="C5538" s="25">
        <v>44717</v>
      </c>
      <c r="D5538" s="26">
        <v>0.86791666666666656</v>
      </c>
      <c r="E5538" t="s">
        <v>29</v>
      </c>
      <c r="F5538" t="s">
        <v>634</v>
      </c>
      <c r="G5538" t="s">
        <v>211</v>
      </c>
      <c r="H5538" t="s">
        <v>132</v>
      </c>
      <c r="I5538" s="125">
        <v>347.69</v>
      </c>
      <c r="J5538" s="32">
        <v>0</v>
      </c>
      <c r="K5538" s="89">
        <f>+L5538-J5755</f>
        <v>535</v>
      </c>
      <c r="L5538" s="7">
        <v>535</v>
      </c>
      <c r="M5538" s="36">
        <f t="shared" si="344"/>
        <v>64.988785046728964</v>
      </c>
    </row>
    <row r="5539" spans="1:13" ht="15.75" hidden="1" customHeight="1" x14ac:dyDescent="0.3">
      <c r="A5539" s="9">
        <v>5626</v>
      </c>
      <c r="B5539" t="s">
        <v>270</v>
      </c>
      <c r="C5539" s="25">
        <v>44719</v>
      </c>
      <c r="D5539" s="26">
        <v>4.5902777777777772E-2</v>
      </c>
      <c r="E5539" t="s">
        <v>29</v>
      </c>
      <c r="F5539" t="s">
        <v>634</v>
      </c>
      <c r="G5539" t="s">
        <v>211</v>
      </c>
      <c r="H5539" t="s">
        <v>132</v>
      </c>
      <c r="I5539" s="148">
        <v>354.67</v>
      </c>
      <c r="J5539" s="32">
        <v>0</v>
      </c>
      <c r="K5539" s="89">
        <f>+L5539-J5098</f>
        <v>892</v>
      </c>
      <c r="L5539" s="7">
        <v>892</v>
      </c>
      <c r="M5539" s="36">
        <f t="shared" si="344"/>
        <v>39.761210762331842</v>
      </c>
    </row>
    <row r="5540" spans="1:13" ht="15.75" hidden="1" customHeight="1" x14ac:dyDescent="0.3">
      <c r="A5540" s="9">
        <v>6068</v>
      </c>
      <c r="B5540" t="s">
        <v>270</v>
      </c>
      <c r="C5540" s="25">
        <v>44727</v>
      </c>
      <c r="D5540" s="26">
        <v>0.46959490740740745</v>
      </c>
      <c r="E5540" t="s">
        <v>29</v>
      </c>
      <c r="F5540" t="s">
        <v>651</v>
      </c>
      <c r="G5540" t="s">
        <v>172</v>
      </c>
      <c r="H5540" t="s">
        <v>132</v>
      </c>
      <c r="I5540" s="148">
        <v>415.05</v>
      </c>
      <c r="J5540" s="32">
        <v>0</v>
      </c>
      <c r="K5540" s="89">
        <v>1084</v>
      </c>
      <c r="L5540" s="7">
        <v>1084</v>
      </c>
      <c r="M5540" s="36">
        <f t="shared" si="344"/>
        <v>38.288745387453879</v>
      </c>
    </row>
    <row r="5541" spans="1:13" ht="15.75" hidden="1" customHeight="1" x14ac:dyDescent="0.3">
      <c r="A5541" s="9">
        <v>6069</v>
      </c>
      <c r="B5541" t="s">
        <v>270</v>
      </c>
      <c r="C5541" s="25">
        <v>44727</v>
      </c>
      <c r="D5541" s="26">
        <v>0.95621527777777782</v>
      </c>
      <c r="E5541" t="s">
        <v>29</v>
      </c>
      <c r="F5541" t="s">
        <v>634</v>
      </c>
      <c r="G5541" t="s">
        <v>211</v>
      </c>
      <c r="H5541" t="s">
        <v>132</v>
      </c>
      <c r="I5541" s="148">
        <v>296.58</v>
      </c>
      <c r="J5541" s="32">
        <v>0</v>
      </c>
      <c r="K5541" s="89">
        <v>688</v>
      </c>
      <c r="L5541" s="7">
        <v>688</v>
      </c>
      <c r="M5541" s="36">
        <f t="shared" si="344"/>
        <v>43.107558139534881</v>
      </c>
    </row>
    <row r="5542" spans="1:13" ht="15.75" hidden="1" customHeight="1" x14ac:dyDescent="0.3">
      <c r="A5542" s="9">
        <v>6120</v>
      </c>
      <c r="B5542" t="s">
        <v>270</v>
      </c>
      <c r="C5542" s="25">
        <v>44728</v>
      </c>
      <c r="D5542" s="26">
        <v>0.83577546296296301</v>
      </c>
      <c r="E5542" t="s">
        <v>29</v>
      </c>
      <c r="F5542" t="s">
        <v>645</v>
      </c>
      <c r="G5542" t="s">
        <v>279</v>
      </c>
      <c r="H5542" t="s">
        <v>132</v>
      </c>
      <c r="I5542" s="148">
        <v>315.70999999999998</v>
      </c>
      <c r="J5542" s="32">
        <v>0</v>
      </c>
      <c r="K5542" s="89">
        <v>709</v>
      </c>
      <c r="L5542" s="7">
        <v>709</v>
      </c>
      <c r="M5542" s="36">
        <f t="shared" si="344"/>
        <v>44.528913963328634</v>
      </c>
    </row>
    <row r="5543" spans="1:13" ht="15.75" hidden="1" customHeight="1" x14ac:dyDescent="0.3">
      <c r="A5543" s="9">
        <v>6174</v>
      </c>
      <c r="B5543" t="s">
        <v>270</v>
      </c>
      <c r="C5543" s="25">
        <v>44729</v>
      </c>
      <c r="D5543" s="26">
        <v>0.45466435185185183</v>
      </c>
      <c r="E5543" t="s">
        <v>29</v>
      </c>
      <c r="F5543" t="s">
        <v>634</v>
      </c>
      <c r="G5543" t="s">
        <v>211</v>
      </c>
      <c r="H5543" t="s">
        <v>132</v>
      </c>
      <c r="I5543" s="148">
        <v>98.58</v>
      </c>
      <c r="J5543" s="32">
        <v>0</v>
      </c>
      <c r="K5543" s="89">
        <v>351</v>
      </c>
      <c r="L5543" s="7">
        <v>351</v>
      </c>
      <c r="M5543" s="36">
        <f t="shared" si="344"/>
        <v>28.085470085470082</v>
      </c>
    </row>
    <row r="5544" spans="1:13" ht="15.75" hidden="1" customHeight="1" x14ac:dyDescent="0.3">
      <c r="A5544" s="9">
        <v>6175</v>
      </c>
      <c r="B5544" t="s">
        <v>270</v>
      </c>
      <c r="C5544" s="25">
        <v>44729</v>
      </c>
      <c r="D5544" s="26">
        <v>0.98149305555555555</v>
      </c>
      <c r="E5544" t="s">
        <v>29</v>
      </c>
      <c r="F5544" t="s">
        <v>724</v>
      </c>
      <c r="G5544" t="s">
        <v>277</v>
      </c>
      <c r="H5544" t="s">
        <v>132</v>
      </c>
      <c r="I5544" s="148">
        <v>71.84</v>
      </c>
      <c r="J5544" s="32">
        <v>0</v>
      </c>
      <c r="K5544" s="89">
        <v>740</v>
      </c>
      <c r="L5544" s="34">
        <v>740</v>
      </c>
      <c r="M5544" s="36">
        <f t="shared" si="344"/>
        <v>9.7081081081081084</v>
      </c>
    </row>
    <row r="5545" spans="1:13" ht="15.75" hidden="1" customHeight="1" x14ac:dyDescent="0.3">
      <c r="A5545" s="9">
        <v>6308</v>
      </c>
      <c r="B5545" t="s">
        <v>270</v>
      </c>
      <c r="C5545" s="25">
        <v>44733</v>
      </c>
      <c r="D5545" s="26">
        <v>0.40752314814814811</v>
      </c>
      <c r="E5545" t="s">
        <v>29</v>
      </c>
      <c r="F5545" t="s">
        <v>651</v>
      </c>
      <c r="G5545" t="s">
        <v>172</v>
      </c>
      <c r="H5545" t="s">
        <v>132</v>
      </c>
      <c r="I5545" s="148">
        <v>318.27</v>
      </c>
      <c r="J5545" s="32">
        <v>0</v>
      </c>
      <c r="K5545" s="89">
        <v>273</v>
      </c>
      <c r="L5545" s="7">
        <v>273</v>
      </c>
      <c r="M5545" s="36">
        <f t="shared" si="344"/>
        <v>116.58241758241759</v>
      </c>
    </row>
    <row r="5546" spans="1:13" ht="15.75" hidden="1" customHeight="1" x14ac:dyDescent="0.3">
      <c r="A5546" s="9">
        <v>6353</v>
      </c>
      <c r="B5546" t="s">
        <v>270</v>
      </c>
      <c r="C5546" s="25">
        <v>44734</v>
      </c>
      <c r="D5546" s="26">
        <v>0.52226851851851852</v>
      </c>
      <c r="E5546" t="s">
        <v>29</v>
      </c>
      <c r="F5546" t="s">
        <v>634</v>
      </c>
      <c r="G5546" t="s">
        <v>211</v>
      </c>
      <c r="H5546" t="s">
        <v>132</v>
      </c>
      <c r="I5546" s="148">
        <v>331.17</v>
      </c>
      <c r="J5546" s="33">
        <v>0</v>
      </c>
      <c r="K5546" s="96">
        <v>688</v>
      </c>
      <c r="L5546" s="31">
        <v>688</v>
      </c>
      <c r="M5546" s="121">
        <f t="shared" si="344"/>
        <v>48.135174418604656</v>
      </c>
    </row>
    <row r="5547" spans="1:13" ht="15.75" hidden="1" customHeight="1" x14ac:dyDescent="0.3">
      <c r="B5547" t="s">
        <v>194</v>
      </c>
      <c r="C5547" s="25">
        <v>44773</v>
      </c>
      <c r="D5547" s="26">
        <v>0.70894675925925921</v>
      </c>
      <c r="E5547" t="s">
        <v>30</v>
      </c>
      <c r="F5547" t="s">
        <v>166</v>
      </c>
      <c r="G5547" t="s">
        <v>161</v>
      </c>
      <c r="H5547" t="s">
        <v>195</v>
      </c>
      <c r="I5547" s="160">
        <v>47.74</v>
      </c>
      <c r="J5547" s="160">
        <f>184+171+171+48</f>
        <v>574</v>
      </c>
      <c r="K5547" s="160">
        <v>652275</v>
      </c>
      <c r="L5547" s="160">
        <v>1696</v>
      </c>
      <c r="M5547" s="254">
        <f>+J5547/L5547*100</f>
        <v>33.844339622641513</v>
      </c>
    </row>
    <row r="5548" spans="1:13" ht="15.75" hidden="1" customHeight="1" x14ac:dyDescent="0.3">
      <c r="B5548" t="s">
        <v>194</v>
      </c>
      <c r="C5548" s="25">
        <v>44773</v>
      </c>
      <c r="D5548" s="26">
        <v>0.80899305555555545</v>
      </c>
      <c r="E5548" t="s">
        <v>30</v>
      </c>
      <c r="F5548" t="s">
        <v>210</v>
      </c>
      <c r="G5548" t="s">
        <v>211</v>
      </c>
      <c r="H5548" t="s">
        <v>195</v>
      </c>
      <c r="I5548" s="8">
        <v>153.75</v>
      </c>
      <c r="J5548" s="8"/>
      <c r="K5548" s="8">
        <v>652353</v>
      </c>
      <c r="L5548" s="8"/>
      <c r="M5548" s="254"/>
    </row>
    <row r="5549" spans="1:13" ht="15.75" hidden="1" customHeight="1" x14ac:dyDescent="0.3">
      <c r="B5549" t="s">
        <v>288</v>
      </c>
      <c r="C5549" s="25">
        <v>44579</v>
      </c>
      <c r="D5549" s="26">
        <v>0.89384259259259258</v>
      </c>
      <c r="E5549" t="s">
        <v>24</v>
      </c>
      <c r="F5549" t="s">
        <v>234</v>
      </c>
      <c r="G5549" t="s">
        <v>235</v>
      </c>
      <c r="H5549" t="s">
        <v>247</v>
      </c>
      <c r="I5549">
        <v>459.38</v>
      </c>
      <c r="J5549" s="34">
        <v>0</v>
      </c>
      <c r="K5549" s="30">
        <f t="shared" ref="K5549:K5580" si="345">+L5549-J5549</f>
        <v>1464.3</v>
      </c>
      <c r="L5549" s="34">
        <v>1464.3</v>
      </c>
      <c r="M5549" s="118">
        <f t="shared" ref="M5549:M5580" si="346">I5549/K5549*100</f>
        <v>31.371986614764737</v>
      </c>
    </row>
    <row r="5550" spans="1:13" ht="16.5" hidden="1" customHeight="1" x14ac:dyDescent="0.3">
      <c r="B5550" t="s">
        <v>288</v>
      </c>
      <c r="C5550" s="25">
        <v>44587</v>
      </c>
      <c r="D5550" s="26">
        <v>0.73769675925925926</v>
      </c>
      <c r="E5550" t="s">
        <v>24</v>
      </c>
      <c r="F5550" t="s">
        <v>331</v>
      </c>
      <c r="G5550" t="s">
        <v>277</v>
      </c>
      <c r="H5550" t="s">
        <v>247</v>
      </c>
      <c r="I5550">
        <v>362.54</v>
      </c>
      <c r="J5550" s="7">
        <v>0</v>
      </c>
      <c r="K5550" s="11">
        <f t="shared" si="345"/>
        <v>978.39</v>
      </c>
      <c r="L5550" s="37">
        <v>978.39</v>
      </c>
      <c r="M5550" s="36">
        <f t="shared" si="346"/>
        <v>37.054753217019801</v>
      </c>
    </row>
    <row r="5551" spans="1:13" ht="15.75" hidden="1" customHeight="1" x14ac:dyDescent="0.3">
      <c r="B5551" t="s">
        <v>288</v>
      </c>
      <c r="C5551" s="25">
        <v>44589</v>
      </c>
      <c r="D5551" s="26">
        <v>0.73668981481481488</v>
      </c>
      <c r="E5551" t="s">
        <v>24</v>
      </c>
      <c r="F5551" t="s">
        <v>241</v>
      </c>
      <c r="G5551" t="s">
        <v>242</v>
      </c>
      <c r="H5551" t="s">
        <v>247</v>
      </c>
      <c r="I5551">
        <v>503.38</v>
      </c>
      <c r="J5551" s="7">
        <v>0</v>
      </c>
      <c r="K5551" s="11">
        <f t="shared" si="345"/>
        <v>1322.62</v>
      </c>
      <c r="L5551" s="7">
        <v>1322.62</v>
      </c>
      <c r="M5551" s="36">
        <f t="shared" si="346"/>
        <v>38.059306527952096</v>
      </c>
    </row>
    <row r="5552" spans="1:13" ht="15.75" hidden="1" customHeight="1" x14ac:dyDescent="0.3">
      <c r="B5552" t="s">
        <v>288</v>
      </c>
      <c r="C5552" s="25">
        <v>44592</v>
      </c>
      <c r="D5552" s="26">
        <v>0.36644675925925929</v>
      </c>
      <c r="E5552" t="s">
        <v>24</v>
      </c>
      <c r="F5552" t="s">
        <v>406</v>
      </c>
      <c r="G5552" t="s">
        <v>409</v>
      </c>
      <c r="H5552" t="s">
        <v>247</v>
      </c>
      <c r="I5552">
        <v>347.31</v>
      </c>
      <c r="J5552" s="51">
        <v>0</v>
      </c>
      <c r="K5552" s="11">
        <f t="shared" si="345"/>
        <v>829.94</v>
      </c>
      <c r="L5552" s="51">
        <v>829.94</v>
      </c>
      <c r="M5552" s="10">
        <f t="shared" si="346"/>
        <v>41.84760344121262</v>
      </c>
    </row>
    <row r="5553" spans="1:13" ht="15.75" hidden="1" customHeight="1" x14ac:dyDescent="0.3">
      <c r="A5553" s="9">
        <v>716</v>
      </c>
      <c r="B5553" t="s">
        <v>288</v>
      </c>
      <c r="C5553" s="25">
        <v>44593</v>
      </c>
      <c r="D5553" s="26">
        <v>0.5248032407407407</v>
      </c>
      <c r="E5553" t="s">
        <v>25</v>
      </c>
      <c r="F5553" t="s">
        <v>403</v>
      </c>
      <c r="G5553" t="s">
        <v>404</v>
      </c>
      <c r="H5553" t="s">
        <v>247</v>
      </c>
      <c r="I5553">
        <v>200</v>
      </c>
      <c r="J5553" s="7">
        <v>0</v>
      </c>
      <c r="K5553" s="11">
        <f t="shared" si="345"/>
        <v>657.75</v>
      </c>
      <c r="L5553" s="7">
        <v>657.75</v>
      </c>
      <c r="M5553" s="36">
        <f t="shared" si="346"/>
        <v>30.406689471683769</v>
      </c>
    </row>
    <row r="5554" spans="1:13" ht="15.75" hidden="1" customHeight="1" x14ac:dyDescent="0.3">
      <c r="A5554" s="9">
        <v>717</v>
      </c>
      <c r="B5554" t="s">
        <v>288</v>
      </c>
      <c r="C5554" s="25">
        <v>44594</v>
      </c>
      <c r="D5554" s="26">
        <v>0.53840277777777779</v>
      </c>
      <c r="E5554" t="s">
        <v>25</v>
      </c>
      <c r="F5554" t="s">
        <v>237</v>
      </c>
      <c r="G5554" t="s">
        <v>238</v>
      </c>
      <c r="H5554" t="s">
        <v>247</v>
      </c>
      <c r="I5554">
        <v>401.01</v>
      </c>
      <c r="J5554" s="7">
        <v>0</v>
      </c>
      <c r="K5554" s="11">
        <f t="shared" si="345"/>
        <v>937.91</v>
      </c>
      <c r="L5554" s="31">
        <v>937.91</v>
      </c>
      <c r="M5554" s="36">
        <f t="shared" si="346"/>
        <v>42.755701506541136</v>
      </c>
    </row>
    <row r="5555" spans="1:13" ht="15.75" hidden="1" customHeight="1" x14ac:dyDescent="0.3">
      <c r="A5555" s="9">
        <v>718</v>
      </c>
      <c r="B5555" t="s">
        <v>288</v>
      </c>
      <c r="C5555" s="25">
        <v>44595</v>
      </c>
      <c r="D5555" s="26">
        <v>0.78585648148148157</v>
      </c>
      <c r="E5555" t="s">
        <v>25</v>
      </c>
      <c r="F5555" t="s">
        <v>262</v>
      </c>
      <c r="G5555" t="s">
        <v>263</v>
      </c>
      <c r="H5555" t="s">
        <v>247</v>
      </c>
      <c r="I5555">
        <v>317.45999999999998</v>
      </c>
      <c r="J5555" s="7">
        <v>0</v>
      </c>
      <c r="K5555" s="11">
        <f t="shared" si="345"/>
        <v>878.35</v>
      </c>
      <c r="L5555" s="7">
        <v>878.35</v>
      </c>
      <c r="M5555" s="36">
        <f t="shared" si="346"/>
        <v>36.142767689417653</v>
      </c>
    </row>
    <row r="5556" spans="1:13" ht="15.75" hidden="1" customHeight="1" x14ac:dyDescent="0.3">
      <c r="A5556" s="9">
        <v>1209</v>
      </c>
      <c r="B5556" t="s">
        <v>288</v>
      </c>
      <c r="C5556" s="25">
        <v>44600</v>
      </c>
      <c r="D5556" s="26">
        <v>0.25974537037037038</v>
      </c>
      <c r="E5556" t="s">
        <v>25</v>
      </c>
      <c r="F5556" t="s">
        <v>241</v>
      </c>
      <c r="G5556" t="s">
        <v>242</v>
      </c>
      <c r="H5556" t="s">
        <v>289</v>
      </c>
      <c r="I5556">
        <v>422.05</v>
      </c>
      <c r="J5556" s="7">
        <v>0</v>
      </c>
      <c r="K5556" s="7">
        <f t="shared" si="345"/>
        <v>922.74</v>
      </c>
      <c r="L5556" s="32">
        <v>922.74</v>
      </c>
      <c r="M5556" s="91">
        <f t="shared" si="346"/>
        <v>45.738777987298697</v>
      </c>
    </row>
    <row r="5557" spans="1:13" ht="15.75" hidden="1" customHeight="1" x14ac:dyDescent="0.3">
      <c r="A5557" s="9">
        <v>1210</v>
      </c>
      <c r="B5557" t="s">
        <v>288</v>
      </c>
      <c r="C5557" s="25">
        <v>44603</v>
      </c>
      <c r="D5557" s="26">
        <v>0.8458796296296297</v>
      </c>
      <c r="E5557" t="s">
        <v>25</v>
      </c>
      <c r="F5557" t="s">
        <v>443</v>
      </c>
      <c r="G5557" t="s">
        <v>444</v>
      </c>
      <c r="H5557" t="s">
        <v>289</v>
      </c>
      <c r="I5557">
        <v>480.81</v>
      </c>
      <c r="J5557" s="7">
        <v>0</v>
      </c>
      <c r="K5557" s="30">
        <f t="shared" si="345"/>
        <v>362514</v>
      </c>
      <c r="L5557" s="43">
        <v>362514</v>
      </c>
      <c r="M5557" s="118">
        <f t="shared" si="346"/>
        <v>0.13263211903540278</v>
      </c>
    </row>
    <row r="5558" spans="1:13" ht="15.75" hidden="1" customHeight="1" x14ac:dyDescent="0.3">
      <c r="A5558" s="9">
        <v>1211</v>
      </c>
      <c r="B5558" t="s">
        <v>288</v>
      </c>
      <c r="C5558" s="25">
        <v>44605</v>
      </c>
      <c r="D5558" s="26">
        <v>0.28666666666666668</v>
      </c>
      <c r="E5558" t="s">
        <v>25</v>
      </c>
      <c r="F5558" t="s">
        <v>291</v>
      </c>
      <c r="G5558" t="s">
        <v>445</v>
      </c>
      <c r="H5558" t="s">
        <v>289</v>
      </c>
      <c r="I5558">
        <v>158.9</v>
      </c>
      <c r="J5558" s="7">
        <v>0</v>
      </c>
      <c r="K5558" s="11">
        <f t="shared" si="345"/>
        <v>12345</v>
      </c>
      <c r="L5558" s="42">
        <v>12345</v>
      </c>
      <c r="M5558" s="36">
        <f t="shared" si="346"/>
        <v>1.2871607938436616</v>
      </c>
    </row>
    <row r="5559" spans="1:13" ht="15.75" hidden="1" customHeight="1" x14ac:dyDescent="0.3">
      <c r="A5559" s="9">
        <v>1212</v>
      </c>
      <c r="B5559" t="s">
        <v>288</v>
      </c>
      <c r="C5559" s="25">
        <v>44607</v>
      </c>
      <c r="D5559" s="26">
        <v>0.92027777777777775</v>
      </c>
      <c r="E5559" t="s">
        <v>25</v>
      </c>
      <c r="F5559" t="s">
        <v>447</v>
      </c>
      <c r="G5559" t="s">
        <v>448</v>
      </c>
      <c r="H5559" t="s">
        <v>289</v>
      </c>
      <c r="I5559">
        <v>250</v>
      </c>
      <c r="J5559" s="7">
        <v>0</v>
      </c>
      <c r="K5559" s="11">
        <f t="shared" si="345"/>
        <v>10000</v>
      </c>
      <c r="L5559" s="42">
        <v>10000</v>
      </c>
      <c r="M5559" s="36">
        <f t="shared" si="346"/>
        <v>2.5</v>
      </c>
    </row>
    <row r="5560" spans="1:13" ht="15.75" hidden="1" customHeight="1" x14ac:dyDescent="0.3">
      <c r="A5560" s="9">
        <v>1213</v>
      </c>
      <c r="B5560" t="s">
        <v>288</v>
      </c>
      <c r="C5560" s="25">
        <v>44608</v>
      </c>
      <c r="D5560" s="26">
        <v>0.5771412037037037</v>
      </c>
      <c r="E5560" t="s">
        <v>25</v>
      </c>
      <c r="F5560" t="s">
        <v>403</v>
      </c>
      <c r="G5560" t="s">
        <v>404</v>
      </c>
      <c r="H5560" t="s">
        <v>289</v>
      </c>
      <c r="I5560">
        <v>200.01</v>
      </c>
      <c r="J5560" s="7">
        <v>0</v>
      </c>
      <c r="K5560" s="11">
        <f t="shared" si="345"/>
        <v>12345</v>
      </c>
      <c r="L5560" s="42">
        <v>12345</v>
      </c>
      <c r="M5560" s="36">
        <f t="shared" si="346"/>
        <v>1.6201701093560144</v>
      </c>
    </row>
    <row r="5561" spans="1:13" ht="15.75" hidden="1" customHeight="1" x14ac:dyDescent="0.3">
      <c r="A5561" s="9">
        <v>1214</v>
      </c>
      <c r="B5561" t="s">
        <v>288</v>
      </c>
      <c r="C5561" s="25">
        <v>44609</v>
      </c>
      <c r="D5561" s="26">
        <v>0.13268518518518518</v>
      </c>
      <c r="E5561" t="s">
        <v>25</v>
      </c>
      <c r="F5561" t="s">
        <v>385</v>
      </c>
      <c r="G5561" t="s">
        <v>386</v>
      </c>
      <c r="H5561" t="s">
        <v>289</v>
      </c>
      <c r="I5561">
        <v>100</v>
      </c>
      <c r="J5561" s="7">
        <v>0</v>
      </c>
      <c r="K5561" s="11">
        <f t="shared" si="345"/>
        <v>10000</v>
      </c>
      <c r="L5561" s="42">
        <v>10000</v>
      </c>
      <c r="M5561" s="36">
        <f t="shared" si="346"/>
        <v>1</v>
      </c>
    </row>
    <row r="5562" spans="1:13" ht="15.75" hidden="1" customHeight="1" x14ac:dyDescent="0.3">
      <c r="A5562" s="9">
        <v>1215</v>
      </c>
      <c r="B5562" t="s">
        <v>288</v>
      </c>
      <c r="C5562" s="25">
        <v>44609</v>
      </c>
      <c r="D5562" s="26">
        <v>0.47018518518518521</v>
      </c>
      <c r="E5562" t="s">
        <v>25</v>
      </c>
      <c r="F5562" t="s">
        <v>268</v>
      </c>
      <c r="G5562" t="s">
        <v>269</v>
      </c>
      <c r="H5562" t="s">
        <v>289</v>
      </c>
      <c r="I5562">
        <v>100</v>
      </c>
      <c r="J5562" s="31">
        <v>0</v>
      </c>
      <c r="K5562" s="11">
        <f t="shared" si="345"/>
        <v>8800</v>
      </c>
      <c r="L5562" s="42">
        <v>8800</v>
      </c>
      <c r="M5562" s="36">
        <f t="shared" si="346"/>
        <v>1.1363636363636365</v>
      </c>
    </row>
    <row r="5563" spans="1:13" ht="15.75" hidden="1" customHeight="1" x14ac:dyDescent="0.3">
      <c r="A5563" s="9">
        <v>1216</v>
      </c>
      <c r="B5563" t="s">
        <v>288</v>
      </c>
      <c r="C5563" s="25">
        <v>44609</v>
      </c>
      <c r="D5563" s="26">
        <v>0.52752314814814816</v>
      </c>
      <c r="E5563" t="s">
        <v>25</v>
      </c>
      <c r="F5563" t="s">
        <v>237</v>
      </c>
      <c r="G5563" t="s">
        <v>238</v>
      </c>
      <c r="H5563" t="s">
        <v>289</v>
      </c>
      <c r="I5563">
        <v>288.91000000000003</v>
      </c>
      <c r="J5563" s="7">
        <v>0</v>
      </c>
      <c r="K5563" s="7">
        <f t="shared" si="345"/>
        <v>0</v>
      </c>
      <c r="L5563" s="42"/>
      <c r="M5563" s="36" t="e">
        <f t="shared" si="346"/>
        <v>#DIV/0!</v>
      </c>
    </row>
    <row r="5564" spans="1:13" ht="15.75" hidden="1" customHeight="1" x14ac:dyDescent="0.3">
      <c r="A5564" s="9">
        <v>1217</v>
      </c>
      <c r="B5564" t="s">
        <v>288</v>
      </c>
      <c r="C5564" s="25">
        <v>44610</v>
      </c>
      <c r="D5564" s="26">
        <v>0.77493055555555557</v>
      </c>
      <c r="E5564" t="s">
        <v>25</v>
      </c>
      <c r="F5564" t="s">
        <v>324</v>
      </c>
      <c r="G5564" t="s">
        <v>334</v>
      </c>
      <c r="H5564" t="s">
        <v>289</v>
      </c>
      <c r="I5564">
        <v>363.39</v>
      </c>
      <c r="J5564" s="7">
        <v>0</v>
      </c>
      <c r="K5564" s="11">
        <f t="shared" si="345"/>
        <v>0</v>
      </c>
      <c r="L5564" s="8"/>
      <c r="M5564" s="36" t="e">
        <f t="shared" si="346"/>
        <v>#DIV/0!</v>
      </c>
    </row>
    <row r="5565" spans="1:13" ht="15.75" hidden="1" customHeight="1" x14ac:dyDescent="0.3">
      <c r="A5565" s="9">
        <v>1218</v>
      </c>
      <c r="B5565" t="s">
        <v>288</v>
      </c>
      <c r="C5565" s="25">
        <v>44614</v>
      </c>
      <c r="D5565" s="26">
        <v>0.81693287037037043</v>
      </c>
      <c r="E5565" t="s">
        <v>25</v>
      </c>
      <c r="F5565" t="s">
        <v>419</v>
      </c>
      <c r="G5565" t="s">
        <v>238</v>
      </c>
      <c r="H5565" t="s">
        <v>289</v>
      </c>
      <c r="I5565">
        <v>247.29</v>
      </c>
      <c r="J5565" s="78"/>
      <c r="K5565" s="82">
        <f t="shared" si="345"/>
        <v>800000</v>
      </c>
      <c r="L5565" s="44">
        <v>800000</v>
      </c>
      <c r="M5565" s="36">
        <f t="shared" si="346"/>
        <v>3.0911250000000001E-2</v>
      </c>
    </row>
    <row r="5566" spans="1:13" ht="15.75" hidden="1" customHeight="1" x14ac:dyDescent="0.3">
      <c r="A5566" s="9">
        <v>1219</v>
      </c>
      <c r="B5566" t="s">
        <v>288</v>
      </c>
      <c r="C5566" s="25">
        <v>44617</v>
      </c>
      <c r="D5566" s="26">
        <v>0.88909722222222232</v>
      </c>
      <c r="E5566" t="s">
        <v>25</v>
      </c>
      <c r="F5566" t="s">
        <v>467</v>
      </c>
      <c r="G5566" t="s">
        <v>468</v>
      </c>
      <c r="H5566" t="s">
        <v>289</v>
      </c>
      <c r="I5566">
        <v>242.04</v>
      </c>
      <c r="J5566" s="78"/>
      <c r="K5566" s="82">
        <f t="shared" si="345"/>
        <v>1010</v>
      </c>
      <c r="L5566" s="8">
        <v>1010</v>
      </c>
      <c r="M5566" s="36">
        <f t="shared" si="346"/>
        <v>23.964356435643563</v>
      </c>
    </row>
    <row r="5567" spans="1:13" ht="15.75" hidden="1" customHeight="1" x14ac:dyDescent="0.3">
      <c r="A5567" s="9">
        <v>2432</v>
      </c>
      <c r="B5567" t="s">
        <v>288</v>
      </c>
      <c r="C5567" s="25">
        <v>44622</v>
      </c>
      <c r="D5567" s="26">
        <v>0.69305555555555554</v>
      </c>
      <c r="E5567" t="s">
        <v>26</v>
      </c>
      <c r="F5567" t="s">
        <v>291</v>
      </c>
      <c r="G5567" t="s">
        <v>445</v>
      </c>
      <c r="H5567" t="s">
        <v>289</v>
      </c>
      <c r="I5567">
        <v>405</v>
      </c>
      <c r="J5567" s="76"/>
      <c r="K5567" s="89">
        <f t="shared" si="345"/>
        <v>698745</v>
      </c>
      <c r="L5567" s="7">
        <v>698745</v>
      </c>
      <c r="M5567" s="36">
        <f t="shared" si="346"/>
        <v>5.7961058755339932E-2</v>
      </c>
    </row>
    <row r="5568" spans="1:13" ht="15.75" hidden="1" customHeight="1" x14ac:dyDescent="0.3">
      <c r="A5568" s="9">
        <v>2433</v>
      </c>
      <c r="B5568" t="s">
        <v>288</v>
      </c>
      <c r="C5568" s="25">
        <v>44623</v>
      </c>
      <c r="D5568" s="26">
        <v>0.88065972222222222</v>
      </c>
      <c r="E5568" t="s">
        <v>26</v>
      </c>
      <c r="F5568" t="s">
        <v>319</v>
      </c>
      <c r="G5568" t="s">
        <v>320</v>
      </c>
      <c r="H5568" t="s">
        <v>289</v>
      </c>
      <c r="I5568">
        <v>269.58999999999997</v>
      </c>
      <c r="J5568" s="8"/>
      <c r="K5568" s="89">
        <f t="shared" si="345"/>
        <v>100000</v>
      </c>
      <c r="L5568" s="44">
        <v>100000</v>
      </c>
      <c r="M5568" s="36">
        <f t="shared" si="346"/>
        <v>0.26959</v>
      </c>
    </row>
    <row r="5569" spans="1:13" ht="15.75" hidden="1" customHeight="1" x14ac:dyDescent="0.3">
      <c r="A5569" s="9">
        <v>2434</v>
      </c>
      <c r="B5569" t="s">
        <v>288</v>
      </c>
      <c r="C5569" s="25">
        <v>44627</v>
      </c>
      <c r="D5569" s="26">
        <v>0.81304398148148149</v>
      </c>
      <c r="E5569" t="s">
        <v>26</v>
      </c>
      <c r="F5569" t="s">
        <v>268</v>
      </c>
      <c r="G5569" t="s">
        <v>269</v>
      </c>
      <c r="H5569" t="s">
        <v>289</v>
      </c>
      <c r="I5569">
        <v>238.22</v>
      </c>
      <c r="J5569" s="8"/>
      <c r="K5569" s="89">
        <f t="shared" si="345"/>
        <v>1234</v>
      </c>
      <c r="L5569" s="54">
        <v>1234</v>
      </c>
      <c r="M5569" s="36">
        <f t="shared" si="346"/>
        <v>19.304700162074553</v>
      </c>
    </row>
    <row r="5570" spans="1:13" ht="15.75" hidden="1" customHeight="1" x14ac:dyDescent="0.3">
      <c r="A5570" s="9">
        <v>3266</v>
      </c>
      <c r="B5570" t="s">
        <v>288</v>
      </c>
      <c r="C5570" s="25">
        <v>44679</v>
      </c>
      <c r="D5570" s="26">
        <v>0.51394675925925926</v>
      </c>
      <c r="E5570" t="s">
        <v>27</v>
      </c>
      <c r="F5570" t="s">
        <v>577</v>
      </c>
      <c r="G5570" t="s">
        <v>578</v>
      </c>
      <c r="H5570" t="s">
        <v>255</v>
      </c>
      <c r="I5570">
        <v>200</v>
      </c>
      <c r="J5570" s="32">
        <v>0</v>
      </c>
      <c r="K5570" s="89">
        <f t="shared" si="345"/>
        <v>543.80999999999995</v>
      </c>
      <c r="L5570" s="7">
        <v>543.80999999999995</v>
      </c>
      <c r="M5570" s="36">
        <f t="shared" si="346"/>
        <v>36.777550982880051</v>
      </c>
    </row>
    <row r="5571" spans="1:13" ht="15.75" hidden="1" customHeight="1" x14ac:dyDescent="0.3">
      <c r="A5571" s="9">
        <v>3678</v>
      </c>
      <c r="B5571" t="s">
        <v>288</v>
      </c>
      <c r="C5571" s="25">
        <v>44652</v>
      </c>
      <c r="D5571" s="26">
        <v>0.81895833333333334</v>
      </c>
      <c r="E5571" t="s">
        <v>27</v>
      </c>
      <c r="F5571" t="s">
        <v>368</v>
      </c>
      <c r="G5571" t="s">
        <v>369</v>
      </c>
      <c r="H5571" t="s">
        <v>289</v>
      </c>
      <c r="I5571" s="4">
        <v>191.34</v>
      </c>
      <c r="J5571" s="23"/>
      <c r="K5571" s="89">
        <f t="shared" si="345"/>
        <v>2028</v>
      </c>
      <c r="L5571" s="37">
        <v>2028</v>
      </c>
      <c r="M5571" s="36">
        <f t="shared" si="346"/>
        <v>9.4349112426035511</v>
      </c>
    </row>
    <row r="5572" spans="1:13" ht="15.75" hidden="1" customHeight="1" x14ac:dyDescent="0.3">
      <c r="A5572" s="9">
        <v>3679</v>
      </c>
      <c r="B5572" t="s">
        <v>288</v>
      </c>
      <c r="C5572" s="25">
        <v>44662</v>
      </c>
      <c r="D5572" s="26">
        <v>0.81549768518518517</v>
      </c>
      <c r="E5572" t="s">
        <v>27</v>
      </c>
      <c r="F5572" t="s">
        <v>296</v>
      </c>
      <c r="G5572" t="s">
        <v>297</v>
      </c>
      <c r="H5572" t="s">
        <v>289</v>
      </c>
      <c r="I5572" s="4">
        <v>183.77</v>
      </c>
      <c r="J5572" s="8"/>
      <c r="K5572" s="89">
        <f t="shared" si="345"/>
        <v>10000</v>
      </c>
      <c r="L5572" s="32">
        <v>10000</v>
      </c>
      <c r="M5572" s="36">
        <f t="shared" si="346"/>
        <v>1.8377000000000001</v>
      </c>
    </row>
    <row r="5573" spans="1:13" ht="15.75" hidden="1" customHeight="1" x14ac:dyDescent="0.3">
      <c r="A5573" s="9">
        <v>3680</v>
      </c>
      <c r="B5573" t="s">
        <v>288</v>
      </c>
      <c r="C5573" s="25">
        <v>44663</v>
      </c>
      <c r="D5573" s="26">
        <v>0.42716435185185181</v>
      </c>
      <c r="E5573" t="s">
        <v>27</v>
      </c>
      <c r="F5573" t="s">
        <v>406</v>
      </c>
      <c r="G5573" t="s">
        <v>409</v>
      </c>
      <c r="H5573" t="s">
        <v>289</v>
      </c>
      <c r="I5573" s="4">
        <v>193.59</v>
      </c>
      <c r="J5573" s="8"/>
      <c r="K5573" s="89">
        <f t="shared" si="345"/>
        <v>582536</v>
      </c>
      <c r="L5573" s="32">
        <v>582536</v>
      </c>
      <c r="M5573" s="36">
        <f t="shared" si="346"/>
        <v>3.323228092341074E-2</v>
      </c>
    </row>
    <row r="5574" spans="1:13" ht="15.75" hidden="1" customHeight="1" x14ac:dyDescent="0.3">
      <c r="A5574" s="9">
        <v>3681</v>
      </c>
      <c r="B5574" t="s">
        <v>288</v>
      </c>
      <c r="C5574" s="25">
        <v>44666</v>
      </c>
      <c r="D5574" s="26">
        <v>0.52922453703703709</v>
      </c>
      <c r="E5574" t="s">
        <v>27</v>
      </c>
      <c r="F5574" t="s">
        <v>329</v>
      </c>
      <c r="G5574" t="s">
        <v>330</v>
      </c>
      <c r="H5574" t="s">
        <v>289</v>
      </c>
      <c r="I5574" s="4">
        <v>360.04</v>
      </c>
      <c r="J5574" s="8"/>
      <c r="K5574" s="89">
        <f t="shared" si="345"/>
        <v>1234</v>
      </c>
      <c r="L5574" s="32">
        <v>1234</v>
      </c>
      <c r="M5574" s="36">
        <f t="shared" si="346"/>
        <v>29.176661264181526</v>
      </c>
    </row>
    <row r="5575" spans="1:13" ht="15.75" hidden="1" customHeight="1" x14ac:dyDescent="0.3">
      <c r="A5575" s="9">
        <v>3682</v>
      </c>
      <c r="B5575" t="s">
        <v>288</v>
      </c>
      <c r="C5575" s="25">
        <v>44670</v>
      </c>
      <c r="D5575" s="26">
        <v>0.85841435185185189</v>
      </c>
      <c r="E5575" t="s">
        <v>27</v>
      </c>
      <c r="F5575" t="s">
        <v>268</v>
      </c>
      <c r="G5575" t="s">
        <v>269</v>
      </c>
      <c r="H5575" t="s">
        <v>289</v>
      </c>
      <c r="I5575" s="4">
        <v>326.27</v>
      </c>
      <c r="J5575" s="8"/>
      <c r="K5575" s="89">
        <f t="shared" si="345"/>
        <v>123455</v>
      </c>
      <c r="L5575" s="37">
        <v>123455</v>
      </c>
      <c r="M5575" s="36">
        <f t="shared" si="346"/>
        <v>0.26428253209671543</v>
      </c>
    </row>
    <row r="5576" spans="1:13" ht="15.75" hidden="1" customHeight="1" x14ac:dyDescent="0.3">
      <c r="A5576" s="9">
        <v>3683</v>
      </c>
      <c r="B5576" t="s">
        <v>288</v>
      </c>
      <c r="C5576" s="25">
        <v>44672</v>
      </c>
      <c r="D5576" s="26">
        <v>0.75637731481481485</v>
      </c>
      <c r="E5576" t="s">
        <v>27</v>
      </c>
      <c r="F5576" t="s">
        <v>241</v>
      </c>
      <c r="G5576" t="s">
        <v>242</v>
      </c>
      <c r="H5576" t="s">
        <v>289</v>
      </c>
      <c r="I5576" s="4">
        <v>300</v>
      </c>
      <c r="J5576" s="8"/>
      <c r="K5576" s="89">
        <f t="shared" si="345"/>
        <v>2028</v>
      </c>
      <c r="L5576" s="32">
        <v>2028</v>
      </c>
      <c r="M5576" s="36">
        <f t="shared" si="346"/>
        <v>14.792899408284024</v>
      </c>
    </row>
    <row r="5577" spans="1:13" ht="15.75" hidden="1" customHeight="1" x14ac:dyDescent="0.3">
      <c r="A5577" s="9">
        <v>3684</v>
      </c>
      <c r="B5577" t="s">
        <v>288</v>
      </c>
      <c r="C5577" s="25">
        <v>44673</v>
      </c>
      <c r="D5577" s="26">
        <v>0.64771990740740748</v>
      </c>
      <c r="E5577" t="s">
        <v>27</v>
      </c>
      <c r="F5577" t="s">
        <v>291</v>
      </c>
      <c r="G5577" t="s">
        <v>445</v>
      </c>
      <c r="H5577" t="s">
        <v>289</v>
      </c>
      <c r="I5577" s="4">
        <v>422.69</v>
      </c>
      <c r="J5577" s="8"/>
      <c r="K5577" s="89">
        <f t="shared" si="345"/>
        <v>1234</v>
      </c>
      <c r="L5577" s="32">
        <v>1234</v>
      </c>
      <c r="M5577" s="36">
        <f t="shared" si="346"/>
        <v>34.253646677471636</v>
      </c>
    </row>
    <row r="5578" spans="1:13" ht="15.75" hidden="1" customHeight="1" x14ac:dyDescent="0.3">
      <c r="A5578" s="9">
        <v>3685</v>
      </c>
      <c r="B5578" t="s">
        <v>288</v>
      </c>
      <c r="C5578" s="25">
        <v>44674</v>
      </c>
      <c r="D5578" s="26">
        <v>0.58564814814814814</v>
      </c>
      <c r="E5578" t="s">
        <v>27</v>
      </c>
      <c r="F5578" t="s">
        <v>443</v>
      </c>
      <c r="G5578" t="s">
        <v>444</v>
      </c>
      <c r="H5578" t="s">
        <v>289</v>
      </c>
      <c r="I5578" s="4">
        <v>200</v>
      </c>
      <c r="J5578" s="8"/>
      <c r="K5578" s="89">
        <f t="shared" si="345"/>
        <v>12345</v>
      </c>
      <c r="L5578" s="37">
        <v>12345</v>
      </c>
      <c r="M5578" s="36">
        <f t="shared" si="346"/>
        <v>1.6200891049007695</v>
      </c>
    </row>
    <row r="5579" spans="1:13" ht="15.75" hidden="1" customHeight="1" x14ac:dyDescent="0.3">
      <c r="A5579" s="9">
        <v>3686</v>
      </c>
      <c r="B5579" t="s">
        <v>288</v>
      </c>
      <c r="C5579" s="25">
        <v>44674</v>
      </c>
      <c r="D5579" s="26">
        <v>0.71206018518518521</v>
      </c>
      <c r="E5579" t="s">
        <v>27</v>
      </c>
      <c r="F5579" t="s">
        <v>234</v>
      </c>
      <c r="G5579" t="s">
        <v>235</v>
      </c>
      <c r="H5579" t="s">
        <v>289</v>
      </c>
      <c r="I5579" s="4">
        <v>171.86</v>
      </c>
      <c r="J5579" s="8"/>
      <c r="K5579" s="89">
        <f t="shared" si="345"/>
        <v>44523</v>
      </c>
      <c r="L5579" s="32">
        <v>44523</v>
      </c>
      <c r="M5579" s="36">
        <f t="shared" si="346"/>
        <v>0.38600274015677294</v>
      </c>
    </row>
    <row r="5580" spans="1:13" ht="15.75" hidden="1" customHeight="1" x14ac:dyDescent="0.3">
      <c r="A5580" s="9">
        <v>3687</v>
      </c>
      <c r="B5580" t="s">
        <v>288</v>
      </c>
      <c r="C5580" s="25">
        <v>44676</v>
      </c>
      <c r="D5580" s="26">
        <v>0.45040509259259259</v>
      </c>
      <c r="E5580" t="s">
        <v>27</v>
      </c>
      <c r="F5580" t="s">
        <v>472</v>
      </c>
      <c r="G5580" t="s">
        <v>473</v>
      </c>
      <c r="H5580" t="s">
        <v>289</v>
      </c>
      <c r="I5580">
        <v>150</v>
      </c>
      <c r="J5580" s="8"/>
      <c r="K5580" s="89">
        <f t="shared" si="345"/>
        <v>0</v>
      </c>
      <c r="L5580" s="7"/>
      <c r="M5580" s="36" t="e">
        <f t="shared" si="346"/>
        <v>#DIV/0!</v>
      </c>
    </row>
    <row r="5581" spans="1:13" ht="15.75" hidden="1" customHeight="1" x14ac:dyDescent="0.3">
      <c r="A5581" s="9">
        <v>4741</v>
      </c>
      <c r="B5581" t="s">
        <v>288</v>
      </c>
      <c r="C5581" s="25">
        <v>44702</v>
      </c>
      <c r="D5581" s="26">
        <v>0.76199074074074069</v>
      </c>
      <c r="E5581" t="s">
        <v>28</v>
      </c>
      <c r="F5581" t="s">
        <v>262</v>
      </c>
      <c r="G5581" t="s">
        <v>263</v>
      </c>
      <c r="H5581" t="s">
        <v>129</v>
      </c>
      <c r="I5581">
        <v>200</v>
      </c>
      <c r="J5581" s="7">
        <v>0</v>
      </c>
      <c r="K5581" s="89">
        <f>+L5581-J5714</f>
        <v>1458</v>
      </c>
      <c r="L5581" s="32">
        <v>1458</v>
      </c>
      <c r="M5581" s="36">
        <f t="shared" ref="M5581:M5600" si="347">I5581/K5581*100</f>
        <v>13.717421124828533</v>
      </c>
    </row>
    <row r="5582" spans="1:13" ht="15.75" hidden="1" customHeight="1" x14ac:dyDescent="0.3">
      <c r="A5582" s="9">
        <v>4816</v>
      </c>
      <c r="B5582" t="s">
        <v>288</v>
      </c>
      <c r="C5582" s="25">
        <v>44704</v>
      </c>
      <c r="D5582" s="26">
        <v>0.67222222222222217</v>
      </c>
      <c r="E5582" t="s">
        <v>28</v>
      </c>
      <c r="F5582" t="s">
        <v>262</v>
      </c>
      <c r="G5582" t="s">
        <v>263</v>
      </c>
      <c r="H5582" t="s">
        <v>305</v>
      </c>
      <c r="I5582">
        <v>342.67</v>
      </c>
      <c r="J5582" s="7">
        <v>0</v>
      </c>
      <c r="K5582" s="89">
        <f t="shared" ref="K5582:K5600" si="348">+L5582-J5582</f>
        <v>1834</v>
      </c>
      <c r="L5582" s="32">
        <v>1834</v>
      </c>
      <c r="M5582" s="36">
        <f t="shared" si="347"/>
        <v>18.684296619411125</v>
      </c>
    </row>
    <row r="5583" spans="1:13" ht="15.75" hidden="1" customHeight="1" x14ac:dyDescent="0.3">
      <c r="A5583" s="9">
        <v>4817</v>
      </c>
      <c r="B5583" t="s">
        <v>288</v>
      </c>
      <c r="C5583" s="25">
        <v>44704</v>
      </c>
      <c r="D5583" s="26">
        <v>0.94524305555555566</v>
      </c>
      <c r="E5583" t="s">
        <v>28</v>
      </c>
      <c r="F5583" t="s">
        <v>366</v>
      </c>
      <c r="G5583" t="s">
        <v>367</v>
      </c>
      <c r="H5583" t="s">
        <v>305</v>
      </c>
      <c r="I5583">
        <v>100.01</v>
      </c>
      <c r="J5583" s="7">
        <v>0</v>
      </c>
      <c r="K5583" s="89">
        <f t="shared" si="348"/>
        <v>435</v>
      </c>
      <c r="L5583" s="32">
        <v>435</v>
      </c>
      <c r="M5583" s="36">
        <f t="shared" si="347"/>
        <v>22.99080459770115</v>
      </c>
    </row>
    <row r="5584" spans="1:13" ht="15.75" hidden="1" customHeight="1" x14ac:dyDescent="0.3">
      <c r="A5584" s="9">
        <v>4870</v>
      </c>
      <c r="B5584" t="s">
        <v>288</v>
      </c>
      <c r="C5584" s="25">
        <v>44705</v>
      </c>
      <c r="D5584" s="26">
        <v>0.31175925925925924</v>
      </c>
      <c r="E5584" t="s">
        <v>28</v>
      </c>
      <c r="F5584" t="s">
        <v>210</v>
      </c>
      <c r="G5584" t="s">
        <v>211</v>
      </c>
      <c r="H5584" t="s">
        <v>305</v>
      </c>
      <c r="I5584">
        <v>171.39</v>
      </c>
      <c r="J5584" s="7">
        <v>0</v>
      </c>
      <c r="K5584" s="90">
        <f t="shared" si="348"/>
        <v>226</v>
      </c>
      <c r="L5584" s="32">
        <v>226</v>
      </c>
      <c r="M5584" s="36">
        <f t="shared" si="347"/>
        <v>75.836283185840699</v>
      </c>
    </row>
    <row r="5585" spans="1:13" ht="15.75" hidden="1" customHeight="1" x14ac:dyDescent="0.3">
      <c r="A5585" s="9">
        <v>4871</v>
      </c>
      <c r="B5585" t="s">
        <v>288</v>
      </c>
      <c r="C5585" s="25">
        <v>44705</v>
      </c>
      <c r="D5585" s="26">
        <v>0.85843749999999996</v>
      </c>
      <c r="E5585" t="s">
        <v>28</v>
      </c>
      <c r="F5585" t="s">
        <v>278</v>
      </c>
      <c r="G5585" t="s">
        <v>279</v>
      </c>
      <c r="H5585" t="s">
        <v>305</v>
      </c>
      <c r="I5585">
        <v>281.98</v>
      </c>
      <c r="J5585" s="76">
        <v>0</v>
      </c>
      <c r="K5585" s="89">
        <f t="shared" si="348"/>
        <v>684</v>
      </c>
      <c r="L5585" s="32">
        <v>684</v>
      </c>
      <c r="M5585" s="36">
        <f t="shared" si="347"/>
        <v>41.225146198830416</v>
      </c>
    </row>
    <row r="5586" spans="1:13" ht="15.75" hidden="1" customHeight="1" x14ac:dyDescent="0.3">
      <c r="A5586" s="9">
        <v>4922</v>
      </c>
      <c r="B5586" t="s">
        <v>288</v>
      </c>
      <c r="C5586" s="25">
        <v>44706</v>
      </c>
      <c r="D5586" s="26">
        <v>0.75934027777777768</v>
      </c>
      <c r="E5586" t="s">
        <v>28</v>
      </c>
      <c r="F5586" t="s">
        <v>169</v>
      </c>
      <c r="G5586" t="s">
        <v>196</v>
      </c>
      <c r="H5586" t="s">
        <v>305</v>
      </c>
      <c r="I5586">
        <v>246.68</v>
      </c>
      <c r="J5586" s="7">
        <v>0</v>
      </c>
      <c r="K5586" s="89">
        <f t="shared" si="348"/>
        <v>816</v>
      </c>
      <c r="L5586" s="37">
        <v>816</v>
      </c>
      <c r="M5586" s="36">
        <f t="shared" si="347"/>
        <v>30.230392156862745</v>
      </c>
    </row>
    <row r="5587" spans="1:13" ht="15.75" hidden="1" customHeight="1" x14ac:dyDescent="0.3">
      <c r="A5587" s="9">
        <v>5018</v>
      </c>
      <c r="B5587" t="s">
        <v>288</v>
      </c>
      <c r="C5587" s="25">
        <v>44708</v>
      </c>
      <c r="D5587" s="26">
        <v>0.52815972222222218</v>
      </c>
      <c r="E5587" t="s">
        <v>28</v>
      </c>
      <c r="F5587" t="s">
        <v>638</v>
      </c>
      <c r="G5587" t="s">
        <v>263</v>
      </c>
      <c r="H5587" t="s">
        <v>305</v>
      </c>
      <c r="I5587">
        <v>200</v>
      </c>
      <c r="J5587" s="39">
        <v>0</v>
      </c>
      <c r="K5587" s="89">
        <f t="shared" si="348"/>
        <v>539</v>
      </c>
      <c r="L5587" s="7">
        <v>539</v>
      </c>
      <c r="M5587" s="36">
        <f t="shared" si="347"/>
        <v>37.105751391465674</v>
      </c>
    </row>
    <row r="5588" spans="1:13" ht="15.75" hidden="1" customHeight="1" x14ac:dyDescent="0.3">
      <c r="A5588" s="9">
        <v>5082</v>
      </c>
      <c r="B5588" t="s">
        <v>288</v>
      </c>
      <c r="C5588" s="25">
        <v>44709</v>
      </c>
      <c r="D5588" s="26">
        <v>0.35842592592592593</v>
      </c>
      <c r="E5588" t="s">
        <v>28</v>
      </c>
      <c r="F5588" t="s">
        <v>660</v>
      </c>
      <c r="G5588" t="s">
        <v>397</v>
      </c>
      <c r="H5588" t="s">
        <v>305</v>
      </c>
      <c r="I5588">
        <v>442.67</v>
      </c>
      <c r="J5588" s="7">
        <v>0</v>
      </c>
      <c r="K5588" s="89">
        <f t="shared" si="348"/>
        <v>966</v>
      </c>
      <c r="L5588" s="7">
        <v>966</v>
      </c>
      <c r="M5588" s="36">
        <f t="shared" si="347"/>
        <v>45.825051759834366</v>
      </c>
    </row>
    <row r="5589" spans="1:13" ht="15.75" hidden="1" customHeight="1" x14ac:dyDescent="0.3">
      <c r="A5589" s="9">
        <v>5189</v>
      </c>
      <c r="B5589" t="s">
        <v>288</v>
      </c>
      <c r="C5589" s="25">
        <v>44711</v>
      </c>
      <c r="D5589" s="26">
        <v>0.7825347222222222</v>
      </c>
      <c r="E5589" t="s">
        <v>28</v>
      </c>
      <c r="F5589" t="s">
        <v>634</v>
      </c>
      <c r="G5589" t="s">
        <v>211</v>
      </c>
      <c r="H5589" t="s">
        <v>305</v>
      </c>
      <c r="I5589">
        <v>316.25</v>
      </c>
      <c r="J5589" s="53">
        <v>0</v>
      </c>
      <c r="K5589" s="89">
        <f t="shared" si="348"/>
        <v>742</v>
      </c>
      <c r="L5589" s="34">
        <v>742</v>
      </c>
      <c r="M5589" s="36">
        <f t="shared" si="347"/>
        <v>42.621293800539085</v>
      </c>
    </row>
    <row r="5590" spans="1:13" ht="15" hidden="1" customHeight="1" x14ac:dyDescent="0.3">
      <c r="A5590" s="9">
        <v>5273</v>
      </c>
      <c r="B5590" t="s">
        <v>288</v>
      </c>
      <c r="C5590" s="25">
        <v>44713</v>
      </c>
      <c r="D5590" s="26">
        <v>0.51679398148148148</v>
      </c>
      <c r="E5590" t="s">
        <v>29</v>
      </c>
      <c r="F5590" t="s">
        <v>638</v>
      </c>
      <c r="G5590" t="s">
        <v>263</v>
      </c>
      <c r="H5590" t="s">
        <v>305</v>
      </c>
      <c r="I5590">
        <v>351.76</v>
      </c>
      <c r="J5590" s="53">
        <v>0</v>
      </c>
      <c r="K5590" s="89">
        <f t="shared" si="348"/>
        <v>1021</v>
      </c>
      <c r="L5590" s="7">
        <v>1021</v>
      </c>
      <c r="M5590" s="36">
        <f t="shared" si="347"/>
        <v>34.452497551420173</v>
      </c>
    </row>
    <row r="5591" spans="1:13" ht="15.75" hidden="1" customHeight="1" x14ac:dyDescent="0.3">
      <c r="A5591" s="9">
        <v>5329</v>
      </c>
      <c r="B5591" t="s">
        <v>288</v>
      </c>
      <c r="C5591" s="25">
        <v>44714</v>
      </c>
      <c r="D5591" s="26">
        <v>0.42341435185185183</v>
      </c>
      <c r="E5591" t="s">
        <v>29</v>
      </c>
      <c r="F5591" t="s">
        <v>660</v>
      </c>
      <c r="G5591" t="s">
        <v>397</v>
      </c>
      <c r="H5591" t="s">
        <v>305</v>
      </c>
      <c r="I5591">
        <v>404.17</v>
      </c>
      <c r="J5591" s="32">
        <v>0</v>
      </c>
      <c r="K5591" s="89">
        <f t="shared" si="348"/>
        <v>966</v>
      </c>
      <c r="L5591" s="34">
        <v>966</v>
      </c>
      <c r="M5591" s="36">
        <f t="shared" si="347"/>
        <v>41.839544513457561</v>
      </c>
    </row>
    <row r="5592" spans="1:13" ht="15.75" hidden="1" customHeight="1" x14ac:dyDescent="0.3">
      <c r="A5592" s="9">
        <v>5330</v>
      </c>
      <c r="B5592" t="s">
        <v>288</v>
      </c>
      <c r="C5592" s="25">
        <v>44714</v>
      </c>
      <c r="D5592" s="26">
        <v>0.92237268518518523</v>
      </c>
      <c r="E5592" t="s">
        <v>29</v>
      </c>
      <c r="F5592" t="s">
        <v>634</v>
      </c>
      <c r="G5592" t="s">
        <v>211</v>
      </c>
      <c r="H5592" t="s">
        <v>305</v>
      </c>
      <c r="I5592">
        <v>248.09</v>
      </c>
      <c r="J5592" s="32">
        <v>0</v>
      </c>
      <c r="K5592" s="89">
        <f t="shared" si="348"/>
        <v>709</v>
      </c>
      <c r="L5592" s="7">
        <v>709</v>
      </c>
      <c r="M5592" s="36">
        <f t="shared" si="347"/>
        <v>34.991537376586741</v>
      </c>
    </row>
    <row r="5593" spans="1:13" ht="15.75" hidden="1" customHeight="1" x14ac:dyDescent="0.3">
      <c r="A5593" s="9">
        <v>5396</v>
      </c>
      <c r="B5593" t="s">
        <v>288</v>
      </c>
      <c r="C5593" s="25">
        <v>44715</v>
      </c>
      <c r="D5593" s="26">
        <v>0.8200115740740741</v>
      </c>
      <c r="E5593" t="s">
        <v>29</v>
      </c>
      <c r="F5593" t="s">
        <v>657</v>
      </c>
      <c r="G5593" t="s">
        <v>206</v>
      </c>
      <c r="H5593" t="s">
        <v>305</v>
      </c>
      <c r="I5593">
        <v>100</v>
      </c>
      <c r="J5593" s="32">
        <v>0</v>
      </c>
      <c r="K5593" s="89">
        <f t="shared" si="348"/>
        <v>942</v>
      </c>
      <c r="L5593" s="7">
        <v>942</v>
      </c>
      <c r="M5593" s="36">
        <f t="shared" si="347"/>
        <v>10.615711252653929</v>
      </c>
    </row>
    <row r="5594" spans="1:13" ht="15.75" hidden="1" customHeight="1" x14ac:dyDescent="0.3">
      <c r="A5594" s="9">
        <v>5451</v>
      </c>
      <c r="B5594" t="s">
        <v>288</v>
      </c>
      <c r="C5594" s="25">
        <v>44716</v>
      </c>
      <c r="D5594" s="26">
        <v>0.66678240740740735</v>
      </c>
      <c r="E5594" t="s">
        <v>29</v>
      </c>
      <c r="F5594" t="s">
        <v>638</v>
      </c>
      <c r="G5594" t="s">
        <v>263</v>
      </c>
      <c r="H5594" t="s">
        <v>305</v>
      </c>
      <c r="I5594">
        <v>319</v>
      </c>
      <c r="J5594" s="32">
        <v>0</v>
      </c>
      <c r="K5594" s="89">
        <f t="shared" si="348"/>
        <v>297</v>
      </c>
      <c r="L5594" s="34">
        <v>297</v>
      </c>
      <c r="M5594" s="36">
        <f t="shared" si="347"/>
        <v>107.40740740740742</v>
      </c>
    </row>
    <row r="5595" spans="1:13" ht="15.75" hidden="1" customHeight="1" x14ac:dyDescent="0.3">
      <c r="A5595" s="9">
        <v>5505</v>
      </c>
      <c r="B5595" t="s">
        <v>288</v>
      </c>
      <c r="C5595" s="25">
        <v>44717</v>
      </c>
      <c r="D5595" s="26">
        <v>0.71164351851851848</v>
      </c>
      <c r="E5595" t="s">
        <v>29</v>
      </c>
      <c r="F5595" t="s">
        <v>660</v>
      </c>
      <c r="G5595" t="s">
        <v>397</v>
      </c>
      <c r="H5595" t="s">
        <v>305</v>
      </c>
      <c r="I5595">
        <v>424.42</v>
      </c>
      <c r="J5595" s="32">
        <v>0</v>
      </c>
      <c r="K5595" s="89">
        <f t="shared" si="348"/>
        <v>958</v>
      </c>
      <c r="L5595" s="7">
        <v>958</v>
      </c>
      <c r="M5595" s="36">
        <f t="shared" si="347"/>
        <v>44.302713987473908</v>
      </c>
    </row>
    <row r="5596" spans="1:13" ht="15.75" hidden="1" customHeight="1" x14ac:dyDescent="0.3">
      <c r="A5596" s="9">
        <v>5583</v>
      </c>
      <c r="B5596" t="s">
        <v>288</v>
      </c>
      <c r="C5596" s="25">
        <v>44719</v>
      </c>
      <c r="D5596" s="26">
        <v>0.92023148148148148</v>
      </c>
      <c r="E5596" t="s">
        <v>29</v>
      </c>
      <c r="F5596" t="s">
        <v>632</v>
      </c>
      <c r="G5596" t="s">
        <v>161</v>
      </c>
      <c r="H5596" t="s">
        <v>305</v>
      </c>
      <c r="I5596">
        <v>314.64</v>
      </c>
      <c r="J5596" s="32">
        <v>0</v>
      </c>
      <c r="K5596" s="89">
        <f t="shared" si="348"/>
        <v>849</v>
      </c>
      <c r="L5596" s="7">
        <v>849</v>
      </c>
      <c r="M5596" s="36">
        <f t="shared" si="347"/>
        <v>37.060070671378092</v>
      </c>
    </row>
    <row r="5597" spans="1:13" ht="15.75" hidden="1" customHeight="1" x14ac:dyDescent="0.3">
      <c r="A5597" s="9">
        <v>5713</v>
      </c>
      <c r="B5597" t="s">
        <v>288</v>
      </c>
      <c r="C5597" s="25">
        <v>44721</v>
      </c>
      <c r="D5597" s="26">
        <v>0.90910879629629626</v>
      </c>
      <c r="E5597" t="s">
        <v>29</v>
      </c>
      <c r="F5597" t="s">
        <v>732</v>
      </c>
      <c r="G5597" t="s">
        <v>733</v>
      </c>
      <c r="H5597" t="s">
        <v>305</v>
      </c>
      <c r="I5597">
        <v>200</v>
      </c>
      <c r="J5597" s="32">
        <v>0</v>
      </c>
      <c r="K5597" s="89">
        <f t="shared" si="348"/>
        <v>1189</v>
      </c>
      <c r="L5597" s="7">
        <v>1189</v>
      </c>
      <c r="M5597" s="36">
        <f t="shared" si="347"/>
        <v>16.820857863751051</v>
      </c>
    </row>
    <row r="5598" spans="1:13" ht="15.75" hidden="1" customHeight="1" x14ac:dyDescent="0.3">
      <c r="A5598" s="9">
        <v>5758</v>
      </c>
      <c r="B5598" t="s">
        <v>288</v>
      </c>
      <c r="C5598" s="25">
        <v>44722</v>
      </c>
      <c r="D5598" s="26">
        <v>0.39989583333333334</v>
      </c>
      <c r="E5598" t="s">
        <v>29</v>
      </c>
      <c r="F5598" t="s">
        <v>634</v>
      </c>
      <c r="G5598" t="s">
        <v>211</v>
      </c>
      <c r="H5598" t="s">
        <v>305</v>
      </c>
      <c r="I5598" s="122">
        <v>430.75</v>
      </c>
      <c r="J5598" s="37">
        <v>0</v>
      </c>
      <c r="K5598" s="89">
        <f t="shared" si="348"/>
        <v>486</v>
      </c>
      <c r="L5598" s="7">
        <v>486</v>
      </c>
      <c r="M5598" s="36">
        <f t="shared" si="347"/>
        <v>88.63168724279835</v>
      </c>
    </row>
    <row r="5599" spans="1:13" ht="15.75" hidden="1" customHeight="1" x14ac:dyDescent="0.3">
      <c r="A5599" s="9">
        <v>5803</v>
      </c>
      <c r="B5599" t="s">
        <v>288</v>
      </c>
      <c r="C5599" s="25">
        <v>44723</v>
      </c>
      <c r="D5599" s="26">
        <v>0.73070601851851846</v>
      </c>
      <c r="E5599" t="s">
        <v>29</v>
      </c>
      <c r="F5599" t="s">
        <v>634</v>
      </c>
      <c r="G5599" t="s">
        <v>211</v>
      </c>
      <c r="H5599" t="s">
        <v>305</v>
      </c>
      <c r="I5599" s="122">
        <v>383.81</v>
      </c>
      <c r="J5599" s="37">
        <v>0</v>
      </c>
      <c r="K5599" s="89">
        <f t="shared" si="348"/>
        <v>909</v>
      </c>
      <c r="L5599" s="7">
        <v>909</v>
      </c>
      <c r="M5599" s="36">
        <f t="shared" si="347"/>
        <v>42.223322332233224</v>
      </c>
    </row>
    <row r="5600" spans="1:13" ht="15.75" hidden="1" customHeight="1" x14ac:dyDescent="0.3">
      <c r="A5600" s="9">
        <v>5867</v>
      </c>
      <c r="B5600" t="s">
        <v>288</v>
      </c>
      <c r="C5600" s="25">
        <v>44724</v>
      </c>
      <c r="D5600" s="26">
        <v>0.83856481481481471</v>
      </c>
      <c r="E5600" t="s">
        <v>29</v>
      </c>
      <c r="F5600" t="s">
        <v>637</v>
      </c>
      <c r="G5600" t="s">
        <v>196</v>
      </c>
      <c r="H5600" t="s">
        <v>305</v>
      </c>
      <c r="I5600" s="122">
        <v>100</v>
      </c>
      <c r="J5600" s="37">
        <v>0</v>
      </c>
      <c r="K5600" s="89">
        <f t="shared" si="348"/>
        <v>466</v>
      </c>
      <c r="L5600" s="7">
        <v>466</v>
      </c>
      <c r="M5600" s="36">
        <f t="shared" si="347"/>
        <v>21.459227467811161</v>
      </c>
    </row>
    <row r="5601" spans="1:13" ht="15.75" hidden="1" customHeight="1" x14ac:dyDescent="0.3">
      <c r="A5601" s="9">
        <v>6216</v>
      </c>
      <c r="B5601" t="s">
        <v>288</v>
      </c>
      <c r="C5601" s="25">
        <v>44730</v>
      </c>
      <c r="D5601" s="26">
        <v>0.5337615740740741</v>
      </c>
      <c r="E5601" t="s">
        <v>29</v>
      </c>
      <c r="F5601" t="s">
        <v>745</v>
      </c>
      <c r="G5601" t="s">
        <v>388</v>
      </c>
      <c r="H5601" t="s">
        <v>232</v>
      </c>
      <c r="I5601">
        <v>124.09</v>
      </c>
      <c r="J5601" s="52">
        <v>0</v>
      </c>
      <c r="K5601" s="89"/>
      <c r="L5601" s="3"/>
      <c r="M5601" s="15"/>
    </row>
    <row r="5602" spans="1:13" ht="15.75" hidden="1" customHeight="1" x14ac:dyDescent="0.3">
      <c r="A5602" s="9">
        <v>6268</v>
      </c>
      <c r="B5602" t="s">
        <v>288</v>
      </c>
      <c r="C5602" s="25">
        <v>44732</v>
      </c>
      <c r="D5602" s="26">
        <v>0.84682870370370367</v>
      </c>
      <c r="E5602" t="s">
        <v>29</v>
      </c>
      <c r="F5602" t="s">
        <v>722</v>
      </c>
      <c r="G5602" t="s">
        <v>445</v>
      </c>
      <c r="H5602" t="s">
        <v>232</v>
      </c>
      <c r="I5602">
        <v>261.07</v>
      </c>
      <c r="J5602" s="32">
        <v>0</v>
      </c>
      <c r="K5602" s="89"/>
      <c r="L5602" s="23"/>
      <c r="M5602" s="221"/>
    </row>
    <row r="5603" spans="1:13" ht="15.75" hidden="1" customHeight="1" x14ac:dyDescent="0.3">
      <c r="A5603" s="9">
        <v>6301</v>
      </c>
      <c r="B5603" t="s">
        <v>288</v>
      </c>
      <c r="C5603" s="25">
        <v>44733</v>
      </c>
      <c r="D5603" s="26">
        <v>0.5962615740740741</v>
      </c>
      <c r="E5603" t="s">
        <v>29</v>
      </c>
      <c r="F5603" t="s">
        <v>755</v>
      </c>
      <c r="G5603" t="s">
        <v>404</v>
      </c>
      <c r="H5603" t="s">
        <v>232</v>
      </c>
      <c r="I5603">
        <v>120.02</v>
      </c>
      <c r="J5603" s="52">
        <v>0</v>
      </c>
      <c r="K5603" s="89"/>
      <c r="L5603" s="3"/>
      <c r="M5603" s="15"/>
    </row>
    <row r="5604" spans="1:13" ht="15.75" hidden="1" customHeight="1" x14ac:dyDescent="0.3">
      <c r="A5604" s="9">
        <v>6604</v>
      </c>
      <c r="B5604" t="s">
        <v>288</v>
      </c>
      <c r="C5604" s="25">
        <v>44739</v>
      </c>
      <c r="D5604" s="26">
        <v>0.45480324074074074</v>
      </c>
      <c r="E5604" t="s">
        <v>29</v>
      </c>
      <c r="F5604" t="s">
        <v>664</v>
      </c>
      <c r="G5604" t="s">
        <v>388</v>
      </c>
      <c r="H5604" t="s">
        <v>232</v>
      </c>
      <c r="I5604">
        <v>243.39</v>
      </c>
      <c r="J5604" s="52">
        <v>0</v>
      </c>
      <c r="K5604" s="89"/>
      <c r="L5604" s="3"/>
      <c r="M5604" s="10" t="e">
        <f>I5604/K5604*100</f>
        <v>#DIV/0!</v>
      </c>
    </row>
    <row r="5605" spans="1:13" ht="15.75" hidden="1" customHeight="1" x14ac:dyDescent="0.3">
      <c r="A5605" s="9">
        <v>6723</v>
      </c>
      <c r="B5605" t="s">
        <v>288</v>
      </c>
      <c r="C5605" s="25">
        <v>44741</v>
      </c>
      <c r="D5605" s="26">
        <v>0.86245370370370367</v>
      </c>
      <c r="E5605" t="s">
        <v>29</v>
      </c>
      <c r="F5605" t="s">
        <v>767</v>
      </c>
      <c r="G5605" t="s">
        <v>325</v>
      </c>
      <c r="H5605" t="s">
        <v>232</v>
      </c>
      <c r="I5605">
        <v>284</v>
      </c>
      <c r="J5605" s="52">
        <v>0</v>
      </c>
      <c r="K5605" s="96"/>
      <c r="L5605" s="3"/>
      <c r="M5605" s="242"/>
    </row>
    <row r="5606" spans="1:13" ht="15.75" hidden="1" customHeight="1" x14ac:dyDescent="0.3">
      <c r="B5606" t="s">
        <v>716</v>
      </c>
      <c r="C5606" s="25">
        <v>44743</v>
      </c>
      <c r="D5606" s="26">
        <v>0.88475694444444442</v>
      </c>
      <c r="E5606" t="s">
        <v>30</v>
      </c>
      <c r="F5606" t="s">
        <v>197</v>
      </c>
      <c r="G5606" t="s">
        <v>44</v>
      </c>
      <c r="H5606" t="s">
        <v>199</v>
      </c>
      <c r="I5606" s="160">
        <v>234.77</v>
      </c>
      <c r="J5606" s="8"/>
      <c r="K5606" s="8">
        <v>736579</v>
      </c>
      <c r="L5606" s="8">
        <f>+K5606-J5606</f>
        <v>736579</v>
      </c>
      <c r="M5606" s="91">
        <f>I5606/L5606*100</f>
        <v>3.1873023803285189E-2</v>
      </c>
    </row>
    <row r="5607" spans="1:13" ht="15.75" hidden="1" customHeight="1" x14ac:dyDescent="0.3">
      <c r="B5607" t="s">
        <v>716</v>
      </c>
      <c r="C5607" s="25">
        <v>44744</v>
      </c>
      <c r="D5607" s="26">
        <v>0.39657407407407402</v>
      </c>
      <c r="E5607" t="s">
        <v>30</v>
      </c>
      <c r="F5607" t="s">
        <v>166</v>
      </c>
      <c r="G5607" t="s">
        <v>161</v>
      </c>
      <c r="H5607" t="s">
        <v>199</v>
      </c>
      <c r="I5607" s="160">
        <v>315.7</v>
      </c>
      <c r="J5607" s="8"/>
      <c r="K5607" s="8">
        <v>737111</v>
      </c>
      <c r="L5607" s="8">
        <f>+K5607-J5607</f>
        <v>737111</v>
      </c>
      <c r="M5607" s="91">
        <f>I5607/L5607*100</f>
        <v>4.2829370339066974E-2</v>
      </c>
    </row>
    <row r="5608" spans="1:13" ht="15.75" hidden="1" customHeight="1" x14ac:dyDescent="0.3">
      <c r="B5608" t="s">
        <v>281</v>
      </c>
      <c r="C5608" s="25">
        <v>44566</v>
      </c>
      <c r="D5608" s="26">
        <v>0.37159722222222219</v>
      </c>
      <c r="E5608" t="s">
        <v>24</v>
      </c>
      <c r="F5608" t="s">
        <v>210</v>
      </c>
      <c r="G5608" t="s">
        <v>211</v>
      </c>
      <c r="H5608" t="s">
        <v>133</v>
      </c>
      <c r="I5608">
        <v>346.42</v>
      </c>
      <c r="J5608" s="51">
        <v>0</v>
      </c>
      <c r="K5608" s="30">
        <f t="shared" ref="K5608:K5639" si="349">+L5608-J5608</f>
        <v>833.24</v>
      </c>
      <c r="L5608" s="51">
        <v>833.24</v>
      </c>
      <c r="M5608" s="61">
        <f t="shared" ref="M5608:M5639" si="350">I5608/K5608*100</f>
        <v>41.575056406317508</v>
      </c>
    </row>
    <row r="5609" spans="1:13" ht="15.75" hidden="1" customHeight="1" x14ac:dyDescent="0.3">
      <c r="A5609" s="9">
        <v>1</v>
      </c>
      <c r="B5609" t="s">
        <v>281</v>
      </c>
      <c r="C5609" s="25">
        <v>44568</v>
      </c>
      <c r="D5609" s="26">
        <v>0.17541666666666667</v>
      </c>
      <c r="E5609" t="s">
        <v>24</v>
      </c>
      <c r="F5609" t="s">
        <v>210</v>
      </c>
      <c r="G5609" t="s">
        <v>211</v>
      </c>
      <c r="H5609" t="s">
        <v>133</v>
      </c>
      <c r="I5609">
        <v>403.12</v>
      </c>
      <c r="J5609" s="51">
        <v>0</v>
      </c>
      <c r="K5609" s="11">
        <f t="shared" si="349"/>
        <v>1063.58</v>
      </c>
      <c r="L5609" s="51">
        <v>1063.58</v>
      </c>
      <c r="M5609" s="10">
        <f t="shared" si="350"/>
        <v>37.902179431730573</v>
      </c>
    </row>
    <row r="5610" spans="1:13" ht="15.75" hidden="1" customHeight="1" x14ac:dyDescent="0.3">
      <c r="A5610" s="9">
        <v>2</v>
      </c>
      <c r="B5610" t="s">
        <v>281</v>
      </c>
      <c r="C5610" s="25">
        <v>44569</v>
      </c>
      <c r="D5610" s="26">
        <v>0.26164351851851853</v>
      </c>
      <c r="E5610" t="s">
        <v>24</v>
      </c>
      <c r="F5610" t="s">
        <v>205</v>
      </c>
      <c r="G5610" t="s">
        <v>206</v>
      </c>
      <c r="H5610" t="s">
        <v>133</v>
      </c>
      <c r="I5610">
        <v>353.51</v>
      </c>
      <c r="J5610" s="51">
        <v>0</v>
      </c>
      <c r="K5610" s="11">
        <f t="shared" si="349"/>
        <v>991.48</v>
      </c>
      <c r="L5610" s="51">
        <v>991.48</v>
      </c>
      <c r="M5610" s="10">
        <f t="shared" si="350"/>
        <v>35.654778714648806</v>
      </c>
    </row>
    <row r="5611" spans="1:13" ht="15.75" hidden="1" customHeight="1" x14ac:dyDescent="0.3">
      <c r="A5611" s="9">
        <v>3</v>
      </c>
      <c r="B5611" t="s">
        <v>281</v>
      </c>
      <c r="C5611" s="25">
        <v>44570</v>
      </c>
      <c r="D5611" s="26">
        <v>0.41152777777777777</v>
      </c>
      <c r="E5611" t="s">
        <v>24</v>
      </c>
      <c r="F5611" t="s">
        <v>210</v>
      </c>
      <c r="G5611" t="s">
        <v>211</v>
      </c>
      <c r="H5611" t="s">
        <v>133</v>
      </c>
      <c r="I5611">
        <v>317.27999999999997</v>
      </c>
      <c r="J5611" s="7">
        <v>0</v>
      </c>
      <c r="K5611" s="11">
        <f t="shared" si="349"/>
        <v>755.79</v>
      </c>
      <c r="L5611" s="7">
        <v>755.79</v>
      </c>
      <c r="M5611" s="36">
        <f t="shared" si="350"/>
        <v>41.979915055769453</v>
      </c>
    </row>
    <row r="5612" spans="1:13" ht="15.75" hidden="1" customHeight="1" x14ac:dyDescent="0.3">
      <c r="A5612" s="9">
        <v>4</v>
      </c>
      <c r="B5612" t="s">
        <v>281</v>
      </c>
      <c r="C5612" s="25">
        <v>44571</v>
      </c>
      <c r="D5612" s="26">
        <v>0.99995370370370373</v>
      </c>
      <c r="E5612" t="s">
        <v>24</v>
      </c>
      <c r="F5612" t="s">
        <v>210</v>
      </c>
      <c r="G5612" t="s">
        <v>211</v>
      </c>
      <c r="H5612" t="s">
        <v>133</v>
      </c>
      <c r="I5612">
        <v>397.12</v>
      </c>
      <c r="J5612" s="7">
        <v>0</v>
      </c>
      <c r="K5612" s="11">
        <f t="shared" si="349"/>
        <v>1063.97</v>
      </c>
      <c r="L5612" s="7">
        <v>1063.97</v>
      </c>
      <c r="M5612" s="36">
        <f t="shared" si="350"/>
        <v>37.324360649266424</v>
      </c>
    </row>
    <row r="5613" spans="1:13" ht="15.75" hidden="1" customHeight="1" x14ac:dyDescent="0.3">
      <c r="A5613" s="9">
        <v>5</v>
      </c>
      <c r="B5613" t="s">
        <v>281</v>
      </c>
      <c r="C5613" s="25">
        <v>44574</v>
      </c>
      <c r="D5613" s="26">
        <v>0.37362268518518515</v>
      </c>
      <c r="E5613" t="s">
        <v>24</v>
      </c>
      <c r="F5613" t="s">
        <v>205</v>
      </c>
      <c r="G5613" t="s">
        <v>206</v>
      </c>
      <c r="H5613" t="s">
        <v>133</v>
      </c>
      <c r="I5613">
        <v>412.04</v>
      </c>
      <c r="J5613" s="7">
        <v>0</v>
      </c>
      <c r="K5613" s="11">
        <f t="shared" si="349"/>
        <v>1044.5899999999999</v>
      </c>
      <c r="L5613" s="7">
        <v>1044.5899999999999</v>
      </c>
      <c r="M5613" s="36">
        <f t="shared" si="350"/>
        <v>39.445141155860199</v>
      </c>
    </row>
    <row r="5614" spans="1:13" ht="15.75" hidden="1" customHeight="1" x14ac:dyDescent="0.3">
      <c r="A5614" s="9">
        <v>6</v>
      </c>
      <c r="B5614" t="s">
        <v>281</v>
      </c>
      <c r="C5614" s="25">
        <v>44576</v>
      </c>
      <c r="D5614" s="26">
        <v>2.0844907407407406E-2</v>
      </c>
      <c r="E5614" t="s">
        <v>24</v>
      </c>
      <c r="F5614" t="s">
        <v>210</v>
      </c>
      <c r="G5614" t="s">
        <v>211</v>
      </c>
      <c r="H5614" t="s">
        <v>133</v>
      </c>
      <c r="I5614">
        <v>353.03</v>
      </c>
      <c r="J5614" s="7">
        <v>844170</v>
      </c>
      <c r="K5614" s="11">
        <f t="shared" si="349"/>
        <v>800</v>
      </c>
      <c r="L5614" s="31">
        <v>844970</v>
      </c>
      <c r="M5614" s="36">
        <f t="shared" si="350"/>
        <v>44.128749999999997</v>
      </c>
    </row>
    <row r="5615" spans="1:13" ht="15.75" hidden="1" customHeight="1" x14ac:dyDescent="0.3">
      <c r="A5615" s="9">
        <v>7</v>
      </c>
      <c r="B5615" t="s">
        <v>281</v>
      </c>
      <c r="C5615" s="25">
        <v>44577</v>
      </c>
      <c r="D5615" s="26">
        <v>0.73253472222222227</v>
      </c>
      <c r="E5615" t="s">
        <v>24</v>
      </c>
      <c r="F5615" t="s">
        <v>210</v>
      </c>
      <c r="G5615" t="s">
        <v>211</v>
      </c>
      <c r="H5615" t="s">
        <v>133</v>
      </c>
      <c r="I5615">
        <v>410.64</v>
      </c>
      <c r="J5615" s="7">
        <v>844970</v>
      </c>
      <c r="K5615" s="11">
        <f t="shared" si="349"/>
        <v>1070</v>
      </c>
      <c r="L5615" s="7">
        <v>846040</v>
      </c>
      <c r="M5615" s="36">
        <f t="shared" si="350"/>
        <v>38.37757009345794</v>
      </c>
    </row>
    <row r="5616" spans="1:13" ht="15.75" hidden="1" customHeight="1" x14ac:dyDescent="0.3">
      <c r="A5616" s="9">
        <v>8</v>
      </c>
      <c r="B5616" t="s">
        <v>281</v>
      </c>
      <c r="C5616" s="25">
        <v>44579</v>
      </c>
      <c r="D5616" s="26">
        <v>0.48172453703703705</v>
      </c>
      <c r="E5616" t="s">
        <v>24</v>
      </c>
      <c r="F5616" t="s">
        <v>175</v>
      </c>
      <c r="G5616" t="s">
        <v>172</v>
      </c>
      <c r="H5616" t="s">
        <v>133</v>
      </c>
      <c r="I5616">
        <v>408.99</v>
      </c>
      <c r="J5616" s="76">
        <v>846040</v>
      </c>
      <c r="K5616" s="11">
        <f t="shared" si="349"/>
        <v>920</v>
      </c>
      <c r="L5616" s="34">
        <v>846960</v>
      </c>
      <c r="M5616" s="36">
        <f t="shared" si="350"/>
        <v>44.455434782608698</v>
      </c>
    </row>
    <row r="5617" spans="1:13" ht="15.75" hidden="1" customHeight="1" x14ac:dyDescent="0.3">
      <c r="A5617" s="9">
        <v>9</v>
      </c>
      <c r="B5617" t="s">
        <v>281</v>
      </c>
      <c r="C5617" s="25">
        <v>44580</v>
      </c>
      <c r="D5617" s="26">
        <v>0.76496527777777779</v>
      </c>
      <c r="E5617" t="s">
        <v>24</v>
      </c>
      <c r="F5617" t="s">
        <v>210</v>
      </c>
      <c r="G5617" t="s">
        <v>211</v>
      </c>
      <c r="H5617" t="s">
        <v>133</v>
      </c>
      <c r="I5617">
        <v>347.87</v>
      </c>
      <c r="J5617" s="76">
        <v>846960</v>
      </c>
      <c r="K5617" s="28">
        <f t="shared" si="349"/>
        <v>860</v>
      </c>
      <c r="L5617" s="31">
        <v>847820</v>
      </c>
      <c r="M5617" s="36">
        <f t="shared" si="350"/>
        <v>40.450000000000003</v>
      </c>
    </row>
    <row r="5618" spans="1:13" ht="15.75" hidden="1" customHeight="1" x14ac:dyDescent="0.3">
      <c r="A5618" s="9">
        <v>10</v>
      </c>
      <c r="B5618" t="s">
        <v>281</v>
      </c>
      <c r="C5618" s="25">
        <v>44581</v>
      </c>
      <c r="D5618" s="26">
        <v>0.94587962962962957</v>
      </c>
      <c r="E5618" t="s">
        <v>24</v>
      </c>
      <c r="F5618" t="s">
        <v>210</v>
      </c>
      <c r="G5618" t="s">
        <v>211</v>
      </c>
      <c r="H5618" t="s">
        <v>133</v>
      </c>
      <c r="I5618">
        <v>432.23</v>
      </c>
      <c r="J5618" s="7">
        <v>847820</v>
      </c>
      <c r="K5618" s="7">
        <f t="shared" si="349"/>
        <v>1038</v>
      </c>
      <c r="L5618" s="7">
        <v>848858</v>
      </c>
      <c r="M5618" s="36">
        <f t="shared" si="350"/>
        <v>41.640655105973032</v>
      </c>
    </row>
    <row r="5619" spans="1:13" ht="15.75" hidden="1" customHeight="1" x14ac:dyDescent="0.3">
      <c r="A5619" s="9">
        <v>11</v>
      </c>
      <c r="B5619" t="s">
        <v>281</v>
      </c>
      <c r="C5619" s="25">
        <v>44583</v>
      </c>
      <c r="D5619" s="26">
        <v>0.40859953703703705</v>
      </c>
      <c r="E5619" t="s">
        <v>24</v>
      </c>
      <c r="F5619" t="s">
        <v>175</v>
      </c>
      <c r="G5619" t="s">
        <v>172</v>
      </c>
      <c r="H5619" t="s">
        <v>133</v>
      </c>
      <c r="I5619">
        <v>384.29</v>
      </c>
      <c r="J5619" s="7">
        <v>848858</v>
      </c>
      <c r="K5619" s="30">
        <f t="shared" si="349"/>
        <v>962</v>
      </c>
      <c r="L5619" s="34">
        <v>849820</v>
      </c>
      <c r="M5619" s="10">
        <f t="shared" si="350"/>
        <v>39.946985446985451</v>
      </c>
    </row>
    <row r="5620" spans="1:13" ht="15.75" hidden="1" customHeight="1" x14ac:dyDescent="0.3">
      <c r="A5620" s="9">
        <v>12</v>
      </c>
      <c r="B5620" t="s">
        <v>281</v>
      </c>
      <c r="C5620" s="25">
        <v>44592</v>
      </c>
      <c r="D5620" s="26">
        <v>0.42349537037037038</v>
      </c>
      <c r="E5620" t="s">
        <v>24</v>
      </c>
      <c r="F5620" t="s">
        <v>175</v>
      </c>
      <c r="G5620" t="s">
        <v>172</v>
      </c>
      <c r="H5620" t="s">
        <v>133</v>
      </c>
      <c r="I5620">
        <v>25.7</v>
      </c>
      <c r="J5620" s="7">
        <v>849820</v>
      </c>
      <c r="K5620" s="11">
        <f t="shared" si="349"/>
        <v>18</v>
      </c>
      <c r="L5620" s="7">
        <v>849838</v>
      </c>
      <c r="M5620" s="10">
        <f t="shared" si="350"/>
        <v>142.77777777777777</v>
      </c>
    </row>
    <row r="5621" spans="1:13" ht="15.75" hidden="1" customHeight="1" x14ac:dyDescent="0.3">
      <c r="A5621" s="9">
        <v>1109</v>
      </c>
      <c r="B5621" t="s">
        <v>281</v>
      </c>
      <c r="C5621" s="25">
        <v>44593</v>
      </c>
      <c r="D5621" s="26">
        <v>0.62523148148148155</v>
      </c>
      <c r="E5621" t="s">
        <v>25</v>
      </c>
      <c r="F5621" t="s">
        <v>210</v>
      </c>
      <c r="G5621" t="s">
        <v>211</v>
      </c>
      <c r="H5621" t="s">
        <v>133</v>
      </c>
      <c r="I5621">
        <v>345.13</v>
      </c>
      <c r="J5621" s="33">
        <v>849838</v>
      </c>
      <c r="K5621" s="53">
        <f t="shared" si="349"/>
        <v>837</v>
      </c>
      <c r="L5621" s="7">
        <v>850675</v>
      </c>
      <c r="M5621" s="10">
        <f t="shared" si="350"/>
        <v>41.234169653524496</v>
      </c>
    </row>
    <row r="5622" spans="1:13" ht="15.75" hidden="1" customHeight="1" x14ac:dyDescent="0.3">
      <c r="A5622" s="9">
        <v>1110</v>
      </c>
      <c r="B5622" t="s">
        <v>281</v>
      </c>
      <c r="C5622" s="25">
        <v>44594</v>
      </c>
      <c r="D5622" s="26">
        <v>0.18603009259259259</v>
      </c>
      <c r="E5622" t="s">
        <v>25</v>
      </c>
      <c r="F5622" t="s">
        <v>165</v>
      </c>
      <c r="G5622" t="s">
        <v>185</v>
      </c>
      <c r="H5622" t="s">
        <v>133</v>
      </c>
      <c r="I5622">
        <v>70.010000000000005</v>
      </c>
      <c r="J5622" s="32">
        <v>850675</v>
      </c>
      <c r="K5622" s="53">
        <f t="shared" si="349"/>
        <v>555</v>
      </c>
      <c r="L5622" s="7">
        <v>851230</v>
      </c>
      <c r="M5622" s="10">
        <f t="shared" si="350"/>
        <v>12.614414414414416</v>
      </c>
    </row>
    <row r="5623" spans="1:13" ht="15.75" hidden="1" customHeight="1" x14ac:dyDescent="0.3">
      <c r="A5623" s="9">
        <v>1111</v>
      </c>
      <c r="B5623" t="s">
        <v>281</v>
      </c>
      <c r="C5623" s="25">
        <v>44594</v>
      </c>
      <c r="D5623" s="26">
        <v>0.96677083333333336</v>
      </c>
      <c r="E5623" t="s">
        <v>25</v>
      </c>
      <c r="F5623" t="s">
        <v>210</v>
      </c>
      <c r="G5623" t="s">
        <v>211</v>
      </c>
      <c r="H5623" t="s">
        <v>133</v>
      </c>
      <c r="I5623">
        <v>406.46</v>
      </c>
      <c r="J5623" s="32">
        <v>851230</v>
      </c>
      <c r="K5623" s="53">
        <f t="shared" si="349"/>
        <v>570</v>
      </c>
      <c r="L5623" s="7">
        <v>851800</v>
      </c>
      <c r="M5623" s="10">
        <f t="shared" si="350"/>
        <v>71.308771929824559</v>
      </c>
    </row>
    <row r="5624" spans="1:13" ht="15.75" hidden="1" customHeight="1" x14ac:dyDescent="0.3">
      <c r="A5624" s="9">
        <v>1112</v>
      </c>
      <c r="B5624" t="s">
        <v>281</v>
      </c>
      <c r="C5624" s="25">
        <v>44596</v>
      </c>
      <c r="D5624" s="26">
        <v>0.7723726851851852</v>
      </c>
      <c r="E5624" t="s">
        <v>25</v>
      </c>
      <c r="F5624" t="s">
        <v>171</v>
      </c>
      <c r="G5624" t="s">
        <v>172</v>
      </c>
      <c r="H5624" t="s">
        <v>133</v>
      </c>
      <c r="I5624">
        <v>382.68</v>
      </c>
      <c r="J5624" s="7">
        <v>851800</v>
      </c>
      <c r="K5624" s="11">
        <f t="shared" si="349"/>
        <v>1100</v>
      </c>
      <c r="L5624" s="7">
        <v>852900</v>
      </c>
      <c r="M5624" s="10">
        <f t="shared" si="350"/>
        <v>34.789090909090909</v>
      </c>
    </row>
    <row r="5625" spans="1:13" ht="15.75" hidden="1" customHeight="1" x14ac:dyDescent="0.3">
      <c r="A5625" s="9">
        <v>1113</v>
      </c>
      <c r="B5625" t="s">
        <v>281</v>
      </c>
      <c r="C5625" s="25">
        <v>44598</v>
      </c>
      <c r="D5625" s="26">
        <v>0.17991898148148147</v>
      </c>
      <c r="E5625" t="s">
        <v>25</v>
      </c>
      <c r="F5625" t="s">
        <v>210</v>
      </c>
      <c r="G5625" t="s">
        <v>211</v>
      </c>
      <c r="H5625" t="s">
        <v>133</v>
      </c>
      <c r="I5625">
        <v>373.72</v>
      </c>
      <c r="J5625" s="32">
        <v>852900</v>
      </c>
      <c r="K5625" s="53">
        <f t="shared" si="349"/>
        <v>852</v>
      </c>
      <c r="L5625" s="7">
        <v>853752</v>
      </c>
      <c r="M5625" s="10">
        <f t="shared" si="350"/>
        <v>43.863849765258216</v>
      </c>
    </row>
    <row r="5626" spans="1:13" ht="15.75" hidden="1" customHeight="1" x14ac:dyDescent="0.3">
      <c r="A5626" s="9">
        <v>1114</v>
      </c>
      <c r="B5626" t="s">
        <v>281</v>
      </c>
      <c r="C5626" s="25">
        <v>44599</v>
      </c>
      <c r="D5626" s="26">
        <v>0.59077546296296302</v>
      </c>
      <c r="E5626" t="s">
        <v>25</v>
      </c>
      <c r="F5626" t="s">
        <v>210</v>
      </c>
      <c r="G5626" t="s">
        <v>211</v>
      </c>
      <c r="H5626" t="s">
        <v>133</v>
      </c>
      <c r="I5626">
        <v>415.18</v>
      </c>
      <c r="J5626" s="32">
        <v>853752</v>
      </c>
      <c r="K5626" s="53">
        <f t="shared" si="349"/>
        <v>1099</v>
      </c>
      <c r="L5626" s="7">
        <v>854851</v>
      </c>
      <c r="M5626" s="10">
        <f t="shared" si="350"/>
        <v>37.777979981801643</v>
      </c>
    </row>
    <row r="5627" spans="1:13" ht="15.75" hidden="1" customHeight="1" x14ac:dyDescent="0.3">
      <c r="A5627" s="9">
        <v>1115</v>
      </c>
      <c r="B5627" t="s">
        <v>281</v>
      </c>
      <c r="C5627" s="25">
        <v>44600</v>
      </c>
      <c r="D5627" s="26">
        <v>0.87832175925925926</v>
      </c>
      <c r="E5627" t="s">
        <v>25</v>
      </c>
      <c r="F5627" t="s">
        <v>175</v>
      </c>
      <c r="G5627" t="s">
        <v>172</v>
      </c>
      <c r="H5627" t="s">
        <v>133</v>
      </c>
      <c r="I5627">
        <v>383.49</v>
      </c>
      <c r="J5627" s="32">
        <v>854851</v>
      </c>
      <c r="K5627" s="53">
        <f t="shared" si="349"/>
        <v>933</v>
      </c>
      <c r="L5627" s="7">
        <v>855784</v>
      </c>
      <c r="M5627" s="10">
        <f t="shared" si="350"/>
        <v>41.10289389067524</v>
      </c>
    </row>
    <row r="5628" spans="1:13" ht="15.75" hidden="1" customHeight="1" x14ac:dyDescent="0.3">
      <c r="A5628" s="9">
        <v>1116</v>
      </c>
      <c r="B5628" t="s">
        <v>281</v>
      </c>
      <c r="C5628" s="25">
        <v>44602</v>
      </c>
      <c r="D5628" s="26">
        <v>0.54939814814814814</v>
      </c>
      <c r="E5628" t="s">
        <v>25</v>
      </c>
      <c r="F5628" t="s">
        <v>210</v>
      </c>
      <c r="G5628" t="s">
        <v>211</v>
      </c>
      <c r="H5628" t="s">
        <v>133</v>
      </c>
      <c r="I5628">
        <v>367.07</v>
      </c>
      <c r="J5628" s="7">
        <v>855784</v>
      </c>
      <c r="K5628" s="11">
        <f t="shared" si="349"/>
        <v>836</v>
      </c>
      <c r="L5628" s="33">
        <v>856620</v>
      </c>
      <c r="M5628" s="10">
        <f t="shared" si="350"/>
        <v>43.90789473684211</v>
      </c>
    </row>
    <row r="5629" spans="1:13" ht="15.75" hidden="1" customHeight="1" x14ac:dyDescent="0.3">
      <c r="A5629" s="9">
        <v>1117</v>
      </c>
      <c r="B5629" t="s">
        <v>281</v>
      </c>
      <c r="C5629" s="25">
        <v>44603</v>
      </c>
      <c r="D5629" s="26">
        <v>0.55208333333333337</v>
      </c>
      <c r="E5629" t="s">
        <v>25</v>
      </c>
      <c r="F5629" t="s">
        <v>210</v>
      </c>
      <c r="G5629" t="s">
        <v>211</v>
      </c>
      <c r="H5629" t="s">
        <v>133</v>
      </c>
      <c r="I5629">
        <v>442.05</v>
      </c>
      <c r="J5629" s="32">
        <v>0</v>
      </c>
      <c r="K5629" s="53">
        <f t="shared" si="349"/>
        <v>1064.78</v>
      </c>
      <c r="L5629" s="32">
        <v>1064.78</v>
      </c>
      <c r="M5629" s="10">
        <f t="shared" si="350"/>
        <v>41.515618249779301</v>
      </c>
    </row>
    <row r="5630" spans="1:13" ht="15.75" hidden="1" customHeight="1" x14ac:dyDescent="0.3">
      <c r="A5630" s="9">
        <v>1118</v>
      </c>
      <c r="B5630" t="s">
        <v>281</v>
      </c>
      <c r="C5630" s="25">
        <v>44604</v>
      </c>
      <c r="D5630" s="26">
        <v>0.81077546296296299</v>
      </c>
      <c r="E5630" t="s">
        <v>25</v>
      </c>
      <c r="F5630" t="s">
        <v>175</v>
      </c>
      <c r="G5630" t="s">
        <v>172</v>
      </c>
      <c r="H5630" t="s">
        <v>133</v>
      </c>
      <c r="I5630">
        <v>372.37</v>
      </c>
      <c r="J5630" s="32">
        <v>0</v>
      </c>
      <c r="K5630" s="53">
        <f t="shared" si="349"/>
        <v>915.73</v>
      </c>
      <c r="L5630" s="32">
        <v>915.73</v>
      </c>
      <c r="M5630" s="10">
        <f t="shared" si="350"/>
        <v>40.663732759656227</v>
      </c>
    </row>
    <row r="5631" spans="1:13" ht="15.75" hidden="1" customHeight="1" x14ac:dyDescent="0.3">
      <c r="A5631" s="9">
        <v>1119</v>
      </c>
      <c r="B5631" t="s">
        <v>281</v>
      </c>
      <c r="C5631" s="25">
        <v>44606</v>
      </c>
      <c r="D5631" s="26">
        <v>2.4166666666666666E-2</v>
      </c>
      <c r="E5631" t="s">
        <v>25</v>
      </c>
      <c r="F5631" t="s">
        <v>210</v>
      </c>
      <c r="G5631" t="s">
        <v>211</v>
      </c>
      <c r="H5631" t="s">
        <v>133</v>
      </c>
      <c r="I5631">
        <v>359.15</v>
      </c>
      <c r="J5631" s="32">
        <v>0</v>
      </c>
      <c r="K5631" s="53">
        <f t="shared" si="349"/>
        <v>830.31</v>
      </c>
      <c r="L5631" s="32">
        <v>830.31</v>
      </c>
      <c r="M5631" s="10">
        <f t="shared" si="350"/>
        <v>43.254928881983837</v>
      </c>
    </row>
    <row r="5632" spans="1:13" ht="15.75" hidden="1" customHeight="1" x14ac:dyDescent="0.3">
      <c r="A5632" s="9">
        <v>1120</v>
      </c>
      <c r="B5632" t="s">
        <v>281</v>
      </c>
      <c r="C5632" s="25">
        <v>44607</v>
      </c>
      <c r="D5632" s="26">
        <v>0.53666666666666674</v>
      </c>
      <c r="E5632" t="s">
        <v>25</v>
      </c>
      <c r="F5632" t="s">
        <v>210</v>
      </c>
      <c r="G5632" t="s">
        <v>211</v>
      </c>
      <c r="H5632" t="s">
        <v>133</v>
      </c>
      <c r="I5632">
        <v>427.85</v>
      </c>
      <c r="J5632" s="32">
        <v>0</v>
      </c>
      <c r="K5632" s="53">
        <f t="shared" si="349"/>
        <v>1062.4100000000001</v>
      </c>
      <c r="L5632" s="32">
        <v>1062.4100000000001</v>
      </c>
      <c r="M5632" s="10">
        <f t="shared" si="350"/>
        <v>40.271646539471575</v>
      </c>
    </row>
    <row r="5633" spans="1:13" ht="15.75" hidden="1" customHeight="1" x14ac:dyDescent="0.3">
      <c r="A5633" s="9">
        <v>1121</v>
      </c>
      <c r="B5633" t="s">
        <v>281</v>
      </c>
      <c r="C5633" s="25">
        <v>44608</v>
      </c>
      <c r="D5633" s="26">
        <v>0.86561342592592594</v>
      </c>
      <c r="E5633" t="s">
        <v>25</v>
      </c>
      <c r="F5633" t="s">
        <v>171</v>
      </c>
      <c r="G5633" t="s">
        <v>172</v>
      </c>
      <c r="H5633" t="s">
        <v>133</v>
      </c>
      <c r="I5633">
        <v>362.92</v>
      </c>
      <c r="J5633" s="32">
        <v>0</v>
      </c>
      <c r="K5633" s="53">
        <f t="shared" si="349"/>
        <v>919.11</v>
      </c>
      <c r="L5633" s="32">
        <v>919.11</v>
      </c>
      <c r="M5633" s="10">
        <f t="shared" si="350"/>
        <v>39.486024523724041</v>
      </c>
    </row>
    <row r="5634" spans="1:13" ht="15.75" hidden="1" customHeight="1" x14ac:dyDescent="0.3">
      <c r="A5634" s="9">
        <v>1122</v>
      </c>
      <c r="B5634" t="s">
        <v>281</v>
      </c>
      <c r="C5634" s="25">
        <v>44620</v>
      </c>
      <c r="D5634" s="26">
        <v>0.76760416666666664</v>
      </c>
      <c r="E5634" t="s">
        <v>25</v>
      </c>
      <c r="F5634" t="s">
        <v>205</v>
      </c>
      <c r="G5634" t="s">
        <v>206</v>
      </c>
      <c r="H5634" t="s">
        <v>133</v>
      </c>
      <c r="I5634">
        <v>55.81</v>
      </c>
      <c r="J5634" s="32">
        <v>0</v>
      </c>
      <c r="K5634" s="53">
        <f t="shared" si="349"/>
        <v>129.54</v>
      </c>
      <c r="L5634" s="32">
        <v>129.54</v>
      </c>
      <c r="M5634" s="10">
        <f t="shared" si="350"/>
        <v>43.083217538984101</v>
      </c>
    </row>
    <row r="5635" spans="1:13" ht="15.75" hidden="1" customHeight="1" x14ac:dyDescent="0.3">
      <c r="A5635" s="9">
        <v>2292</v>
      </c>
      <c r="B5635" t="s">
        <v>281</v>
      </c>
      <c r="C5635" s="25">
        <v>44621</v>
      </c>
      <c r="D5635" s="26">
        <v>0.22980324074074074</v>
      </c>
      <c r="E5635" t="s">
        <v>26</v>
      </c>
      <c r="F5635" t="s">
        <v>210</v>
      </c>
      <c r="G5635" t="s">
        <v>211</v>
      </c>
      <c r="H5635" t="s">
        <v>133</v>
      </c>
      <c r="I5635">
        <v>318.22000000000003</v>
      </c>
      <c r="J5635" s="7">
        <v>0</v>
      </c>
      <c r="K5635" s="89">
        <f t="shared" si="349"/>
        <v>723.25</v>
      </c>
      <c r="L5635" s="34">
        <v>723.25</v>
      </c>
      <c r="M5635" s="10">
        <f t="shared" si="350"/>
        <v>43.998617352229523</v>
      </c>
    </row>
    <row r="5636" spans="1:13" ht="15.75" hidden="1" customHeight="1" x14ac:dyDescent="0.3">
      <c r="A5636" s="9">
        <v>2293</v>
      </c>
      <c r="B5636" t="s">
        <v>281</v>
      </c>
      <c r="C5636" s="25">
        <v>44622</v>
      </c>
      <c r="D5636" s="26">
        <v>0.14289351851851853</v>
      </c>
      <c r="E5636" t="s">
        <v>26</v>
      </c>
      <c r="F5636" t="s">
        <v>165</v>
      </c>
      <c r="G5636" t="s">
        <v>185</v>
      </c>
      <c r="H5636" t="s">
        <v>133</v>
      </c>
      <c r="I5636">
        <v>60</v>
      </c>
      <c r="J5636" s="7">
        <v>0</v>
      </c>
      <c r="K5636" s="89">
        <f t="shared" si="349"/>
        <v>548.26</v>
      </c>
      <c r="L5636" s="7">
        <v>548.26</v>
      </c>
      <c r="M5636" s="10">
        <f t="shared" si="350"/>
        <v>10.943712836975159</v>
      </c>
    </row>
    <row r="5637" spans="1:13" ht="15.75" hidden="1" customHeight="1" x14ac:dyDescent="0.3">
      <c r="A5637" s="9">
        <v>2294</v>
      </c>
      <c r="B5637" t="s">
        <v>281</v>
      </c>
      <c r="C5637" s="25">
        <v>44623</v>
      </c>
      <c r="D5637" s="26">
        <v>0.14967592592592593</v>
      </c>
      <c r="E5637" t="s">
        <v>26</v>
      </c>
      <c r="F5637" t="s">
        <v>210</v>
      </c>
      <c r="G5637" t="s">
        <v>211</v>
      </c>
      <c r="H5637" t="s">
        <v>133</v>
      </c>
      <c r="I5637">
        <v>438.26</v>
      </c>
      <c r="J5637" s="53">
        <v>0</v>
      </c>
      <c r="K5637" s="89">
        <f t="shared" si="349"/>
        <v>572.79</v>
      </c>
      <c r="L5637" s="32">
        <v>572.79</v>
      </c>
      <c r="M5637" s="10">
        <f t="shared" si="350"/>
        <v>76.513207283646707</v>
      </c>
    </row>
    <row r="5638" spans="1:13" ht="15.75" hidden="1" customHeight="1" x14ac:dyDescent="0.3">
      <c r="A5638" s="9">
        <v>2295</v>
      </c>
      <c r="B5638" t="s">
        <v>281</v>
      </c>
      <c r="C5638" s="25">
        <v>44624</v>
      </c>
      <c r="D5638" s="26">
        <v>0.5298842592592593</v>
      </c>
      <c r="E5638" t="s">
        <v>26</v>
      </c>
      <c r="F5638" t="s">
        <v>175</v>
      </c>
      <c r="G5638" t="s">
        <v>172</v>
      </c>
      <c r="H5638" t="s">
        <v>133</v>
      </c>
      <c r="I5638">
        <v>344.17</v>
      </c>
      <c r="J5638" s="53">
        <v>0</v>
      </c>
      <c r="K5638" s="89">
        <f t="shared" si="349"/>
        <v>918.4</v>
      </c>
      <c r="L5638" s="32">
        <v>918.4</v>
      </c>
      <c r="M5638" s="10">
        <f t="shared" si="350"/>
        <v>37.474956445993037</v>
      </c>
    </row>
    <row r="5639" spans="1:13" ht="15.75" hidden="1" customHeight="1" x14ac:dyDescent="0.3">
      <c r="A5639" s="9">
        <v>2296</v>
      </c>
      <c r="B5639" t="s">
        <v>281</v>
      </c>
      <c r="C5639" s="25">
        <v>44625</v>
      </c>
      <c r="D5639" s="26">
        <v>0.71209490740740744</v>
      </c>
      <c r="E5639" t="s">
        <v>26</v>
      </c>
      <c r="F5639" t="s">
        <v>210</v>
      </c>
      <c r="G5639" t="s">
        <v>211</v>
      </c>
      <c r="H5639" t="s">
        <v>133</v>
      </c>
      <c r="I5639">
        <v>372.25</v>
      </c>
      <c r="J5639" s="32">
        <v>0</v>
      </c>
      <c r="K5639" s="89">
        <f t="shared" si="349"/>
        <v>831.24</v>
      </c>
      <c r="L5639" s="32">
        <v>831.24</v>
      </c>
      <c r="M5639" s="10">
        <f t="shared" si="350"/>
        <v>44.782493623983441</v>
      </c>
    </row>
    <row r="5640" spans="1:13" ht="15.75" hidden="1" customHeight="1" x14ac:dyDescent="0.3">
      <c r="A5640" s="9">
        <v>2297</v>
      </c>
      <c r="B5640" t="s">
        <v>281</v>
      </c>
      <c r="C5640" s="25">
        <v>44626</v>
      </c>
      <c r="D5640" s="26">
        <v>0.22848379629629631</v>
      </c>
      <c r="E5640" t="s">
        <v>26</v>
      </c>
      <c r="F5640" t="s">
        <v>165</v>
      </c>
      <c r="G5640" t="s">
        <v>185</v>
      </c>
      <c r="H5640" t="s">
        <v>133</v>
      </c>
      <c r="I5640">
        <v>268.3</v>
      </c>
      <c r="J5640" s="32">
        <v>0</v>
      </c>
      <c r="K5640" s="89">
        <f t="shared" ref="K5640:K5663" si="351">+L5640-J5640</f>
        <v>548.23</v>
      </c>
      <c r="L5640" s="32">
        <v>548.23</v>
      </c>
      <c r="M5640" s="10">
        <f t="shared" ref="M5640:M5671" si="352">I5640/K5640*100</f>
        <v>48.939313791656787</v>
      </c>
    </row>
    <row r="5641" spans="1:13" ht="15.75" hidden="1" customHeight="1" x14ac:dyDescent="0.3">
      <c r="A5641" s="9">
        <v>2298</v>
      </c>
      <c r="B5641" t="s">
        <v>281</v>
      </c>
      <c r="C5641" s="25">
        <v>44627</v>
      </c>
      <c r="D5641" s="26">
        <v>0.8044675925925926</v>
      </c>
      <c r="E5641" t="s">
        <v>26</v>
      </c>
      <c r="F5641" t="s">
        <v>202</v>
      </c>
      <c r="G5641" t="s">
        <v>203</v>
      </c>
      <c r="H5641" t="s">
        <v>133</v>
      </c>
      <c r="I5641">
        <v>344.15</v>
      </c>
      <c r="J5641" s="32">
        <v>0</v>
      </c>
      <c r="K5641" s="89">
        <f t="shared" si="351"/>
        <v>1053.3800000000001</v>
      </c>
      <c r="L5641" s="32">
        <v>1053.3800000000001</v>
      </c>
      <c r="M5641" s="10">
        <f t="shared" si="352"/>
        <v>32.671020904137151</v>
      </c>
    </row>
    <row r="5642" spans="1:13" ht="15.75" hidden="1" customHeight="1" x14ac:dyDescent="0.3">
      <c r="A5642" s="9">
        <v>2299</v>
      </c>
      <c r="B5642" t="s">
        <v>281</v>
      </c>
      <c r="C5642" s="25">
        <v>44628</v>
      </c>
      <c r="D5642" s="26">
        <v>0.98549768518518521</v>
      </c>
      <c r="E5642" t="s">
        <v>26</v>
      </c>
      <c r="F5642" t="s">
        <v>165</v>
      </c>
      <c r="G5642" t="s">
        <v>185</v>
      </c>
      <c r="H5642" t="s">
        <v>133</v>
      </c>
      <c r="I5642">
        <v>265.22000000000003</v>
      </c>
      <c r="J5642" s="32">
        <v>0</v>
      </c>
      <c r="K5642" s="89">
        <f t="shared" si="351"/>
        <v>576.46</v>
      </c>
      <c r="L5642" s="32">
        <v>576.46</v>
      </c>
      <c r="M5642" s="10">
        <f t="shared" si="352"/>
        <v>46.008396072580929</v>
      </c>
    </row>
    <row r="5643" spans="1:13" ht="15.75" hidden="1" customHeight="1" x14ac:dyDescent="0.3">
      <c r="A5643" s="9">
        <v>2300</v>
      </c>
      <c r="B5643" t="s">
        <v>281</v>
      </c>
      <c r="C5643" s="25">
        <v>44629</v>
      </c>
      <c r="D5643" s="26">
        <v>0.31664351851851852</v>
      </c>
      <c r="E5643" t="s">
        <v>26</v>
      </c>
      <c r="F5643" t="s">
        <v>210</v>
      </c>
      <c r="G5643" t="s">
        <v>211</v>
      </c>
      <c r="H5643" t="s">
        <v>133</v>
      </c>
      <c r="I5643">
        <v>158.66</v>
      </c>
      <c r="J5643" s="32">
        <v>0</v>
      </c>
      <c r="K5643" s="89">
        <f t="shared" si="351"/>
        <v>521.39</v>
      </c>
      <c r="L5643" s="32">
        <v>521.39</v>
      </c>
      <c r="M5643" s="10">
        <f t="shared" si="352"/>
        <v>30.430196206294713</v>
      </c>
    </row>
    <row r="5644" spans="1:13" ht="15.75" hidden="1" customHeight="1" x14ac:dyDescent="0.3">
      <c r="A5644" s="9">
        <v>2301</v>
      </c>
      <c r="B5644" t="s">
        <v>281</v>
      </c>
      <c r="C5644" s="25">
        <v>44631</v>
      </c>
      <c r="D5644" s="26">
        <v>0.4296875</v>
      </c>
      <c r="E5644" t="s">
        <v>26</v>
      </c>
      <c r="F5644" t="s">
        <v>175</v>
      </c>
      <c r="G5644" t="s">
        <v>172</v>
      </c>
      <c r="H5644" t="s">
        <v>133</v>
      </c>
      <c r="I5644">
        <v>436.32</v>
      </c>
      <c r="J5644" s="32">
        <v>0</v>
      </c>
      <c r="K5644" s="89">
        <f t="shared" si="351"/>
        <v>1034.55</v>
      </c>
      <c r="L5644" s="32">
        <v>1034.55</v>
      </c>
      <c r="M5644" s="10">
        <f t="shared" si="352"/>
        <v>42.17485863418878</v>
      </c>
    </row>
    <row r="5645" spans="1:13" ht="15.75" hidden="1" customHeight="1" x14ac:dyDescent="0.3">
      <c r="A5645" s="9">
        <v>2302</v>
      </c>
      <c r="B5645" t="s">
        <v>281</v>
      </c>
      <c r="C5645" s="25">
        <v>44632</v>
      </c>
      <c r="D5645" s="26">
        <v>0.5173726851851852</v>
      </c>
      <c r="E5645" t="s">
        <v>26</v>
      </c>
      <c r="F5645" t="s">
        <v>210</v>
      </c>
      <c r="G5645" t="s">
        <v>211</v>
      </c>
      <c r="H5645" t="s">
        <v>133</v>
      </c>
      <c r="I5645">
        <v>299.73</v>
      </c>
      <c r="J5645" s="32">
        <v>0</v>
      </c>
      <c r="K5645" s="89">
        <f t="shared" si="351"/>
        <v>687.35</v>
      </c>
      <c r="L5645" s="32">
        <v>687.35</v>
      </c>
      <c r="M5645" s="10">
        <f t="shared" si="352"/>
        <v>43.60660507747145</v>
      </c>
    </row>
    <row r="5646" spans="1:13" ht="15.75" hidden="1" customHeight="1" x14ac:dyDescent="0.3">
      <c r="A5646" s="9">
        <v>2303</v>
      </c>
      <c r="B5646" t="s">
        <v>281</v>
      </c>
      <c r="C5646" s="25">
        <v>44633</v>
      </c>
      <c r="D5646" s="26">
        <v>0.20141203703703703</v>
      </c>
      <c r="E5646" t="s">
        <v>26</v>
      </c>
      <c r="F5646" t="s">
        <v>210</v>
      </c>
      <c r="G5646" t="s">
        <v>211</v>
      </c>
      <c r="H5646" t="s">
        <v>133</v>
      </c>
      <c r="I5646">
        <v>349.72</v>
      </c>
      <c r="J5646" s="32">
        <v>0</v>
      </c>
      <c r="K5646" s="89">
        <f t="shared" si="351"/>
        <v>911.63</v>
      </c>
      <c r="L5646" s="32">
        <v>911.63</v>
      </c>
      <c r="M5646" s="10">
        <f t="shared" si="352"/>
        <v>38.362054780996679</v>
      </c>
    </row>
    <row r="5647" spans="1:13" ht="15.75" hidden="1" customHeight="1" x14ac:dyDescent="0.3">
      <c r="A5647" s="9">
        <v>2304</v>
      </c>
      <c r="B5647" t="s">
        <v>281</v>
      </c>
      <c r="C5647" s="25">
        <v>44634</v>
      </c>
      <c r="D5647" s="26">
        <v>0.88724537037037043</v>
      </c>
      <c r="E5647" t="s">
        <v>26</v>
      </c>
      <c r="F5647" t="s">
        <v>175</v>
      </c>
      <c r="G5647" t="s">
        <v>172</v>
      </c>
      <c r="H5647" t="s">
        <v>133</v>
      </c>
      <c r="I5647">
        <v>374.07</v>
      </c>
      <c r="J5647" s="32">
        <v>0</v>
      </c>
      <c r="K5647" s="89">
        <f t="shared" si="351"/>
        <v>1034.51</v>
      </c>
      <c r="L5647" s="33">
        <v>1034.51</v>
      </c>
      <c r="M5647" s="10">
        <f t="shared" si="352"/>
        <v>36.159147809107694</v>
      </c>
    </row>
    <row r="5648" spans="1:13" ht="15.75" hidden="1" customHeight="1" x14ac:dyDescent="0.3">
      <c r="A5648" s="9">
        <v>2305</v>
      </c>
      <c r="B5648" t="s">
        <v>281</v>
      </c>
      <c r="C5648" s="25">
        <v>44636</v>
      </c>
      <c r="D5648" s="26">
        <v>0.64158564814814811</v>
      </c>
      <c r="E5648" t="s">
        <v>26</v>
      </c>
      <c r="F5648" t="s">
        <v>210</v>
      </c>
      <c r="G5648" t="s">
        <v>211</v>
      </c>
      <c r="H5648" t="s">
        <v>133</v>
      </c>
      <c r="I5648">
        <v>359.41</v>
      </c>
      <c r="J5648" s="32">
        <v>0</v>
      </c>
      <c r="K5648" s="89">
        <f t="shared" si="351"/>
        <v>927.76</v>
      </c>
      <c r="L5648" s="32">
        <v>927.76</v>
      </c>
      <c r="M5648" s="10">
        <f t="shared" si="352"/>
        <v>38.739544709838754</v>
      </c>
    </row>
    <row r="5649" spans="1:13" ht="15.75" hidden="1" customHeight="1" x14ac:dyDescent="0.3">
      <c r="A5649" s="9">
        <v>2306</v>
      </c>
      <c r="B5649" t="s">
        <v>281</v>
      </c>
      <c r="C5649" s="25">
        <v>44637</v>
      </c>
      <c r="D5649" s="26">
        <v>0.79983796296296295</v>
      </c>
      <c r="E5649" t="s">
        <v>26</v>
      </c>
      <c r="F5649" t="s">
        <v>210</v>
      </c>
      <c r="G5649" t="s">
        <v>211</v>
      </c>
      <c r="H5649" t="s">
        <v>133</v>
      </c>
      <c r="I5649">
        <v>400.59</v>
      </c>
      <c r="J5649" s="32">
        <v>0</v>
      </c>
      <c r="K5649" s="89">
        <f t="shared" si="351"/>
        <v>1062.96</v>
      </c>
      <c r="L5649" s="32">
        <v>1062.96</v>
      </c>
      <c r="M5649" s="10">
        <f t="shared" si="352"/>
        <v>37.686272296229397</v>
      </c>
    </row>
    <row r="5650" spans="1:13" ht="15.75" hidden="1" customHeight="1" x14ac:dyDescent="0.3">
      <c r="A5650" s="9">
        <v>2307</v>
      </c>
      <c r="B5650" t="s">
        <v>281</v>
      </c>
      <c r="C5650" s="25">
        <v>44638</v>
      </c>
      <c r="D5650" s="26">
        <v>0.7927777777777778</v>
      </c>
      <c r="E5650" t="s">
        <v>26</v>
      </c>
      <c r="F5650" t="s">
        <v>428</v>
      </c>
      <c r="G5650" t="s">
        <v>429</v>
      </c>
      <c r="H5650" t="s">
        <v>133</v>
      </c>
      <c r="I5650">
        <v>250.62</v>
      </c>
      <c r="J5650" s="32">
        <v>0</v>
      </c>
      <c r="K5650" s="89">
        <f t="shared" si="351"/>
        <v>925.85</v>
      </c>
      <c r="L5650" s="37">
        <v>925.85</v>
      </c>
      <c r="M5650" s="10">
        <f t="shared" si="352"/>
        <v>27.069179672733163</v>
      </c>
    </row>
    <row r="5651" spans="1:13" ht="15.75" hidden="1" customHeight="1" x14ac:dyDescent="0.3">
      <c r="A5651" s="9">
        <v>2312</v>
      </c>
      <c r="B5651" t="s">
        <v>281</v>
      </c>
      <c r="C5651" s="25">
        <v>44649</v>
      </c>
      <c r="D5651" s="26">
        <v>0.6268055555555555</v>
      </c>
      <c r="E5651" t="s">
        <v>26</v>
      </c>
      <c r="F5651" t="s">
        <v>171</v>
      </c>
      <c r="G5651" t="s">
        <v>172</v>
      </c>
      <c r="H5651" t="s">
        <v>133</v>
      </c>
      <c r="I5651">
        <v>369.99</v>
      </c>
      <c r="J5651" s="32">
        <v>0</v>
      </c>
      <c r="K5651" s="89">
        <f t="shared" si="351"/>
        <v>1021.7</v>
      </c>
      <c r="L5651" s="32">
        <v>1021.7</v>
      </c>
      <c r="M5651" s="10">
        <f t="shared" si="352"/>
        <v>36.213174121562105</v>
      </c>
    </row>
    <row r="5652" spans="1:13" ht="15.75" hidden="1" customHeight="1" x14ac:dyDescent="0.3">
      <c r="A5652" s="9">
        <v>2313</v>
      </c>
      <c r="B5652" t="s">
        <v>281</v>
      </c>
      <c r="C5652" s="25">
        <v>44651</v>
      </c>
      <c r="D5652" s="26">
        <v>0.29957175925925927</v>
      </c>
      <c r="E5652" t="s">
        <v>26</v>
      </c>
      <c r="F5652" t="s">
        <v>175</v>
      </c>
      <c r="G5652" t="s">
        <v>172</v>
      </c>
      <c r="H5652" t="s">
        <v>133</v>
      </c>
      <c r="I5652">
        <v>234.56</v>
      </c>
      <c r="J5652" s="32">
        <v>0</v>
      </c>
      <c r="K5652" s="89">
        <f t="shared" si="351"/>
        <v>495.15</v>
      </c>
      <c r="L5652" s="32">
        <v>495.15</v>
      </c>
      <c r="M5652" s="10">
        <f t="shared" si="352"/>
        <v>47.371503584772299</v>
      </c>
    </row>
    <row r="5653" spans="1:13" ht="15.75" hidden="1" customHeight="1" x14ac:dyDescent="0.3">
      <c r="A5653" s="9">
        <v>2314</v>
      </c>
      <c r="B5653" t="s">
        <v>281</v>
      </c>
      <c r="C5653" s="25">
        <v>44651</v>
      </c>
      <c r="D5653" s="26">
        <v>0.92024305555555552</v>
      </c>
      <c r="E5653" t="s">
        <v>26</v>
      </c>
      <c r="F5653" t="s">
        <v>210</v>
      </c>
      <c r="G5653" t="s">
        <v>211</v>
      </c>
      <c r="H5653" t="s">
        <v>133</v>
      </c>
      <c r="I5653">
        <v>322.25</v>
      </c>
      <c r="J5653" s="32">
        <v>0</v>
      </c>
      <c r="K5653" s="89">
        <f t="shared" si="351"/>
        <v>644.92999999999995</v>
      </c>
      <c r="L5653" s="32">
        <v>644.92999999999995</v>
      </c>
      <c r="M5653" s="10">
        <f t="shared" si="352"/>
        <v>49.966663048702962</v>
      </c>
    </row>
    <row r="5654" spans="1:13" ht="15.75" hidden="1" customHeight="1" x14ac:dyDescent="0.3">
      <c r="A5654" s="9">
        <v>3569</v>
      </c>
      <c r="B5654" t="s">
        <v>281</v>
      </c>
      <c r="C5654" s="25">
        <v>44655</v>
      </c>
      <c r="D5654" s="26">
        <v>0.91799768518518521</v>
      </c>
      <c r="E5654" t="s">
        <v>27</v>
      </c>
      <c r="F5654" t="s">
        <v>210</v>
      </c>
      <c r="G5654" t="s">
        <v>211</v>
      </c>
      <c r="H5654" t="s">
        <v>133</v>
      </c>
      <c r="I5654" s="4">
        <v>487.51</v>
      </c>
      <c r="J5654" s="52">
        <v>0</v>
      </c>
      <c r="K5654" s="89">
        <f t="shared" si="351"/>
        <v>1185</v>
      </c>
      <c r="L5654" s="52">
        <v>1185</v>
      </c>
      <c r="M5654" s="10">
        <f t="shared" si="352"/>
        <v>41.140084388185656</v>
      </c>
    </row>
    <row r="5655" spans="1:13" ht="15.75" hidden="1" customHeight="1" x14ac:dyDescent="0.3">
      <c r="A5655" s="9">
        <v>3570</v>
      </c>
      <c r="B5655" t="s">
        <v>281</v>
      </c>
      <c r="C5655" s="25">
        <v>44657</v>
      </c>
      <c r="D5655" s="26">
        <v>0.51769675925925929</v>
      </c>
      <c r="E5655" t="s">
        <v>27</v>
      </c>
      <c r="F5655" t="s">
        <v>175</v>
      </c>
      <c r="G5655" t="s">
        <v>172</v>
      </c>
      <c r="H5655" t="s">
        <v>133</v>
      </c>
      <c r="I5655" s="4">
        <v>381.72</v>
      </c>
      <c r="J5655" s="52">
        <v>0</v>
      </c>
      <c r="K5655" s="89">
        <f t="shared" si="351"/>
        <v>1069.58</v>
      </c>
      <c r="L5655" s="52">
        <v>1069.58</v>
      </c>
      <c r="M5655" s="10">
        <f t="shared" si="352"/>
        <v>35.688775033190602</v>
      </c>
    </row>
    <row r="5656" spans="1:13" ht="15.75" hidden="1" customHeight="1" x14ac:dyDescent="0.3">
      <c r="A5656" s="9">
        <v>3571</v>
      </c>
      <c r="B5656" t="s">
        <v>281</v>
      </c>
      <c r="C5656" s="25">
        <v>44658</v>
      </c>
      <c r="D5656" s="26">
        <v>0.49981481481481477</v>
      </c>
      <c r="E5656" t="s">
        <v>27</v>
      </c>
      <c r="F5656" t="s">
        <v>210</v>
      </c>
      <c r="G5656" t="s">
        <v>211</v>
      </c>
      <c r="H5656" t="s">
        <v>133</v>
      </c>
      <c r="I5656" s="4">
        <v>346.78</v>
      </c>
      <c r="J5656" s="32">
        <v>0</v>
      </c>
      <c r="K5656" s="89">
        <f t="shared" si="351"/>
        <v>832.96</v>
      </c>
      <c r="L5656" s="32">
        <v>832.96</v>
      </c>
      <c r="M5656" s="10">
        <f t="shared" si="352"/>
        <v>41.632251248559349</v>
      </c>
    </row>
    <row r="5657" spans="1:13" ht="15.75" hidden="1" customHeight="1" x14ac:dyDescent="0.3">
      <c r="A5657" s="9">
        <v>3572</v>
      </c>
      <c r="B5657" t="s">
        <v>281</v>
      </c>
      <c r="C5657" s="25">
        <v>44658</v>
      </c>
      <c r="D5657" s="26">
        <v>0.99729166666666658</v>
      </c>
      <c r="E5657" t="s">
        <v>27</v>
      </c>
      <c r="F5657" t="s">
        <v>165</v>
      </c>
      <c r="G5657" t="s">
        <v>185</v>
      </c>
      <c r="H5657" t="s">
        <v>133</v>
      </c>
      <c r="I5657" s="4">
        <v>242.9</v>
      </c>
      <c r="J5657" s="32">
        <v>0</v>
      </c>
      <c r="K5657" s="89">
        <f t="shared" si="351"/>
        <v>1381</v>
      </c>
      <c r="L5657" s="32">
        <v>1381</v>
      </c>
      <c r="M5657" s="10">
        <f t="shared" si="352"/>
        <v>17.588703837798697</v>
      </c>
    </row>
    <row r="5658" spans="1:13" ht="15.75" hidden="1" customHeight="1" x14ac:dyDescent="0.3">
      <c r="A5658" s="9">
        <v>3573</v>
      </c>
      <c r="B5658" t="s">
        <v>281</v>
      </c>
      <c r="C5658" s="25">
        <v>44661</v>
      </c>
      <c r="D5658" s="26">
        <v>0.27106481481481481</v>
      </c>
      <c r="E5658" t="s">
        <v>27</v>
      </c>
      <c r="F5658" t="s">
        <v>210</v>
      </c>
      <c r="G5658" t="s">
        <v>211</v>
      </c>
      <c r="H5658" t="s">
        <v>133</v>
      </c>
      <c r="I5658" s="4">
        <v>170.92</v>
      </c>
      <c r="J5658" s="37">
        <v>0</v>
      </c>
      <c r="K5658" s="89">
        <f t="shared" si="351"/>
        <v>516.54</v>
      </c>
      <c r="L5658" s="37">
        <v>516.54</v>
      </c>
      <c r="M5658" s="10">
        <f t="shared" si="352"/>
        <v>33.089402563209049</v>
      </c>
    </row>
    <row r="5659" spans="1:13" ht="15.75" hidden="1" customHeight="1" x14ac:dyDescent="0.3">
      <c r="A5659" s="9">
        <v>3574</v>
      </c>
      <c r="B5659" t="s">
        <v>281</v>
      </c>
      <c r="C5659" s="25">
        <v>44662</v>
      </c>
      <c r="D5659" s="26">
        <v>0.82173611111111111</v>
      </c>
      <c r="E5659" t="s">
        <v>27</v>
      </c>
      <c r="F5659" t="s">
        <v>175</v>
      </c>
      <c r="G5659" t="s">
        <v>172</v>
      </c>
      <c r="H5659" t="s">
        <v>133</v>
      </c>
      <c r="I5659" s="4">
        <v>401.1</v>
      </c>
      <c r="J5659" s="32">
        <v>0</v>
      </c>
      <c r="K5659" s="89">
        <f t="shared" si="351"/>
        <v>1070.5</v>
      </c>
      <c r="L5659" s="32">
        <v>1070.5</v>
      </c>
      <c r="M5659" s="10">
        <f t="shared" si="352"/>
        <v>37.468472676319479</v>
      </c>
    </row>
    <row r="5660" spans="1:13" ht="15.75" hidden="1" customHeight="1" x14ac:dyDescent="0.3">
      <c r="A5660" s="9">
        <v>3575</v>
      </c>
      <c r="B5660" t="s">
        <v>281</v>
      </c>
      <c r="C5660" s="25">
        <v>44664</v>
      </c>
      <c r="D5660" s="26">
        <v>0.64493055555555556</v>
      </c>
      <c r="E5660" t="s">
        <v>27</v>
      </c>
      <c r="F5660" t="s">
        <v>210</v>
      </c>
      <c r="G5660" t="s">
        <v>211</v>
      </c>
      <c r="H5660" t="s">
        <v>133</v>
      </c>
      <c r="I5660" s="4">
        <v>370.66</v>
      </c>
      <c r="J5660" s="32">
        <v>0</v>
      </c>
      <c r="K5660" s="89">
        <f t="shared" si="351"/>
        <v>830.73</v>
      </c>
      <c r="L5660" s="32">
        <v>830.73</v>
      </c>
      <c r="M5660" s="10">
        <f t="shared" si="352"/>
        <v>44.618588470381475</v>
      </c>
    </row>
    <row r="5661" spans="1:13" ht="15.75" hidden="1" customHeight="1" x14ac:dyDescent="0.3">
      <c r="A5661" s="9">
        <v>3576</v>
      </c>
      <c r="B5661" t="s">
        <v>281</v>
      </c>
      <c r="C5661" s="25">
        <v>44666</v>
      </c>
      <c r="D5661" s="26">
        <v>0.10013888888888889</v>
      </c>
      <c r="E5661" t="s">
        <v>27</v>
      </c>
      <c r="F5661" t="s">
        <v>210</v>
      </c>
      <c r="G5661" t="s">
        <v>211</v>
      </c>
      <c r="H5661" t="s">
        <v>133</v>
      </c>
      <c r="I5661" s="4">
        <v>419.44</v>
      </c>
      <c r="J5661" s="33">
        <v>0</v>
      </c>
      <c r="K5661" s="89">
        <f t="shared" si="351"/>
        <v>1061</v>
      </c>
      <c r="L5661" s="32">
        <v>1061</v>
      </c>
      <c r="M5661" s="10">
        <f t="shared" si="352"/>
        <v>39.5325164938737</v>
      </c>
    </row>
    <row r="5662" spans="1:13" ht="15.75" hidden="1" customHeight="1" x14ac:dyDescent="0.3">
      <c r="A5662" s="9">
        <v>3577</v>
      </c>
      <c r="B5662" t="s">
        <v>281</v>
      </c>
      <c r="C5662" s="25">
        <v>44667</v>
      </c>
      <c r="D5662" s="26">
        <v>0.50054398148148149</v>
      </c>
      <c r="E5662" t="s">
        <v>27</v>
      </c>
      <c r="F5662" t="s">
        <v>175</v>
      </c>
      <c r="G5662" t="s">
        <v>172</v>
      </c>
      <c r="H5662" t="s">
        <v>133</v>
      </c>
      <c r="I5662" s="4">
        <v>351.91</v>
      </c>
      <c r="J5662" s="33">
        <v>0</v>
      </c>
      <c r="K5662" s="89">
        <f t="shared" si="351"/>
        <v>934</v>
      </c>
      <c r="L5662" s="32">
        <v>934</v>
      </c>
      <c r="M5662" s="10">
        <f t="shared" si="352"/>
        <v>37.677730192719487</v>
      </c>
    </row>
    <row r="5663" spans="1:13" ht="15.75" hidden="1" customHeight="1" x14ac:dyDescent="0.3">
      <c r="A5663" s="9">
        <v>3578</v>
      </c>
      <c r="B5663" t="s">
        <v>281</v>
      </c>
      <c r="C5663" s="25">
        <v>44670</v>
      </c>
      <c r="D5663" s="26">
        <v>0.50258101851851855</v>
      </c>
      <c r="E5663" t="s">
        <v>27</v>
      </c>
      <c r="F5663" t="s">
        <v>210</v>
      </c>
      <c r="G5663" t="s">
        <v>211</v>
      </c>
      <c r="H5663" t="s">
        <v>133</v>
      </c>
      <c r="I5663" s="4">
        <v>379.53</v>
      </c>
      <c r="J5663" s="32">
        <v>0</v>
      </c>
      <c r="K5663" s="89">
        <f t="shared" si="351"/>
        <v>887.81</v>
      </c>
      <c r="L5663" s="32">
        <v>887.81</v>
      </c>
      <c r="M5663" s="10">
        <f t="shared" si="352"/>
        <v>42.749011612845088</v>
      </c>
    </row>
    <row r="5664" spans="1:13" ht="15.75" hidden="1" customHeight="1" x14ac:dyDescent="0.3">
      <c r="A5664" s="9">
        <v>3579</v>
      </c>
      <c r="B5664" t="s">
        <v>281</v>
      </c>
      <c r="C5664" s="25">
        <v>44671</v>
      </c>
      <c r="D5664" s="26">
        <v>0.82582175925925927</v>
      </c>
      <c r="E5664" t="s">
        <v>27</v>
      </c>
      <c r="F5664" t="s">
        <v>210</v>
      </c>
      <c r="G5664" t="s">
        <v>211</v>
      </c>
      <c r="H5664" t="s">
        <v>133</v>
      </c>
      <c r="I5664" s="4">
        <v>408.44</v>
      </c>
      <c r="J5664" s="71">
        <v>0</v>
      </c>
      <c r="K5664" s="89">
        <f>+L5664-J6456</f>
        <v>911</v>
      </c>
      <c r="L5664" s="32">
        <v>911</v>
      </c>
      <c r="M5664" s="10">
        <f t="shared" si="352"/>
        <v>44.834248079034026</v>
      </c>
    </row>
    <row r="5665" spans="1:13" ht="15.75" hidden="1" customHeight="1" x14ac:dyDescent="0.3">
      <c r="A5665" s="9">
        <v>3852</v>
      </c>
      <c r="B5665" t="s">
        <v>281</v>
      </c>
      <c r="C5665" s="25">
        <v>44685</v>
      </c>
      <c r="D5665" s="26">
        <v>0.7993055555555556</v>
      </c>
      <c r="E5665" t="s">
        <v>28</v>
      </c>
      <c r="F5665" t="s">
        <v>488</v>
      </c>
      <c r="G5665" t="s">
        <v>489</v>
      </c>
      <c r="H5665" t="s">
        <v>133</v>
      </c>
      <c r="I5665">
        <v>100</v>
      </c>
      <c r="J5665" s="32">
        <v>0</v>
      </c>
      <c r="K5665" s="89">
        <f>+L5665-J6443</f>
        <v>1994.51</v>
      </c>
      <c r="L5665" s="37">
        <v>1994.51</v>
      </c>
      <c r="M5665" s="10">
        <f t="shared" si="352"/>
        <v>5.0137627788278829</v>
      </c>
    </row>
    <row r="5666" spans="1:13" ht="15.75" hidden="1" customHeight="1" x14ac:dyDescent="0.3">
      <c r="A5666" s="9">
        <v>3853</v>
      </c>
      <c r="B5666" t="s">
        <v>281</v>
      </c>
      <c r="C5666" s="25">
        <v>44685</v>
      </c>
      <c r="D5666" s="26">
        <v>0.97620370370370368</v>
      </c>
      <c r="E5666" t="s">
        <v>28</v>
      </c>
      <c r="F5666" t="s">
        <v>210</v>
      </c>
      <c r="G5666" t="s">
        <v>211</v>
      </c>
      <c r="H5666" t="s">
        <v>133</v>
      </c>
      <c r="I5666">
        <v>411.43</v>
      </c>
      <c r="J5666" s="32">
        <v>0</v>
      </c>
      <c r="K5666" s="89">
        <f>+L5666-J6444</f>
        <v>249.98</v>
      </c>
      <c r="L5666" s="32">
        <v>249.98</v>
      </c>
      <c r="M5666" s="10">
        <f t="shared" si="352"/>
        <v>164.58516681334507</v>
      </c>
    </row>
    <row r="5667" spans="1:13" ht="15.75" hidden="1" customHeight="1" x14ac:dyDescent="0.3">
      <c r="A5667" s="9">
        <v>3905</v>
      </c>
      <c r="B5667" t="s">
        <v>281</v>
      </c>
      <c r="C5667" s="25">
        <v>44686</v>
      </c>
      <c r="D5667" s="26">
        <v>0.99328703703703702</v>
      </c>
      <c r="E5667" t="s">
        <v>28</v>
      </c>
      <c r="F5667" t="s">
        <v>210</v>
      </c>
      <c r="G5667" t="s">
        <v>211</v>
      </c>
      <c r="H5667" t="s">
        <v>133</v>
      </c>
      <c r="I5667">
        <v>404.46</v>
      </c>
      <c r="J5667" s="32">
        <v>0</v>
      </c>
      <c r="K5667" s="89">
        <f>+L5667-J6445</f>
        <v>1061.79</v>
      </c>
      <c r="L5667" s="32">
        <v>1061.79</v>
      </c>
      <c r="M5667" s="10">
        <f t="shared" si="352"/>
        <v>38.092278134094308</v>
      </c>
    </row>
    <row r="5668" spans="1:13" ht="15.75" hidden="1" customHeight="1" x14ac:dyDescent="0.3">
      <c r="A5668" s="9">
        <v>4054</v>
      </c>
      <c r="B5668" t="s">
        <v>281</v>
      </c>
      <c r="C5668" s="25">
        <v>44689</v>
      </c>
      <c r="D5668" s="26">
        <v>0.19519675925925925</v>
      </c>
      <c r="E5668" t="s">
        <v>28</v>
      </c>
      <c r="F5668" t="s">
        <v>210</v>
      </c>
      <c r="G5668" t="s">
        <v>211</v>
      </c>
      <c r="H5668" t="s">
        <v>133</v>
      </c>
      <c r="I5668">
        <v>449.23</v>
      </c>
      <c r="J5668" s="37">
        <v>0</v>
      </c>
      <c r="K5668" s="89">
        <f>+L5668-J5795</f>
        <v>-518794</v>
      </c>
      <c r="L5668" s="37">
        <v>1910</v>
      </c>
      <c r="M5668" s="10">
        <f t="shared" si="352"/>
        <v>-8.6591209613064143E-2</v>
      </c>
    </row>
    <row r="5669" spans="1:13" ht="15.75" hidden="1" customHeight="1" x14ac:dyDescent="0.3">
      <c r="A5669" s="9">
        <v>4098</v>
      </c>
      <c r="B5669" t="s">
        <v>281</v>
      </c>
      <c r="C5669" s="25">
        <v>44690</v>
      </c>
      <c r="D5669" s="26">
        <v>7.256944444444445E-2</v>
      </c>
      <c r="E5669" t="s">
        <v>28</v>
      </c>
      <c r="F5669" t="s">
        <v>165</v>
      </c>
      <c r="G5669" t="s">
        <v>185</v>
      </c>
      <c r="H5669" t="s">
        <v>133</v>
      </c>
      <c r="I5669">
        <v>262.60000000000002</v>
      </c>
      <c r="J5669" s="32">
        <v>0</v>
      </c>
      <c r="K5669" s="89">
        <f>+L5669-J5796</f>
        <v>-521060</v>
      </c>
      <c r="L5669" s="32">
        <v>549</v>
      </c>
      <c r="M5669" s="10">
        <f t="shared" si="352"/>
        <v>-5.0397267109354008E-2</v>
      </c>
    </row>
    <row r="5670" spans="1:13" ht="15.75" hidden="1" customHeight="1" x14ac:dyDescent="0.3">
      <c r="A5670" s="9">
        <v>4193</v>
      </c>
      <c r="B5670" t="s">
        <v>281</v>
      </c>
      <c r="C5670" s="25">
        <v>44692</v>
      </c>
      <c r="D5670" s="26">
        <v>8.7962962962962962E-4</v>
      </c>
      <c r="E5670" t="s">
        <v>28</v>
      </c>
      <c r="F5670" t="s">
        <v>165</v>
      </c>
      <c r="G5670" t="s">
        <v>185</v>
      </c>
      <c r="H5670" t="s">
        <v>133</v>
      </c>
      <c r="I5670">
        <v>378.97</v>
      </c>
      <c r="J5670" s="32">
        <v>0</v>
      </c>
      <c r="K5670" s="90">
        <f>+L5670-J5800</f>
        <v>-524651</v>
      </c>
      <c r="L5670" s="32">
        <v>899</v>
      </c>
      <c r="M5670" s="10">
        <f t="shared" si="352"/>
        <v>-7.223277950485181E-2</v>
      </c>
    </row>
    <row r="5671" spans="1:13" ht="15.75" hidden="1" customHeight="1" x14ac:dyDescent="0.3">
      <c r="A5671" s="9">
        <v>4289</v>
      </c>
      <c r="B5671" t="s">
        <v>281</v>
      </c>
      <c r="C5671" s="25">
        <v>44694</v>
      </c>
      <c r="D5671" s="26">
        <v>0.18837962962962962</v>
      </c>
      <c r="E5671" t="s">
        <v>28</v>
      </c>
      <c r="F5671" t="s">
        <v>210</v>
      </c>
      <c r="G5671" t="s">
        <v>211</v>
      </c>
      <c r="H5671" t="s">
        <v>133</v>
      </c>
      <c r="I5671" s="122">
        <f>29.76+414.54</f>
        <v>444.3</v>
      </c>
      <c r="J5671" s="32">
        <v>0</v>
      </c>
      <c r="K5671" s="89">
        <f>+L5671-J5801</f>
        <v>-525635</v>
      </c>
      <c r="L5671" s="32">
        <v>1015</v>
      </c>
      <c r="M5671" s="10">
        <f t="shared" si="352"/>
        <v>-8.4526334814082019E-2</v>
      </c>
    </row>
    <row r="5672" spans="1:13" ht="15.75" hidden="1" customHeight="1" x14ac:dyDescent="0.3">
      <c r="A5672" s="9">
        <v>4431</v>
      </c>
      <c r="B5672" t="s">
        <v>281</v>
      </c>
      <c r="C5672" s="25">
        <v>44696</v>
      </c>
      <c r="D5672" s="26">
        <v>0.72868055555555555</v>
      </c>
      <c r="E5672" t="s">
        <v>28</v>
      </c>
      <c r="F5672" t="s">
        <v>210</v>
      </c>
      <c r="G5672" t="s">
        <v>211</v>
      </c>
      <c r="H5672" t="s">
        <v>133</v>
      </c>
      <c r="I5672" s="122">
        <v>449.36</v>
      </c>
      <c r="J5672" s="32">
        <v>0</v>
      </c>
      <c r="K5672" s="89">
        <f>+L5672-J5802</f>
        <v>-525372</v>
      </c>
      <c r="L5672" s="32">
        <v>1800</v>
      </c>
      <c r="M5672" s="10">
        <f t="shared" ref="M5672:M5680" si="353">I5672/K5672*100</f>
        <v>-8.5531775579970007E-2</v>
      </c>
    </row>
    <row r="5673" spans="1:13" ht="15.75" hidden="1" customHeight="1" x14ac:dyDescent="0.3">
      <c r="A5673" s="9">
        <v>4482</v>
      </c>
      <c r="B5673" t="s">
        <v>281</v>
      </c>
      <c r="C5673" s="25">
        <v>44697</v>
      </c>
      <c r="D5673" s="26">
        <v>0.89290509259259254</v>
      </c>
      <c r="E5673" t="s">
        <v>28</v>
      </c>
      <c r="F5673" t="s">
        <v>210</v>
      </c>
      <c r="G5673" t="s">
        <v>211</v>
      </c>
      <c r="H5673" t="s">
        <v>133</v>
      </c>
      <c r="I5673" s="122">
        <v>411.52</v>
      </c>
      <c r="J5673" s="32">
        <v>0</v>
      </c>
      <c r="K5673" s="89">
        <f>+L5673-J5803</f>
        <v>-527287</v>
      </c>
      <c r="L5673" s="37">
        <v>990</v>
      </c>
      <c r="M5673" s="10">
        <f t="shared" si="353"/>
        <v>-7.8044783960158307E-2</v>
      </c>
    </row>
    <row r="5674" spans="1:13" ht="15.75" hidden="1" customHeight="1" x14ac:dyDescent="0.3">
      <c r="A5674" s="9">
        <v>4527</v>
      </c>
      <c r="B5674" t="s">
        <v>281</v>
      </c>
      <c r="C5674" s="25">
        <v>44698</v>
      </c>
      <c r="D5674" s="26">
        <v>0.75011574074074072</v>
      </c>
      <c r="E5674" t="s">
        <v>28</v>
      </c>
      <c r="F5674" t="s">
        <v>485</v>
      </c>
      <c r="G5674" t="s">
        <v>486</v>
      </c>
      <c r="H5674" t="s">
        <v>133</v>
      </c>
      <c r="I5674" s="122">
        <v>330.18</v>
      </c>
      <c r="J5674" s="32">
        <v>0</v>
      </c>
      <c r="K5674" s="89">
        <f t="shared" ref="K5674:K5680" si="354">+L5674-J5945</f>
        <v>880</v>
      </c>
      <c r="L5674" s="32">
        <v>880</v>
      </c>
      <c r="M5674" s="10">
        <f t="shared" si="353"/>
        <v>37.520454545454548</v>
      </c>
    </row>
    <row r="5675" spans="1:13" ht="15.75" hidden="1" customHeight="1" x14ac:dyDescent="0.3">
      <c r="A5675" s="9">
        <v>4637</v>
      </c>
      <c r="B5675" t="s">
        <v>281</v>
      </c>
      <c r="C5675" s="25">
        <v>44700</v>
      </c>
      <c r="D5675" s="26">
        <v>9.1273148148148145E-2</v>
      </c>
      <c r="E5675" t="s">
        <v>28</v>
      </c>
      <c r="F5675" t="s">
        <v>210</v>
      </c>
      <c r="G5675" t="s">
        <v>211</v>
      </c>
      <c r="H5675" t="s">
        <v>133</v>
      </c>
      <c r="I5675">
        <v>367.34</v>
      </c>
      <c r="J5675" s="41">
        <v>0</v>
      </c>
      <c r="K5675" s="89">
        <f t="shared" si="354"/>
        <v>854</v>
      </c>
      <c r="L5675" s="32">
        <v>854</v>
      </c>
      <c r="M5675" s="10">
        <f t="shared" si="353"/>
        <v>43.014051522248245</v>
      </c>
    </row>
    <row r="5676" spans="1:13" ht="15.75" hidden="1" customHeight="1" x14ac:dyDescent="0.3">
      <c r="A5676" s="9">
        <v>4688</v>
      </c>
      <c r="B5676" t="s">
        <v>281</v>
      </c>
      <c r="C5676" s="25">
        <v>44701</v>
      </c>
      <c r="D5676" s="26">
        <v>0.54252314814814817</v>
      </c>
      <c r="E5676" t="s">
        <v>28</v>
      </c>
      <c r="F5676" t="s">
        <v>210</v>
      </c>
      <c r="G5676" t="s">
        <v>211</v>
      </c>
      <c r="H5676" t="s">
        <v>133</v>
      </c>
      <c r="I5676">
        <v>414.18</v>
      </c>
      <c r="J5676" s="53">
        <v>0</v>
      </c>
      <c r="K5676" s="89">
        <f t="shared" si="354"/>
        <v>1063</v>
      </c>
      <c r="L5676" s="37">
        <v>1063</v>
      </c>
      <c r="M5676" s="10">
        <f t="shared" si="353"/>
        <v>38.963311382878643</v>
      </c>
    </row>
    <row r="5677" spans="1:13" ht="15.75" hidden="1" customHeight="1" x14ac:dyDescent="0.3">
      <c r="A5677" s="9">
        <v>4748</v>
      </c>
      <c r="B5677" t="s">
        <v>281</v>
      </c>
      <c r="C5677" s="25">
        <v>44702</v>
      </c>
      <c r="D5677" s="26">
        <v>0.75012731481481476</v>
      </c>
      <c r="E5677" t="s">
        <v>28</v>
      </c>
      <c r="F5677" t="s">
        <v>262</v>
      </c>
      <c r="G5677" t="s">
        <v>263</v>
      </c>
      <c r="H5677" t="s">
        <v>133</v>
      </c>
      <c r="I5677">
        <v>200</v>
      </c>
      <c r="J5677" s="53">
        <v>0</v>
      </c>
      <c r="K5677" s="89">
        <f t="shared" si="354"/>
        <v>888</v>
      </c>
      <c r="L5677" s="33">
        <v>888</v>
      </c>
      <c r="M5677" s="10">
        <f t="shared" si="353"/>
        <v>22.522522522522522</v>
      </c>
    </row>
    <row r="5678" spans="1:13" ht="15.75" hidden="1" customHeight="1" x14ac:dyDescent="0.3">
      <c r="A5678" s="9">
        <v>4800</v>
      </c>
      <c r="B5678" t="s">
        <v>281</v>
      </c>
      <c r="C5678" s="25">
        <v>44703</v>
      </c>
      <c r="D5678" s="26">
        <v>0.30249999999999999</v>
      </c>
      <c r="E5678" t="s">
        <v>28</v>
      </c>
      <c r="F5678" t="s">
        <v>311</v>
      </c>
      <c r="G5678" t="s">
        <v>303</v>
      </c>
      <c r="H5678" t="s">
        <v>133</v>
      </c>
      <c r="I5678">
        <v>200.14</v>
      </c>
      <c r="J5678" s="53">
        <v>0</v>
      </c>
      <c r="K5678" s="89">
        <f t="shared" si="354"/>
        <v>447</v>
      </c>
      <c r="L5678" s="32">
        <v>447</v>
      </c>
      <c r="M5678" s="10">
        <f t="shared" si="353"/>
        <v>44.774049217002229</v>
      </c>
    </row>
    <row r="5679" spans="1:13" ht="15.75" hidden="1" customHeight="1" x14ac:dyDescent="0.3">
      <c r="A5679" s="9">
        <v>4801</v>
      </c>
      <c r="B5679" t="s">
        <v>281</v>
      </c>
      <c r="C5679" s="25">
        <v>44703</v>
      </c>
      <c r="D5679" s="26">
        <v>0.68740740740740736</v>
      </c>
      <c r="E5679" t="s">
        <v>28</v>
      </c>
      <c r="F5679" t="s">
        <v>210</v>
      </c>
      <c r="G5679" t="s">
        <v>211</v>
      </c>
      <c r="H5679" t="s">
        <v>133</v>
      </c>
      <c r="I5679">
        <v>335.15</v>
      </c>
      <c r="J5679" s="32">
        <v>0</v>
      </c>
      <c r="K5679" s="89">
        <f t="shared" si="354"/>
        <v>430</v>
      </c>
      <c r="L5679" s="37">
        <v>430</v>
      </c>
      <c r="M5679" s="10">
        <f t="shared" si="353"/>
        <v>77.941860465116278</v>
      </c>
    </row>
    <row r="5680" spans="1:13" ht="15.75" hidden="1" customHeight="1" x14ac:dyDescent="0.3">
      <c r="A5680" s="9">
        <v>4912</v>
      </c>
      <c r="B5680" t="s">
        <v>281</v>
      </c>
      <c r="C5680" s="25">
        <v>44705</v>
      </c>
      <c r="D5680" s="26">
        <v>5.2384259259259262E-2</v>
      </c>
      <c r="E5680" t="s">
        <v>28</v>
      </c>
      <c r="F5680" t="s">
        <v>210</v>
      </c>
      <c r="G5680" t="s">
        <v>211</v>
      </c>
      <c r="H5680" t="s">
        <v>133</v>
      </c>
      <c r="I5680">
        <v>425.82</v>
      </c>
      <c r="J5680" s="37">
        <v>0</v>
      </c>
      <c r="K5680" s="89">
        <f t="shared" si="354"/>
        <v>1062</v>
      </c>
      <c r="L5680" s="32">
        <v>1062</v>
      </c>
      <c r="M5680" s="10">
        <f t="shared" si="353"/>
        <v>40.096045197740111</v>
      </c>
    </row>
    <row r="5681" spans="1:19" ht="15.75" hidden="1" customHeight="1" x14ac:dyDescent="0.3">
      <c r="A5681" s="9">
        <v>5928</v>
      </c>
      <c r="B5681" t="s">
        <v>466</v>
      </c>
      <c r="C5681" s="25">
        <v>44725</v>
      </c>
      <c r="D5681" s="26">
        <v>0.67060185185185184</v>
      </c>
      <c r="E5681" t="s">
        <v>29</v>
      </c>
      <c r="F5681" t="s">
        <v>637</v>
      </c>
      <c r="G5681" t="s">
        <v>196</v>
      </c>
      <c r="H5681" t="s">
        <v>212</v>
      </c>
      <c r="I5681" s="148">
        <v>338.17</v>
      </c>
      <c r="J5681" s="158">
        <f>338.17+404+643+275</f>
        <v>1660.17</v>
      </c>
      <c r="K5681" s="228">
        <v>1025</v>
      </c>
      <c r="L5681" s="165">
        <v>4465</v>
      </c>
      <c r="M5681" s="229">
        <f>+J5681/L5681*100</f>
        <v>37.181858902575584</v>
      </c>
      <c r="N5681" s="2"/>
      <c r="O5681" s="2"/>
      <c r="P5681" s="2"/>
      <c r="Q5681" s="2"/>
      <c r="R5681" s="2"/>
      <c r="S5681" s="2"/>
    </row>
    <row r="5682" spans="1:19" ht="15.75" hidden="1" customHeight="1" x14ac:dyDescent="0.3">
      <c r="B5682" t="s">
        <v>716</v>
      </c>
      <c r="C5682" s="25">
        <v>44745</v>
      </c>
      <c r="D5682" s="26">
        <v>0.87487268518518524</v>
      </c>
      <c r="E5682" t="s">
        <v>30</v>
      </c>
      <c r="F5682" t="s">
        <v>210</v>
      </c>
      <c r="G5682" t="s">
        <v>211</v>
      </c>
      <c r="H5682" t="s">
        <v>199</v>
      </c>
      <c r="I5682" s="160">
        <v>442.14</v>
      </c>
      <c r="J5682" s="8"/>
      <c r="K5682" s="8">
        <v>738301</v>
      </c>
      <c r="L5682" s="8">
        <f>+K5682-J5682</f>
        <v>738301</v>
      </c>
      <c r="M5682" s="91">
        <f>I5682/L5682*100</f>
        <v>5.9886143998179604E-2</v>
      </c>
    </row>
    <row r="5683" spans="1:19" ht="15.75" hidden="1" customHeight="1" x14ac:dyDescent="0.3">
      <c r="B5683" t="s">
        <v>716</v>
      </c>
      <c r="C5683" s="25">
        <v>44746</v>
      </c>
      <c r="D5683" s="26">
        <v>0.76841435185185192</v>
      </c>
      <c r="E5683" t="s">
        <v>30</v>
      </c>
      <c r="F5683" t="s">
        <v>499</v>
      </c>
      <c r="G5683" t="s">
        <v>500</v>
      </c>
      <c r="H5683" t="s">
        <v>199</v>
      </c>
      <c r="I5683" s="160">
        <v>212.67</v>
      </c>
      <c r="J5683" s="160">
        <f>142+235+315+442+212</f>
        <v>1346</v>
      </c>
      <c r="K5683" s="160">
        <v>73904</v>
      </c>
      <c r="L5683" s="160">
        <v>3827</v>
      </c>
      <c r="M5683" s="149">
        <f>+J5683/L5683*100</f>
        <v>35.171152338646458</v>
      </c>
    </row>
    <row r="5684" spans="1:19" ht="15.75" hidden="1" customHeight="1" x14ac:dyDescent="0.3">
      <c r="B5684" t="s">
        <v>716</v>
      </c>
      <c r="C5684" s="25">
        <v>44748</v>
      </c>
      <c r="D5684" s="26">
        <v>0.81903935185185184</v>
      </c>
      <c r="E5684" t="s">
        <v>30</v>
      </c>
      <c r="F5684" t="s">
        <v>210</v>
      </c>
      <c r="G5684" t="s">
        <v>211</v>
      </c>
      <c r="H5684" t="s">
        <v>199</v>
      </c>
      <c r="I5684" s="173">
        <v>415.31</v>
      </c>
      <c r="J5684" s="8"/>
      <c r="K5684" s="8">
        <v>740156</v>
      </c>
      <c r="L5684" s="8">
        <f>+K5684-J5684</f>
        <v>740156</v>
      </c>
      <c r="M5684" s="91">
        <f t="shared" ref="M5684:M5715" si="355">I5684/K5684*100</f>
        <v>5.6111144137181899E-2</v>
      </c>
    </row>
    <row r="5685" spans="1:19" ht="15.75" hidden="1" customHeight="1" x14ac:dyDescent="0.3">
      <c r="B5685" t="s">
        <v>716</v>
      </c>
      <c r="C5685" s="25">
        <v>44749</v>
      </c>
      <c r="D5685" s="26">
        <v>0.84828703703703701</v>
      </c>
      <c r="E5685" t="s">
        <v>30</v>
      </c>
      <c r="F5685" t="s">
        <v>210</v>
      </c>
      <c r="G5685" t="s">
        <v>211</v>
      </c>
      <c r="H5685" t="s">
        <v>199</v>
      </c>
      <c r="I5685" s="173">
        <v>322.18</v>
      </c>
      <c r="J5685" s="8"/>
      <c r="K5685" s="8"/>
      <c r="L5685" s="8"/>
      <c r="M5685" s="91" t="e">
        <f t="shared" si="355"/>
        <v>#DIV/0!</v>
      </c>
    </row>
    <row r="5686" spans="1:19" ht="15.75" hidden="1" customHeight="1" x14ac:dyDescent="0.3">
      <c r="A5686" s="9">
        <v>1002</v>
      </c>
      <c r="B5686" t="s">
        <v>466</v>
      </c>
      <c r="C5686" s="25">
        <v>44618</v>
      </c>
      <c r="D5686" s="26">
        <v>0.36562500000000003</v>
      </c>
      <c r="E5686" t="s">
        <v>25</v>
      </c>
      <c r="F5686" t="s">
        <v>175</v>
      </c>
      <c r="G5686" t="s">
        <v>172</v>
      </c>
      <c r="H5686" t="s">
        <v>114</v>
      </c>
      <c r="I5686">
        <v>344.99</v>
      </c>
      <c r="J5686" s="74">
        <v>0</v>
      </c>
      <c r="K5686" s="30">
        <f t="shared" ref="K5686:K5729" si="356">+L5686-J5686</f>
        <v>1067.22</v>
      </c>
      <c r="L5686" s="34">
        <v>1067.22</v>
      </c>
      <c r="M5686" s="61">
        <f t="shared" si="355"/>
        <v>32.326043365004402</v>
      </c>
    </row>
    <row r="5687" spans="1:19" ht="15.75" hidden="1" customHeight="1" x14ac:dyDescent="0.3">
      <c r="A5687" s="9">
        <v>1550</v>
      </c>
      <c r="B5687" t="s">
        <v>466</v>
      </c>
      <c r="C5687" s="25">
        <v>44635</v>
      </c>
      <c r="D5687" s="26">
        <v>0.45023148148148145</v>
      </c>
      <c r="E5687" t="s">
        <v>26</v>
      </c>
      <c r="F5687" t="s">
        <v>171</v>
      </c>
      <c r="G5687" t="s">
        <v>172</v>
      </c>
      <c r="H5687" t="s">
        <v>212</v>
      </c>
      <c r="I5687">
        <v>626.21</v>
      </c>
      <c r="J5687" s="31">
        <v>0</v>
      </c>
      <c r="K5687" s="89">
        <f t="shared" si="356"/>
        <v>340.8</v>
      </c>
      <c r="L5687" s="7">
        <v>340.8</v>
      </c>
      <c r="M5687" s="10">
        <f t="shared" si="355"/>
        <v>183.74706572769955</v>
      </c>
    </row>
    <row r="5688" spans="1:19" ht="15.75" hidden="1" customHeight="1" x14ac:dyDescent="0.3">
      <c r="A5688" s="9">
        <v>1551</v>
      </c>
      <c r="B5688" t="s">
        <v>466</v>
      </c>
      <c r="C5688" s="25">
        <v>44635</v>
      </c>
      <c r="D5688" s="26">
        <v>0.93327546296296304</v>
      </c>
      <c r="E5688" t="s">
        <v>26</v>
      </c>
      <c r="F5688" t="s">
        <v>210</v>
      </c>
      <c r="G5688" t="s">
        <v>211</v>
      </c>
      <c r="H5688" t="s">
        <v>212</v>
      </c>
      <c r="I5688">
        <v>251.59</v>
      </c>
      <c r="J5688" s="7">
        <v>0</v>
      </c>
      <c r="K5688" s="89">
        <f t="shared" si="356"/>
        <v>679.68</v>
      </c>
      <c r="L5688" s="31">
        <v>679.68</v>
      </c>
      <c r="M5688" s="10">
        <f t="shared" si="355"/>
        <v>37.015948681732588</v>
      </c>
    </row>
    <row r="5689" spans="1:19" ht="15.75" hidden="1" customHeight="1" x14ac:dyDescent="0.3">
      <c r="A5689" s="9">
        <v>1552</v>
      </c>
      <c r="B5689" t="s">
        <v>466</v>
      </c>
      <c r="C5689" s="25">
        <v>44637</v>
      </c>
      <c r="D5689" s="26">
        <v>0.52762731481481484</v>
      </c>
      <c r="E5689" t="s">
        <v>26</v>
      </c>
      <c r="F5689" t="s">
        <v>210</v>
      </c>
      <c r="G5689" t="s">
        <v>211</v>
      </c>
      <c r="H5689" t="s">
        <v>212</v>
      </c>
      <c r="I5689">
        <v>396.96</v>
      </c>
      <c r="J5689" s="7">
        <v>0</v>
      </c>
      <c r="K5689" s="89">
        <f t="shared" si="356"/>
        <v>1437.7</v>
      </c>
      <c r="L5689" s="7">
        <v>1437.7</v>
      </c>
      <c r="M5689" s="10">
        <f t="shared" si="355"/>
        <v>27.610767197607288</v>
      </c>
    </row>
    <row r="5690" spans="1:19" ht="15.75" hidden="1" customHeight="1" x14ac:dyDescent="0.3">
      <c r="A5690" s="9">
        <v>1553</v>
      </c>
      <c r="B5690" t="s">
        <v>466</v>
      </c>
      <c r="C5690" s="25">
        <v>44642</v>
      </c>
      <c r="D5690" s="26">
        <v>0.60644675925925928</v>
      </c>
      <c r="E5690" t="s">
        <v>26</v>
      </c>
      <c r="F5690" t="s">
        <v>343</v>
      </c>
      <c r="G5690" t="s">
        <v>344</v>
      </c>
      <c r="H5690" t="s">
        <v>212</v>
      </c>
      <c r="I5690">
        <v>518.20000000000005</v>
      </c>
      <c r="J5690" s="7">
        <v>0</v>
      </c>
      <c r="K5690" s="89">
        <f t="shared" si="356"/>
        <v>1052.8699999999999</v>
      </c>
      <c r="L5690" s="34">
        <v>1052.8699999999999</v>
      </c>
      <c r="M5690" s="10">
        <f t="shared" si="355"/>
        <v>49.217852156486565</v>
      </c>
    </row>
    <row r="5691" spans="1:19" ht="15.75" hidden="1" customHeight="1" x14ac:dyDescent="0.3">
      <c r="A5691" s="9">
        <v>1554</v>
      </c>
      <c r="B5691" t="s">
        <v>466</v>
      </c>
      <c r="C5691" s="25">
        <v>44643</v>
      </c>
      <c r="D5691" s="26">
        <v>0.73010416666666667</v>
      </c>
      <c r="E5691" t="s">
        <v>26</v>
      </c>
      <c r="F5691" t="s">
        <v>165</v>
      </c>
      <c r="G5691" t="s">
        <v>185</v>
      </c>
      <c r="H5691" t="s">
        <v>212</v>
      </c>
      <c r="I5691">
        <v>451.82</v>
      </c>
      <c r="J5691" s="7">
        <v>0</v>
      </c>
      <c r="K5691" s="89">
        <f t="shared" si="356"/>
        <v>1598.13</v>
      </c>
      <c r="L5691" s="7">
        <v>1598.13</v>
      </c>
      <c r="M5691" s="10">
        <f t="shared" si="355"/>
        <v>28.271792657668648</v>
      </c>
    </row>
    <row r="5692" spans="1:19" ht="15.75" hidden="1" customHeight="1" x14ac:dyDescent="0.3">
      <c r="A5692" s="9">
        <v>1555</v>
      </c>
      <c r="B5692" t="s">
        <v>466</v>
      </c>
      <c r="C5692" s="25">
        <v>44646</v>
      </c>
      <c r="D5692" s="26">
        <v>0.46623842592592596</v>
      </c>
      <c r="E5692" t="s">
        <v>26</v>
      </c>
      <c r="F5692" t="s">
        <v>175</v>
      </c>
      <c r="G5692" t="s">
        <v>172</v>
      </c>
      <c r="H5692" t="s">
        <v>212</v>
      </c>
      <c r="I5692">
        <v>525.29999999999995</v>
      </c>
      <c r="J5692" s="7">
        <v>0</v>
      </c>
      <c r="K5692" s="89">
        <f t="shared" si="356"/>
        <v>1247.98</v>
      </c>
      <c r="L5692" s="7">
        <v>1247.98</v>
      </c>
      <c r="M5692" s="10">
        <f t="shared" si="355"/>
        <v>42.092020705460023</v>
      </c>
    </row>
    <row r="5693" spans="1:19" ht="15.75" hidden="1" customHeight="1" x14ac:dyDescent="0.3">
      <c r="A5693" s="9">
        <v>1556</v>
      </c>
      <c r="B5693" t="s">
        <v>466</v>
      </c>
      <c r="C5693" s="25">
        <v>44647</v>
      </c>
      <c r="D5693" s="26">
        <v>0.85162037037037042</v>
      </c>
      <c r="E5693" t="s">
        <v>26</v>
      </c>
      <c r="F5693" t="s">
        <v>165</v>
      </c>
      <c r="G5693" t="s">
        <v>185</v>
      </c>
      <c r="H5693" t="s">
        <v>212</v>
      </c>
      <c r="I5693">
        <v>200</v>
      </c>
      <c r="J5693" s="7">
        <v>0</v>
      </c>
      <c r="K5693" s="89">
        <f t="shared" si="356"/>
        <v>1247.98</v>
      </c>
      <c r="L5693" s="7">
        <v>1247.98</v>
      </c>
      <c r="M5693" s="10">
        <f t="shared" si="355"/>
        <v>16.025897850927098</v>
      </c>
    </row>
    <row r="5694" spans="1:19" ht="15.75" hidden="1" customHeight="1" x14ac:dyDescent="0.3">
      <c r="A5694" s="9">
        <v>1557</v>
      </c>
      <c r="B5694" t="s">
        <v>466</v>
      </c>
      <c r="C5694" s="25">
        <v>44647</v>
      </c>
      <c r="D5694" s="26">
        <v>0.94158564814814805</v>
      </c>
      <c r="E5694" t="s">
        <v>26</v>
      </c>
      <c r="F5694" t="s">
        <v>165</v>
      </c>
      <c r="G5694" t="s">
        <v>185</v>
      </c>
      <c r="H5694" t="s">
        <v>212</v>
      </c>
      <c r="I5694">
        <v>305.23</v>
      </c>
      <c r="J5694" s="7">
        <v>0</v>
      </c>
      <c r="K5694" s="89">
        <f t="shared" si="356"/>
        <v>322</v>
      </c>
      <c r="L5694" s="7">
        <v>322</v>
      </c>
      <c r="M5694" s="10">
        <f t="shared" si="355"/>
        <v>94.791925465838517</v>
      </c>
    </row>
    <row r="5695" spans="1:19" ht="15.75" hidden="1" customHeight="1" x14ac:dyDescent="0.3">
      <c r="A5695" s="9">
        <v>1558</v>
      </c>
      <c r="B5695" t="s">
        <v>466</v>
      </c>
      <c r="C5695" s="25">
        <v>44650</v>
      </c>
      <c r="D5695" s="26">
        <v>0.90307870370370369</v>
      </c>
      <c r="E5695" t="s">
        <v>26</v>
      </c>
      <c r="F5695" t="s">
        <v>197</v>
      </c>
      <c r="G5695" t="s">
        <v>44</v>
      </c>
      <c r="H5695" t="s">
        <v>212</v>
      </c>
      <c r="I5695">
        <v>100.09</v>
      </c>
      <c r="J5695" s="7">
        <v>0</v>
      </c>
      <c r="K5695" s="89">
        <f t="shared" si="356"/>
        <v>1770.5</v>
      </c>
      <c r="L5695" s="34">
        <v>1770.5</v>
      </c>
      <c r="M5695" s="10">
        <f t="shared" si="355"/>
        <v>5.6532053092346795</v>
      </c>
    </row>
    <row r="5696" spans="1:19" ht="15.75" hidden="1" customHeight="1" x14ac:dyDescent="0.3">
      <c r="A5696" s="9">
        <v>1559</v>
      </c>
      <c r="B5696" t="s">
        <v>466</v>
      </c>
      <c r="C5696" s="25">
        <v>44650</v>
      </c>
      <c r="D5696" s="26">
        <v>0.97509259259259251</v>
      </c>
      <c r="E5696" t="s">
        <v>26</v>
      </c>
      <c r="F5696" t="s">
        <v>343</v>
      </c>
      <c r="G5696" t="s">
        <v>344</v>
      </c>
      <c r="H5696" t="s">
        <v>212</v>
      </c>
      <c r="I5696">
        <v>325.25</v>
      </c>
      <c r="J5696" s="11">
        <v>0</v>
      </c>
      <c r="K5696" s="89">
        <f t="shared" si="356"/>
        <v>251</v>
      </c>
      <c r="L5696" s="7">
        <v>251</v>
      </c>
      <c r="M5696" s="10">
        <f t="shared" si="355"/>
        <v>129.5816733067729</v>
      </c>
    </row>
    <row r="5697" spans="1:13" ht="15.75" hidden="1" customHeight="1" x14ac:dyDescent="0.3">
      <c r="A5697" s="9">
        <v>1560</v>
      </c>
      <c r="B5697" t="s">
        <v>466</v>
      </c>
      <c r="C5697" s="25">
        <v>44651</v>
      </c>
      <c r="D5697" s="26">
        <v>0.5958796296296297</v>
      </c>
      <c r="E5697" t="s">
        <v>26</v>
      </c>
      <c r="F5697" t="s">
        <v>210</v>
      </c>
      <c r="G5697" t="s">
        <v>211</v>
      </c>
      <c r="H5697" t="s">
        <v>212</v>
      </c>
      <c r="I5697">
        <v>396.79</v>
      </c>
      <c r="J5697" s="7">
        <v>0</v>
      </c>
      <c r="K5697" s="89">
        <f t="shared" si="356"/>
        <v>538.75</v>
      </c>
      <c r="L5697" s="32">
        <v>538.75</v>
      </c>
      <c r="M5697" s="10">
        <f t="shared" si="355"/>
        <v>73.650116009280737</v>
      </c>
    </row>
    <row r="5698" spans="1:13" ht="15.75" hidden="1" customHeight="1" x14ac:dyDescent="0.3">
      <c r="A5698" s="9">
        <v>1606</v>
      </c>
      <c r="B5698" t="s">
        <v>466</v>
      </c>
      <c r="C5698" s="25">
        <v>44621</v>
      </c>
      <c r="D5698" s="26">
        <v>0.4571412037037037</v>
      </c>
      <c r="E5698" t="s">
        <v>26</v>
      </c>
      <c r="F5698" t="s">
        <v>175</v>
      </c>
      <c r="G5698" t="s">
        <v>172</v>
      </c>
      <c r="H5698" t="s">
        <v>220</v>
      </c>
      <c r="I5698">
        <v>219.6</v>
      </c>
      <c r="J5698" s="7">
        <v>0</v>
      </c>
      <c r="K5698" s="89">
        <f t="shared" si="356"/>
        <v>487.76</v>
      </c>
      <c r="L5698" s="32">
        <v>487.76</v>
      </c>
      <c r="M5698" s="10">
        <f t="shared" si="355"/>
        <v>45.022142037067411</v>
      </c>
    </row>
    <row r="5699" spans="1:13" ht="15.75" hidden="1" customHeight="1" x14ac:dyDescent="0.3">
      <c r="A5699" s="9">
        <v>1607</v>
      </c>
      <c r="B5699" t="s">
        <v>466</v>
      </c>
      <c r="C5699" s="25">
        <v>44622</v>
      </c>
      <c r="D5699" s="26">
        <v>7.8819444444444432E-3</v>
      </c>
      <c r="E5699" t="s">
        <v>26</v>
      </c>
      <c r="F5699" t="s">
        <v>210</v>
      </c>
      <c r="G5699" t="s">
        <v>211</v>
      </c>
      <c r="H5699" t="s">
        <v>220</v>
      </c>
      <c r="I5699">
        <v>278.04000000000002</v>
      </c>
      <c r="J5699" s="7">
        <v>0</v>
      </c>
      <c r="K5699" s="89">
        <f t="shared" si="356"/>
        <v>707.24</v>
      </c>
      <c r="L5699" s="34">
        <v>707.24</v>
      </c>
      <c r="M5699" s="10">
        <f t="shared" si="355"/>
        <v>39.313387251852269</v>
      </c>
    </row>
    <row r="5700" spans="1:13" ht="15.75" hidden="1" customHeight="1" x14ac:dyDescent="0.3">
      <c r="A5700" s="9">
        <v>1608</v>
      </c>
      <c r="B5700" t="s">
        <v>466</v>
      </c>
      <c r="C5700" s="25">
        <v>44624</v>
      </c>
      <c r="D5700" s="26">
        <v>1.6851851851851851E-2</v>
      </c>
      <c r="E5700" t="s">
        <v>26</v>
      </c>
      <c r="F5700" t="s">
        <v>210</v>
      </c>
      <c r="G5700" t="s">
        <v>211</v>
      </c>
      <c r="H5700" t="s">
        <v>220</v>
      </c>
      <c r="I5700">
        <v>450.04</v>
      </c>
      <c r="J5700" s="7">
        <v>0</v>
      </c>
      <c r="K5700" s="89">
        <f t="shared" si="356"/>
        <v>1141.8699999999999</v>
      </c>
      <c r="L5700" s="32">
        <v>1141.8699999999999</v>
      </c>
      <c r="M5700" s="10">
        <f t="shared" si="355"/>
        <v>39.412542583656638</v>
      </c>
    </row>
    <row r="5701" spans="1:13" ht="15.75" hidden="1" customHeight="1" x14ac:dyDescent="0.3">
      <c r="A5701" s="9">
        <v>1609</v>
      </c>
      <c r="B5701" t="s">
        <v>466</v>
      </c>
      <c r="C5701" s="25">
        <v>44625</v>
      </c>
      <c r="D5701" s="26">
        <v>0.6232523148148148</v>
      </c>
      <c r="E5701" t="s">
        <v>26</v>
      </c>
      <c r="F5701" t="s">
        <v>171</v>
      </c>
      <c r="G5701" t="s">
        <v>172</v>
      </c>
      <c r="H5701" t="s">
        <v>220</v>
      </c>
      <c r="I5701">
        <v>377.6</v>
      </c>
      <c r="J5701" s="7">
        <v>0</v>
      </c>
      <c r="K5701" s="89">
        <f t="shared" si="356"/>
        <v>977.3</v>
      </c>
      <c r="L5701" s="31">
        <v>977.3</v>
      </c>
      <c r="M5701" s="10">
        <f t="shared" si="355"/>
        <v>38.637061291312804</v>
      </c>
    </row>
    <row r="5702" spans="1:13" ht="15.75" hidden="1" customHeight="1" x14ac:dyDescent="0.3">
      <c r="A5702" s="9">
        <v>2412</v>
      </c>
      <c r="B5702" t="s">
        <v>466</v>
      </c>
      <c r="C5702" s="25">
        <v>44628</v>
      </c>
      <c r="D5702" s="26">
        <v>0.43150462962962965</v>
      </c>
      <c r="E5702" t="s">
        <v>26</v>
      </c>
      <c r="F5702" t="s">
        <v>171</v>
      </c>
      <c r="G5702" t="s">
        <v>172</v>
      </c>
      <c r="H5702" t="s">
        <v>287</v>
      </c>
      <c r="I5702">
        <v>453.29</v>
      </c>
      <c r="J5702" s="32">
        <v>677210</v>
      </c>
      <c r="K5702" s="89">
        <f t="shared" si="356"/>
        <v>1249</v>
      </c>
      <c r="L5702" s="32">
        <v>678459</v>
      </c>
      <c r="M5702" s="10">
        <f t="shared" si="355"/>
        <v>36.292233787029623</v>
      </c>
    </row>
    <row r="5703" spans="1:13" ht="15.75" hidden="1" customHeight="1" x14ac:dyDescent="0.3">
      <c r="A5703" s="9">
        <v>2413</v>
      </c>
      <c r="B5703" t="s">
        <v>466</v>
      </c>
      <c r="C5703" s="25">
        <v>44628</v>
      </c>
      <c r="D5703" s="26">
        <v>0.91932870370370379</v>
      </c>
      <c r="E5703" t="s">
        <v>26</v>
      </c>
      <c r="F5703" t="s">
        <v>210</v>
      </c>
      <c r="G5703" t="s">
        <v>211</v>
      </c>
      <c r="H5703" t="s">
        <v>287</v>
      </c>
      <c r="I5703">
        <v>280.97000000000003</v>
      </c>
      <c r="J5703" s="32">
        <v>678459</v>
      </c>
      <c r="K5703" s="89">
        <f t="shared" si="356"/>
        <v>696</v>
      </c>
      <c r="L5703" s="38">
        <v>679155</v>
      </c>
      <c r="M5703" s="10">
        <f t="shared" si="355"/>
        <v>40.369252873563219</v>
      </c>
    </row>
    <row r="5704" spans="1:13" ht="15.75" hidden="1" customHeight="1" x14ac:dyDescent="0.3">
      <c r="A5704" s="9">
        <v>2414</v>
      </c>
      <c r="B5704" t="s">
        <v>466</v>
      </c>
      <c r="C5704" s="25">
        <v>44630</v>
      </c>
      <c r="D5704" s="26">
        <v>0.37902777777777774</v>
      </c>
      <c r="E5704" t="s">
        <v>26</v>
      </c>
      <c r="F5704" t="s">
        <v>166</v>
      </c>
      <c r="G5704" t="s">
        <v>161</v>
      </c>
      <c r="H5704" t="s">
        <v>287</v>
      </c>
      <c r="I5704">
        <v>441.86</v>
      </c>
      <c r="J5704" s="32">
        <v>679155</v>
      </c>
      <c r="K5704" s="89">
        <f t="shared" si="356"/>
        <v>992</v>
      </c>
      <c r="L5704" s="32">
        <v>680147</v>
      </c>
      <c r="M5704" s="10">
        <f t="shared" si="355"/>
        <v>44.542338709677423</v>
      </c>
    </row>
    <row r="5705" spans="1:13" ht="15.75" hidden="1" customHeight="1" x14ac:dyDescent="0.3">
      <c r="A5705" s="9">
        <v>2415</v>
      </c>
      <c r="B5705" t="s">
        <v>466</v>
      </c>
      <c r="C5705" s="25">
        <v>44631</v>
      </c>
      <c r="D5705" s="26">
        <v>0.6461689814814815</v>
      </c>
      <c r="E5705" t="s">
        <v>26</v>
      </c>
      <c r="F5705" t="s">
        <v>391</v>
      </c>
      <c r="G5705" t="s">
        <v>392</v>
      </c>
      <c r="H5705" t="s">
        <v>287</v>
      </c>
      <c r="I5705">
        <v>288.64999999999998</v>
      </c>
      <c r="J5705" s="32">
        <v>680147</v>
      </c>
      <c r="K5705" s="89">
        <f t="shared" si="356"/>
        <v>857</v>
      </c>
      <c r="L5705" s="32">
        <v>681004</v>
      </c>
      <c r="M5705" s="10">
        <f t="shared" si="355"/>
        <v>33.681446907817971</v>
      </c>
    </row>
    <row r="5706" spans="1:13" ht="15.75" hidden="1" customHeight="1" x14ac:dyDescent="0.3">
      <c r="A5706" s="9">
        <v>2749</v>
      </c>
      <c r="B5706" t="s">
        <v>466</v>
      </c>
      <c r="C5706" s="25">
        <v>44653</v>
      </c>
      <c r="D5706" s="26">
        <v>0.43809027777777776</v>
      </c>
      <c r="E5706" t="s">
        <v>27</v>
      </c>
      <c r="F5706" t="s">
        <v>210</v>
      </c>
      <c r="G5706" t="s">
        <v>211</v>
      </c>
      <c r="H5706" t="s">
        <v>212</v>
      </c>
      <c r="I5706" s="4">
        <v>376.34</v>
      </c>
      <c r="J5706" s="7">
        <v>0</v>
      </c>
      <c r="K5706" s="89">
        <f t="shared" si="356"/>
        <v>917.22</v>
      </c>
      <c r="L5706" s="7">
        <v>917.22</v>
      </c>
      <c r="M5706" s="10">
        <f t="shared" si="355"/>
        <v>41.030505222302175</v>
      </c>
    </row>
    <row r="5707" spans="1:13" ht="15.75" hidden="1" customHeight="1" x14ac:dyDescent="0.3">
      <c r="A5707" s="9">
        <v>2750</v>
      </c>
      <c r="B5707" t="s">
        <v>466</v>
      </c>
      <c r="C5707" s="25">
        <v>44654</v>
      </c>
      <c r="D5707" s="26">
        <v>0.44982638888888887</v>
      </c>
      <c r="E5707" t="s">
        <v>27</v>
      </c>
      <c r="F5707" t="s">
        <v>166</v>
      </c>
      <c r="G5707" t="s">
        <v>161</v>
      </c>
      <c r="H5707" t="s">
        <v>212</v>
      </c>
      <c r="I5707" s="4">
        <v>35.01</v>
      </c>
      <c r="J5707" s="7">
        <v>0</v>
      </c>
      <c r="K5707" s="89">
        <f t="shared" si="356"/>
        <v>472.48</v>
      </c>
      <c r="L5707" s="7">
        <v>472.48</v>
      </c>
      <c r="M5707" s="10">
        <f t="shared" si="355"/>
        <v>7.4098374534371816</v>
      </c>
    </row>
    <row r="5708" spans="1:13" ht="15.75" hidden="1" customHeight="1" x14ac:dyDescent="0.3">
      <c r="A5708" s="9">
        <v>2751</v>
      </c>
      <c r="B5708" t="s">
        <v>466</v>
      </c>
      <c r="C5708" s="25">
        <v>44657</v>
      </c>
      <c r="D5708" s="26">
        <v>0.30399305555555556</v>
      </c>
      <c r="E5708" t="s">
        <v>27</v>
      </c>
      <c r="F5708" t="s">
        <v>175</v>
      </c>
      <c r="G5708" t="s">
        <v>172</v>
      </c>
      <c r="H5708" t="s">
        <v>212</v>
      </c>
      <c r="I5708" s="4">
        <v>354.53</v>
      </c>
      <c r="J5708" s="7">
        <v>0</v>
      </c>
      <c r="K5708" s="89">
        <f t="shared" si="356"/>
        <v>1009.42</v>
      </c>
      <c r="L5708" s="7">
        <v>1009.42</v>
      </c>
      <c r="M5708" s="10">
        <f t="shared" si="355"/>
        <v>35.12214935309386</v>
      </c>
    </row>
    <row r="5709" spans="1:13" ht="15.75" hidden="1" customHeight="1" x14ac:dyDescent="0.3">
      <c r="A5709" s="9">
        <v>2752</v>
      </c>
      <c r="B5709" t="s">
        <v>466</v>
      </c>
      <c r="C5709" s="25">
        <v>44660</v>
      </c>
      <c r="D5709" s="26">
        <v>0.55019675925925926</v>
      </c>
      <c r="E5709" t="s">
        <v>27</v>
      </c>
      <c r="F5709" t="s">
        <v>278</v>
      </c>
      <c r="G5709" t="s">
        <v>279</v>
      </c>
      <c r="H5709" t="s">
        <v>212</v>
      </c>
      <c r="I5709" s="4">
        <v>478</v>
      </c>
      <c r="J5709" s="7">
        <v>0</v>
      </c>
      <c r="K5709" s="89">
        <f t="shared" si="356"/>
        <v>1270.98</v>
      </c>
      <c r="L5709" s="7">
        <v>1270.98</v>
      </c>
      <c r="M5709" s="10">
        <f t="shared" si="355"/>
        <v>37.608774331618122</v>
      </c>
    </row>
    <row r="5710" spans="1:13" ht="15.75" hidden="1" customHeight="1" x14ac:dyDescent="0.3">
      <c r="A5710" s="9">
        <v>2753</v>
      </c>
      <c r="B5710" t="s">
        <v>466</v>
      </c>
      <c r="C5710" s="25">
        <v>44662</v>
      </c>
      <c r="D5710" s="26">
        <v>0.95527777777777778</v>
      </c>
      <c r="E5710" t="s">
        <v>27</v>
      </c>
      <c r="F5710" t="s">
        <v>210</v>
      </c>
      <c r="G5710" t="s">
        <v>211</v>
      </c>
      <c r="H5710" t="s">
        <v>212</v>
      </c>
      <c r="I5710" s="4">
        <v>301.95999999999998</v>
      </c>
      <c r="J5710" s="7">
        <v>0</v>
      </c>
      <c r="K5710" s="89">
        <f t="shared" si="356"/>
        <v>773.9</v>
      </c>
      <c r="L5710" s="32">
        <v>773.9</v>
      </c>
      <c r="M5710" s="10">
        <f t="shared" si="355"/>
        <v>39.017960976870398</v>
      </c>
    </row>
    <row r="5711" spans="1:13" ht="15.75" hidden="1" customHeight="1" x14ac:dyDescent="0.3">
      <c r="A5711" s="9">
        <v>2754</v>
      </c>
      <c r="B5711" t="s">
        <v>466</v>
      </c>
      <c r="C5711" s="25">
        <v>44665</v>
      </c>
      <c r="D5711" s="26">
        <v>0.13297453703703704</v>
      </c>
      <c r="E5711" t="s">
        <v>27</v>
      </c>
      <c r="F5711" t="s">
        <v>343</v>
      </c>
      <c r="G5711" t="s">
        <v>344</v>
      </c>
      <c r="H5711" t="s">
        <v>212</v>
      </c>
      <c r="I5711" s="4">
        <v>200</v>
      </c>
      <c r="J5711" s="34">
        <v>0</v>
      </c>
      <c r="K5711" s="89">
        <f t="shared" si="356"/>
        <v>1336.18</v>
      </c>
      <c r="L5711" s="34">
        <v>1336.18</v>
      </c>
      <c r="M5711" s="10">
        <f t="shared" si="355"/>
        <v>14.968043227708842</v>
      </c>
    </row>
    <row r="5712" spans="1:13" ht="15.75" hidden="1" customHeight="1" x14ac:dyDescent="0.3">
      <c r="A5712" s="9">
        <v>2755</v>
      </c>
      <c r="B5712" t="s">
        <v>466</v>
      </c>
      <c r="C5712" s="25">
        <v>44665</v>
      </c>
      <c r="D5712" s="26">
        <v>0.66888888888888898</v>
      </c>
      <c r="E5712" t="s">
        <v>27</v>
      </c>
      <c r="F5712" t="s">
        <v>166</v>
      </c>
      <c r="G5712" t="s">
        <v>161</v>
      </c>
      <c r="H5712" t="s">
        <v>212</v>
      </c>
      <c r="I5712" s="4">
        <v>435.2</v>
      </c>
      <c r="J5712" s="34">
        <v>0</v>
      </c>
      <c r="K5712" s="89">
        <f t="shared" si="356"/>
        <v>1769</v>
      </c>
      <c r="L5712" s="7">
        <v>1769</v>
      </c>
      <c r="M5712" s="10">
        <f t="shared" si="355"/>
        <v>24.601469756924814</v>
      </c>
    </row>
    <row r="5713" spans="1:13" ht="15.75" hidden="1" customHeight="1" x14ac:dyDescent="0.3">
      <c r="A5713" s="9">
        <v>2756</v>
      </c>
      <c r="B5713" t="s">
        <v>466</v>
      </c>
      <c r="C5713" s="25">
        <v>44666</v>
      </c>
      <c r="D5713" s="26">
        <v>0.76119212962962957</v>
      </c>
      <c r="E5713" t="s">
        <v>27</v>
      </c>
      <c r="F5713" t="s">
        <v>210</v>
      </c>
      <c r="G5713" t="s">
        <v>211</v>
      </c>
      <c r="H5713" t="s">
        <v>212</v>
      </c>
      <c r="I5713" s="4">
        <v>428.92</v>
      </c>
      <c r="J5713" s="34">
        <v>0</v>
      </c>
      <c r="K5713" s="89">
        <f t="shared" si="356"/>
        <v>1146</v>
      </c>
      <c r="L5713" s="7">
        <v>1146</v>
      </c>
      <c r="M5713" s="10">
        <f t="shared" si="355"/>
        <v>37.427574171029669</v>
      </c>
    </row>
    <row r="5714" spans="1:13" ht="15.75" hidden="1" customHeight="1" x14ac:dyDescent="0.3">
      <c r="A5714" s="9">
        <v>2757</v>
      </c>
      <c r="B5714" t="s">
        <v>466</v>
      </c>
      <c r="C5714" s="25">
        <v>44668</v>
      </c>
      <c r="D5714" s="26">
        <v>0.45568287037037036</v>
      </c>
      <c r="E5714" t="s">
        <v>27</v>
      </c>
      <c r="F5714" t="s">
        <v>175</v>
      </c>
      <c r="G5714" t="s">
        <v>172</v>
      </c>
      <c r="H5714" t="s">
        <v>212</v>
      </c>
      <c r="I5714" s="4">
        <v>352.53</v>
      </c>
      <c r="J5714" s="11">
        <v>0</v>
      </c>
      <c r="K5714" s="89">
        <f t="shared" si="356"/>
        <v>1060</v>
      </c>
      <c r="L5714" s="34">
        <v>1060</v>
      </c>
      <c r="M5714" s="10">
        <f t="shared" si="355"/>
        <v>33.257547169811318</v>
      </c>
    </row>
    <row r="5715" spans="1:13" ht="15.75" hidden="1" customHeight="1" x14ac:dyDescent="0.3">
      <c r="A5715" s="9">
        <v>2758</v>
      </c>
      <c r="B5715" t="s">
        <v>466</v>
      </c>
      <c r="C5715" s="25">
        <v>44670</v>
      </c>
      <c r="D5715" s="26">
        <v>0.15086805555555557</v>
      </c>
      <c r="E5715" t="s">
        <v>27</v>
      </c>
      <c r="F5715" t="s">
        <v>210</v>
      </c>
      <c r="G5715" t="s">
        <v>211</v>
      </c>
      <c r="H5715" t="s">
        <v>212</v>
      </c>
      <c r="I5715" s="4">
        <v>353.86</v>
      </c>
      <c r="J5715" s="11">
        <v>0</v>
      </c>
      <c r="K5715" s="89">
        <f t="shared" si="356"/>
        <v>870.88</v>
      </c>
      <c r="L5715" s="32">
        <v>870.88</v>
      </c>
      <c r="M5715" s="10">
        <f t="shared" si="355"/>
        <v>40.632463714863128</v>
      </c>
    </row>
    <row r="5716" spans="1:13" ht="15.75" hidden="1" customHeight="1" x14ac:dyDescent="0.3">
      <c r="A5716" s="9">
        <v>2759</v>
      </c>
      <c r="B5716" t="s">
        <v>466</v>
      </c>
      <c r="C5716" s="25">
        <v>44672</v>
      </c>
      <c r="D5716" s="26">
        <v>0.59017361111111111</v>
      </c>
      <c r="E5716" t="s">
        <v>27</v>
      </c>
      <c r="F5716" t="s">
        <v>210</v>
      </c>
      <c r="G5716" t="s">
        <v>211</v>
      </c>
      <c r="H5716" t="s">
        <v>212</v>
      </c>
      <c r="I5716" s="4">
        <v>382.24</v>
      </c>
      <c r="J5716" s="7">
        <v>0</v>
      </c>
      <c r="K5716" s="89">
        <f t="shared" si="356"/>
        <v>916</v>
      </c>
      <c r="L5716" s="32">
        <v>916</v>
      </c>
      <c r="M5716" s="10">
        <f t="shared" ref="M5716:M5747" si="357">I5716/K5716*100</f>
        <v>41.7292576419214</v>
      </c>
    </row>
    <row r="5717" spans="1:13" ht="15.75" hidden="1" customHeight="1" x14ac:dyDescent="0.3">
      <c r="A5717" s="9">
        <v>2760</v>
      </c>
      <c r="B5717" t="s">
        <v>466</v>
      </c>
      <c r="C5717" s="25">
        <v>44674</v>
      </c>
      <c r="D5717" s="26">
        <v>7.2384259259259259E-2</v>
      </c>
      <c r="E5717" t="s">
        <v>27</v>
      </c>
      <c r="F5717" t="s">
        <v>175</v>
      </c>
      <c r="G5717" t="s">
        <v>172</v>
      </c>
      <c r="H5717" t="s">
        <v>212</v>
      </c>
      <c r="I5717" s="4">
        <v>215.26</v>
      </c>
      <c r="J5717" s="11">
        <v>0</v>
      </c>
      <c r="K5717" s="89">
        <f t="shared" si="356"/>
        <v>1060</v>
      </c>
      <c r="L5717" s="7">
        <v>1060</v>
      </c>
      <c r="M5717" s="10">
        <f t="shared" si="357"/>
        <v>20.307547169811318</v>
      </c>
    </row>
    <row r="5718" spans="1:13" ht="15.75" hidden="1" customHeight="1" x14ac:dyDescent="0.3">
      <c r="A5718" s="9">
        <v>2761</v>
      </c>
      <c r="B5718" t="s">
        <v>466</v>
      </c>
      <c r="C5718" s="25">
        <v>44674</v>
      </c>
      <c r="D5718" s="26">
        <v>0.82396990740740739</v>
      </c>
      <c r="E5718" t="s">
        <v>27</v>
      </c>
      <c r="F5718" t="s">
        <v>210</v>
      </c>
      <c r="G5718" t="s">
        <v>211</v>
      </c>
      <c r="H5718" t="s">
        <v>212</v>
      </c>
      <c r="I5718" s="4">
        <v>484.44</v>
      </c>
      <c r="J5718" s="11">
        <v>0</v>
      </c>
      <c r="K5718" s="89">
        <f t="shared" si="356"/>
        <v>1903</v>
      </c>
      <c r="L5718" s="7">
        <v>1903</v>
      </c>
      <c r="M5718" s="10">
        <f t="shared" si="357"/>
        <v>25.456647398843931</v>
      </c>
    </row>
    <row r="5719" spans="1:13" ht="15.75" hidden="1" customHeight="1" x14ac:dyDescent="0.3">
      <c r="A5719" s="9">
        <v>2762</v>
      </c>
      <c r="B5719" t="s">
        <v>466</v>
      </c>
      <c r="C5719" s="25">
        <v>44677</v>
      </c>
      <c r="D5719" s="26">
        <v>1.3425925925925924E-2</v>
      </c>
      <c r="E5719" t="s">
        <v>27</v>
      </c>
      <c r="F5719" t="s">
        <v>165</v>
      </c>
      <c r="G5719" t="s">
        <v>185</v>
      </c>
      <c r="H5719" t="s">
        <v>212</v>
      </c>
      <c r="I5719">
        <v>420</v>
      </c>
      <c r="J5719" s="7">
        <v>0</v>
      </c>
      <c r="K5719" s="89">
        <f t="shared" si="356"/>
        <v>1677.82</v>
      </c>
      <c r="L5719" s="34">
        <v>1677.82</v>
      </c>
      <c r="M5719" s="10">
        <f t="shared" si="357"/>
        <v>25.032482626265036</v>
      </c>
    </row>
    <row r="5720" spans="1:13" ht="15.75" hidden="1" customHeight="1" x14ac:dyDescent="0.3">
      <c r="A5720" s="9">
        <v>2763</v>
      </c>
      <c r="B5720" t="s">
        <v>466</v>
      </c>
      <c r="C5720" s="25">
        <v>44678</v>
      </c>
      <c r="D5720" s="26">
        <v>0.97203703703703714</v>
      </c>
      <c r="E5720" t="s">
        <v>27</v>
      </c>
      <c r="F5720" t="s">
        <v>165</v>
      </c>
      <c r="G5720" t="s">
        <v>185</v>
      </c>
      <c r="H5720" t="s">
        <v>212</v>
      </c>
      <c r="I5720">
        <v>383.35</v>
      </c>
      <c r="J5720" s="31">
        <v>0</v>
      </c>
      <c r="K5720" s="89">
        <f t="shared" si="356"/>
        <v>887.55</v>
      </c>
      <c r="L5720" s="7">
        <v>887.55</v>
      </c>
      <c r="M5720" s="10">
        <f t="shared" si="357"/>
        <v>43.19193284885359</v>
      </c>
    </row>
    <row r="5721" spans="1:13" ht="15.75" hidden="1" customHeight="1" x14ac:dyDescent="0.3">
      <c r="A5721" s="9">
        <v>2764</v>
      </c>
      <c r="B5721" t="s">
        <v>466</v>
      </c>
      <c r="C5721" s="25">
        <v>44679</v>
      </c>
      <c r="D5721" s="26">
        <v>0.96149305555555553</v>
      </c>
      <c r="E5721" t="s">
        <v>27</v>
      </c>
      <c r="F5721" t="s">
        <v>210</v>
      </c>
      <c r="G5721" t="s">
        <v>211</v>
      </c>
      <c r="H5721" t="s">
        <v>212</v>
      </c>
      <c r="I5721">
        <v>212.29</v>
      </c>
      <c r="J5721" s="31">
        <v>0</v>
      </c>
      <c r="K5721" s="89">
        <f t="shared" si="356"/>
        <v>572.54</v>
      </c>
      <c r="L5721" s="7">
        <v>572.54</v>
      </c>
      <c r="M5721" s="10">
        <f t="shared" si="357"/>
        <v>37.07863206064205</v>
      </c>
    </row>
    <row r="5722" spans="1:13" ht="15.75" hidden="1" customHeight="1" x14ac:dyDescent="0.3">
      <c r="A5722" s="9">
        <v>3762</v>
      </c>
      <c r="B5722" t="s">
        <v>466</v>
      </c>
      <c r="C5722" s="25">
        <v>44684</v>
      </c>
      <c r="D5722" s="26">
        <v>0.43144675925925924</v>
      </c>
      <c r="E5722" t="s">
        <v>28</v>
      </c>
      <c r="F5722" t="s">
        <v>340</v>
      </c>
      <c r="G5722" t="s">
        <v>337</v>
      </c>
      <c r="H5722" t="s">
        <v>212</v>
      </c>
      <c r="I5722">
        <v>441.55</v>
      </c>
      <c r="J5722" s="31">
        <v>0</v>
      </c>
      <c r="K5722" s="89">
        <f t="shared" si="356"/>
        <v>1250.6400000000001</v>
      </c>
      <c r="L5722" s="32">
        <v>1250.6400000000001</v>
      </c>
      <c r="M5722" s="10">
        <f t="shared" si="357"/>
        <v>35.305923367235977</v>
      </c>
    </row>
    <row r="5723" spans="1:13" ht="15.75" hidden="1" customHeight="1" x14ac:dyDescent="0.3">
      <c r="A5723" s="9">
        <v>3805</v>
      </c>
      <c r="B5723" t="s">
        <v>466</v>
      </c>
      <c r="C5723" s="25">
        <v>44685</v>
      </c>
      <c r="D5723" s="26">
        <v>0.78535879629629635</v>
      </c>
      <c r="E5723" t="s">
        <v>28</v>
      </c>
      <c r="F5723" t="s">
        <v>210</v>
      </c>
      <c r="G5723" t="s">
        <v>211</v>
      </c>
      <c r="H5723" t="s">
        <v>212</v>
      </c>
      <c r="I5723">
        <v>448.71</v>
      </c>
      <c r="J5723" s="7">
        <v>0</v>
      </c>
      <c r="K5723" s="89">
        <f t="shared" si="356"/>
        <v>1319.76</v>
      </c>
      <c r="L5723" s="32">
        <v>1319.76</v>
      </c>
      <c r="M5723" s="10">
        <f t="shared" si="357"/>
        <v>33.999363520640117</v>
      </c>
    </row>
    <row r="5724" spans="1:13" ht="15.75" hidden="1" customHeight="1" x14ac:dyDescent="0.3">
      <c r="A5724" s="9">
        <v>3925</v>
      </c>
      <c r="B5724" t="s">
        <v>466</v>
      </c>
      <c r="C5724" s="25">
        <v>44687</v>
      </c>
      <c r="D5724" s="26">
        <v>0.8555787037037037</v>
      </c>
      <c r="E5724" t="s">
        <v>28</v>
      </c>
      <c r="F5724" t="s">
        <v>197</v>
      </c>
      <c r="G5724" t="s">
        <v>44</v>
      </c>
      <c r="H5724" t="s">
        <v>212</v>
      </c>
      <c r="I5724">
        <v>103.59</v>
      </c>
      <c r="J5724" s="7">
        <v>0</v>
      </c>
      <c r="K5724" s="89">
        <f t="shared" si="356"/>
        <v>1341</v>
      </c>
      <c r="L5724" s="32">
        <v>1341</v>
      </c>
      <c r="M5724" s="10">
        <f t="shared" si="357"/>
        <v>7.724832214765101</v>
      </c>
    </row>
    <row r="5725" spans="1:13" ht="15.75" hidden="1" customHeight="1" x14ac:dyDescent="0.3">
      <c r="A5725" s="9">
        <v>3992</v>
      </c>
      <c r="B5725" t="s">
        <v>466</v>
      </c>
      <c r="C5725" s="25">
        <v>44688</v>
      </c>
      <c r="D5725" s="26">
        <v>0.7624305555555555</v>
      </c>
      <c r="E5725" t="s">
        <v>28</v>
      </c>
      <c r="F5725" t="s">
        <v>166</v>
      </c>
      <c r="G5725" t="s">
        <v>161</v>
      </c>
      <c r="H5725" t="s">
        <v>212</v>
      </c>
      <c r="I5725">
        <v>593.87</v>
      </c>
      <c r="J5725" s="7">
        <v>0</v>
      </c>
      <c r="K5725" s="89">
        <f t="shared" si="356"/>
        <v>511</v>
      </c>
      <c r="L5725" s="32">
        <v>511</v>
      </c>
      <c r="M5725" s="10">
        <f t="shared" si="357"/>
        <v>116.21722113502935</v>
      </c>
    </row>
    <row r="5726" spans="1:13" ht="15.75" hidden="1" customHeight="1" x14ac:dyDescent="0.3">
      <c r="A5726" s="9">
        <v>4022</v>
      </c>
      <c r="B5726" t="s">
        <v>466</v>
      </c>
      <c r="C5726" s="25">
        <v>44689</v>
      </c>
      <c r="D5726" s="26">
        <v>0.71667824074074071</v>
      </c>
      <c r="E5726" t="s">
        <v>28</v>
      </c>
      <c r="F5726" t="s">
        <v>210</v>
      </c>
      <c r="G5726" t="s">
        <v>211</v>
      </c>
      <c r="H5726" t="s">
        <v>212</v>
      </c>
      <c r="I5726">
        <v>410.12</v>
      </c>
      <c r="J5726" s="7">
        <v>0</v>
      </c>
      <c r="K5726" s="89">
        <f t="shared" si="356"/>
        <v>1146</v>
      </c>
      <c r="L5726" s="32">
        <v>1146</v>
      </c>
      <c r="M5726" s="10">
        <f t="shared" si="357"/>
        <v>35.787085514834203</v>
      </c>
    </row>
    <row r="5727" spans="1:13" ht="15.75" hidden="1" customHeight="1" x14ac:dyDescent="0.3">
      <c r="A5727" s="9">
        <v>4112</v>
      </c>
      <c r="B5727" t="s">
        <v>466</v>
      </c>
      <c r="C5727" s="25">
        <v>44691</v>
      </c>
      <c r="D5727" s="26">
        <v>0.40784722222222225</v>
      </c>
      <c r="E5727" t="s">
        <v>28</v>
      </c>
      <c r="F5727" t="s">
        <v>428</v>
      </c>
      <c r="G5727" t="s">
        <v>429</v>
      </c>
      <c r="H5727" t="s">
        <v>212</v>
      </c>
      <c r="I5727">
        <v>150.16</v>
      </c>
      <c r="J5727" s="76">
        <v>0</v>
      </c>
      <c r="K5727" s="89">
        <f t="shared" si="356"/>
        <v>942</v>
      </c>
      <c r="L5727" s="32">
        <v>942</v>
      </c>
      <c r="M5727" s="10">
        <f t="shared" si="357"/>
        <v>15.940552016985137</v>
      </c>
    </row>
    <row r="5728" spans="1:13" ht="15.75" hidden="1" customHeight="1" x14ac:dyDescent="0.3">
      <c r="A5728" s="9">
        <v>4113</v>
      </c>
      <c r="B5728" t="s">
        <v>466</v>
      </c>
      <c r="C5728" s="25">
        <v>44691</v>
      </c>
      <c r="D5728" s="26">
        <v>0.52731481481481479</v>
      </c>
      <c r="E5728" t="s">
        <v>28</v>
      </c>
      <c r="F5728" t="s">
        <v>175</v>
      </c>
      <c r="G5728" t="s">
        <v>172</v>
      </c>
      <c r="H5728" t="s">
        <v>212</v>
      </c>
      <c r="I5728">
        <v>236.45</v>
      </c>
      <c r="J5728" s="76">
        <v>0</v>
      </c>
      <c r="K5728" s="89">
        <f t="shared" si="356"/>
        <v>144</v>
      </c>
      <c r="L5728" s="32">
        <v>144</v>
      </c>
      <c r="M5728" s="10">
        <f t="shared" si="357"/>
        <v>164.20138888888889</v>
      </c>
    </row>
    <row r="5729" spans="1:13" ht="15.75" hidden="1" customHeight="1" x14ac:dyDescent="0.3">
      <c r="A5729" s="9">
        <v>4163</v>
      </c>
      <c r="B5729" t="s">
        <v>466</v>
      </c>
      <c r="C5729" s="25">
        <v>44692</v>
      </c>
      <c r="D5729" s="26">
        <v>0.82064814814814813</v>
      </c>
      <c r="E5729" t="s">
        <v>28</v>
      </c>
      <c r="F5729" t="s">
        <v>210</v>
      </c>
      <c r="G5729" t="s">
        <v>211</v>
      </c>
      <c r="H5729" t="s">
        <v>212</v>
      </c>
      <c r="I5729">
        <v>365.45</v>
      </c>
      <c r="J5729" s="76">
        <v>0</v>
      </c>
      <c r="K5729" s="89">
        <f t="shared" si="356"/>
        <v>862</v>
      </c>
      <c r="L5729" s="32">
        <v>862</v>
      </c>
      <c r="M5729" s="10">
        <f t="shared" si="357"/>
        <v>42.395591647331784</v>
      </c>
    </row>
    <row r="5730" spans="1:13" ht="15.75" hidden="1" customHeight="1" x14ac:dyDescent="0.3">
      <c r="A5730" s="9">
        <v>4255</v>
      </c>
      <c r="B5730" t="s">
        <v>466</v>
      </c>
      <c r="C5730" s="25">
        <v>44694</v>
      </c>
      <c r="D5730" s="26">
        <v>0.51407407407407402</v>
      </c>
      <c r="E5730" t="s">
        <v>28</v>
      </c>
      <c r="F5730" t="s">
        <v>166</v>
      </c>
      <c r="G5730" t="s">
        <v>161</v>
      </c>
      <c r="H5730" t="s">
        <v>212</v>
      </c>
      <c r="I5730">
        <v>423.17</v>
      </c>
      <c r="J5730" s="76">
        <v>0</v>
      </c>
      <c r="K5730" s="89">
        <f>+L5730-J6002</f>
        <v>1204</v>
      </c>
      <c r="L5730" s="32">
        <v>1204</v>
      </c>
      <c r="M5730" s="10">
        <f t="shared" si="357"/>
        <v>35.147009966777411</v>
      </c>
    </row>
    <row r="5731" spans="1:13" ht="15.75" hidden="1" customHeight="1" x14ac:dyDescent="0.3">
      <c r="A5731" s="9">
        <v>4312</v>
      </c>
      <c r="B5731" t="s">
        <v>466</v>
      </c>
      <c r="C5731" s="25">
        <v>44695</v>
      </c>
      <c r="D5731" s="26">
        <v>0.78881944444444441</v>
      </c>
      <c r="E5731" t="s">
        <v>28</v>
      </c>
      <c r="F5731" t="s">
        <v>197</v>
      </c>
      <c r="G5731" t="s">
        <v>44</v>
      </c>
      <c r="H5731" t="s">
        <v>212</v>
      </c>
      <c r="I5731">
        <v>121.32</v>
      </c>
      <c r="J5731" s="76">
        <v>0</v>
      </c>
      <c r="K5731" s="89">
        <f>+L5731-J6003</f>
        <v>925</v>
      </c>
      <c r="L5731" s="32">
        <v>925</v>
      </c>
      <c r="M5731" s="10">
        <f t="shared" si="357"/>
        <v>13.115675675675675</v>
      </c>
    </row>
    <row r="5732" spans="1:13" ht="15.75" hidden="1" customHeight="1" x14ac:dyDescent="0.3">
      <c r="A5732" s="9">
        <v>4313</v>
      </c>
      <c r="B5732" t="s">
        <v>466</v>
      </c>
      <c r="C5732" s="25">
        <v>44695</v>
      </c>
      <c r="D5732" s="26">
        <v>0.79776620370370377</v>
      </c>
      <c r="E5732" t="s">
        <v>28</v>
      </c>
      <c r="F5732" t="s">
        <v>197</v>
      </c>
      <c r="G5732" t="s">
        <v>44</v>
      </c>
      <c r="H5732" t="s">
        <v>212</v>
      </c>
      <c r="I5732">
        <v>88.92</v>
      </c>
      <c r="J5732" s="7">
        <v>0</v>
      </c>
      <c r="K5732" s="89">
        <f>+L5732-J6004</f>
        <v>34</v>
      </c>
      <c r="L5732" s="37">
        <v>34</v>
      </c>
      <c r="M5732" s="10">
        <f t="shared" si="357"/>
        <v>261.52941176470586</v>
      </c>
    </row>
    <row r="5733" spans="1:13" ht="15.75" hidden="1" customHeight="1" x14ac:dyDescent="0.3">
      <c r="A5733" s="9">
        <v>4648</v>
      </c>
      <c r="B5733" t="s">
        <v>466</v>
      </c>
      <c r="C5733" s="25">
        <v>44701</v>
      </c>
      <c r="D5733" s="26">
        <v>0.51832175925925927</v>
      </c>
      <c r="E5733" t="s">
        <v>28</v>
      </c>
      <c r="F5733" t="s">
        <v>166</v>
      </c>
      <c r="G5733" t="s">
        <v>161</v>
      </c>
      <c r="H5733" t="s">
        <v>212</v>
      </c>
      <c r="I5733">
        <v>495.64</v>
      </c>
      <c r="J5733" s="7">
        <v>0</v>
      </c>
      <c r="K5733" s="89">
        <f>+L5733-J6004</f>
        <v>922</v>
      </c>
      <c r="L5733" s="32">
        <v>922</v>
      </c>
      <c r="M5733" s="10">
        <f t="shared" si="357"/>
        <v>53.757049891540134</v>
      </c>
    </row>
    <row r="5734" spans="1:13" ht="15.75" hidden="1" customHeight="1" x14ac:dyDescent="0.3">
      <c r="A5734" s="9">
        <v>4714</v>
      </c>
      <c r="B5734" t="s">
        <v>466</v>
      </c>
      <c r="C5734" s="25">
        <v>44702</v>
      </c>
      <c r="D5734" s="26">
        <v>0.92733796296296289</v>
      </c>
      <c r="E5734" t="s">
        <v>28</v>
      </c>
      <c r="F5734" t="s">
        <v>165</v>
      </c>
      <c r="G5734" t="s">
        <v>185</v>
      </c>
      <c r="H5734" t="s">
        <v>212</v>
      </c>
      <c r="I5734">
        <v>477.14</v>
      </c>
      <c r="J5734" s="7">
        <v>0</v>
      </c>
      <c r="K5734" s="89">
        <f t="shared" ref="K5734:K5739" si="358">+L5734-J6002</f>
        <v>1067</v>
      </c>
      <c r="L5734" s="32">
        <v>1067</v>
      </c>
      <c r="M5734" s="10">
        <f t="shared" si="357"/>
        <v>44.717900656044982</v>
      </c>
    </row>
    <row r="5735" spans="1:13" ht="15.75" hidden="1" customHeight="1" x14ac:dyDescent="0.3">
      <c r="A5735" s="9">
        <v>4787</v>
      </c>
      <c r="B5735" t="s">
        <v>466</v>
      </c>
      <c r="C5735" s="25">
        <v>44703</v>
      </c>
      <c r="D5735" s="26">
        <v>0.76043981481481471</v>
      </c>
      <c r="E5735" t="s">
        <v>28</v>
      </c>
      <c r="F5735" t="s">
        <v>166</v>
      </c>
      <c r="G5735" t="s">
        <v>161</v>
      </c>
      <c r="H5735" t="s">
        <v>212</v>
      </c>
      <c r="I5735">
        <v>182.95</v>
      </c>
      <c r="J5735" s="7">
        <v>0</v>
      </c>
      <c r="K5735" s="89">
        <f t="shared" si="358"/>
        <v>598</v>
      </c>
      <c r="L5735" s="32">
        <v>598</v>
      </c>
      <c r="M5735" s="10">
        <f t="shared" si="357"/>
        <v>30.593645484949832</v>
      </c>
    </row>
    <row r="5736" spans="1:13" ht="15.75" hidden="1" customHeight="1" x14ac:dyDescent="0.3">
      <c r="A5736" s="9">
        <v>4865</v>
      </c>
      <c r="B5736" t="s">
        <v>466</v>
      </c>
      <c r="C5736" s="25">
        <v>44705</v>
      </c>
      <c r="D5736" s="26">
        <v>0.53995370370370377</v>
      </c>
      <c r="E5736" t="s">
        <v>28</v>
      </c>
      <c r="F5736" t="s">
        <v>166</v>
      </c>
      <c r="G5736" t="s">
        <v>161</v>
      </c>
      <c r="H5736" t="s">
        <v>212</v>
      </c>
      <c r="I5736">
        <v>630.21</v>
      </c>
      <c r="J5736" s="7">
        <v>0</v>
      </c>
      <c r="K5736" s="89">
        <f t="shared" si="358"/>
        <v>1576</v>
      </c>
      <c r="L5736" s="32">
        <v>1576</v>
      </c>
      <c r="M5736" s="10">
        <f t="shared" si="357"/>
        <v>39.987944162436548</v>
      </c>
    </row>
    <row r="5737" spans="1:13" ht="15.75" hidden="1" customHeight="1" x14ac:dyDescent="0.3">
      <c r="A5737" s="9">
        <v>4985</v>
      </c>
      <c r="B5737" t="s">
        <v>466</v>
      </c>
      <c r="C5737" s="25">
        <v>44707</v>
      </c>
      <c r="D5737" s="26">
        <v>0.45978009259259256</v>
      </c>
      <c r="E5737" t="s">
        <v>28</v>
      </c>
      <c r="F5737" t="s">
        <v>635</v>
      </c>
      <c r="G5737" t="s">
        <v>185</v>
      </c>
      <c r="H5737" t="s">
        <v>212</v>
      </c>
      <c r="I5737">
        <v>447.29</v>
      </c>
      <c r="J5737" s="7">
        <v>0</v>
      </c>
      <c r="K5737" s="89">
        <f t="shared" si="358"/>
        <v>1038</v>
      </c>
      <c r="L5737" s="7">
        <v>1038</v>
      </c>
      <c r="M5737" s="10">
        <f t="shared" si="357"/>
        <v>43.091522157996145</v>
      </c>
    </row>
    <row r="5738" spans="1:13" ht="15.75" hidden="1" customHeight="1" x14ac:dyDescent="0.3">
      <c r="A5738" s="9">
        <v>5086</v>
      </c>
      <c r="B5738" t="s">
        <v>466</v>
      </c>
      <c r="C5738" s="25">
        <v>44709</v>
      </c>
      <c r="D5738" s="26">
        <v>0.58667824074074071</v>
      </c>
      <c r="E5738" t="s">
        <v>28</v>
      </c>
      <c r="F5738" t="s">
        <v>665</v>
      </c>
      <c r="G5738" t="s">
        <v>666</v>
      </c>
      <c r="H5738" t="s">
        <v>212</v>
      </c>
      <c r="I5738">
        <v>594.5</v>
      </c>
      <c r="J5738" s="34">
        <v>0</v>
      </c>
      <c r="K5738" s="89">
        <f t="shared" si="358"/>
        <v>1186</v>
      </c>
      <c r="L5738" s="35">
        <v>1186</v>
      </c>
      <c r="M5738" s="10">
        <f t="shared" si="357"/>
        <v>50.126475548060711</v>
      </c>
    </row>
    <row r="5739" spans="1:13" ht="15.75" hidden="1" customHeight="1" x14ac:dyDescent="0.3">
      <c r="A5739" s="9">
        <v>5087</v>
      </c>
      <c r="B5739" t="s">
        <v>466</v>
      </c>
      <c r="C5739" s="25">
        <v>44709</v>
      </c>
      <c r="D5739" s="26">
        <v>0.83982638888888894</v>
      </c>
      <c r="E5739" t="s">
        <v>28</v>
      </c>
      <c r="F5739" t="s">
        <v>635</v>
      </c>
      <c r="G5739" t="s">
        <v>185</v>
      </c>
      <c r="H5739" t="s">
        <v>212</v>
      </c>
      <c r="I5739">
        <v>104.59</v>
      </c>
      <c r="J5739" s="34">
        <v>0</v>
      </c>
      <c r="K5739" s="89">
        <f t="shared" si="358"/>
        <v>174</v>
      </c>
      <c r="L5739" s="7">
        <v>174</v>
      </c>
      <c r="M5739" s="10">
        <f t="shared" si="357"/>
        <v>60.109195402298852</v>
      </c>
    </row>
    <row r="5740" spans="1:13" ht="15.75" hidden="1" customHeight="1" x14ac:dyDescent="0.3">
      <c r="A5740" s="9">
        <v>5195</v>
      </c>
      <c r="B5740" t="s">
        <v>466</v>
      </c>
      <c r="C5740" s="25">
        <v>44711</v>
      </c>
      <c r="D5740" s="26">
        <v>0.86652777777777779</v>
      </c>
      <c r="E5740" t="s">
        <v>28</v>
      </c>
      <c r="F5740" t="s">
        <v>634</v>
      </c>
      <c r="G5740" t="s">
        <v>211</v>
      </c>
      <c r="H5740" t="s">
        <v>212</v>
      </c>
      <c r="I5740">
        <v>251.42</v>
      </c>
      <c r="J5740" s="32">
        <v>0</v>
      </c>
      <c r="K5740" s="89">
        <f>+L5740-J6007</f>
        <v>582</v>
      </c>
      <c r="L5740" s="34">
        <v>582</v>
      </c>
      <c r="M5740" s="10">
        <f t="shared" si="357"/>
        <v>43.199312714776624</v>
      </c>
    </row>
    <row r="5741" spans="1:13" ht="15.75" hidden="1" customHeight="1" x14ac:dyDescent="0.3">
      <c r="A5741" s="9">
        <v>5275</v>
      </c>
      <c r="B5741" t="s">
        <v>466</v>
      </c>
      <c r="C5741" s="25">
        <v>44713</v>
      </c>
      <c r="D5741" s="26">
        <v>0.39689814814814817</v>
      </c>
      <c r="E5741" t="s">
        <v>29</v>
      </c>
      <c r="F5741" t="s">
        <v>693</v>
      </c>
      <c r="G5741" t="s">
        <v>277</v>
      </c>
      <c r="H5741" t="s">
        <v>212</v>
      </c>
      <c r="I5741">
        <v>299</v>
      </c>
      <c r="J5741" s="32">
        <v>0</v>
      </c>
      <c r="K5741" s="89">
        <f>+L5741-J6006</f>
        <v>788</v>
      </c>
      <c r="L5741" s="7">
        <v>788</v>
      </c>
      <c r="M5741" s="10">
        <f t="shared" si="357"/>
        <v>37.944162436548226</v>
      </c>
    </row>
    <row r="5742" spans="1:13" ht="15.75" hidden="1" customHeight="1" x14ac:dyDescent="0.3">
      <c r="A5742" s="9">
        <v>5335</v>
      </c>
      <c r="B5742" t="s">
        <v>466</v>
      </c>
      <c r="C5742" s="25">
        <v>44714</v>
      </c>
      <c r="D5742" s="26">
        <v>0.7611458333333333</v>
      </c>
      <c r="E5742" t="s">
        <v>29</v>
      </c>
      <c r="F5742" t="s">
        <v>634</v>
      </c>
      <c r="G5742" t="s">
        <v>211</v>
      </c>
      <c r="H5742" t="s">
        <v>212</v>
      </c>
      <c r="I5742">
        <v>401.91</v>
      </c>
      <c r="J5742" s="32">
        <v>0</v>
      </c>
      <c r="K5742" s="89">
        <f>+L5742-J6007</f>
        <v>950</v>
      </c>
      <c r="L5742" s="7">
        <v>950</v>
      </c>
      <c r="M5742" s="10">
        <f t="shared" si="357"/>
        <v>42.306315789473686</v>
      </c>
    </row>
    <row r="5743" spans="1:13" ht="15.75" hidden="1" customHeight="1" x14ac:dyDescent="0.3">
      <c r="A5743" s="9">
        <v>5401</v>
      </c>
      <c r="B5743" t="s">
        <v>466</v>
      </c>
      <c r="C5743" s="25">
        <v>44715</v>
      </c>
      <c r="D5743" s="26">
        <v>0.76476851851851846</v>
      </c>
      <c r="E5743" t="s">
        <v>29</v>
      </c>
      <c r="F5743" t="s">
        <v>634</v>
      </c>
      <c r="G5743" t="s">
        <v>211</v>
      </c>
      <c r="H5743" t="s">
        <v>212</v>
      </c>
      <c r="I5743">
        <v>399.44</v>
      </c>
      <c r="J5743" s="32">
        <v>0</v>
      </c>
      <c r="K5743" s="89">
        <f>+L5743-J6002</f>
        <v>1012</v>
      </c>
      <c r="L5743" s="7">
        <v>1012</v>
      </c>
      <c r="M5743" s="10">
        <f t="shared" si="357"/>
        <v>39.470355731225297</v>
      </c>
    </row>
    <row r="5744" spans="1:13" ht="15.75" hidden="1" customHeight="1" x14ac:dyDescent="0.3">
      <c r="A5744" s="9">
        <v>5551</v>
      </c>
      <c r="B5744" t="s">
        <v>466</v>
      </c>
      <c r="C5744" s="25">
        <v>44718</v>
      </c>
      <c r="D5744" s="26">
        <v>0.2913425925925926</v>
      </c>
      <c r="E5744" t="s">
        <v>29</v>
      </c>
      <c r="F5744" t="s">
        <v>638</v>
      </c>
      <c r="G5744" t="s">
        <v>263</v>
      </c>
      <c r="H5744" t="s">
        <v>212</v>
      </c>
      <c r="I5744">
        <v>200</v>
      </c>
      <c r="J5744" s="33">
        <v>0</v>
      </c>
      <c r="K5744" s="89">
        <f>+L5744-J5309</f>
        <v>946</v>
      </c>
      <c r="L5744" s="34">
        <v>946</v>
      </c>
      <c r="M5744" s="10">
        <f t="shared" si="357"/>
        <v>21.141649048625794</v>
      </c>
    </row>
    <row r="5745" spans="1:19" ht="15.75" hidden="1" customHeight="1" x14ac:dyDescent="0.3">
      <c r="A5745" s="9">
        <v>5552</v>
      </c>
      <c r="B5745" t="s">
        <v>466</v>
      </c>
      <c r="C5745" s="25">
        <v>44718</v>
      </c>
      <c r="D5745" s="26">
        <v>0.87017361111111102</v>
      </c>
      <c r="E5745" t="s">
        <v>29</v>
      </c>
      <c r="F5745" t="s">
        <v>639</v>
      </c>
      <c r="G5745" t="s">
        <v>44</v>
      </c>
      <c r="H5745" t="s">
        <v>212</v>
      </c>
      <c r="I5745">
        <v>115.68</v>
      </c>
      <c r="J5745" s="55">
        <v>0</v>
      </c>
      <c r="K5745" s="89">
        <f>+L5745-J5310</f>
        <v>320</v>
      </c>
      <c r="L5745" s="31">
        <v>320</v>
      </c>
      <c r="M5745" s="10">
        <f t="shared" si="357"/>
        <v>36.150000000000006</v>
      </c>
    </row>
    <row r="5746" spans="1:19" ht="15.75" hidden="1" customHeight="1" x14ac:dyDescent="0.3">
      <c r="A5746" s="9">
        <v>5594</v>
      </c>
      <c r="B5746" t="s">
        <v>466</v>
      </c>
      <c r="C5746" s="25">
        <v>44719</v>
      </c>
      <c r="D5746" s="26">
        <v>0.3168287037037037</v>
      </c>
      <c r="E5746" t="s">
        <v>29</v>
      </c>
      <c r="F5746" t="s">
        <v>634</v>
      </c>
      <c r="G5746" t="s">
        <v>211</v>
      </c>
      <c r="H5746" t="s">
        <v>212</v>
      </c>
      <c r="I5746">
        <v>453.66</v>
      </c>
      <c r="J5746" s="7">
        <v>0</v>
      </c>
      <c r="K5746" s="89">
        <f>+L5746-J5304</f>
        <v>587</v>
      </c>
      <c r="L5746" s="7">
        <v>587</v>
      </c>
      <c r="M5746" s="10">
        <f t="shared" si="357"/>
        <v>77.284497444633743</v>
      </c>
    </row>
    <row r="5747" spans="1:19" ht="15.75" hidden="1" customHeight="1" x14ac:dyDescent="0.3">
      <c r="A5747" s="9">
        <v>5652</v>
      </c>
      <c r="B5747" t="s">
        <v>466</v>
      </c>
      <c r="C5747" s="25">
        <v>44720</v>
      </c>
      <c r="D5747" s="26">
        <v>0.14108796296296297</v>
      </c>
      <c r="E5747" t="s">
        <v>29</v>
      </c>
      <c r="F5747" t="s">
        <v>635</v>
      </c>
      <c r="G5747" t="s">
        <v>185</v>
      </c>
      <c r="H5747" t="s">
        <v>212</v>
      </c>
      <c r="I5747" s="148">
        <v>274.33</v>
      </c>
      <c r="J5747" s="32">
        <v>0</v>
      </c>
      <c r="K5747" s="89">
        <f>+L5747-J5306</f>
        <v>550</v>
      </c>
      <c r="L5747" s="7">
        <v>550</v>
      </c>
      <c r="M5747" s="10">
        <f t="shared" si="357"/>
        <v>49.878181818181815</v>
      </c>
    </row>
    <row r="5748" spans="1:19" ht="15.75" hidden="1" customHeight="1" x14ac:dyDescent="0.3">
      <c r="A5748" s="9">
        <v>5810</v>
      </c>
      <c r="B5748" t="s">
        <v>466</v>
      </c>
      <c r="C5748" s="25">
        <v>44723</v>
      </c>
      <c r="D5748" s="26">
        <v>0.56951388888888888</v>
      </c>
      <c r="E5748" t="s">
        <v>29</v>
      </c>
      <c r="F5748" t="s">
        <v>659</v>
      </c>
      <c r="G5748" t="s">
        <v>489</v>
      </c>
      <c r="H5748" t="s">
        <v>212</v>
      </c>
      <c r="I5748" s="148">
        <v>642.59</v>
      </c>
      <c r="J5748" s="32">
        <v>0</v>
      </c>
      <c r="K5748" s="89">
        <f>+L5748-J5307</f>
        <v>2056</v>
      </c>
      <c r="L5748" s="7">
        <v>2056</v>
      </c>
      <c r="M5748" s="10">
        <f t="shared" ref="M5748:M5760" si="359">I5748/K5748*100</f>
        <v>31.254377431906615</v>
      </c>
    </row>
    <row r="5749" spans="1:19" ht="15.75" hidden="1" customHeight="1" x14ac:dyDescent="0.3">
      <c r="A5749" s="9">
        <v>5873</v>
      </c>
      <c r="B5749" t="s">
        <v>466</v>
      </c>
      <c r="C5749" s="25">
        <v>44724</v>
      </c>
      <c r="D5749" s="26">
        <v>0.64719907407407407</v>
      </c>
      <c r="E5749" t="s">
        <v>29</v>
      </c>
      <c r="F5749" t="s">
        <v>635</v>
      </c>
      <c r="G5749" t="s">
        <v>185</v>
      </c>
      <c r="H5749" t="s">
        <v>212</v>
      </c>
      <c r="I5749" s="148">
        <v>403.23</v>
      </c>
      <c r="J5749" s="32">
        <v>0</v>
      </c>
      <c r="K5749" s="89">
        <f>+L5749-J5308</f>
        <v>833</v>
      </c>
      <c r="L5749" s="34">
        <v>833</v>
      </c>
      <c r="M5749" s="10">
        <f t="shared" si="359"/>
        <v>48.406962785114047</v>
      </c>
    </row>
    <row r="5750" spans="1:19" ht="15.75" hidden="1" customHeight="1" x14ac:dyDescent="0.3">
      <c r="A5750" s="9">
        <v>5974</v>
      </c>
      <c r="B5750" t="s">
        <v>466</v>
      </c>
      <c r="C5750" s="25">
        <v>44726</v>
      </c>
      <c r="D5750" s="26">
        <v>0.48749999999999999</v>
      </c>
      <c r="E5750" t="s">
        <v>29</v>
      </c>
      <c r="F5750" t="s">
        <v>679</v>
      </c>
      <c r="G5750" t="s">
        <v>392</v>
      </c>
      <c r="H5750" t="s">
        <v>212</v>
      </c>
      <c r="I5750">
        <v>29.71</v>
      </c>
      <c r="J5750" s="32">
        <v>0</v>
      </c>
      <c r="K5750" s="89">
        <v>413</v>
      </c>
      <c r="L5750" s="7">
        <v>413</v>
      </c>
      <c r="M5750" s="10">
        <f t="shared" si="359"/>
        <v>7.1937046004842617</v>
      </c>
      <c r="N5750" s="2"/>
      <c r="O5750" s="2"/>
      <c r="P5750" s="2"/>
      <c r="Q5750" s="2"/>
      <c r="R5750" s="2"/>
      <c r="S5750" s="2"/>
    </row>
    <row r="5751" spans="1:19" ht="15.75" hidden="1" customHeight="1" x14ac:dyDescent="0.3">
      <c r="A5751" s="9">
        <v>6031</v>
      </c>
      <c r="B5751" t="s">
        <v>466</v>
      </c>
      <c r="C5751" s="25">
        <v>44727</v>
      </c>
      <c r="D5751" s="26">
        <v>0.6173495370370371</v>
      </c>
      <c r="E5751" t="s">
        <v>29</v>
      </c>
      <c r="F5751" t="s">
        <v>634</v>
      </c>
      <c r="G5751" t="s">
        <v>211</v>
      </c>
      <c r="H5751" t="s">
        <v>15</v>
      </c>
      <c r="I5751">
        <v>465</v>
      </c>
      <c r="J5751" s="32">
        <v>0</v>
      </c>
      <c r="K5751" s="89">
        <v>843</v>
      </c>
      <c r="L5751" s="7">
        <v>843</v>
      </c>
      <c r="M5751" s="10">
        <f t="shared" si="359"/>
        <v>55.160142348754448</v>
      </c>
    </row>
    <row r="5752" spans="1:19" ht="15.75" hidden="1" customHeight="1" x14ac:dyDescent="0.3">
      <c r="A5752" s="9">
        <v>6094</v>
      </c>
      <c r="B5752" t="s">
        <v>466</v>
      </c>
      <c r="C5752" s="25">
        <v>44728</v>
      </c>
      <c r="D5752" s="26">
        <v>0.46017361111111116</v>
      </c>
      <c r="E5752" t="s">
        <v>29</v>
      </c>
      <c r="F5752" t="s">
        <v>635</v>
      </c>
      <c r="G5752" t="s">
        <v>185</v>
      </c>
      <c r="H5752" t="s">
        <v>15</v>
      </c>
      <c r="I5752">
        <v>255.61</v>
      </c>
      <c r="J5752" s="32">
        <v>0</v>
      </c>
      <c r="K5752" s="89">
        <v>548</v>
      </c>
      <c r="L5752" s="7">
        <v>548</v>
      </c>
      <c r="M5752" s="10">
        <f t="shared" si="359"/>
        <v>46.644160583941606</v>
      </c>
    </row>
    <row r="5753" spans="1:19" ht="15.75" hidden="1" customHeight="1" x14ac:dyDescent="0.3">
      <c r="A5753" s="9">
        <v>6198</v>
      </c>
      <c r="B5753" t="s">
        <v>466</v>
      </c>
      <c r="C5753" s="25">
        <v>44730</v>
      </c>
      <c r="D5753" s="26">
        <v>0.66318287037037038</v>
      </c>
      <c r="E5753" t="s">
        <v>29</v>
      </c>
      <c r="F5753" t="s">
        <v>639</v>
      </c>
      <c r="G5753" t="s">
        <v>44</v>
      </c>
      <c r="H5753" t="s">
        <v>15</v>
      </c>
      <c r="I5753">
        <v>234</v>
      </c>
      <c r="J5753" s="32">
        <v>0</v>
      </c>
      <c r="K5753" s="89">
        <v>1664</v>
      </c>
      <c r="L5753" s="7">
        <v>1664</v>
      </c>
      <c r="M5753" s="10">
        <f t="shared" si="359"/>
        <v>14.0625</v>
      </c>
    </row>
    <row r="5754" spans="1:19" ht="15.75" hidden="1" customHeight="1" x14ac:dyDescent="0.3">
      <c r="A5754" s="9">
        <v>6199</v>
      </c>
      <c r="B5754" t="s">
        <v>466</v>
      </c>
      <c r="C5754" s="25">
        <v>44730</v>
      </c>
      <c r="D5754" s="26">
        <v>0.7340740740740741</v>
      </c>
      <c r="E5754" t="s">
        <v>29</v>
      </c>
      <c r="F5754" t="s">
        <v>663</v>
      </c>
      <c r="G5754" t="s">
        <v>344</v>
      </c>
      <c r="H5754" t="s">
        <v>15</v>
      </c>
      <c r="I5754">
        <v>100</v>
      </c>
      <c r="J5754" s="32">
        <v>0</v>
      </c>
      <c r="K5754" s="89">
        <v>82</v>
      </c>
      <c r="L5754" s="7">
        <v>82</v>
      </c>
      <c r="M5754" s="10">
        <f t="shared" si="359"/>
        <v>121.95121951219512</v>
      </c>
    </row>
    <row r="5755" spans="1:19" ht="15.75" hidden="1" customHeight="1" x14ac:dyDescent="0.3">
      <c r="A5755" s="9">
        <v>6200</v>
      </c>
      <c r="B5755" t="s">
        <v>466</v>
      </c>
      <c r="C5755" s="25">
        <v>44730</v>
      </c>
      <c r="D5755" s="26">
        <v>0.99793981481481486</v>
      </c>
      <c r="E5755" t="s">
        <v>29</v>
      </c>
      <c r="F5755" t="s">
        <v>674</v>
      </c>
      <c r="G5755" t="s">
        <v>487</v>
      </c>
      <c r="H5755" t="s">
        <v>15</v>
      </c>
      <c r="I5755">
        <v>421.08</v>
      </c>
      <c r="J5755" s="32">
        <v>0</v>
      </c>
      <c r="K5755" s="89">
        <v>422</v>
      </c>
      <c r="L5755" s="7">
        <v>422</v>
      </c>
      <c r="M5755" s="10">
        <f t="shared" si="359"/>
        <v>99.781990521327018</v>
      </c>
    </row>
    <row r="5756" spans="1:19" ht="15.75" hidden="1" customHeight="1" x14ac:dyDescent="0.3">
      <c r="A5756" s="9">
        <v>6326</v>
      </c>
      <c r="B5756" t="s">
        <v>466</v>
      </c>
      <c r="C5756" s="25">
        <v>44734</v>
      </c>
      <c r="D5756" s="26">
        <v>3.7731481481481484E-2</v>
      </c>
      <c r="E5756" t="s">
        <v>29</v>
      </c>
      <c r="F5756" t="s">
        <v>645</v>
      </c>
      <c r="G5756" t="s">
        <v>279</v>
      </c>
      <c r="H5756" t="s">
        <v>15</v>
      </c>
      <c r="I5756">
        <v>400</v>
      </c>
      <c r="J5756" s="32">
        <v>0</v>
      </c>
      <c r="K5756" s="89">
        <v>2622</v>
      </c>
      <c r="L5756" s="34">
        <v>2622</v>
      </c>
      <c r="M5756" s="10">
        <f t="shared" si="359"/>
        <v>15.255530129672007</v>
      </c>
    </row>
    <row r="5757" spans="1:19" ht="15.75" hidden="1" customHeight="1" x14ac:dyDescent="0.3">
      <c r="A5757" s="9">
        <v>6420</v>
      </c>
      <c r="B5757" t="s">
        <v>466</v>
      </c>
      <c r="C5757" s="25">
        <v>44736</v>
      </c>
      <c r="D5757" s="26">
        <v>0.59664351851851849</v>
      </c>
      <c r="E5757" t="s">
        <v>29</v>
      </c>
      <c r="F5757" t="s">
        <v>659</v>
      </c>
      <c r="G5757" t="s">
        <v>489</v>
      </c>
      <c r="H5757" t="s">
        <v>15</v>
      </c>
      <c r="I5757">
        <v>669</v>
      </c>
      <c r="J5757" s="32">
        <v>0</v>
      </c>
      <c r="K5757" s="89">
        <v>1850</v>
      </c>
      <c r="L5757" s="7">
        <v>1850</v>
      </c>
      <c r="M5757" s="10">
        <f t="shared" si="359"/>
        <v>36.162162162162161</v>
      </c>
    </row>
    <row r="5758" spans="1:19" ht="15.75" hidden="1" customHeight="1" x14ac:dyDescent="0.3">
      <c r="A5758" s="9">
        <v>6534</v>
      </c>
      <c r="B5758" t="s">
        <v>466</v>
      </c>
      <c r="C5758" s="25">
        <v>44738</v>
      </c>
      <c r="D5758" s="26">
        <v>0.55585648148148148</v>
      </c>
      <c r="E5758" t="s">
        <v>29</v>
      </c>
      <c r="F5758" t="s">
        <v>713</v>
      </c>
      <c r="G5758" t="s">
        <v>196</v>
      </c>
      <c r="H5758" t="s">
        <v>15</v>
      </c>
      <c r="I5758">
        <v>517</v>
      </c>
      <c r="J5758" s="32">
        <v>0</v>
      </c>
      <c r="K5758" s="89">
        <v>1786</v>
      </c>
      <c r="L5758" s="7">
        <v>1786</v>
      </c>
      <c r="M5758" s="10">
        <f t="shared" si="359"/>
        <v>28.947368421052634</v>
      </c>
    </row>
    <row r="5759" spans="1:19" ht="15.75" hidden="1" customHeight="1" x14ac:dyDescent="0.3">
      <c r="A5759" s="9">
        <v>6586</v>
      </c>
      <c r="B5759" t="s">
        <v>466</v>
      </c>
      <c r="C5759" s="25">
        <v>44739</v>
      </c>
      <c r="D5759" s="26">
        <v>0.51953703703703702</v>
      </c>
      <c r="E5759" t="s">
        <v>29</v>
      </c>
      <c r="F5759" t="s">
        <v>709</v>
      </c>
      <c r="G5759" t="s">
        <v>44</v>
      </c>
      <c r="H5759" t="s">
        <v>15</v>
      </c>
      <c r="I5759">
        <v>301.22000000000003</v>
      </c>
      <c r="J5759" s="32">
        <v>0</v>
      </c>
      <c r="K5759" s="89">
        <v>355</v>
      </c>
      <c r="L5759" s="7">
        <v>355</v>
      </c>
      <c r="M5759" s="10">
        <f t="shared" si="359"/>
        <v>84.850704225352132</v>
      </c>
    </row>
    <row r="5760" spans="1:19" ht="15.75" hidden="1" customHeight="1" x14ac:dyDescent="0.3">
      <c r="A5760" s="9">
        <v>6641</v>
      </c>
      <c r="B5760" t="s">
        <v>466</v>
      </c>
      <c r="C5760" s="25">
        <v>44740</v>
      </c>
      <c r="D5760" s="26">
        <v>0.73692129629629621</v>
      </c>
      <c r="E5760" t="s">
        <v>29</v>
      </c>
      <c r="F5760" t="s">
        <v>634</v>
      </c>
      <c r="G5760" t="s">
        <v>211</v>
      </c>
      <c r="H5760" t="s">
        <v>15</v>
      </c>
      <c r="I5760">
        <v>391.62</v>
      </c>
      <c r="J5760" s="32">
        <v>0</v>
      </c>
      <c r="K5760" s="89">
        <v>942</v>
      </c>
      <c r="L5760" s="7">
        <v>942</v>
      </c>
      <c r="M5760" s="10">
        <f t="shared" si="359"/>
        <v>41.573248407643312</v>
      </c>
    </row>
    <row r="5761" spans="1:13" ht="15.75" hidden="1" customHeight="1" x14ac:dyDescent="0.3">
      <c r="A5761" s="9">
        <v>6751</v>
      </c>
      <c r="B5761" t="s">
        <v>466</v>
      </c>
      <c r="C5761" s="25">
        <v>44742</v>
      </c>
      <c r="D5761" s="26">
        <v>0.77376157407407409</v>
      </c>
      <c r="E5761" t="s">
        <v>29</v>
      </c>
      <c r="F5761" t="s">
        <v>169</v>
      </c>
      <c r="G5761" t="s">
        <v>196</v>
      </c>
      <c r="H5761" t="s">
        <v>15</v>
      </c>
      <c r="I5761" s="148">
        <f>317.54+306.57</f>
        <v>624.11</v>
      </c>
      <c r="J5761" s="54"/>
      <c r="K5761" s="54">
        <v>559870</v>
      </c>
      <c r="L5761" s="54">
        <f>+K5761-J5761</f>
        <v>559870</v>
      </c>
      <c r="M5761" s="131">
        <f>I5761/L5761*100</f>
        <v>0.11147409219997499</v>
      </c>
    </row>
    <row r="5762" spans="1:13" ht="15.75" hidden="1" customHeight="1" x14ac:dyDescent="0.3">
      <c r="B5762" t="s">
        <v>716</v>
      </c>
      <c r="C5762" s="25">
        <v>44750</v>
      </c>
      <c r="D5762" s="26">
        <v>0.40084490740740741</v>
      </c>
      <c r="E5762" t="s">
        <v>30</v>
      </c>
      <c r="F5762" t="s">
        <v>169</v>
      </c>
      <c r="G5762" t="s">
        <v>196</v>
      </c>
      <c r="H5762" t="s">
        <v>199</v>
      </c>
      <c r="I5762" s="173">
        <v>190.04</v>
      </c>
      <c r="J5762" s="8"/>
      <c r="K5762" s="8"/>
      <c r="L5762" s="8"/>
      <c r="M5762" s="91" t="e">
        <f>I5762/K5762*100</f>
        <v>#DIV/0!</v>
      </c>
    </row>
    <row r="5763" spans="1:13" ht="15.75" hidden="1" customHeight="1" x14ac:dyDescent="0.3">
      <c r="B5763" t="s">
        <v>716</v>
      </c>
      <c r="C5763" s="25">
        <v>44752</v>
      </c>
      <c r="D5763" s="26">
        <v>0.26489583333333333</v>
      </c>
      <c r="E5763" t="s">
        <v>30</v>
      </c>
      <c r="F5763" t="s">
        <v>210</v>
      </c>
      <c r="G5763" t="s">
        <v>211</v>
      </c>
      <c r="H5763" t="s">
        <v>199</v>
      </c>
      <c r="I5763" s="173">
        <v>485.16</v>
      </c>
      <c r="J5763" s="160">
        <f>415+322+190+305+485</f>
        <v>1717</v>
      </c>
      <c r="K5763" s="160"/>
      <c r="L5763" s="160">
        <v>4644</v>
      </c>
      <c r="M5763" s="149">
        <f>+J5763/L5763*100</f>
        <v>36.972437553832904</v>
      </c>
    </row>
    <row r="5764" spans="1:13" ht="15.75" hidden="1" customHeight="1" x14ac:dyDescent="0.3">
      <c r="B5764" t="s">
        <v>716</v>
      </c>
      <c r="C5764" s="25">
        <v>44752</v>
      </c>
      <c r="D5764" s="26">
        <v>0.87159722222222225</v>
      </c>
      <c r="E5764" t="s">
        <v>30</v>
      </c>
      <c r="F5764" t="s">
        <v>210</v>
      </c>
      <c r="G5764" t="s">
        <v>211</v>
      </c>
      <c r="H5764" t="s">
        <v>199</v>
      </c>
      <c r="I5764" s="173">
        <v>304.75</v>
      </c>
      <c r="J5764" s="8"/>
      <c r="K5764" s="8"/>
      <c r="L5764" s="8"/>
      <c r="M5764" s="91" t="e">
        <f>I5764/K5764*100</f>
        <v>#DIV/0!</v>
      </c>
    </row>
    <row r="5765" spans="1:13" ht="15.75" hidden="1" customHeight="1" x14ac:dyDescent="0.3">
      <c r="B5765" t="s">
        <v>716</v>
      </c>
      <c r="C5765" s="25">
        <v>44753</v>
      </c>
      <c r="D5765" s="26">
        <v>0.44228009259259254</v>
      </c>
      <c r="E5765" t="s">
        <v>30</v>
      </c>
      <c r="F5765" t="s">
        <v>880</v>
      </c>
      <c r="G5765" t="s">
        <v>277</v>
      </c>
      <c r="H5765" t="s">
        <v>199</v>
      </c>
      <c r="I5765" s="173">
        <v>250.01</v>
      </c>
      <c r="J5765" s="23"/>
      <c r="K5765" s="23"/>
      <c r="L5765" s="23"/>
      <c r="M5765" s="91" t="e">
        <f>I5765/K5765*100</f>
        <v>#DIV/0!</v>
      </c>
    </row>
    <row r="5766" spans="1:13" ht="15.75" hidden="1" customHeight="1" x14ac:dyDescent="0.3">
      <c r="B5766" t="s">
        <v>716</v>
      </c>
      <c r="C5766" s="25">
        <v>44754</v>
      </c>
      <c r="D5766" s="26">
        <v>0.72737268518518527</v>
      </c>
      <c r="E5766" t="s">
        <v>30</v>
      </c>
      <c r="F5766" t="s">
        <v>210</v>
      </c>
      <c r="G5766" t="s">
        <v>211</v>
      </c>
      <c r="H5766" t="s">
        <v>199</v>
      </c>
      <c r="I5766" s="244">
        <v>408.03</v>
      </c>
      <c r="J5766" s="268">
        <f>305+250+408</f>
        <v>963</v>
      </c>
      <c r="K5766" s="153"/>
      <c r="L5766" s="268">
        <v>2707</v>
      </c>
      <c r="M5766" s="152">
        <f>+J5766/L5766*100</f>
        <v>35.574436645733279</v>
      </c>
    </row>
    <row r="5767" spans="1:13" ht="15.75" hidden="1" customHeight="1" x14ac:dyDescent="0.3">
      <c r="B5767" t="s">
        <v>716</v>
      </c>
      <c r="C5767" s="25">
        <v>44755</v>
      </c>
      <c r="D5767" s="26">
        <v>0.87913194444444442</v>
      </c>
      <c r="E5767" t="s">
        <v>30</v>
      </c>
      <c r="F5767" t="s">
        <v>165</v>
      </c>
      <c r="G5767" t="s">
        <v>185</v>
      </c>
      <c r="H5767" t="s">
        <v>199</v>
      </c>
      <c r="I5767" s="244">
        <v>257.39999999999998</v>
      </c>
      <c r="J5767" s="49"/>
      <c r="K5767" s="97"/>
      <c r="L5767" s="49"/>
      <c r="M5767" s="248" t="e">
        <f>I5767/K5767*100</f>
        <v>#DIV/0!</v>
      </c>
    </row>
    <row r="5768" spans="1:13" ht="15.75" hidden="1" customHeight="1" x14ac:dyDescent="0.3">
      <c r="B5768" t="s">
        <v>716</v>
      </c>
      <c r="C5768" s="25">
        <v>44757</v>
      </c>
      <c r="D5768" s="26">
        <v>0.33853009259259265</v>
      </c>
      <c r="E5768" t="s">
        <v>30</v>
      </c>
      <c r="F5768" t="s">
        <v>774</v>
      </c>
      <c r="G5768" t="s">
        <v>161</v>
      </c>
      <c r="H5768" t="s">
        <v>199</v>
      </c>
      <c r="I5768" s="173">
        <v>247.31</v>
      </c>
      <c r="J5768" s="231">
        <f>247+257</f>
        <v>504</v>
      </c>
      <c r="K5768" s="231"/>
      <c r="L5768" s="270">
        <v>1249</v>
      </c>
      <c r="M5768" s="150">
        <f>+J5768/L5768*100</f>
        <v>40.352281825460366</v>
      </c>
    </row>
    <row r="5769" spans="1:13" ht="15.75" hidden="1" customHeight="1" x14ac:dyDescent="0.3">
      <c r="B5769" t="s">
        <v>716</v>
      </c>
      <c r="C5769" s="25">
        <v>44757</v>
      </c>
      <c r="D5769" s="26">
        <v>0.77555555555555555</v>
      </c>
      <c r="E5769" t="s">
        <v>30</v>
      </c>
      <c r="F5769" t="s">
        <v>169</v>
      </c>
      <c r="G5769" t="s">
        <v>196</v>
      </c>
      <c r="H5769" t="s">
        <v>199</v>
      </c>
      <c r="I5769" s="247">
        <v>149</v>
      </c>
      <c r="J5769" s="277"/>
      <c r="K5769" s="99"/>
      <c r="L5769" s="66"/>
      <c r="M5769" s="248" t="e">
        <f t="shared" ref="M5769:M5774" si="360">I5769/K5769*100</f>
        <v>#DIV/0!</v>
      </c>
    </row>
    <row r="5770" spans="1:13" ht="15.75" hidden="1" customHeight="1" x14ac:dyDescent="0.3">
      <c r="B5770" t="s">
        <v>716</v>
      </c>
      <c r="C5770" s="25">
        <v>44758</v>
      </c>
      <c r="D5770" s="26">
        <v>0.77209490740740738</v>
      </c>
      <c r="E5770" t="s">
        <v>30</v>
      </c>
      <c r="F5770" t="s">
        <v>772</v>
      </c>
      <c r="G5770" t="s">
        <v>44</v>
      </c>
      <c r="H5770" t="s">
        <v>199</v>
      </c>
      <c r="I5770" s="173">
        <v>263.29000000000002</v>
      </c>
      <c r="J5770" s="23"/>
      <c r="K5770" s="90"/>
      <c r="L5770" s="23"/>
      <c r="M5770" s="91" t="e">
        <f t="shared" si="360"/>
        <v>#DIV/0!</v>
      </c>
    </row>
    <row r="5771" spans="1:13" ht="15.75" hidden="1" customHeight="1" x14ac:dyDescent="0.3">
      <c r="B5771" t="s">
        <v>370</v>
      </c>
      <c r="C5771" s="25">
        <v>44575</v>
      </c>
      <c r="D5771" s="26">
        <v>0.15952546296296297</v>
      </c>
      <c r="E5771" t="s">
        <v>24</v>
      </c>
      <c r="F5771" t="s">
        <v>226</v>
      </c>
      <c r="G5771" t="s">
        <v>227</v>
      </c>
      <c r="H5771" t="s">
        <v>230</v>
      </c>
      <c r="I5771">
        <v>286.70999999999998</v>
      </c>
      <c r="J5771" s="30">
        <v>0</v>
      </c>
      <c r="K5771" s="30">
        <f>+L5771-J5771</f>
        <v>551.48</v>
      </c>
      <c r="L5771" s="34">
        <v>551.48</v>
      </c>
      <c r="M5771" s="61">
        <f t="shared" si="360"/>
        <v>51.989192717777613</v>
      </c>
    </row>
    <row r="5772" spans="1:13" ht="15.75" hidden="1" customHeight="1" x14ac:dyDescent="0.3">
      <c r="A5772" s="9">
        <v>664</v>
      </c>
      <c r="B5772" t="s">
        <v>370</v>
      </c>
      <c r="C5772" s="25">
        <v>44610</v>
      </c>
      <c r="D5772" s="26">
        <v>9.015046296296296E-2</v>
      </c>
      <c r="E5772" t="s">
        <v>25</v>
      </c>
      <c r="F5772" t="s">
        <v>226</v>
      </c>
      <c r="G5772" t="s">
        <v>227</v>
      </c>
      <c r="H5772" t="s">
        <v>224</v>
      </c>
      <c r="I5772">
        <v>314.74</v>
      </c>
      <c r="J5772" s="11">
        <v>0</v>
      </c>
      <c r="K5772" s="11">
        <f>+L5772-J5772</f>
        <v>674.82</v>
      </c>
      <c r="L5772" s="32">
        <v>674.82</v>
      </c>
      <c r="M5772" s="10">
        <f t="shared" si="360"/>
        <v>46.640585637651519</v>
      </c>
    </row>
    <row r="5773" spans="1:13" ht="15.75" hidden="1" customHeight="1" x14ac:dyDescent="0.3">
      <c r="A5773" s="9">
        <v>676</v>
      </c>
      <c r="B5773" t="s">
        <v>370</v>
      </c>
      <c r="C5773" s="25">
        <v>44596.15</v>
      </c>
      <c r="D5773" s="26">
        <v>0.42659722222222224</v>
      </c>
      <c r="E5773" t="s">
        <v>25</v>
      </c>
      <c r="F5773" t="s">
        <v>226</v>
      </c>
      <c r="G5773" t="s">
        <v>227</v>
      </c>
      <c r="H5773" t="s">
        <v>230</v>
      </c>
      <c r="I5773">
        <v>367.61</v>
      </c>
      <c r="J5773" s="7">
        <v>0</v>
      </c>
      <c r="K5773" s="11">
        <f>+L5773-J5773</f>
        <v>629.15</v>
      </c>
      <c r="L5773" s="34">
        <v>629.15</v>
      </c>
      <c r="M5773" s="10">
        <f t="shared" si="360"/>
        <v>58.429627274894699</v>
      </c>
    </row>
    <row r="5774" spans="1:13" ht="15.75" hidden="1" customHeight="1" x14ac:dyDescent="0.3">
      <c r="A5774" s="9">
        <v>679</v>
      </c>
      <c r="B5774" t="s">
        <v>370</v>
      </c>
      <c r="C5774" s="25">
        <v>44606</v>
      </c>
      <c r="D5774" s="26">
        <v>0.21245370370370373</v>
      </c>
      <c r="E5774" t="s">
        <v>25</v>
      </c>
      <c r="F5774" t="s">
        <v>226</v>
      </c>
      <c r="G5774" t="s">
        <v>227</v>
      </c>
      <c r="H5774" t="s">
        <v>230</v>
      </c>
      <c r="I5774">
        <v>331.05</v>
      </c>
      <c r="J5774" s="7">
        <v>0</v>
      </c>
      <c r="K5774" s="11">
        <f>+L5774-J5774</f>
        <v>526.45000000000005</v>
      </c>
      <c r="L5774" s="7">
        <v>526.45000000000005</v>
      </c>
      <c r="M5774" s="10">
        <f t="shared" si="360"/>
        <v>62.883464716497294</v>
      </c>
    </row>
    <row r="5775" spans="1:13" ht="15.75" hidden="1" customHeight="1" x14ac:dyDescent="0.3">
      <c r="A5775" s="9">
        <v>6594</v>
      </c>
      <c r="B5775" t="s">
        <v>217</v>
      </c>
      <c r="C5775" s="25">
        <v>44739</v>
      </c>
      <c r="D5775" s="26">
        <v>0.96250000000000002</v>
      </c>
      <c r="E5775" t="s">
        <v>29</v>
      </c>
      <c r="F5775" t="s">
        <v>634</v>
      </c>
      <c r="G5775" t="s">
        <v>211</v>
      </c>
      <c r="H5775" t="s">
        <v>218</v>
      </c>
      <c r="I5775" s="148">
        <v>385.01</v>
      </c>
      <c r="J5775" s="198">
        <f>385+167+140+340+104+276</f>
        <v>1412</v>
      </c>
      <c r="K5775" s="228">
        <v>1062</v>
      </c>
      <c r="L5775" s="154">
        <v>3881</v>
      </c>
      <c r="M5775" s="229">
        <f>+J5775/L5775*100</f>
        <v>36.382375676372071</v>
      </c>
    </row>
    <row r="5776" spans="1:13" ht="15.75" hidden="1" customHeight="1" x14ac:dyDescent="0.3">
      <c r="B5776" t="s">
        <v>716</v>
      </c>
      <c r="C5776" s="25">
        <v>44759</v>
      </c>
      <c r="D5776" s="26">
        <v>0.32141203703703702</v>
      </c>
      <c r="E5776" t="s">
        <v>30</v>
      </c>
      <c r="F5776" t="s">
        <v>774</v>
      </c>
      <c r="G5776" t="s">
        <v>161</v>
      </c>
      <c r="H5776" t="s">
        <v>199</v>
      </c>
      <c r="I5776" s="173">
        <v>231.32</v>
      </c>
      <c r="J5776" s="231">
        <f>231+263+149</f>
        <v>643</v>
      </c>
      <c r="K5776" s="151"/>
      <c r="L5776" s="151">
        <v>1665</v>
      </c>
      <c r="M5776" s="150">
        <f>+J5776/L5776*100</f>
        <v>38.618618618618619</v>
      </c>
    </row>
    <row r="5777" spans="2:13" ht="15.75" hidden="1" customHeight="1" x14ac:dyDescent="0.3">
      <c r="B5777" t="s">
        <v>716</v>
      </c>
      <c r="C5777" s="25">
        <v>44760</v>
      </c>
      <c r="D5777" s="26">
        <v>0.38512731481481483</v>
      </c>
      <c r="E5777" t="s">
        <v>30</v>
      </c>
      <c r="F5777" t="s">
        <v>210</v>
      </c>
      <c r="G5777" t="s">
        <v>211</v>
      </c>
      <c r="H5777" t="s">
        <v>199</v>
      </c>
      <c r="I5777" s="160">
        <v>224.9</v>
      </c>
      <c r="J5777" s="8"/>
      <c r="K5777" s="8">
        <v>74996</v>
      </c>
      <c r="L5777" s="8">
        <f>+K5777-J5777</f>
        <v>74996</v>
      </c>
      <c r="M5777" s="254">
        <f t="shared" ref="M5777:M5808" si="361">I5777/K5777*100</f>
        <v>0.2998826604085551</v>
      </c>
    </row>
    <row r="5778" spans="2:13" ht="15.75" hidden="1" customHeight="1" x14ac:dyDescent="0.3">
      <c r="B5778" t="s">
        <v>217</v>
      </c>
      <c r="C5778" s="25">
        <v>44565</v>
      </c>
      <c r="D5778" s="26">
        <v>0.7050347222222223</v>
      </c>
      <c r="E5778" t="s">
        <v>24</v>
      </c>
      <c r="F5778" t="s">
        <v>309</v>
      </c>
      <c r="G5778" t="s">
        <v>310</v>
      </c>
      <c r="H5778" t="s">
        <v>218</v>
      </c>
      <c r="I5778">
        <v>155</v>
      </c>
      <c r="J5778" s="34">
        <v>504487</v>
      </c>
      <c r="K5778" s="30">
        <f t="shared" ref="K5778:K5809" si="362">+L5778-J5778</f>
        <v>417</v>
      </c>
      <c r="L5778" s="34">
        <v>504904</v>
      </c>
      <c r="M5778" s="61">
        <f t="shared" si="361"/>
        <v>37.170263788968825</v>
      </c>
    </row>
    <row r="5779" spans="2:13" ht="15.75" hidden="1" customHeight="1" x14ac:dyDescent="0.3">
      <c r="B5779" t="s">
        <v>217</v>
      </c>
      <c r="C5779" s="25">
        <v>44566</v>
      </c>
      <c r="D5779" s="26">
        <v>0.90010416666666659</v>
      </c>
      <c r="E5779" t="s">
        <v>24</v>
      </c>
      <c r="F5779" t="s">
        <v>210</v>
      </c>
      <c r="G5779" t="s">
        <v>322</v>
      </c>
      <c r="H5779" t="s">
        <v>218</v>
      </c>
      <c r="I5779">
        <v>303.11</v>
      </c>
      <c r="J5779" s="34">
        <v>504904</v>
      </c>
      <c r="K5779" s="11">
        <f t="shared" si="362"/>
        <v>780</v>
      </c>
      <c r="L5779" s="7">
        <v>505684</v>
      </c>
      <c r="M5779" s="10">
        <f t="shared" si="361"/>
        <v>38.860256410256412</v>
      </c>
    </row>
    <row r="5780" spans="2:13" ht="15.75" hidden="1" customHeight="1" x14ac:dyDescent="0.3">
      <c r="B5780" t="s">
        <v>217</v>
      </c>
      <c r="C5780" s="25">
        <v>44568</v>
      </c>
      <c r="D5780" s="26">
        <v>0.39098379629629632</v>
      </c>
      <c r="E5780" t="s">
        <v>24</v>
      </c>
      <c r="F5780" t="s">
        <v>210</v>
      </c>
      <c r="G5780" t="s">
        <v>211</v>
      </c>
      <c r="H5780" t="s">
        <v>218</v>
      </c>
      <c r="I5780">
        <v>382.24</v>
      </c>
      <c r="J5780" s="51">
        <v>505684</v>
      </c>
      <c r="K5780" s="11">
        <f t="shared" si="362"/>
        <v>1045</v>
      </c>
      <c r="L5780" s="51">
        <v>506729</v>
      </c>
      <c r="M5780" s="10">
        <f t="shared" si="361"/>
        <v>36.577990430622009</v>
      </c>
    </row>
    <row r="5781" spans="2:13" ht="15.75" hidden="1" customHeight="1" x14ac:dyDescent="0.3">
      <c r="B5781" t="s">
        <v>217</v>
      </c>
      <c r="C5781" s="25">
        <v>44569</v>
      </c>
      <c r="D5781" s="26">
        <v>0.72418981481481481</v>
      </c>
      <c r="E5781" t="s">
        <v>24</v>
      </c>
      <c r="F5781" t="s">
        <v>205</v>
      </c>
      <c r="G5781" t="s">
        <v>206</v>
      </c>
      <c r="H5781" t="s">
        <v>218</v>
      </c>
      <c r="I5781">
        <v>346.02</v>
      </c>
      <c r="J5781" s="7">
        <v>506729</v>
      </c>
      <c r="K5781" s="11">
        <f t="shared" si="362"/>
        <v>973</v>
      </c>
      <c r="L5781" s="7">
        <v>507702</v>
      </c>
      <c r="M5781" s="10">
        <f t="shared" si="361"/>
        <v>35.562178828365873</v>
      </c>
    </row>
    <row r="5782" spans="2:13" ht="15.75" hidden="1" customHeight="1" x14ac:dyDescent="0.3">
      <c r="B5782" t="s">
        <v>217</v>
      </c>
      <c r="C5782" s="25">
        <v>44570</v>
      </c>
      <c r="D5782" s="26">
        <v>0.62059027777777775</v>
      </c>
      <c r="E5782" t="s">
        <v>24</v>
      </c>
      <c r="F5782" t="s">
        <v>210</v>
      </c>
      <c r="G5782" t="s">
        <v>211</v>
      </c>
      <c r="H5782" t="s">
        <v>218</v>
      </c>
      <c r="I5782">
        <v>275.42</v>
      </c>
      <c r="J5782" s="7">
        <v>507702</v>
      </c>
      <c r="K5782" s="11">
        <f t="shared" si="362"/>
        <v>726</v>
      </c>
      <c r="L5782" s="7">
        <v>508428</v>
      </c>
      <c r="M5782" s="10">
        <f t="shared" si="361"/>
        <v>37.936639118457308</v>
      </c>
    </row>
    <row r="5783" spans="2:13" ht="15.75" hidden="1" customHeight="1" x14ac:dyDescent="0.3">
      <c r="B5783" t="s">
        <v>217</v>
      </c>
      <c r="C5783" s="25">
        <v>44572</v>
      </c>
      <c r="D5783" s="26">
        <v>0.32844907407407409</v>
      </c>
      <c r="E5783" t="s">
        <v>24</v>
      </c>
      <c r="F5783" t="s">
        <v>210</v>
      </c>
      <c r="G5783" t="s">
        <v>211</v>
      </c>
      <c r="H5783" t="s">
        <v>218</v>
      </c>
      <c r="I5783">
        <v>373.16</v>
      </c>
      <c r="J5783" s="51">
        <v>508428</v>
      </c>
      <c r="K5783" s="11">
        <f t="shared" si="362"/>
        <v>1072</v>
      </c>
      <c r="L5783" s="51">
        <v>509500</v>
      </c>
      <c r="M5783" s="10">
        <f t="shared" si="361"/>
        <v>34.809701492537314</v>
      </c>
    </row>
    <row r="5784" spans="2:13" ht="15.75" hidden="1" customHeight="1" x14ac:dyDescent="0.3">
      <c r="B5784" t="s">
        <v>217</v>
      </c>
      <c r="C5784" s="25">
        <v>44573</v>
      </c>
      <c r="D5784" s="26">
        <v>0.79008101851851853</v>
      </c>
      <c r="E5784" t="s">
        <v>24</v>
      </c>
      <c r="F5784" t="s">
        <v>175</v>
      </c>
      <c r="G5784" t="s">
        <v>172</v>
      </c>
      <c r="H5784" t="s">
        <v>218</v>
      </c>
      <c r="I5784">
        <v>318.82</v>
      </c>
      <c r="J5784" s="51">
        <v>509500</v>
      </c>
      <c r="K5784" s="11">
        <f t="shared" si="362"/>
        <v>932</v>
      </c>
      <c r="L5784" s="51">
        <v>510432</v>
      </c>
      <c r="M5784" s="10">
        <f t="shared" si="361"/>
        <v>34.208154506437765</v>
      </c>
    </row>
    <row r="5785" spans="2:13" ht="15.75" hidden="1" customHeight="1" x14ac:dyDescent="0.3">
      <c r="B5785" t="s">
        <v>217</v>
      </c>
      <c r="C5785" s="25">
        <v>44575</v>
      </c>
      <c r="D5785" s="26">
        <v>0.80353009259259256</v>
      </c>
      <c r="E5785" t="s">
        <v>24</v>
      </c>
      <c r="F5785" t="s">
        <v>175</v>
      </c>
      <c r="G5785" t="s">
        <v>172</v>
      </c>
      <c r="H5785" t="s">
        <v>218</v>
      </c>
      <c r="I5785">
        <v>279.43</v>
      </c>
      <c r="J5785" s="51">
        <v>510432</v>
      </c>
      <c r="K5785" s="11">
        <f t="shared" si="362"/>
        <v>780</v>
      </c>
      <c r="L5785" s="51">
        <v>511212</v>
      </c>
      <c r="M5785" s="10">
        <f t="shared" si="361"/>
        <v>35.824358974358979</v>
      </c>
    </row>
    <row r="5786" spans="2:13" ht="15.75" hidden="1" customHeight="1" x14ac:dyDescent="0.3">
      <c r="B5786" t="s">
        <v>217</v>
      </c>
      <c r="C5786" s="25">
        <v>44577</v>
      </c>
      <c r="D5786" s="26">
        <v>0.36163194444444446</v>
      </c>
      <c r="E5786" t="s">
        <v>24</v>
      </c>
      <c r="F5786" t="s">
        <v>210</v>
      </c>
      <c r="G5786" t="s">
        <v>211</v>
      </c>
      <c r="H5786" t="s">
        <v>218</v>
      </c>
      <c r="I5786">
        <v>346.01</v>
      </c>
      <c r="J5786" s="51">
        <v>511212</v>
      </c>
      <c r="K5786" s="11">
        <f t="shared" si="362"/>
        <v>846</v>
      </c>
      <c r="L5786" s="51">
        <v>512058</v>
      </c>
      <c r="M5786" s="10">
        <f t="shared" si="361"/>
        <v>40.899527186761233</v>
      </c>
    </row>
    <row r="5787" spans="2:13" ht="15.75" hidden="1" customHeight="1" x14ac:dyDescent="0.3">
      <c r="B5787" t="s">
        <v>217</v>
      </c>
      <c r="C5787" s="25">
        <v>44578</v>
      </c>
      <c r="D5787" s="26">
        <v>0.5345833333333333</v>
      </c>
      <c r="E5787" t="s">
        <v>24</v>
      </c>
      <c r="F5787" t="s">
        <v>210</v>
      </c>
      <c r="G5787" t="s">
        <v>211</v>
      </c>
      <c r="H5787" t="s">
        <v>218</v>
      </c>
      <c r="I5787">
        <v>406.57</v>
      </c>
      <c r="J5787" s="51">
        <v>512058</v>
      </c>
      <c r="K5787" s="11">
        <f t="shared" si="362"/>
        <v>1076</v>
      </c>
      <c r="L5787" s="51">
        <v>513134</v>
      </c>
      <c r="M5787" s="10">
        <f t="shared" si="361"/>
        <v>37.785315985130111</v>
      </c>
    </row>
    <row r="5788" spans="2:13" ht="15.75" hidden="1" customHeight="1" x14ac:dyDescent="0.3">
      <c r="B5788" t="s">
        <v>217</v>
      </c>
      <c r="C5788" s="25">
        <v>44581</v>
      </c>
      <c r="D5788" s="26">
        <v>0.51550925925925928</v>
      </c>
      <c r="E5788" t="s">
        <v>24</v>
      </c>
      <c r="F5788" t="s">
        <v>175</v>
      </c>
      <c r="G5788" t="s">
        <v>172</v>
      </c>
      <c r="H5788" t="s">
        <v>218</v>
      </c>
      <c r="I5788">
        <v>386.45</v>
      </c>
      <c r="J5788" s="51">
        <v>513134</v>
      </c>
      <c r="K5788" s="11">
        <f t="shared" si="362"/>
        <v>992</v>
      </c>
      <c r="L5788" s="51">
        <v>514126</v>
      </c>
      <c r="M5788" s="10">
        <f t="shared" si="361"/>
        <v>38.956653225806448</v>
      </c>
    </row>
    <row r="5789" spans="2:13" ht="15.75" hidden="1" customHeight="1" x14ac:dyDescent="0.3">
      <c r="B5789" t="s">
        <v>217</v>
      </c>
      <c r="C5789" s="25">
        <v>44582</v>
      </c>
      <c r="D5789" s="26">
        <v>0.63475694444444442</v>
      </c>
      <c r="E5789" t="s">
        <v>24</v>
      </c>
      <c r="F5789" t="s">
        <v>210</v>
      </c>
      <c r="G5789" t="s">
        <v>211</v>
      </c>
      <c r="H5789" t="s">
        <v>218</v>
      </c>
      <c r="I5789">
        <v>340.01</v>
      </c>
      <c r="J5789" s="51">
        <v>514126</v>
      </c>
      <c r="K5789" s="11">
        <f t="shared" si="362"/>
        <v>842</v>
      </c>
      <c r="L5789" s="51">
        <v>514968</v>
      </c>
      <c r="M5789" s="10">
        <f t="shared" si="361"/>
        <v>40.381235154394297</v>
      </c>
    </row>
    <row r="5790" spans="2:13" ht="15.75" hidden="1" customHeight="1" x14ac:dyDescent="0.3">
      <c r="B5790" t="s">
        <v>217</v>
      </c>
      <c r="C5790" s="25">
        <v>44583</v>
      </c>
      <c r="D5790" s="26">
        <v>0.79240740740740734</v>
      </c>
      <c r="E5790" t="s">
        <v>24</v>
      </c>
      <c r="F5790" t="s">
        <v>165</v>
      </c>
      <c r="G5790" t="s">
        <v>185</v>
      </c>
      <c r="H5790" t="s">
        <v>218</v>
      </c>
      <c r="I5790">
        <v>224.78</v>
      </c>
      <c r="J5790" s="51">
        <v>514968</v>
      </c>
      <c r="K5790" s="11">
        <f t="shared" si="362"/>
        <v>558</v>
      </c>
      <c r="L5790" s="51">
        <v>515526</v>
      </c>
      <c r="M5790" s="10">
        <f t="shared" si="361"/>
        <v>40.283154121863802</v>
      </c>
    </row>
    <row r="5791" spans="2:13" ht="15.75" hidden="1" customHeight="1" x14ac:dyDescent="0.3">
      <c r="B5791" t="s">
        <v>217</v>
      </c>
      <c r="C5791" s="25">
        <v>44585</v>
      </c>
      <c r="D5791" s="26">
        <v>0.85769675925925926</v>
      </c>
      <c r="E5791" t="s">
        <v>24</v>
      </c>
      <c r="F5791" t="s">
        <v>202</v>
      </c>
      <c r="G5791" t="s">
        <v>203</v>
      </c>
      <c r="H5791" t="s">
        <v>218</v>
      </c>
      <c r="I5791">
        <v>340.73</v>
      </c>
      <c r="J5791" s="7">
        <v>515526</v>
      </c>
      <c r="K5791" s="11">
        <f t="shared" si="362"/>
        <v>1111</v>
      </c>
      <c r="L5791" s="7">
        <v>516637</v>
      </c>
      <c r="M5791" s="10">
        <f t="shared" si="361"/>
        <v>30.66876687668767</v>
      </c>
    </row>
    <row r="5792" spans="2:13" ht="15.75" hidden="1" customHeight="1" x14ac:dyDescent="0.3">
      <c r="B5792" t="s">
        <v>217</v>
      </c>
      <c r="C5792" s="25">
        <v>44589</v>
      </c>
      <c r="D5792" s="26">
        <v>0.40481481481481479</v>
      </c>
      <c r="E5792" t="s">
        <v>24</v>
      </c>
      <c r="F5792" t="s">
        <v>175</v>
      </c>
      <c r="G5792" t="s">
        <v>172</v>
      </c>
      <c r="H5792" t="s">
        <v>218</v>
      </c>
      <c r="I5792">
        <v>344.09</v>
      </c>
      <c r="J5792" s="7">
        <v>516637</v>
      </c>
      <c r="K5792" s="11">
        <f t="shared" si="362"/>
        <v>2089</v>
      </c>
      <c r="L5792" s="31">
        <v>518726</v>
      </c>
      <c r="M5792" s="10">
        <f t="shared" si="361"/>
        <v>16.471517472474869</v>
      </c>
    </row>
    <row r="5793" spans="1:13" ht="15.75" hidden="1" customHeight="1" x14ac:dyDescent="0.3">
      <c r="A5793" s="9">
        <v>549</v>
      </c>
      <c r="B5793" t="s">
        <v>217</v>
      </c>
      <c r="C5793" s="25">
        <v>44601</v>
      </c>
      <c r="D5793" s="26">
        <v>0.39788194444444441</v>
      </c>
      <c r="E5793" t="s">
        <v>25</v>
      </c>
      <c r="F5793" t="s">
        <v>210</v>
      </c>
      <c r="G5793" t="s">
        <v>211</v>
      </c>
      <c r="H5793" t="s">
        <v>218</v>
      </c>
      <c r="I5793">
        <v>365.07</v>
      </c>
      <c r="J5793" s="7">
        <v>518726</v>
      </c>
      <c r="K5793" s="11">
        <f t="shared" si="362"/>
        <v>905</v>
      </c>
      <c r="L5793" s="32">
        <v>519631</v>
      </c>
      <c r="M5793" s="10">
        <f t="shared" si="361"/>
        <v>40.339226519337018</v>
      </c>
    </row>
    <row r="5794" spans="1:13" ht="15.75" hidden="1" customHeight="1" x14ac:dyDescent="0.3">
      <c r="A5794" s="9">
        <v>550</v>
      </c>
      <c r="B5794" t="s">
        <v>217</v>
      </c>
      <c r="C5794" s="25">
        <v>44602</v>
      </c>
      <c r="D5794" s="26">
        <v>0.59546296296296297</v>
      </c>
      <c r="E5794" t="s">
        <v>25</v>
      </c>
      <c r="F5794" t="s">
        <v>210</v>
      </c>
      <c r="G5794" t="s">
        <v>211</v>
      </c>
      <c r="H5794" t="s">
        <v>218</v>
      </c>
      <c r="I5794">
        <v>380.68</v>
      </c>
      <c r="J5794" s="32">
        <v>519631</v>
      </c>
      <c r="K5794" s="53">
        <f t="shared" si="362"/>
        <v>1073</v>
      </c>
      <c r="L5794" s="32">
        <v>520704</v>
      </c>
      <c r="M5794" s="10">
        <f t="shared" si="361"/>
        <v>35.478098788443617</v>
      </c>
    </row>
    <row r="5795" spans="1:13" ht="15.75" hidden="1" customHeight="1" x14ac:dyDescent="0.3">
      <c r="A5795" s="9">
        <v>551</v>
      </c>
      <c r="B5795" t="s">
        <v>217</v>
      </c>
      <c r="C5795" s="25">
        <v>44603</v>
      </c>
      <c r="D5795" s="26">
        <v>0.78451388888888884</v>
      </c>
      <c r="E5795" t="s">
        <v>25</v>
      </c>
      <c r="F5795" t="s">
        <v>175</v>
      </c>
      <c r="G5795" t="s">
        <v>172</v>
      </c>
      <c r="H5795" t="s">
        <v>218</v>
      </c>
      <c r="I5795">
        <v>321.58999999999997</v>
      </c>
      <c r="J5795" s="32">
        <v>520704</v>
      </c>
      <c r="K5795" s="53">
        <f t="shared" si="362"/>
        <v>905</v>
      </c>
      <c r="L5795" s="32">
        <v>521609</v>
      </c>
      <c r="M5795" s="10">
        <f t="shared" si="361"/>
        <v>35.53480662983425</v>
      </c>
    </row>
    <row r="5796" spans="1:13" ht="15.75" hidden="1" customHeight="1" x14ac:dyDescent="0.3">
      <c r="A5796" s="9">
        <v>552</v>
      </c>
      <c r="B5796" t="s">
        <v>217</v>
      </c>
      <c r="C5796" s="25">
        <v>44604</v>
      </c>
      <c r="D5796" s="26">
        <v>0.89261574074074079</v>
      </c>
      <c r="E5796" t="s">
        <v>25</v>
      </c>
      <c r="F5796" t="s">
        <v>210</v>
      </c>
      <c r="G5796" t="s">
        <v>211</v>
      </c>
      <c r="H5796" t="s">
        <v>218</v>
      </c>
      <c r="I5796">
        <v>338.25</v>
      </c>
      <c r="J5796" s="32">
        <v>521609</v>
      </c>
      <c r="K5796" s="53">
        <f t="shared" si="362"/>
        <v>901</v>
      </c>
      <c r="L5796" s="32">
        <v>522510</v>
      </c>
      <c r="M5796" s="10">
        <f t="shared" si="361"/>
        <v>37.541620421753606</v>
      </c>
    </row>
    <row r="5797" spans="1:13" ht="15.75" hidden="1" customHeight="1" x14ac:dyDescent="0.3">
      <c r="A5797" s="9">
        <v>553</v>
      </c>
      <c r="B5797" t="s">
        <v>217</v>
      </c>
      <c r="C5797" s="25">
        <v>44606</v>
      </c>
      <c r="D5797" s="26">
        <v>0.64688657407407402</v>
      </c>
      <c r="E5797" t="s">
        <v>25</v>
      </c>
      <c r="F5797" t="s">
        <v>210</v>
      </c>
      <c r="G5797" t="s">
        <v>211</v>
      </c>
      <c r="H5797" t="s">
        <v>218</v>
      </c>
      <c r="I5797">
        <v>385.19</v>
      </c>
      <c r="J5797" s="32">
        <v>522510</v>
      </c>
      <c r="K5797" s="53">
        <f t="shared" si="362"/>
        <v>1074</v>
      </c>
      <c r="L5797" s="32">
        <v>523584</v>
      </c>
      <c r="M5797" s="10">
        <f t="shared" si="361"/>
        <v>35.864990689013041</v>
      </c>
    </row>
    <row r="5798" spans="1:13" ht="15.75" hidden="1" customHeight="1" x14ac:dyDescent="0.3">
      <c r="A5798" s="9">
        <v>554</v>
      </c>
      <c r="B5798" t="s">
        <v>217</v>
      </c>
      <c r="C5798" s="25">
        <v>44609</v>
      </c>
      <c r="D5798" s="26">
        <v>0.45717592592592587</v>
      </c>
      <c r="E5798" t="s">
        <v>25</v>
      </c>
      <c r="F5798" t="s">
        <v>368</v>
      </c>
      <c r="G5798" t="s">
        <v>369</v>
      </c>
      <c r="H5798" t="s">
        <v>218</v>
      </c>
      <c r="I5798">
        <v>349.75</v>
      </c>
      <c r="J5798" s="32">
        <v>523584</v>
      </c>
      <c r="K5798" s="53">
        <f t="shared" si="362"/>
        <v>1101</v>
      </c>
      <c r="L5798" s="32">
        <v>524685</v>
      </c>
      <c r="M5798" s="10">
        <f t="shared" si="361"/>
        <v>31.766575840145322</v>
      </c>
    </row>
    <row r="5799" spans="1:13" ht="15.75" hidden="1" customHeight="1" x14ac:dyDescent="0.3">
      <c r="A5799" s="9">
        <v>555</v>
      </c>
      <c r="B5799" t="s">
        <v>217</v>
      </c>
      <c r="C5799" s="25">
        <v>44610</v>
      </c>
      <c r="D5799" s="26">
        <v>0.53776620370370376</v>
      </c>
      <c r="E5799" t="s">
        <v>25</v>
      </c>
      <c r="F5799" t="s">
        <v>210</v>
      </c>
      <c r="G5799" t="s">
        <v>211</v>
      </c>
      <c r="H5799" t="s">
        <v>218</v>
      </c>
      <c r="I5799">
        <v>347.07</v>
      </c>
      <c r="J5799" s="32">
        <v>524685</v>
      </c>
      <c r="K5799" s="53">
        <f t="shared" si="362"/>
        <v>865</v>
      </c>
      <c r="L5799" s="32">
        <v>525550</v>
      </c>
      <c r="M5799" s="10">
        <f t="shared" si="361"/>
        <v>40.12369942196532</v>
      </c>
    </row>
    <row r="5800" spans="1:13" ht="15.75" hidden="1" customHeight="1" x14ac:dyDescent="0.3">
      <c r="A5800" s="9">
        <v>556</v>
      </c>
      <c r="B5800" t="s">
        <v>217</v>
      </c>
      <c r="C5800" s="25">
        <v>44611</v>
      </c>
      <c r="D5800" s="26">
        <v>0.81614583333333324</v>
      </c>
      <c r="E5800" t="s">
        <v>25</v>
      </c>
      <c r="F5800" t="s">
        <v>202</v>
      </c>
      <c r="G5800" t="s">
        <v>203</v>
      </c>
      <c r="H5800" t="s">
        <v>218</v>
      </c>
      <c r="I5800">
        <v>368</v>
      </c>
      <c r="J5800" s="32">
        <v>525550</v>
      </c>
      <c r="K5800" s="53">
        <f t="shared" si="362"/>
        <v>1100</v>
      </c>
      <c r="L5800" s="32">
        <v>526650</v>
      </c>
      <c r="M5800" s="10">
        <f t="shared" si="361"/>
        <v>33.454545454545453</v>
      </c>
    </row>
    <row r="5801" spans="1:13" ht="15.75" hidden="1" customHeight="1" x14ac:dyDescent="0.3">
      <c r="A5801" s="9">
        <v>557</v>
      </c>
      <c r="B5801" t="s">
        <v>217</v>
      </c>
      <c r="C5801" s="25">
        <v>44613</v>
      </c>
      <c r="D5801" s="26">
        <v>0.68574074074074076</v>
      </c>
      <c r="E5801" t="s">
        <v>25</v>
      </c>
      <c r="F5801" t="s">
        <v>202</v>
      </c>
      <c r="G5801" t="s">
        <v>203</v>
      </c>
      <c r="H5801" t="s">
        <v>218</v>
      </c>
      <c r="I5801">
        <v>173.51</v>
      </c>
      <c r="J5801" s="71">
        <v>526650</v>
      </c>
      <c r="K5801" s="53">
        <f t="shared" si="362"/>
        <v>522</v>
      </c>
      <c r="L5801" s="37">
        <v>527172</v>
      </c>
      <c r="M5801" s="10">
        <f t="shared" si="361"/>
        <v>33.239463601532563</v>
      </c>
    </row>
    <row r="5802" spans="1:13" ht="15.75" hidden="1" customHeight="1" x14ac:dyDescent="0.3">
      <c r="A5802" s="9">
        <v>558</v>
      </c>
      <c r="B5802" t="s">
        <v>217</v>
      </c>
      <c r="C5802" s="25">
        <v>44615</v>
      </c>
      <c r="D5802" s="26">
        <v>0.49230324074074078</v>
      </c>
      <c r="E5802" t="s">
        <v>25</v>
      </c>
      <c r="F5802" t="s">
        <v>210</v>
      </c>
      <c r="G5802" t="s">
        <v>211</v>
      </c>
      <c r="H5802" t="s">
        <v>218</v>
      </c>
      <c r="I5802">
        <v>425.64</v>
      </c>
      <c r="J5802" s="71">
        <v>527172</v>
      </c>
      <c r="K5802" s="53">
        <f t="shared" si="362"/>
        <v>1105</v>
      </c>
      <c r="L5802" s="32">
        <v>528277</v>
      </c>
      <c r="M5802" s="10">
        <f t="shared" si="361"/>
        <v>38.519457013574659</v>
      </c>
    </row>
    <row r="5803" spans="1:13" ht="15.75" hidden="1" customHeight="1" x14ac:dyDescent="0.3">
      <c r="A5803" s="9">
        <v>559</v>
      </c>
      <c r="B5803" t="s">
        <v>217</v>
      </c>
      <c r="C5803" s="25">
        <v>44617</v>
      </c>
      <c r="D5803" s="26">
        <v>0.50449074074074074</v>
      </c>
      <c r="E5803" t="s">
        <v>25</v>
      </c>
      <c r="F5803" t="s">
        <v>175</v>
      </c>
      <c r="G5803" t="s">
        <v>172</v>
      </c>
      <c r="H5803" t="s">
        <v>218</v>
      </c>
      <c r="I5803">
        <v>379.86</v>
      </c>
      <c r="J5803" s="71">
        <v>528277</v>
      </c>
      <c r="K5803" s="53">
        <f t="shared" si="362"/>
        <v>996</v>
      </c>
      <c r="L5803" s="32">
        <v>529273</v>
      </c>
      <c r="M5803" s="10">
        <f t="shared" si="361"/>
        <v>38.138554216867469</v>
      </c>
    </row>
    <row r="5804" spans="1:13" ht="15.75" hidden="1" customHeight="1" x14ac:dyDescent="0.3">
      <c r="A5804" s="9">
        <v>560</v>
      </c>
      <c r="B5804" t="s">
        <v>217</v>
      </c>
      <c r="C5804" s="25">
        <v>44618</v>
      </c>
      <c r="D5804" s="26">
        <v>0.51480324074074069</v>
      </c>
      <c r="E5804" t="s">
        <v>25</v>
      </c>
      <c r="F5804" t="s">
        <v>175</v>
      </c>
      <c r="G5804" t="s">
        <v>172</v>
      </c>
      <c r="H5804" t="s">
        <v>218</v>
      </c>
      <c r="I5804">
        <v>133.56</v>
      </c>
      <c r="J5804" s="32">
        <v>529273</v>
      </c>
      <c r="K5804" s="53">
        <f t="shared" si="362"/>
        <v>392</v>
      </c>
      <c r="L5804" s="33">
        <v>529665</v>
      </c>
      <c r="M5804" s="10">
        <f t="shared" si="361"/>
        <v>34.071428571428577</v>
      </c>
    </row>
    <row r="5805" spans="1:13" ht="15.75" hidden="1" customHeight="1" x14ac:dyDescent="0.3">
      <c r="A5805" s="9">
        <v>561</v>
      </c>
      <c r="B5805" t="s">
        <v>217</v>
      </c>
      <c r="C5805" s="25">
        <v>44619</v>
      </c>
      <c r="D5805" s="26">
        <v>0.70981481481481479</v>
      </c>
      <c r="E5805" t="s">
        <v>25</v>
      </c>
      <c r="F5805" t="s">
        <v>210</v>
      </c>
      <c r="G5805" t="s">
        <v>211</v>
      </c>
      <c r="H5805" t="s">
        <v>218</v>
      </c>
      <c r="I5805">
        <v>331.14</v>
      </c>
      <c r="J5805" s="32">
        <v>529665</v>
      </c>
      <c r="K5805" s="53">
        <f t="shared" si="362"/>
        <v>848</v>
      </c>
      <c r="L5805" s="32">
        <v>530513</v>
      </c>
      <c r="M5805" s="10">
        <f t="shared" si="361"/>
        <v>39.049528301886795</v>
      </c>
    </row>
    <row r="5806" spans="1:13" ht="15.75" hidden="1" customHeight="1" x14ac:dyDescent="0.3">
      <c r="A5806" s="9">
        <v>1591</v>
      </c>
      <c r="B5806" t="s">
        <v>217</v>
      </c>
      <c r="C5806" s="25">
        <v>44621</v>
      </c>
      <c r="D5806" s="26">
        <v>0.87983796296296291</v>
      </c>
      <c r="E5806" t="s">
        <v>26</v>
      </c>
      <c r="F5806" t="s">
        <v>210</v>
      </c>
      <c r="G5806" t="s">
        <v>211</v>
      </c>
      <c r="H5806" t="s">
        <v>218</v>
      </c>
      <c r="I5806">
        <v>456.01</v>
      </c>
      <c r="J5806" s="32">
        <v>530513</v>
      </c>
      <c r="K5806" s="89">
        <f t="shared" si="362"/>
        <v>1137</v>
      </c>
      <c r="L5806" s="32">
        <v>531650</v>
      </c>
      <c r="M5806" s="10">
        <f t="shared" si="361"/>
        <v>40.106420404573441</v>
      </c>
    </row>
    <row r="5807" spans="1:13" ht="15.75" hidden="1" customHeight="1" x14ac:dyDescent="0.3">
      <c r="A5807" s="9">
        <v>1592</v>
      </c>
      <c r="B5807" t="s">
        <v>217</v>
      </c>
      <c r="C5807" s="25">
        <v>44623</v>
      </c>
      <c r="D5807" s="26">
        <v>0.4772569444444445</v>
      </c>
      <c r="E5807" t="s">
        <v>26</v>
      </c>
      <c r="F5807" t="s">
        <v>175</v>
      </c>
      <c r="G5807" t="s">
        <v>172</v>
      </c>
      <c r="H5807" t="s">
        <v>218</v>
      </c>
      <c r="I5807">
        <v>318.11</v>
      </c>
      <c r="J5807" s="32">
        <v>531650</v>
      </c>
      <c r="K5807" s="89">
        <f t="shared" si="362"/>
        <v>990</v>
      </c>
      <c r="L5807" s="7">
        <v>532640</v>
      </c>
      <c r="M5807" s="10">
        <f t="shared" si="361"/>
        <v>32.132323232323238</v>
      </c>
    </row>
    <row r="5808" spans="1:13" ht="15.75" hidden="1" customHeight="1" x14ac:dyDescent="0.3">
      <c r="A5808" s="9">
        <v>1593</v>
      </c>
      <c r="B5808" t="s">
        <v>217</v>
      </c>
      <c r="C5808" s="25">
        <v>44632</v>
      </c>
      <c r="D5808" s="26">
        <v>0.70962962962962972</v>
      </c>
      <c r="E5808" t="s">
        <v>26</v>
      </c>
      <c r="F5808" t="s">
        <v>210</v>
      </c>
      <c r="G5808" t="s">
        <v>211</v>
      </c>
      <c r="H5808" t="s">
        <v>218</v>
      </c>
      <c r="I5808">
        <v>367.33</v>
      </c>
      <c r="J5808" s="7">
        <v>532640</v>
      </c>
      <c r="K5808" s="89">
        <f t="shared" si="362"/>
        <v>905</v>
      </c>
      <c r="L5808" s="32">
        <v>533545</v>
      </c>
      <c r="M5808" s="10">
        <f t="shared" si="361"/>
        <v>40.588950276243089</v>
      </c>
    </row>
    <row r="5809" spans="1:13" ht="15.75" hidden="1" customHeight="1" x14ac:dyDescent="0.3">
      <c r="A5809" s="9">
        <v>1594</v>
      </c>
      <c r="B5809" t="s">
        <v>217</v>
      </c>
      <c r="C5809" s="25">
        <v>44633</v>
      </c>
      <c r="D5809" s="26">
        <v>0.81287037037037047</v>
      </c>
      <c r="E5809" t="s">
        <v>26</v>
      </c>
      <c r="F5809" t="s">
        <v>210</v>
      </c>
      <c r="G5809" t="s">
        <v>211</v>
      </c>
      <c r="H5809" t="s">
        <v>218</v>
      </c>
      <c r="I5809">
        <v>331</v>
      </c>
      <c r="J5809" s="32">
        <v>533545</v>
      </c>
      <c r="K5809" s="89">
        <f t="shared" si="362"/>
        <v>895</v>
      </c>
      <c r="L5809" s="32">
        <v>534440</v>
      </c>
      <c r="M5809" s="10">
        <f t="shared" ref="M5809:M5840" si="363">I5809/K5809*100</f>
        <v>36.983240223463689</v>
      </c>
    </row>
    <row r="5810" spans="1:13" ht="15.75" hidden="1" customHeight="1" x14ac:dyDescent="0.3">
      <c r="A5810" s="9">
        <v>1595</v>
      </c>
      <c r="B5810" t="s">
        <v>217</v>
      </c>
      <c r="C5810" s="25">
        <v>44636</v>
      </c>
      <c r="D5810" s="26">
        <v>0.47480324074074076</v>
      </c>
      <c r="E5810" t="s">
        <v>26</v>
      </c>
      <c r="F5810" t="s">
        <v>197</v>
      </c>
      <c r="G5810" t="s">
        <v>44</v>
      </c>
      <c r="H5810" t="s">
        <v>218</v>
      </c>
      <c r="I5810">
        <v>300.02</v>
      </c>
      <c r="J5810" s="33">
        <v>534440</v>
      </c>
      <c r="K5810" s="89">
        <f t="shared" ref="K5810:K5840" si="364">+L5810-J5810</f>
        <v>1340</v>
      </c>
      <c r="L5810" s="37">
        <v>535780</v>
      </c>
      <c r="M5810" s="10">
        <f t="shared" si="363"/>
        <v>22.389552238805969</v>
      </c>
    </row>
    <row r="5811" spans="1:13" ht="15.75" hidden="1" customHeight="1" x14ac:dyDescent="0.3">
      <c r="A5811" s="9">
        <v>1596</v>
      </c>
      <c r="B5811" t="s">
        <v>217</v>
      </c>
      <c r="C5811" s="25">
        <v>44636</v>
      </c>
      <c r="D5811" s="26">
        <v>0.93479166666666658</v>
      </c>
      <c r="E5811" t="s">
        <v>26</v>
      </c>
      <c r="F5811" t="s">
        <v>210</v>
      </c>
      <c r="G5811" t="s">
        <v>322</v>
      </c>
      <c r="H5811" t="s">
        <v>218</v>
      </c>
      <c r="I5811">
        <v>397.11</v>
      </c>
      <c r="J5811" s="33">
        <v>535780</v>
      </c>
      <c r="K5811" s="89">
        <f t="shared" si="364"/>
        <v>624</v>
      </c>
      <c r="L5811" s="32">
        <v>536404</v>
      </c>
      <c r="M5811" s="10">
        <f t="shared" si="363"/>
        <v>63.639423076923073</v>
      </c>
    </row>
    <row r="5812" spans="1:13" ht="15.75" hidden="1" customHeight="1" x14ac:dyDescent="0.3">
      <c r="A5812" s="9">
        <v>1597</v>
      </c>
      <c r="B5812" t="s">
        <v>217</v>
      </c>
      <c r="C5812" s="25">
        <v>44638</v>
      </c>
      <c r="D5812" s="26">
        <v>0.42250000000000004</v>
      </c>
      <c r="E5812" t="s">
        <v>26</v>
      </c>
      <c r="F5812" t="s">
        <v>210</v>
      </c>
      <c r="G5812" t="s">
        <v>211</v>
      </c>
      <c r="H5812" t="s">
        <v>218</v>
      </c>
      <c r="I5812">
        <v>380.03</v>
      </c>
      <c r="J5812" s="32">
        <v>536404</v>
      </c>
      <c r="K5812" s="89">
        <f t="shared" si="364"/>
        <v>1047</v>
      </c>
      <c r="L5812" s="32">
        <v>537451</v>
      </c>
      <c r="M5812" s="10">
        <f t="shared" si="363"/>
        <v>36.297039159503342</v>
      </c>
    </row>
    <row r="5813" spans="1:13" ht="15.75" hidden="1" customHeight="1" x14ac:dyDescent="0.3">
      <c r="A5813" s="9">
        <v>1598</v>
      </c>
      <c r="B5813" t="s">
        <v>217</v>
      </c>
      <c r="C5813" s="25">
        <v>44639</v>
      </c>
      <c r="D5813" s="26">
        <v>0.58612268518518518</v>
      </c>
      <c r="E5813" t="s">
        <v>26</v>
      </c>
      <c r="F5813" t="s">
        <v>428</v>
      </c>
      <c r="G5813" t="s">
        <v>429</v>
      </c>
      <c r="H5813" t="s">
        <v>218</v>
      </c>
      <c r="I5813">
        <v>150</v>
      </c>
      <c r="J5813" s="32">
        <v>537451</v>
      </c>
      <c r="K5813" s="94">
        <f t="shared" si="364"/>
        <v>954</v>
      </c>
      <c r="L5813" s="32">
        <v>538405</v>
      </c>
      <c r="M5813" s="10">
        <f t="shared" si="363"/>
        <v>15.723270440251572</v>
      </c>
    </row>
    <row r="5814" spans="1:13" ht="15.75" hidden="1" customHeight="1" x14ac:dyDescent="0.3">
      <c r="A5814" s="9">
        <v>1599</v>
      </c>
      <c r="B5814" t="s">
        <v>217</v>
      </c>
      <c r="C5814" s="25">
        <v>44641</v>
      </c>
      <c r="D5814" s="26">
        <v>0.50480324074074068</v>
      </c>
      <c r="E5814" t="s">
        <v>26</v>
      </c>
      <c r="F5814" t="s">
        <v>205</v>
      </c>
      <c r="G5814" t="s">
        <v>206</v>
      </c>
      <c r="H5814" t="s">
        <v>218</v>
      </c>
      <c r="I5814">
        <v>150</v>
      </c>
      <c r="J5814" s="32">
        <v>538405</v>
      </c>
      <c r="K5814" s="89">
        <f t="shared" si="364"/>
        <v>295</v>
      </c>
      <c r="L5814" s="37">
        <v>538700</v>
      </c>
      <c r="M5814" s="10">
        <f t="shared" si="363"/>
        <v>50.847457627118644</v>
      </c>
    </row>
    <row r="5815" spans="1:13" ht="15.75" hidden="1" customHeight="1" x14ac:dyDescent="0.3">
      <c r="A5815" s="9">
        <v>1600</v>
      </c>
      <c r="B5815" t="s">
        <v>217</v>
      </c>
      <c r="C5815" s="25">
        <v>44641</v>
      </c>
      <c r="D5815" s="26">
        <v>0.63498842592592586</v>
      </c>
      <c r="E5815" t="s">
        <v>26</v>
      </c>
      <c r="F5815" t="s">
        <v>197</v>
      </c>
      <c r="G5815" t="s">
        <v>44</v>
      </c>
      <c r="H5815" t="s">
        <v>218</v>
      </c>
      <c r="I5815">
        <v>150.58000000000001</v>
      </c>
      <c r="J5815" s="32">
        <v>538700</v>
      </c>
      <c r="K5815" s="89">
        <f t="shared" si="364"/>
        <v>125</v>
      </c>
      <c r="L5815" s="32">
        <v>538825</v>
      </c>
      <c r="M5815" s="10">
        <f t="shared" si="363"/>
        <v>120.46400000000001</v>
      </c>
    </row>
    <row r="5816" spans="1:13" ht="15.75" hidden="1" customHeight="1" x14ac:dyDescent="0.3">
      <c r="A5816" s="9">
        <v>1601</v>
      </c>
      <c r="B5816" t="s">
        <v>217</v>
      </c>
      <c r="C5816" s="25">
        <v>44642</v>
      </c>
      <c r="D5816" s="26">
        <v>0.32451388888888888</v>
      </c>
      <c r="E5816" t="s">
        <v>26</v>
      </c>
      <c r="F5816" t="s">
        <v>210</v>
      </c>
      <c r="G5816" t="s">
        <v>211</v>
      </c>
      <c r="H5816" t="s">
        <v>218</v>
      </c>
      <c r="I5816">
        <v>246.69</v>
      </c>
      <c r="J5816" s="32">
        <v>538825</v>
      </c>
      <c r="K5816" s="89">
        <f t="shared" si="364"/>
        <v>595</v>
      </c>
      <c r="L5816" s="38">
        <v>539420</v>
      </c>
      <c r="M5816" s="10">
        <f t="shared" si="363"/>
        <v>41.460504201680671</v>
      </c>
    </row>
    <row r="5817" spans="1:13" ht="15.75" hidden="1" customHeight="1" x14ac:dyDescent="0.3">
      <c r="A5817" s="9">
        <v>1602</v>
      </c>
      <c r="B5817" t="s">
        <v>217</v>
      </c>
      <c r="C5817" s="25">
        <v>44644</v>
      </c>
      <c r="D5817" s="26">
        <v>0.28243055555555557</v>
      </c>
      <c r="E5817" t="s">
        <v>26</v>
      </c>
      <c r="F5817" t="s">
        <v>210</v>
      </c>
      <c r="G5817" t="s">
        <v>211</v>
      </c>
      <c r="H5817" t="s">
        <v>218</v>
      </c>
      <c r="I5817">
        <v>452</v>
      </c>
      <c r="J5817" s="32">
        <v>539420</v>
      </c>
      <c r="K5817" s="89">
        <f t="shared" si="364"/>
        <v>1140</v>
      </c>
      <c r="L5817" s="32">
        <v>540560</v>
      </c>
      <c r="M5817" s="10">
        <f t="shared" si="363"/>
        <v>39.649122807017548</v>
      </c>
    </row>
    <row r="5818" spans="1:13" ht="15.75" hidden="1" customHeight="1" x14ac:dyDescent="0.3">
      <c r="A5818" s="9">
        <v>1603</v>
      </c>
      <c r="B5818" t="s">
        <v>217</v>
      </c>
      <c r="C5818" s="25">
        <v>44646</v>
      </c>
      <c r="D5818" s="26">
        <v>0.41696759259259258</v>
      </c>
      <c r="E5818" t="s">
        <v>26</v>
      </c>
      <c r="F5818" t="s">
        <v>331</v>
      </c>
      <c r="G5818" t="s">
        <v>277</v>
      </c>
      <c r="H5818" t="s">
        <v>218</v>
      </c>
      <c r="I5818">
        <v>503.77</v>
      </c>
      <c r="J5818" s="32">
        <v>0</v>
      </c>
      <c r="K5818" s="89">
        <f t="shared" si="364"/>
        <v>1279.82</v>
      </c>
      <c r="L5818" s="37">
        <v>1279.82</v>
      </c>
      <c r="M5818" s="10">
        <f t="shared" si="363"/>
        <v>39.362566610929662</v>
      </c>
    </row>
    <row r="5819" spans="1:13" ht="15.75" hidden="1" customHeight="1" x14ac:dyDescent="0.3">
      <c r="A5819" s="9">
        <v>1604</v>
      </c>
      <c r="B5819" t="s">
        <v>217</v>
      </c>
      <c r="C5819" s="25">
        <v>44647</v>
      </c>
      <c r="D5819" s="26">
        <v>0.71233796296296292</v>
      </c>
      <c r="E5819" t="s">
        <v>26</v>
      </c>
      <c r="F5819" t="s">
        <v>210</v>
      </c>
      <c r="G5819" t="s">
        <v>211</v>
      </c>
      <c r="H5819" t="s">
        <v>218</v>
      </c>
      <c r="I5819">
        <v>336.6</v>
      </c>
      <c r="J5819" s="32">
        <v>0</v>
      </c>
      <c r="K5819" s="90">
        <f t="shared" si="364"/>
        <v>930.5</v>
      </c>
      <c r="L5819" s="32">
        <v>930.5</v>
      </c>
      <c r="M5819" s="10">
        <f t="shared" si="363"/>
        <v>36.17409994626545</v>
      </c>
    </row>
    <row r="5820" spans="1:13" ht="15.75" hidden="1" customHeight="1" x14ac:dyDescent="0.3">
      <c r="A5820" s="9">
        <v>1605</v>
      </c>
      <c r="B5820" t="s">
        <v>217</v>
      </c>
      <c r="C5820" s="25">
        <v>44650</v>
      </c>
      <c r="D5820" s="26">
        <v>0.87245370370370379</v>
      </c>
      <c r="E5820" t="s">
        <v>26</v>
      </c>
      <c r="F5820" t="s">
        <v>210</v>
      </c>
      <c r="G5820" t="s">
        <v>211</v>
      </c>
      <c r="H5820" t="s">
        <v>218</v>
      </c>
      <c r="I5820">
        <v>443.62</v>
      </c>
      <c r="J5820" s="32">
        <v>0</v>
      </c>
      <c r="K5820" s="89">
        <f t="shared" si="364"/>
        <v>1304.82</v>
      </c>
      <c r="L5820" s="32">
        <v>1304.82</v>
      </c>
      <c r="M5820" s="10">
        <f t="shared" si="363"/>
        <v>33.99855918824052</v>
      </c>
    </row>
    <row r="5821" spans="1:13" ht="15.75" hidden="1" customHeight="1" x14ac:dyDescent="0.3">
      <c r="A5821" s="9">
        <v>2796</v>
      </c>
      <c r="B5821" t="s">
        <v>217</v>
      </c>
      <c r="C5821" s="25">
        <v>44653</v>
      </c>
      <c r="D5821" s="26">
        <v>0.48135416666666669</v>
      </c>
      <c r="E5821" t="s">
        <v>27</v>
      </c>
      <c r="F5821" t="s">
        <v>197</v>
      </c>
      <c r="G5821" t="s">
        <v>44</v>
      </c>
      <c r="H5821" t="s">
        <v>218</v>
      </c>
      <c r="I5821" s="4">
        <v>150.59</v>
      </c>
      <c r="J5821" s="32">
        <v>0</v>
      </c>
      <c r="K5821" s="89">
        <f t="shared" si="364"/>
        <v>1208.48</v>
      </c>
      <c r="L5821" s="32">
        <v>1208.48</v>
      </c>
      <c r="M5821" s="10">
        <f t="shared" si="363"/>
        <v>12.461108168939495</v>
      </c>
    </row>
    <row r="5822" spans="1:13" ht="15.75" hidden="1" customHeight="1" x14ac:dyDescent="0.3">
      <c r="A5822" s="9">
        <v>2797</v>
      </c>
      <c r="B5822" t="s">
        <v>217</v>
      </c>
      <c r="C5822" s="25">
        <v>44653</v>
      </c>
      <c r="D5822" s="26">
        <v>0.73494212962962957</v>
      </c>
      <c r="E5822" t="s">
        <v>27</v>
      </c>
      <c r="F5822" t="s">
        <v>530</v>
      </c>
      <c r="G5822" t="s">
        <v>489</v>
      </c>
      <c r="H5822" t="s">
        <v>218</v>
      </c>
      <c r="I5822" s="4">
        <v>394.02</v>
      </c>
      <c r="J5822" s="32">
        <v>0</v>
      </c>
      <c r="K5822" s="89">
        <f t="shared" si="364"/>
        <v>1550</v>
      </c>
      <c r="L5822" s="33">
        <v>1550</v>
      </c>
      <c r="M5822" s="10">
        <f t="shared" si="363"/>
        <v>25.420645161290324</v>
      </c>
    </row>
    <row r="5823" spans="1:13" ht="15.75" hidden="1" customHeight="1" x14ac:dyDescent="0.3">
      <c r="A5823" s="9">
        <v>2798</v>
      </c>
      <c r="B5823" t="s">
        <v>217</v>
      </c>
      <c r="C5823" s="25">
        <v>44654</v>
      </c>
      <c r="D5823" s="26">
        <v>0.79168981481481471</v>
      </c>
      <c r="E5823" t="s">
        <v>27</v>
      </c>
      <c r="F5823" t="s">
        <v>165</v>
      </c>
      <c r="G5823" t="s">
        <v>185</v>
      </c>
      <c r="H5823" t="s">
        <v>218</v>
      </c>
      <c r="I5823" s="4">
        <v>378.67</v>
      </c>
      <c r="J5823" s="32">
        <v>0</v>
      </c>
      <c r="K5823" s="89">
        <f t="shared" si="364"/>
        <v>1136.44</v>
      </c>
      <c r="L5823" s="32">
        <v>1136.44</v>
      </c>
      <c r="M5823" s="10">
        <f t="shared" si="363"/>
        <v>33.320720847559045</v>
      </c>
    </row>
    <row r="5824" spans="1:13" ht="15.75" hidden="1" customHeight="1" x14ac:dyDescent="0.3">
      <c r="A5824" s="9">
        <v>2799</v>
      </c>
      <c r="B5824" t="s">
        <v>217</v>
      </c>
      <c r="C5824" s="25">
        <v>44655</v>
      </c>
      <c r="D5824" s="26">
        <v>0.42682870370370374</v>
      </c>
      <c r="E5824" t="s">
        <v>27</v>
      </c>
      <c r="F5824" t="s">
        <v>210</v>
      </c>
      <c r="G5824" t="s">
        <v>211</v>
      </c>
      <c r="H5824" t="s">
        <v>218</v>
      </c>
      <c r="I5824" s="4">
        <v>147.09</v>
      </c>
      <c r="J5824" s="7">
        <v>0</v>
      </c>
      <c r="K5824" s="89">
        <f t="shared" si="364"/>
        <v>514.82000000000005</v>
      </c>
      <c r="L5824" s="32">
        <v>514.82000000000005</v>
      </c>
      <c r="M5824" s="10">
        <f t="shared" si="363"/>
        <v>28.571151081931546</v>
      </c>
    </row>
    <row r="5825" spans="1:13" ht="15.75" hidden="1" customHeight="1" x14ac:dyDescent="0.3">
      <c r="A5825" s="9">
        <v>2800</v>
      </c>
      <c r="B5825" t="s">
        <v>217</v>
      </c>
      <c r="C5825" s="25">
        <v>44656</v>
      </c>
      <c r="D5825" s="26">
        <v>0.65724537037037034</v>
      </c>
      <c r="E5825" t="s">
        <v>27</v>
      </c>
      <c r="F5825" t="s">
        <v>175</v>
      </c>
      <c r="G5825" t="s">
        <v>172</v>
      </c>
      <c r="H5825" t="s">
        <v>218</v>
      </c>
      <c r="I5825" s="4">
        <v>154.97</v>
      </c>
      <c r="J5825" s="7">
        <v>0</v>
      </c>
      <c r="K5825" s="89">
        <f t="shared" si="364"/>
        <v>951.86</v>
      </c>
      <c r="L5825" s="32">
        <v>951.86</v>
      </c>
      <c r="M5825" s="10">
        <f t="shared" si="363"/>
        <v>16.280755573298595</v>
      </c>
    </row>
    <row r="5826" spans="1:13" ht="15.75" hidden="1" customHeight="1" x14ac:dyDescent="0.3">
      <c r="A5826" s="9">
        <v>2801</v>
      </c>
      <c r="B5826" t="s">
        <v>217</v>
      </c>
      <c r="C5826" s="25">
        <v>44665</v>
      </c>
      <c r="D5826" s="26">
        <v>0.57613425925925921</v>
      </c>
      <c r="E5826" t="s">
        <v>27</v>
      </c>
      <c r="F5826" t="s">
        <v>197</v>
      </c>
      <c r="G5826" t="s">
        <v>44</v>
      </c>
      <c r="H5826" t="s">
        <v>218</v>
      </c>
      <c r="I5826" s="4">
        <v>132.87</v>
      </c>
      <c r="J5826" s="7">
        <v>0</v>
      </c>
      <c r="K5826" s="89">
        <f t="shared" si="364"/>
        <v>357.67</v>
      </c>
      <c r="L5826" s="32">
        <v>357.67</v>
      </c>
      <c r="M5826" s="10">
        <f t="shared" si="363"/>
        <v>37.148768417815305</v>
      </c>
    </row>
    <row r="5827" spans="1:13" ht="15.75" hidden="1" customHeight="1" x14ac:dyDescent="0.3">
      <c r="A5827" s="9">
        <v>2802</v>
      </c>
      <c r="B5827" t="s">
        <v>217</v>
      </c>
      <c r="C5827" s="25">
        <v>44665</v>
      </c>
      <c r="D5827" s="26">
        <v>0.83693287037037034</v>
      </c>
      <c r="E5827" t="s">
        <v>27</v>
      </c>
      <c r="F5827" t="s">
        <v>488</v>
      </c>
      <c r="G5827" t="s">
        <v>489</v>
      </c>
      <c r="H5827" t="s">
        <v>218</v>
      </c>
      <c r="I5827" s="4">
        <v>290.44</v>
      </c>
      <c r="J5827" s="7">
        <v>0</v>
      </c>
      <c r="K5827" s="89">
        <f t="shared" si="364"/>
        <v>666</v>
      </c>
      <c r="L5827" s="32">
        <v>666</v>
      </c>
      <c r="M5827" s="10">
        <f t="shared" si="363"/>
        <v>43.609609609609613</v>
      </c>
    </row>
    <row r="5828" spans="1:13" ht="15.75" hidden="1" customHeight="1" x14ac:dyDescent="0.3">
      <c r="A5828" s="9">
        <v>2803</v>
      </c>
      <c r="B5828" t="s">
        <v>217</v>
      </c>
      <c r="C5828" s="25">
        <v>44666</v>
      </c>
      <c r="D5828" s="26">
        <v>0.3746990740740741</v>
      </c>
      <c r="E5828" t="s">
        <v>27</v>
      </c>
      <c r="F5828" t="s">
        <v>210</v>
      </c>
      <c r="G5828" t="s">
        <v>211</v>
      </c>
      <c r="H5828" t="s">
        <v>218</v>
      </c>
      <c r="I5828" s="4">
        <v>110.15</v>
      </c>
      <c r="J5828" s="7">
        <v>0</v>
      </c>
      <c r="K5828" s="89">
        <f t="shared" si="364"/>
        <v>587</v>
      </c>
      <c r="L5828" s="32">
        <v>587</v>
      </c>
      <c r="M5828" s="10">
        <f t="shared" si="363"/>
        <v>18.764906303236799</v>
      </c>
    </row>
    <row r="5829" spans="1:13" ht="15.75" hidden="1" customHeight="1" x14ac:dyDescent="0.3">
      <c r="A5829" s="9">
        <v>2804</v>
      </c>
      <c r="B5829" t="s">
        <v>217</v>
      </c>
      <c r="C5829" s="25">
        <v>44667</v>
      </c>
      <c r="D5829" s="26">
        <v>0.390625</v>
      </c>
      <c r="E5829" t="s">
        <v>27</v>
      </c>
      <c r="F5829" t="s">
        <v>210</v>
      </c>
      <c r="G5829" t="s">
        <v>211</v>
      </c>
      <c r="H5829" t="s">
        <v>218</v>
      </c>
      <c r="I5829" s="4">
        <v>317</v>
      </c>
      <c r="J5829" s="7">
        <v>0</v>
      </c>
      <c r="K5829" s="89">
        <f t="shared" si="364"/>
        <v>885.49</v>
      </c>
      <c r="L5829" s="32">
        <v>885.49</v>
      </c>
      <c r="M5829" s="10">
        <f t="shared" si="363"/>
        <v>35.79938790951902</v>
      </c>
    </row>
    <row r="5830" spans="1:13" ht="15.75" hidden="1" customHeight="1" x14ac:dyDescent="0.3">
      <c r="A5830" s="9">
        <v>2805</v>
      </c>
      <c r="B5830" t="s">
        <v>217</v>
      </c>
      <c r="C5830" s="25">
        <v>44667</v>
      </c>
      <c r="D5830" s="26">
        <v>0.85327546296296297</v>
      </c>
      <c r="E5830" t="s">
        <v>27</v>
      </c>
      <c r="F5830" t="s">
        <v>274</v>
      </c>
      <c r="G5830" t="s">
        <v>495</v>
      </c>
      <c r="H5830" t="s">
        <v>218</v>
      </c>
      <c r="I5830" s="4">
        <v>149.66999999999999</v>
      </c>
      <c r="J5830" s="7">
        <v>0</v>
      </c>
      <c r="K5830" s="89">
        <f t="shared" si="364"/>
        <v>578.19000000000005</v>
      </c>
      <c r="L5830" s="32">
        <v>578.19000000000005</v>
      </c>
      <c r="M5830" s="10">
        <f t="shared" si="363"/>
        <v>25.88595444404088</v>
      </c>
    </row>
    <row r="5831" spans="1:13" ht="15.75" hidden="1" customHeight="1" x14ac:dyDescent="0.3">
      <c r="A5831" s="9">
        <v>2806</v>
      </c>
      <c r="B5831" t="s">
        <v>217</v>
      </c>
      <c r="C5831" s="25">
        <v>44668</v>
      </c>
      <c r="D5831" s="26">
        <v>0.50714120370370364</v>
      </c>
      <c r="E5831" t="s">
        <v>27</v>
      </c>
      <c r="F5831" t="s">
        <v>428</v>
      </c>
      <c r="G5831" t="s">
        <v>429</v>
      </c>
      <c r="H5831" t="s">
        <v>218</v>
      </c>
      <c r="I5831" s="4">
        <v>153.58000000000001</v>
      </c>
      <c r="J5831" s="7">
        <v>0</v>
      </c>
      <c r="K5831" s="89">
        <f t="shared" si="364"/>
        <v>347.34</v>
      </c>
      <c r="L5831" s="37">
        <v>347.34</v>
      </c>
      <c r="M5831" s="10">
        <f t="shared" si="363"/>
        <v>44.216041918581226</v>
      </c>
    </row>
    <row r="5832" spans="1:13" ht="15.75" hidden="1" customHeight="1" x14ac:dyDescent="0.3">
      <c r="A5832" s="9">
        <v>2807</v>
      </c>
      <c r="B5832" t="s">
        <v>217</v>
      </c>
      <c r="C5832" s="25">
        <v>44672</v>
      </c>
      <c r="D5832" s="26">
        <v>0.29979166666666668</v>
      </c>
      <c r="E5832" t="s">
        <v>27</v>
      </c>
      <c r="F5832" t="s">
        <v>210</v>
      </c>
      <c r="G5832" t="s">
        <v>211</v>
      </c>
      <c r="H5832" t="s">
        <v>218</v>
      </c>
      <c r="I5832" s="4">
        <v>380.03</v>
      </c>
      <c r="J5832" s="7">
        <v>0</v>
      </c>
      <c r="K5832" s="89">
        <f t="shared" si="364"/>
        <v>1927</v>
      </c>
      <c r="L5832" s="32">
        <v>1927</v>
      </c>
      <c r="M5832" s="10">
        <f t="shared" si="363"/>
        <v>19.721328489880641</v>
      </c>
    </row>
    <row r="5833" spans="1:13" ht="15.75" hidden="1" customHeight="1" x14ac:dyDescent="0.3">
      <c r="A5833" s="9">
        <v>2808</v>
      </c>
      <c r="B5833" t="s">
        <v>217</v>
      </c>
      <c r="C5833" s="25">
        <v>44674</v>
      </c>
      <c r="D5833" s="26">
        <v>0.40365740740740735</v>
      </c>
      <c r="E5833" t="s">
        <v>27</v>
      </c>
      <c r="F5833" t="s">
        <v>311</v>
      </c>
      <c r="G5833" t="s">
        <v>303</v>
      </c>
      <c r="H5833" t="s">
        <v>218</v>
      </c>
      <c r="I5833" s="4">
        <v>474.44</v>
      </c>
      <c r="J5833" s="7">
        <v>0</v>
      </c>
      <c r="K5833" s="89">
        <f t="shared" si="364"/>
        <v>1425.46</v>
      </c>
      <c r="L5833" s="32">
        <v>1425.46</v>
      </c>
      <c r="M5833" s="10">
        <f t="shared" si="363"/>
        <v>33.283291007815016</v>
      </c>
    </row>
    <row r="5834" spans="1:13" ht="15.75" hidden="1" customHeight="1" x14ac:dyDescent="0.3">
      <c r="A5834" s="9">
        <v>2809</v>
      </c>
      <c r="B5834" t="s">
        <v>217</v>
      </c>
      <c r="C5834" s="25">
        <v>44674</v>
      </c>
      <c r="D5834" s="26">
        <v>0.69738425925925929</v>
      </c>
      <c r="E5834" t="s">
        <v>27</v>
      </c>
      <c r="F5834" t="s">
        <v>210</v>
      </c>
      <c r="G5834" t="s">
        <v>211</v>
      </c>
      <c r="H5834" t="s">
        <v>218</v>
      </c>
      <c r="I5834" s="4">
        <v>196.06</v>
      </c>
      <c r="J5834" s="7">
        <v>0</v>
      </c>
      <c r="K5834" s="89">
        <f t="shared" si="364"/>
        <v>1845.25</v>
      </c>
      <c r="L5834" s="32">
        <v>1845.25</v>
      </c>
      <c r="M5834" s="10">
        <f t="shared" si="363"/>
        <v>10.625118547622273</v>
      </c>
    </row>
    <row r="5835" spans="1:13" ht="15.75" hidden="1" customHeight="1" x14ac:dyDescent="0.3">
      <c r="A5835" s="9">
        <v>2810</v>
      </c>
      <c r="B5835" t="s">
        <v>217</v>
      </c>
      <c r="C5835" s="25">
        <v>44676</v>
      </c>
      <c r="D5835" s="26">
        <v>0.87444444444444447</v>
      </c>
      <c r="E5835" t="s">
        <v>27</v>
      </c>
      <c r="F5835" t="s">
        <v>210</v>
      </c>
      <c r="G5835" t="s">
        <v>211</v>
      </c>
      <c r="H5835" t="s">
        <v>218</v>
      </c>
      <c r="I5835">
        <v>463.17</v>
      </c>
      <c r="J5835" s="7">
        <v>0</v>
      </c>
      <c r="K5835" s="89">
        <f t="shared" si="364"/>
        <v>1535.47</v>
      </c>
      <c r="L5835" s="35">
        <v>1535.47</v>
      </c>
      <c r="M5835" s="10">
        <f t="shared" si="363"/>
        <v>30.164705269396343</v>
      </c>
    </row>
    <row r="5836" spans="1:13" ht="15.75" hidden="1" customHeight="1" x14ac:dyDescent="0.3">
      <c r="A5836" s="9">
        <v>2811</v>
      </c>
      <c r="B5836" t="s">
        <v>217</v>
      </c>
      <c r="C5836" s="25">
        <v>44678</v>
      </c>
      <c r="D5836" s="26">
        <v>0.47113425925925928</v>
      </c>
      <c r="E5836" t="s">
        <v>27</v>
      </c>
      <c r="F5836" t="s">
        <v>175</v>
      </c>
      <c r="G5836" t="s">
        <v>172</v>
      </c>
      <c r="H5836" t="s">
        <v>218</v>
      </c>
      <c r="I5836">
        <v>332.04</v>
      </c>
      <c r="J5836" s="7">
        <v>0</v>
      </c>
      <c r="K5836" s="89">
        <f t="shared" si="364"/>
        <v>916.53</v>
      </c>
      <c r="L5836" s="7">
        <v>916.53</v>
      </c>
      <c r="M5836" s="10">
        <f t="shared" si="363"/>
        <v>36.227946712055257</v>
      </c>
    </row>
    <row r="5837" spans="1:13" ht="15.75" hidden="1" customHeight="1" x14ac:dyDescent="0.3">
      <c r="A5837" s="9">
        <v>2812</v>
      </c>
      <c r="B5837" t="s">
        <v>217</v>
      </c>
      <c r="C5837" s="25">
        <v>44679</v>
      </c>
      <c r="D5837" s="26">
        <v>0.83577546296296301</v>
      </c>
      <c r="E5837" t="s">
        <v>27</v>
      </c>
      <c r="F5837" t="s">
        <v>210</v>
      </c>
      <c r="G5837" t="s">
        <v>211</v>
      </c>
      <c r="H5837" t="s">
        <v>218</v>
      </c>
      <c r="I5837">
        <v>322.51</v>
      </c>
      <c r="J5837" s="7">
        <v>0</v>
      </c>
      <c r="K5837" s="89">
        <f t="shared" si="364"/>
        <v>837.9</v>
      </c>
      <c r="L5837" s="7">
        <v>837.9</v>
      </c>
      <c r="M5837" s="10">
        <f t="shared" si="363"/>
        <v>38.490273302303379</v>
      </c>
    </row>
    <row r="5838" spans="1:13" ht="15.75" hidden="1" customHeight="1" x14ac:dyDescent="0.3">
      <c r="A5838" s="9">
        <v>3722</v>
      </c>
      <c r="B5838" t="s">
        <v>217</v>
      </c>
      <c r="C5838" s="25">
        <v>44683</v>
      </c>
      <c r="D5838" s="26">
        <v>0.39146990740740745</v>
      </c>
      <c r="E5838" t="s">
        <v>28</v>
      </c>
      <c r="F5838" t="s">
        <v>428</v>
      </c>
      <c r="G5838" t="s">
        <v>429</v>
      </c>
      <c r="H5838" t="s">
        <v>218</v>
      </c>
      <c r="I5838">
        <v>200.12</v>
      </c>
      <c r="J5838" s="7">
        <v>0</v>
      </c>
      <c r="K5838" s="89">
        <f t="shared" si="364"/>
        <v>1989</v>
      </c>
      <c r="L5838" s="32">
        <v>1989</v>
      </c>
      <c r="M5838" s="10">
        <f t="shared" si="363"/>
        <v>10.061337355455002</v>
      </c>
    </row>
    <row r="5839" spans="1:13" ht="15.75" hidden="1" customHeight="1" x14ac:dyDescent="0.3">
      <c r="A5839" s="9">
        <v>3750</v>
      </c>
      <c r="B5839" t="s">
        <v>217</v>
      </c>
      <c r="C5839" s="25">
        <v>44684</v>
      </c>
      <c r="D5839" s="26">
        <v>0.51040509259259259</v>
      </c>
      <c r="E5839" t="s">
        <v>28</v>
      </c>
      <c r="F5839" t="s">
        <v>166</v>
      </c>
      <c r="G5839" t="s">
        <v>161</v>
      </c>
      <c r="H5839" t="s">
        <v>218</v>
      </c>
      <c r="I5839">
        <v>460.02</v>
      </c>
      <c r="J5839" s="7">
        <v>0</v>
      </c>
      <c r="K5839" s="89">
        <f t="shared" si="364"/>
        <v>897.97</v>
      </c>
      <c r="L5839" s="33">
        <v>897.97</v>
      </c>
      <c r="M5839" s="10">
        <f t="shared" si="363"/>
        <v>51.22888292481931</v>
      </c>
    </row>
    <row r="5840" spans="1:13" ht="15.75" hidden="1" customHeight="1" x14ac:dyDescent="0.3">
      <c r="A5840" s="9">
        <v>3812</v>
      </c>
      <c r="B5840" t="s">
        <v>217</v>
      </c>
      <c r="C5840" s="25">
        <v>44685</v>
      </c>
      <c r="D5840" s="26">
        <v>0.80671296296296291</v>
      </c>
      <c r="E5840" t="s">
        <v>28</v>
      </c>
      <c r="F5840" t="s">
        <v>210</v>
      </c>
      <c r="G5840" t="s">
        <v>211</v>
      </c>
      <c r="H5840" t="s">
        <v>218</v>
      </c>
      <c r="I5840">
        <v>429.47</v>
      </c>
      <c r="J5840" s="11">
        <v>0</v>
      </c>
      <c r="K5840" s="89">
        <f t="shared" si="364"/>
        <v>1147</v>
      </c>
      <c r="L5840" s="32">
        <v>1147</v>
      </c>
      <c r="M5840" s="10">
        <f t="shared" si="363"/>
        <v>37.442894507410642</v>
      </c>
    </row>
    <row r="5841" spans="1:13" ht="15.75" hidden="1" customHeight="1" x14ac:dyDescent="0.3">
      <c r="A5841" s="9">
        <v>4316</v>
      </c>
      <c r="B5841" t="s">
        <v>217</v>
      </c>
      <c r="C5841" s="25">
        <v>44695</v>
      </c>
      <c r="D5841" s="26">
        <v>0.50061342592592595</v>
      </c>
      <c r="E5841" t="s">
        <v>28</v>
      </c>
      <c r="F5841" t="s">
        <v>262</v>
      </c>
      <c r="G5841" t="s">
        <v>263</v>
      </c>
      <c r="H5841" t="s">
        <v>218</v>
      </c>
      <c r="I5841">
        <v>200</v>
      </c>
      <c r="J5841" s="7">
        <v>0</v>
      </c>
      <c r="K5841" s="89">
        <f>+L5841-J6114</f>
        <v>1267</v>
      </c>
      <c r="L5841" s="32">
        <v>1267</v>
      </c>
      <c r="M5841" s="10">
        <f t="shared" ref="M5841:M5877" si="365">I5841/K5841*100</f>
        <v>15.785319652722968</v>
      </c>
    </row>
    <row r="5842" spans="1:13" ht="15.75" hidden="1" customHeight="1" x14ac:dyDescent="0.3">
      <c r="A5842" s="9">
        <v>4381</v>
      </c>
      <c r="B5842" t="s">
        <v>217</v>
      </c>
      <c r="C5842" s="25">
        <v>44696</v>
      </c>
      <c r="D5842" s="26">
        <v>0.31400462962962966</v>
      </c>
      <c r="E5842" t="s">
        <v>28</v>
      </c>
      <c r="F5842" t="s">
        <v>262</v>
      </c>
      <c r="G5842" t="s">
        <v>263</v>
      </c>
      <c r="H5842" t="s">
        <v>218</v>
      </c>
      <c r="I5842">
        <v>200</v>
      </c>
      <c r="J5842" s="7">
        <v>0</v>
      </c>
      <c r="K5842" s="89">
        <f>+L5842-J6115</f>
        <v>257</v>
      </c>
      <c r="L5842" s="32">
        <v>257</v>
      </c>
      <c r="M5842" s="10">
        <f t="shared" si="365"/>
        <v>77.821011673151759</v>
      </c>
    </row>
    <row r="5843" spans="1:13" ht="15.75" hidden="1" customHeight="1" x14ac:dyDescent="0.3">
      <c r="A5843" s="9">
        <v>4382</v>
      </c>
      <c r="B5843" t="s">
        <v>217</v>
      </c>
      <c r="C5843" s="25">
        <v>44696</v>
      </c>
      <c r="D5843" s="26">
        <v>0.73454861111111114</v>
      </c>
      <c r="E5843" t="s">
        <v>28</v>
      </c>
      <c r="F5843" t="s">
        <v>210</v>
      </c>
      <c r="G5843" t="s">
        <v>211</v>
      </c>
      <c r="H5843" t="s">
        <v>218</v>
      </c>
      <c r="I5843">
        <v>421.98</v>
      </c>
      <c r="J5843" s="7">
        <v>0</v>
      </c>
      <c r="K5843" s="89">
        <f>+L5843-J6116</f>
        <v>634</v>
      </c>
      <c r="L5843" s="37">
        <v>634</v>
      </c>
      <c r="M5843" s="10">
        <f t="shared" si="365"/>
        <v>66.558359621451103</v>
      </c>
    </row>
    <row r="5844" spans="1:13" ht="15.75" hidden="1" customHeight="1" x14ac:dyDescent="0.3">
      <c r="A5844" s="9">
        <v>4448</v>
      </c>
      <c r="B5844" t="s">
        <v>217</v>
      </c>
      <c r="C5844" s="25">
        <v>44697</v>
      </c>
      <c r="D5844" s="26">
        <v>0.93679398148148152</v>
      </c>
      <c r="E5844" t="s">
        <v>28</v>
      </c>
      <c r="F5844" t="s">
        <v>210</v>
      </c>
      <c r="G5844" t="s">
        <v>211</v>
      </c>
      <c r="H5844" t="s">
        <v>218</v>
      </c>
      <c r="I5844">
        <v>397.04</v>
      </c>
      <c r="J5844" s="7">
        <v>0</v>
      </c>
      <c r="K5844" s="89">
        <f>+L5844-J6117</f>
        <v>1064</v>
      </c>
      <c r="L5844" s="32">
        <v>1064</v>
      </c>
      <c r="M5844" s="10">
        <f t="shared" si="365"/>
        <v>37.315789473684212</v>
      </c>
    </row>
    <row r="5845" spans="1:13" ht="15.75" hidden="1" customHeight="1" x14ac:dyDescent="0.3">
      <c r="A5845" s="9">
        <v>4546</v>
      </c>
      <c r="B5845" t="s">
        <v>217</v>
      </c>
      <c r="C5845" s="25">
        <v>44699</v>
      </c>
      <c r="D5845" s="26">
        <v>0.47561342592592593</v>
      </c>
      <c r="E5845" t="s">
        <v>28</v>
      </c>
      <c r="F5845" t="s">
        <v>175</v>
      </c>
      <c r="G5845" t="s">
        <v>172</v>
      </c>
      <c r="H5845" t="s">
        <v>218</v>
      </c>
      <c r="I5845">
        <v>327.04000000000002</v>
      </c>
      <c r="J5845" s="7">
        <v>0</v>
      </c>
      <c r="K5845" s="89">
        <f>+L5845-J6115</f>
        <v>909</v>
      </c>
      <c r="L5845" s="32">
        <v>909</v>
      </c>
      <c r="M5845" s="10">
        <f t="shared" si="365"/>
        <v>35.977997799779985</v>
      </c>
    </row>
    <row r="5846" spans="1:13" ht="15.75" hidden="1" customHeight="1" x14ac:dyDescent="0.3">
      <c r="A5846" s="9">
        <v>4607</v>
      </c>
      <c r="B5846" t="s">
        <v>217</v>
      </c>
      <c r="C5846" s="25">
        <v>44700</v>
      </c>
      <c r="D5846" s="26">
        <v>0.89047453703703694</v>
      </c>
      <c r="E5846" t="s">
        <v>28</v>
      </c>
      <c r="F5846" t="s">
        <v>210</v>
      </c>
      <c r="G5846" t="s">
        <v>211</v>
      </c>
      <c r="H5846" t="s">
        <v>218</v>
      </c>
      <c r="I5846">
        <v>332.46</v>
      </c>
      <c r="J5846" s="7">
        <v>0</v>
      </c>
      <c r="K5846" s="89">
        <f>+L5846-J6117</f>
        <v>858</v>
      </c>
      <c r="L5846" s="38">
        <v>858</v>
      </c>
      <c r="M5846" s="10">
        <f t="shared" si="365"/>
        <v>38.748251748251747</v>
      </c>
    </row>
    <row r="5847" spans="1:13" ht="15.75" hidden="1" customHeight="1" x14ac:dyDescent="0.3">
      <c r="A5847" s="9">
        <v>4717</v>
      </c>
      <c r="B5847" t="s">
        <v>217</v>
      </c>
      <c r="C5847" s="25">
        <v>44702</v>
      </c>
      <c r="D5847" s="26">
        <v>0.45758101851851851</v>
      </c>
      <c r="E5847" t="s">
        <v>28</v>
      </c>
      <c r="F5847" t="s">
        <v>210</v>
      </c>
      <c r="G5847" t="s">
        <v>211</v>
      </c>
      <c r="H5847" t="s">
        <v>218</v>
      </c>
      <c r="I5847">
        <v>402.69</v>
      </c>
      <c r="J5847" s="7">
        <v>0</v>
      </c>
      <c r="K5847" s="89">
        <f t="shared" ref="K5847:K5853" si="366">+L5847-J6115</f>
        <v>1064</v>
      </c>
      <c r="L5847" s="32">
        <v>1064</v>
      </c>
      <c r="M5847" s="10">
        <f t="shared" si="365"/>
        <v>37.846804511278194</v>
      </c>
    </row>
    <row r="5848" spans="1:13" ht="15.75" hidden="1" customHeight="1" x14ac:dyDescent="0.3">
      <c r="A5848" s="9">
        <v>4770</v>
      </c>
      <c r="B5848" t="s">
        <v>217</v>
      </c>
      <c r="C5848" s="25">
        <v>44703</v>
      </c>
      <c r="D5848" s="26">
        <v>0.46567129629629633</v>
      </c>
      <c r="E5848" t="s">
        <v>28</v>
      </c>
      <c r="F5848" t="s">
        <v>428</v>
      </c>
      <c r="G5848" t="s">
        <v>429</v>
      </c>
      <c r="H5848" t="s">
        <v>218</v>
      </c>
      <c r="I5848">
        <f>150.12+146.84</f>
        <v>296.96000000000004</v>
      </c>
      <c r="J5848" s="7">
        <v>0</v>
      </c>
      <c r="K5848" s="89">
        <f t="shared" si="366"/>
        <v>902</v>
      </c>
      <c r="L5848" s="32">
        <v>902</v>
      </c>
      <c r="M5848" s="10">
        <f t="shared" si="365"/>
        <v>32.922394678492246</v>
      </c>
    </row>
    <row r="5849" spans="1:13" ht="15.75" hidden="1" customHeight="1" x14ac:dyDescent="0.3">
      <c r="A5849" s="9">
        <v>4823</v>
      </c>
      <c r="B5849" t="s">
        <v>217</v>
      </c>
      <c r="C5849" s="25">
        <v>44704</v>
      </c>
      <c r="D5849" s="26">
        <v>0.9328819444444445</v>
      </c>
      <c r="E5849" t="s">
        <v>28</v>
      </c>
      <c r="F5849" t="s">
        <v>210</v>
      </c>
      <c r="G5849" t="s">
        <v>211</v>
      </c>
      <c r="H5849" t="s">
        <v>218</v>
      </c>
      <c r="I5849">
        <v>367</v>
      </c>
      <c r="J5849" s="7">
        <v>0</v>
      </c>
      <c r="K5849" s="89">
        <f t="shared" si="366"/>
        <v>984</v>
      </c>
      <c r="L5849" s="32">
        <v>984</v>
      </c>
      <c r="M5849" s="10">
        <f t="shared" si="365"/>
        <v>37.296747967479675</v>
      </c>
    </row>
    <row r="5850" spans="1:13" ht="15.75" hidden="1" customHeight="1" x14ac:dyDescent="0.3">
      <c r="A5850" s="9">
        <v>4931</v>
      </c>
      <c r="B5850" t="s">
        <v>217</v>
      </c>
      <c r="C5850" s="25">
        <v>44706</v>
      </c>
      <c r="D5850" s="26">
        <v>0.85395833333333337</v>
      </c>
      <c r="E5850" t="s">
        <v>28</v>
      </c>
      <c r="F5850" t="s">
        <v>210</v>
      </c>
      <c r="G5850" t="s">
        <v>211</v>
      </c>
      <c r="H5850" t="s">
        <v>218</v>
      </c>
      <c r="I5850">
        <v>470.57</v>
      </c>
      <c r="J5850" s="7">
        <v>0</v>
      </c>
      <c r="K5850" s="89">
        <f t="shared" si="366"/>
        <v>1125</v>
      </c>
      <c r="L5850" s="33">
        <v>1125</v>
      </c>
      <c r="M5850" s="10">
        <f t="shared" si="365"/>
        <v>41.828444444444443</v>
      </c>
    </row>
    <row r="5851" spans="1:13" ht="15.75" hidden="1" customHeight="1" x14ac:dyDescent="0.3">
      <c r="A5851" s="9">
        <v>5089</v>
      </c>
      <c r="B5851" t="s">
        <v>217</v>
      </c>
      <c r="C5851" s="25">
        <v>44709</v>
      </c>
      <c r="D5851" s="26">
        <v>0.46164351851851854</v>
      </c>
      <c r="E5851" t="s">
        <v>28</v>
      </c>
      <c r="F5851" t="s">
        <v>661</v>
      </c>
      <c r="G5851" t="s">
        <v>457</v>
      </c>
      <c r="H5851" t="s">
        <v>218</v>
      </c>
      <c r="I5851">
        <v>100</v>
      </c>
      <c r="J5851" s="7">
        <v>0</v>
      </c>
      <c r="K5851" s="89">
        <f t="shared" si="366"/>
        <v>1458</v>
      </c>
      <c r="L5851" s="7">
        <v>1458</v>
      </c>
      <c r="M5851" s="10">
        <f t="shared" si="365"/>
        <v>6.8587105624142666</v>
      </c>
    </row>
    <row r="5852" spans="1:13" ht="15.75" hidden="1" customHeight="1" x14ac:dyDescent="0.3">
      <c r="A5852" s="9">
        <v>5090</v>
      </c>
      <c r="B5852" t="s">
        <v>217</v>
      </c>
      <c r="C5852" s="25">
        <v>44709</v>
      </c>
      <c r="D5852" s="26">
        <v>0.63378472222222226</v>
      </c>
      <c r="E5852" t="s">
        <v>28</v>
      </c>
      <c r="F5852" t="s">
        <v>632</v>
      </c>
      <c r="G5852" t="s">
        <v>161</v>
      </c>
      <c r="H5852" t="s">
        <v>218</v>
      </c>
      <c r="I5852">
        <v>491.97</v>
      </c>
      <c r="J5852" s="7">
        <v>0</v>
      </c>
      <c r="K5852" s="89">
        <f t="shared" si="366"/>
        <v>235</v>
      </c>
      <c r="L5852" s="7">
        <v>235</v>
      </c>
      <c r="M5852" s="10">
        <f t="shared" si="365"/>
        <v>209.34893617021277</v>
      </c>
    </row>
    <row r="5853" spans="1:13" ht="12.75" hidden="1" customHeight="1" x14ac:dyDescent="0.3">
      <c r="A5853" s="9">
        <v>5144</v>
      </c>
      <c r="B5853" t="s">
        <v>217</v>
      </c>
      <c r="C5853" s="25">
        <v>44710</v>
      </c>
      <c r="D5853" s="26">
        <v>0.78761574074074081</v>
      </c>
      <c r="E5853" t="s">
        <v>28</v>
      </c>
      <c r="F5853" t="s">
        <v>635</v>
      </c>
      <c r="G5853" t="s">
        <v>185</v>
      </c>
      <c r="H5853" t="s">
        <v>218</v>
      </c>
      <c r="I5853">
        <v>312.01</v>
      </c>
      <c r="J5853" s="7">
        <v>0</v>
      </c>
      <c r="K5853" s="89">
        <f t="shared" si="366"/>
        <v>632</v>
      </c>
      <c r="L5853" s="34">
        <v>632</v>
      </c>
      <c r="M5853" s="10">
        <f t="shared" si="365"/>
        <v>49.368670886075947</v>
      </c>
    </row>
    <row r="5854" spans="1:13" ht="15.75" hidden="1" customHeight="1" x14ac:dyDescent="0.3">
      <c r="A5854" s="9">
        <v>5197</v>
      </c>
      <c r="B5854" t="s">
        <v>217</v>
      </c>
      <c r="C5854" s="25">
        <v>44711</v>
      </c>
      <c r="D5854" s="26">
        <v>0.48796296296296293</v>
      </c>
      <c r="E5854" t="s">
        <v>28</v>
      </c>
      <c r="F5854" t="s">
        <v>634</v>
      </c>
      <c r="G5854" t="s">
        <v>211</v>
      </c>
      <c r="H5854" t="s">
        <v>218</v>
      </c>
      <c r="I5854">
        <v>143.41999999999999</v>
      </c>
      <c r="J5854" s="32">
        <v>0</v>
      </c>
      <c r="K5854" s="89">
        <f>+L5854-J6121</f>
        <v>515</v>
      </c>
      <c r="L5854" s="7">
        <v>515</v>
      </c>
      <c r="M5854" s="10">
        <f t="shared" si="365"/>
        <v>27.848543689320387</v>
      </c>
    </row>
    <row r="5855" spans="1:13" ht="15.75" hidden="1" customHeight="1" x14ac:dyDescent="0.3">
      <c r="A5855" s="9">
        <v>5277</v>
      </c>
      <c r="B5855" t="s">
        <v>217</v>
      </c>
      <c r="C5855" s="25">
        <v>44713</v>
      </c>
      <c r="D5855" s="26">
        <v>0.5232175925925926</v>
      </c>
      <c r="E5855" t="s">
        <v>29</v>
      </c>
      <c r="F5855" t="s">
        <v>639</v>
      </c>
      <c r="G5855" t="s">
        <v>44</v>
      </c>
      <c r="H5855" t="s">
        <v>218</v>
      </c>
      <c r="I5855">
        <v>231</v>
      </c>
      <c r="J5855" s="32">
        <v>0</v>
      </c>
      <c r="K5855" s="89">
        <f>+L5855-J6120</f>
        <v>1215</v>
      </c>
      <c r="L5855" s="7">
        <v>1215</v>
      </c>
      <c r="M5855" s="10">
        <f t="shared" si="365"/>
        <v>19.012345679012345</v>
      </c>
    </row>
    <row r="5856" spans="1:13" ht="15.75" hidden="1" customHeight="1" x14ac:dyDescent="0.3">
      <c r="A5856" s="9">
        <v>5340</v>
      </c>
      <c r="B5856" t="s">
        <v>217</v>
      </c>
      <c r="C5856" s="25">
        <v>44714</v>
      </c>
      <c r="D5856" s="26">
        <v>0.42859953703703701</v>
      </c>
      <c r="E5856" t="s">
        <v>29</v>
      </c>
      <c r="F5856" t="s">
        <v>634</v>
      </c>
      <c r="G5856" t="s">
        <v>211</v>
      </c>
      <c r="H5856" t="s">
        <v>218</v>
      </c>
      <c r="I5856">
        <v>444.06</v>
      </c>
      <c r="J5856" s="32">
        <v>0</v>
      </c>
      <c r="K5856" s="89">
        <f>+L5856-J6120</f>
        <v>596</v>
      </c>
      <c r="L5856" s="31">
        <v>596</v>
      </c>
      <c r="M5856" s="10">
        <f t="shared" si="365"/>
        <v>74.506711409395976</v>
      </c>
    </row>
    <row r="5857" spans="1:19" ht="15.75" hidden="1" customHeight="1" x14ac:dyDescent="0.3">
      <c r="A5857" s="9">
        <v>5404</v>
      </c>
      <c r="B5857" t="s">
        <v>217</v>
      </c>
      <c r="C5857" s="25">
        <v>44715</v>
      </c>
      <c r="D5857" s="26">
        <v>0.52762731481481484</v>
      </c>
      <c r="E5857" t="s">
        <v>29</v>
      </c>
      <c r="F5857" t="s">
        <v>634</v>
      </c>
      <c r="G5857" t="s">
        <v>211</v>
      </c>
      <c r="H5857" t="s">
        <v>218</v>
      </c>
      <c r="I5857">
        <v>423.42</v>
      </c>
      <c r="J5857" s="32">
        <v>0</v>
      </c>
      <c r="K5857" s="89">
        <f>+L5857-J6116</f>
        <v>747</v>
      </c>
      <c r="L5857" s="7">
        <v>747</v>
      </c>
      <c r="M5857" s="10">
        <f t="shared" si="365"/>
        <v>56.682730923694777</v>
      </c>
    </row>
    <row r="5858" spans="1:19" ht="15.75" hidden="1" customHeight="1" x14ac:dyDescent="0.3">
      <c r="A5858" s="9">
        <v>5931</v>
      </c>
      <c r="B5858" t="s">
        <v>217</v>
      </c>
      <c r="C5858" s="25">
        <v>44725</v>
      </c>
      <c r="D5858" s="26">
        <v>0.44146990740740738</v>
      </c>
      <c r="E5858" t="s">
        <v>29</v>
      </c>
      <c r="F5858" t="s">
        <v>641</v>
      </c>
      <c r="G5858" t="s">
        <v>172</v>
      </c>
      <c r="H5858" t="s">
        <v>218</v>
      </c>
      <c r="I5858">
        <v>370.19</v>
      </c>
      <c r="J5858" s="32">
        <v>0</v>
      </c>
      <c r="K5858" s="89">
        <f>+L5702-J5944</f>
        <v>678459</v>
      </c>
      <c r="L5858" s="7">
        <v>833</v>
      </c>
      <c r="M5858" s="10">
        <f t="shared" si="365"/>
        <v>5.4563356076048806E-2</v>
      </c>
      <c r="N5858" s="2"/>
      <c r="O5858" s="2"/>
      <c r="P5858" s="2"/>
      <c r="Q5858" s="2"/>
      <c r="R5858" s="2"/>
      <c r="S5858" s="2"/>
    </row>
    <row r="5859" spans="1:19" ht="15.75" hidden="1" customHeight="1" x14ac:dyDescent="0.3">
      <c r="A5859" s="9">
        <v>5976</v>
      </c>
      <c r="B5859" t="s">
        <v>217</v>
      </c>
      <c r="C5859" s="25">
        <v>44726</v>
      </c>
      <c r="D5859" s="26">
        <v>0.39635416666666662</v>
      </c>
      <c r="E5859" t="s">
        <v>29</v>
      </c>
      <c r="F5859" t="s">
        <v>654</v>
      </c>
      <c r="G5859" t="s">
        <v>303</v>
      </c>
      <c r="H5859" t="s">
        <v>218</v>
      </c>
      <c r="I5859">
        <v>176.11</v>
      </c>
      <c r="J5859" s="32">
        <v>0</v>
      </c>
      <c r="K5859" s="89">
        <v>411</v>
      </c>
      <c r="L5859" s="7">
        <v>411</v>
      </c>
      <c r="M5859" s="10">
        <f t="shared" si="365"/>
        <v>42.849148418491488</v>
      </c>
      <c r="N5859" s="2"/>
      <c r="O5859" s="2"/>
      <c r="P5859" s="2"/>
      <c r="Q5859" s="2"/>
      <c r="R5859" s="2"/>
      <c r="S5859" s="2"/>
    </row>
    <row r="5860" spans="1:19" ht="15.75" hidden="1" customHeight="1" x14ac:dyDescent="0.3">
      <c r="A5860" s="9">
        <v>5977</v>
      </c>
      <c r="B5860" t="s">
        <v>217</v>
      </c>
      <c r="C5860" s="25">
        <v>44726</v>
      </c>
      <c r="D5860" s="26">
        <v>0.68773148148148155</v>
      </c>
      <c r="E5860" t="s">
        <v>29</v>
      </c>
      <c r="F5860" t="s">
        <v>634</v>
      </c>
      <c r="G5860" t="s">
        <v>211</v>
      </c>
      <c r="H5860" t="s">
        <v>218</v>
      </c>
      <c r="I5860">
        <v>193.57</v>
      </c>
      <c r="J5860" s="32">
        <v>0</v>
      </c>
      <c r="K5860" s="89">
        <v>427</v>
      </c>
      <c r="L5860" s="7">
        <v>427</v>
      </c>
      <c r="M5860" s="10">
        <f t="shared" si="365"/>
        <v>45.332552693208427</v>
      </c>
      <c r="N5860" s="2"/>
      <c r="O5860" s="2"/>
      <c r="P5860" s="2"/>
      <c r="Q5860" s="2"/>
      <c r="R5860" s="2"/>
      <c r="S5860" s="2"/>
    </row>
    <row r="5861" spans="1:19" ht="15.75" hidden="1" customHeight="1" x14ac:dyDescent="0.3">
      <c r="A5861" s="9">
        <v>6042</v>
      </c>
      <c r="B5861" t="s">
        <v>217</v>
      </c>
      <c r="C5861" s="25">
        <v>44727</v>
      </c>
      <c r="D5861" s="26">
        <v>0.66334490740740748</v>
      </c>
      <c r="E5861" t="s">
        <v>29</v>
      </c>
      <c r="F5861" t="s">
        <v>634</v>
      </c>
      <c r="G5861" t="s">
        <v>211</v>
      </c>
      <c r="H5861" t="s">
        <v>218</v>
      </c>
      <c r="I5861">
        <v>343.58</v>
      </c>
      <c r="J5861" s="32">
        <v>0</v>
      </c>
      <c r="K5861" s="89">
        <v>1339</v>
      </c>
      <c r="L5861" s="34">
        <v>1339</v>
      </c>
      <c r="M5861" s="10">
        <f t="shared" si="365"/>
        <v>25.659447348767735</v>
      </c>
    </row>
    <row r="5862" spans="1:19" ht="15.75" hidden="1" customHeight="1" x14ac:dyDescent="0.3">
      <c r="A5862" s="9">
        <v>6100</v>
      </c>
      <c r="B5862" t="s">
        <v>217</v>
      </c>
      <c r="C5862" s="25">
        <v>44728</v>
      </c>
      <c r="D5862" s="26">
        <v>0.49223379629629632</v>
      </c>
      <c r="E5862" t="s">
        <v>29</v>
      </c>
      <c r="F5862" t="s">
        <v>656</v>
      </c>
      <c r="G5862" t="s">
        <v>495</v>
      </c>
      <c r="H5862" t="s">
        <v>218</v>
      </c>
      <c r="I5862">
        <v>50.02</v>
      </c>
      <c r="J5862" s="32">
        <v>0</v>
      </c>
      <c r="K5862" s="89">
        <v>571</v>
      </c>
      <c r="L5862" s="7">
        <v>571</v>
      </c>
      <c r="M5862" s="10">
        <f t="shared" si="365"/>
        <v>8.7600700525394046</v>
      </c>
    </row>
    <row r="5863" spans="1:19" ht="15.75" hidden="1" customHeight="1" x14ac:dyDescent="0.3">
      <c r="A5863" s="9">
        <v>6151</v>
      </c>
      <c r="B5863" t="s">
        <v>217</v>
      </c>
      <c r="C5863" s="25">
        <v>44729</v>
      </c>
      <c r="D5863" s="26">
        <v>0.5382986111111111</v>
      </c>
      <c r="E5863" t="s">
        <v>29</v>
      </c>
      <c r="F5863" t="s">
        <v>662</v>
      </c>
      <c r="G5863" t="s">
        <v>542</v>
      </c>
      <c r="H5863" t="s">
        <v>218</v>
      </c>
      <c r="I5863">
        <v>240</v>
      </c>
      <c r="J5863" s="32">
        <v>0</v>
      </c>
      <c r="K5863" s="89">
        <v>653</v>
      </c>
      <c r="L5863" s="7">
        <v>653</v>
      </c>
      <c r="M5863" s="10">
        <f t="shared" si="365"/>
        <v>36.75344563552833</v>
      </c>
    </row>
    <row r="5864" spans="1:19" ht="15.75" hidden="1" customHeight="1" x14ac:dyDescent="0.3">
      <c r="A5864" s="9">
        <v>6152</v>
      </c>
      <c r="B5864" t="s">
        <v>217</v>
      </c>
      <c r="C5864" s="25">
        <v>44729</v>
      </c>
      <c r="D5864" s="26">
        <v>0.74211805555555566</v>
      </c>
      <c r="E5864" t="s">
        <v>29</v>
      </c>
      <c r="F5864" t="s">
        <v>694</v>
      </c>
      <c r="G5864" t="s">
        <v>489</v>
      </c>
      <c r="H5864" t="s">
        <v>218</v>
      </c>
      <c r="I5864">
        <v>275.01</v>
      </c>
      <c r="J5864" s="32">
        <v>0</v>
      </c>
      <c r="K5864" s="89">
        <v>287</v>
      </c>
      <c r="L5864" s="34">
        <v>287</v>
      </c>
      <c r="M5864" s="10">
        <f t="shared" si="365"/>
        <v>95.822299651567945</v>
      </c>
    </row>
    <row r="5865" spans="1:19" ht="15.75" hidden="1" customHeight="1" x14ac:dyDescent="0.3">
      <c r="A5865" s="9">
        <v>6153</v>
      </c>
      <c r="B5865" t="s">
        <v>217</v>
      </c>
      <c r="C5865" s="25">
        <v>44729</v>
      </c>
      <c r="D5865" s="26">
        <v>0.90523148148148147</v>
      </c>
      <c r="E5865" t="s">
        <v>29</v>
      </c>
      <c r="F5865" t="s">
        <v>634</v>
      </c>
      <c r="G5865" t="s">
        <v>211</v>
      </c>
      <c r="H5865" t="s">
        <v>218</v>
      </c>
      <c r="I5865">
        <v>117.95</v>
      </c>
      <c r="J5865" s="32">
        <v>0</v>
      </c>
      <c r="K5865" s="89">
        <v>236</v>
      </c>
      <c r="L5865" s="7">
        <v>236</v>
      </c>
      <c r="M5865" s="10">
        <f t="shared" si="365"/>
        <v>49.978813559322035</v>
      </c>
    </row>
    <row r="5866" spans="1:19" ht="15.75" hidden="1" customHeight="1" x14ac:dyDescent="0.3">
      <c r="A5866" s="9">
        <v>6206</v>
      </c>
      <c r="B5866" t="s">
        <v>217</v>
      </c>
      <c r="C5866" s="25">
        <v>44730</v>
      </c>
      <c r="D5866" s="26">
        <v>0.81539351851851849</v>
      </c>
      <c r="E5866" t="s">
        <v>29</v>
      </c>
      <c r="F5866" t="s">
        <v>635</v>
      </c>
      <c r="G5866" t="s">
        <v>185</v>
      </c>
      <c r="H5866" t="s">
        <v>218</v>
      </c>
      <c r="I5866">
        <v>225.89</v>
      </c>
      <c r="J5866" s="32">
        <v>0</v>
      </c>
      <c r="K5866" s="89">
        <v>548</v>
      </c>
      <c r="L5866" s="7">
        <v>548</v>
      </c>
      <c r="M5866" s="10">
        <f t="shared" si="365"/>
        <v>41.220802919708028</v>
      </c>
    </row>
    <row r="5867" spans="1:19" ht="15.75" hidden="1" customHeight="1" x14ac:dyDescent="0.3">
      <c r="A5867" s="9">
        <v>6236</v>
      </c>
      <c r="B5867" t="s">
        <v>217</v>
      </c>
      <c r="C5867" s="25">
        <v>44731</v>
      </c>
      <c r="D5867" s="26">
        <v>0.6378125</v>
      </c>
      <c r="E5867" t="s">
        <v>29</v>
      </c>
      <c r="F5867" t="s">
        <v>634</v>
      </c>
      <c r="G5867" t="s">
        <v>211</v>
      </c>
      <c r="H5867" t="s">
        <v>218</v>
      </c>
      <c r="I5867">
        <v>160.27000000000001</v>
      </c>
      <c r="J5867" s="32">
        <v>0</v>
      </c>
      <c r="K5867" s="89">
        <v>521</v>
      </c>
      <c r="L5867" s="7">
        <v>521</v>
      </c>
      <c r="M5867" s="10">
        <f t="shared" si="365"/>
        <v>30.76199616122841</v>
      </c>
    </row>
    <row r="5868" spans="1:19" ht="15.75" hidden="1" customHeight="1" x14ac:dyDescent="0.3">
      <c r="A5868" s="9">
        <v>6262</v>
      </c>
      <c r="B5868" t="s">
        <v>217</v>
      </c>
      <c r="C5868" s="25">
        <v>44732</v>
      </c>
      <c r="D5868" s="26">
        <v>0.43950231481481478</v>
      </c>
      <c r="E5868" t="s">
        <v>29</v>
      </c>
      <c r="F5868" t="s">
        <v>637</v>
      </c>
      <c r="G5868" t="s">
        <v>196</v>
      </c>
      <c r="H5868" t="s">
        <v>218</v>
      </c>
      <c r="I5868">
        <v>140.01</v>
      </c>
      <c r="J5868" s="32">
        <v>0</v>
      </c>
      <c r="K5868" s="89">
        <v>520</v>
      </c>
      <c r="L5868" s="7">
        <v>520</v>
      </c>
      <c r="M5868" s="10">
        <f t="shared" si="365"/>
        <v>26.924999999999997</v>
      </c>
    </row>
    <row r="5869" spans="1:19" ht="15.75" hidden="1" customHeight="1" x14ac:dyDescent="0.3">
      <c r="A5869" s="9">
        <v>6294</v>
      </c>
      <c r="B5869" t="s">
        <v>217</v>
      </c>
      <c r="C5869" s="25">
        <v>44733</v>
      </c>
      <c r="D5869" s="26">
        <v>0.62572916666666667</v>
      </c>
      <c r="E5869" t="s">
        <v>29</v>
      </c>
      <c r="F5869" t="s">
        <v>638</v>
      </c>
      <c r="G5869" t="s">
        <v>263</v>
      </c>
      <c r="H5869" t="s">
        <v>218</v>
      </c>
      <c r="I5869">
        <v>161</v>
      </c>
      <c r="J5869" s="32">
        <v>0</v>
      </c>
      <c r="K5869" s="89">
        <v>366</v>
      </c>
      <c r="L5869" s="31">
        <v>366</v>
      </c>
      <c r="M5869" s="10">
        <f t="shared" si="365"/>
        <v>43.989071038251367</v>
      </c>
    </row>
    <row r="5870" spans="1:19" ht="15.75" hidden="1" customHeight="1" x14ac:dyDescent="0.3">
      <c r="A5870" s="9">
        <v>6332</v>
      </c>
      <c r="B5870" t="s">
        <v>217</v>
      </c>
      <c r="C5870" s="25">
        <v>44734</v>
      </c>
      <c r="D5870" s="26">
        <v>0.5037152777777778</v>
      </c>
      <c r="E5870" t="s">
        <v>29</v>
      </c>
      <c r="F5870" t="s">
        <v>639</v>
      </c>
      <c r="G5870" t="s">
        <v>44</v>
      </c>
      <c r="H5870" t="s">
        <v>218</v>
      </c>
      <c r="I5870">
        <v>150.01</v>
      </c>
      <c r="J5870" s="32">
        <v>0</v>
      </c>
      <c r="K5870" s="89">
        <v>338</v>
      </c>
      <c r="L5870" s="7">
        <v>338</v>
      </c>
      <c r="M5870" s="10">
        <f t="shared" si="365"/>
        <v>44.38165680473373</v>
      </c>
    </row>
    <row r="5871" spans="1:19" ht="15.75" hidden="1" customHeight="1" x14ac:dyDescent="0.3">
      <c r="A5871" s="9">
        <v>6333</v>
      </c>
      <c r="B5871" t="s">
        <v>217</v>
      </c>
      <c r="C5871" s="25">
        <v>44734</v>
      </c>
      <c r="D5871" s="26">
        <v>0.92768518518518517</v>
      </c>
      <c r="E5871" t="s">
        <v>29</v>
      </c>
      <c r="F5871" t="s">
        <v>634</v>
      </c>
      <c r="G5871" t="s">
        <v>211</v>
      </c>
      <c r="H5871" t="s">
        <v>218</v>
      </c>
      <c r="I5871">
        <v>229.41</v>
      </c>
      <c r="J5871" s="32">
        <v>0</v>
      </c>
      <c r="K5871" s="89">
        <v>574</v>
      </c>
      <c r="L5871" s="7">
        <v>574</v>
      </c>
      <c r="M5871" s="10">
        <f t="shared" si="365"/>
        <v>39.966898954703836</v>
      </c>
    </row>
    <row r="5872" spans="1:19" ht="15.75" hidden="1" customHeight="1" x14ac:dyDescent="0.3">
      <c r="A5872" s="9">
        <v>6382</v>
      </c>
      <c r="B5872" t="s">
        <v>217</v>
      </c>
      <c r="C5872" s="25">
        <v>44735</v>
      </c>
      <c r="D5872" s="26">
        <v>0.8833333333333333</v>
      </c>
      <c r="E5872" t="s">
        <v>29</v>
      </c>
      <c r="F5872" t="s">
        <v>645</v>
      </c>
      <c r="G5872" t="s">
        <v>279</v>
      </c>
      <c r="H5872" t="s">
        <v>218</v>
      </c>
      <c r="I5872" s="148">
        <v>276.05</v>
      </c>
      <c r="J5872" s="37">
        <v>0</v>
      </c>
      <c r="K5872" s="89">
        <v>712</v>
      </c>
      <c r="L5872" s="7">
        <v>712</v>
      </c>
      <c r="M5872" s="10">
        <f t="shared" si="365"/>
        <v>38.771067415730336</v>
      </c>
    </row>
    <row r="5873" spans="1:13" ht="15.75" hidden="1" customHeight="1" x14ac:dyDescent="0.3">
      <c r="A5873" s="9">
        <v>6426</v>
      </c>
      <c r="B5873" t="s">
        <v>217</v>
      </c>
      <c r="C5873" s="25">
        <v>44736</v>
      </c>
      <c r="D5873" s="26">
        <v>0.44773148148148145</v>
      </c>
      <c r="E5873" t="s">
        <v>29</v>
      </c>
      <c r="F5873" t="s">
        <v>634</v>
      </c>
      <c r="G5873" t="s">
        <v>211</v>
      </c>
      <c r="H5873" t="s">
        <v>218</v>
      </c>
      <c r="I5873" s="148">
        <v>103.05</v>
      </c>
      <c r="J5873" s="53">
        <v>0</v>
      </c>
      <c r="K5873" s="89">
        <v>350</v>
      </c>
      <c r="L5873" s="34">
        <v>350</v>
      </c>
      <c r="M5873" s="10">
        <f t="shared" si="365"/>
        <v>29.442857142857143</v>
      </c>
    </row>
    <row r="5874" spans="1:13" ht="15.75" hidden="1" customHeight="1" x14ac:dyDescent="0.3">
      <c r="A5874" s="9">
        <v>6490</v>
      </c>
      <c r="B5874" t="s">
        <v>217</v>
      </c>
      <c r="C5874" s="25">
        <v>44737</v>
      </c>
      <c r="D5874" s="26">
        <v>0.75055555555555553</v>
      </c>
      <c r="E5874" t="s">
        <v>29</v>
      </c>
      <c r="F5874" t="s">
        <v>679</v>
      </c>
      <c r="G5874" t="s">
        <v>392</v>
      </c>
      <c r="H5874" t="s">
        <v>218</v>
      </c>
      <c r="I5874" s="148">
        <v>340.01</v>
      </c>
      <c r="J5874" s="32">
        <v>0</v>
      </c>
      <c r="K5874" s="89">
        <v>918</v>
      </c>
      <c r="L5874" s="34">
        <v>918</v>
      </c>
      <c r="M5874" s="10">
        <f t="shared" si="365"/>
        <v>37.03812636165577</v>
      </c>
    </row>
    <row r="5875" spans="1:13" ht="15.75" hidden="1" customHeight="1" x14ac:dyDescent="0.3">
      <c r="A5875" s="9">
        <v>6541</v>
      </c>
      <c r="B5875" t="s">
        <v>217</v>
      </c>
      <c r="C5875" s="25">
        <v>44738</v>
      </c>
      <c r="D5875" s="26">
        <v>0.51273148148148151</v>
      </c>
      <c r="E5875" t="s">
        <v>29</v>
      </c>
      <c r="F5875" t="s">
        <v>654</v>
      </c>
      <c r="G5875" t="s">
        <v>303</v>
      </c>
      <c r="H5875" t="s">
        <v>218</v>
      </c>
      <c r="I5875" s="148">
        <v>140.05000000000001</v>
      </c>
      <c r="J5875" s="32">
        <v>0</v>
      </c>
      <c r="K5875" s="89">
        <v>418</v>
      </c>
      <c r="L5875" s="7">
        <v>418</v>
      </c>
      <c r="M5875" s="10">
        <f t="shared" si="365"/>
        <v>33.504784688995223</v>
      </c>
    </row>
    <row r="5876" spans="1:13" ht="15.75" hidden="1" customHeight="1" x14ac:dyDescent="0.3">
      <c r="A5876" s="9">
        <v>6542</v>
      </c>
      <c r="B5876" t="s">
        <v>217</v>
      </c>
      <c r="C5876" s="25">
        <v>44738</v>
      </c>
      <c r="D5876" s="26">
        <v>0.84762731481481479</v>
      </c>
      <c r="E5876" t="s">
        <v>29</v>
      </c>
      <c r="F5876" t="s">
        <v>634</v>
      </c>
      <c r="G5876" t="s">
        <v>211</v>
      </c>
      <c r="H5876" t="s">
        <v>218</v>
      </c>
      <c r="I5876" s="148">
        <v>167.54</v>
      </c>
      <c r="J5876" s="32">
        <v>0</v>
      </c>
      <c r="K5876" s="89">
        <v>418</v>
      </c>
      <c r="L5876" s="34">
        <v>418</v>
      </c>
      <c r="M5876" s="10">
        <f t="shared" si="365"/>
        <v>40.081339712918655</v>
      </c>
    </row>
    <row r="5877" spans="1:13" ht="15.75" hidden="1" customHeight="1" x14ac:dyDescent="0.3">
      <c r="A5877" s="9">
        <v>6711</v>
      </c>
      <c r="B5877" t="s">
        <v>217</v>
      </c>
      <c r="C5877" s="25">
        <v>44741</v>
      </c>
      <c r="D5877" s="26">
        <v>0.40827546296296297</v>
      </c>
      <c r="E5877" t="s">
        <v>29</v>
      </c>
      <c r="F5877" t="s">
        <v>693</v>
      </c>
      <c r="G5877" t="s">
        <v>277</v>
      </c>
      <c r="H5877" t="s">
        <v>218</v>
      </c>
      <c r="I5877" s="148">
        <v>141.58000000000001</v>
      </c>
      <c r="J5877" s="71">
        <v>0</v>
      </c>
      <c r="K5877" s="89">
        <v>779</v>
      </c>
      <c r="L5877" s="7">
        <v>779</v>
      </c>
      <c r="M5877" s="10">
        <f t="shared" si="365"/>
        <v>18.174582798459564</v>
      </c>
    </row>
    <row r="5878" spans="1:13" ht="15.75" hidden="1" customHeight="1" x14ac:dyDescent="0.3">
      <c r="A5878" s="9">
        <v>6751</v>
      </c>
      <c r="B5878" t="s">
        <v>217</v>
      </c>
      <c r="C5878" s="25">
        <v>44742</v>
      </c>
      <c r="D5878" s="26">
        <v>0.50225694444444446</v>
      </c>
      <c r="E5878" t="s">
        <v>29</v>
      </c>
      <c r="F5878" t="s">
        <v>488</v>
      </c>
      <c r="G5878" t="s">
        <v>489</v>
      </c>
      <c r="H5878" t="s">
        <v>218</v>
      </c>
      <c r="I5878" s="148">
        <v>264.31</v>
      </c>
      <c r="J5878" s="82"/>
      <c r="K5878" s="8">
        <v>589485</v>
      </c>
      <c r="L5878" s="44">
        <f>+K5878-J5878</f>
        <v>589485</v>
      </c>
      <c r="M5878" s="10">
        <f>I5878/L5878*100</f>
        <v>4.4837442852659525E-2</v>
      </c>
    </row>
    <row r="5879" spans="1:13" ht="15.75" hidden="1" customHeight="1" x14ac:dyDescent="0.3">
      <c r="A5879" s="9">
        <v>6751</v>
      </c>
      <c r="B5879" t="s">
        <v>217</v>
      </c>
      <c r="C5879" s="25">
        <v>44742</v>
      </c>
      <c r="D5879" s="26">
        <v>0.69303240740740746</v>
      </c>
      <c r="E5879" t="s">
        <v>29</v>
      </c>
      <c r="F5879" t="s">
        <v>210</v>
      </c>
      <c r="G5879" t="s">
        <v>211</v>
      </c>
      <c r="H5879" t="s">
        <v>218</v>
      </c>
      <c r="I5879" s="148">
        <v>95.78</v>
      </c>
      <c r="J5879" s="56"/>
      <c r="K5879" s="54">
        <v>589676</v>
      </c>
      <c r="L5879" s="54">
        <f>+K5879-J5879</f>
        <v>589676</v>
      </c>
      <c r="M5879" s="131">
        <f>I5879/L5879*100</f>
        <v>1.6242818089934136E-2</v>
      </c>
    </row>
    <row r="5880" spans="1:13" ht="15.75" hidden="1" customHeight="1" x14ac:dyDescent="0.3">
      <c r="B5880" t="s">
        <v>716</v>
      </c>
      <c r="C5880" s="25">
        <v>44760</v>
      </c>
      <c r="D5880" s="26">
        <v>0.39203703703703702</v>
      </c>
      <c r="E5880" t="s">
        <v>30</v>
      </c>
      <c r="F5880" t="s">
        <v>210</v>
      </c>
      <c r="G5880" t="s">
        <v>211</v>
      </c>
      <c r="H5880" t="s">
        <v>199</v>
      </c>
      <c r="I5880" s="160">
        <v>200.68</v>
      </c>
      <c r="J5880" s="8"/>
      <c r="K5880" s="8">
        <v>749968</v>
      </c>
      <c r="L5880" s="8">
        <f>+K5880-J5880</f>
        <v>749968</v>
      </c>
      <c r="M5880" s="254">
        <f>I5880/K5880*100</f>
        <v>2.6758475028267871E-2</v>
      </c>
    </row>
    <row r="5881" spans="1:13" ht="15.75" hidden="1" customHeight="1" x14ac:dyDescent="0.3">
      <c r="A5881" s="9">
        <v>6588</v>
      </c>
      <c r="B5881" t="s">
        <v>186</v>
      </c>
      <c r="C5881" s="25">
        <v>44739</v>
      </c>
      <c r="D5881" s="26">
        <v>0.8792592592592593</v>
      </c>
      <c r="E5881" t="s">
        <v>29</v>
      </c>
      <c r="F5881" t="s">
        <v>679</v>
      </c>
      <c r="G5881" t="s">
        <v>392</v>
      </c>
      <c r="H5881" t="s">
        <v>305</v>
      </c>
      <c r="I5881" s="148">
        <v>114.69</v>
      </c>
      <c r="J5881" s="152">
        <f>220+269+148+200+115</f>
        <v>952</v>
      </c>
      <c r="K5881" s="167">
        <v>166</v>
      </c>
      <c r="L5881" s="153">
        <v>2648</v>
      </c>
      <c r="M5881" s="227">
        <f>+J5881/L5881*100</f>
        <v>35.951661631419938</v>
      </c>
    </row>
    <row r="5882" spans="1:13" ht="15.75" hidden="1" customHeight="1" x14ac:dyDescent="0.3">
      <c r="B5882" t="s">
        <v>186</v>
      </c>
      <c r="C5882" s="25">
        <v>44575</v>
      </c>
      <c r="D5882" s="26">
        <v>0.71646990740740746</v>
      </c>
      <c r="E5882" t="s">
        <v>24</v>
      </c>
      <c r="F5882" t="s">
        <v>175</v>
      </c>
      <c r="G5882" t="s">
        <v>172</v>
      </c>
      <c r="H5882" t="s">
        <v>207</v>
      </c>
      <c r="I5882">
        <v>158.88999999999999</v>
      </c>
      <c r="J5882" s="34">
        <v>484343</v>
      </c>
      <c r="K5882" s="11">
        <f t="shared" ref="K5882:K5889" si="367">+L5882-J5882</f>
        <v>131</v>
      </c>
      <c r="L5882" s="7">
        <v>484474</v>
      </c>
      <c r="M5882" s="10">
        <f t="shared" ref="M5882:M5905" si="368">I5882/K5882*100</f>
        <v>121.29007633587786</v>
      </c>
    </row>
    <row r="5883" spans="1:13" ht="15.75" hidden="1" customHeight="1" x14ac:dyDescent="0.3">
      <c r="B5883" t="s">
        <v>186</v>
      </c>
      <c r="C5883" s="25">
        <v>44583</v>
      </c>
      <c r="D5883" s="26">
        <v>0.46893518518518523</v>
      </c>
      <c r="E5883" t="s">
        <v>24</v>
      </c>
      <c r="F5883" t="s">
        <v>175</v>
      </c>
      <c r="G5883" t="s">
        <v>172</v>
      </c>
      <c r="H5883" t="s">
        <v>207</v>
      </c>
      <c r="I5883">
        <v>192.72</v>
      </c>
      <c r="J5883" s="34">
        <v>484474</v>
      </c>
      <c r="K5883" s="11">
        <f t="shared" si="367"/>
        <v>1028</v>
      </c>
      <c r="L5883" s="7">
        <v>485502</v>
      </c>
      <c r="M5883" s="10">
        <f t="shared" si="368"/>
        <v>18.747081712062258</v>
      </c>
    </row>
    <row r="5884" spans="1:13" ht="15.75" hidden="1" customHeight="1" x14ac:dyDescent="0.3">
      <c r="B5884" t="s">
        <v>186</v>
      </c>
      <c r="C5884" s="25">
        <v>44584</v>
      </c>
      <c r="D5884" s="26">
        <v>0.55480324074074072</v>
      </c>
      <c r="E5884" t="s">
        <v>24</v>
      </c>
      <c r="F5884" t="s">
        <v>166</v>
      </c>
      <c r="G5884" t="s">
        <v>161</v>
      </c>
      <c r="H5884" t="s">
        <v>207</v>
      </c>
      <c r="I5884">
        <v>300.01</v>
      </c>
      <c r="J5884" s="31">
        <v>485502</v>
      </c>
      <c r="K5884" s="11">
        <f t="shared" si="367"/>
        <v>270</v>
      </c>
      <c r="L5884" s="7">
        <v>485772</v>
      </c>
      <c r="M5884" s="10">
        <f t="shared" si="368"/>
        <v>111.11481481481482</v>
      </c>
    </row>
    <row r="5885" spans="1:13" ht="15.75" hidden="1" customHeight="1" x14ac:dyDescent="0.3">
      <c r="B5885" t="s">
        <v>186</v>
      </c>
      <c r="C5885" s="25">
        <v>44585</v>
      </c>
      <c r="D5885" s="26">
        <v>0.99927083333333344</v>
      </c>
      <c r="E5885" t="s">
        <v>24</v>
      </c>
      <c r="F5885" t="s">
        <v>210</v>
      </c>
      <c r="G5885" t="s">
        <v>211</v>
      </c>
      <c r="H5885" t="s">
        <v>207</v>
      </c>
      <c r="I5885">
        <v>400.02</v>
      </c>
      <c r="J5885" s="7">
        <v>485772</v>
      </c>
      <c r="K5885" s="11">
        <f t="shared" si="367"/>
        <v>1156</v>
      </c>
      <c r="L5885" s="34">
        <v>486928</v>
      </c>
      <c r="M5885" s="10">
        <f t="shared" si="368"/>
        <v>34.603806228373699</v>
      </c>
    </row>
    <row r="5886" spans="1:13" ht="15.75" hidden="1" customHeight="1" x14ac:dyDescent="0.3">
      <c r="B5886" t="s">
        <v>186</v>
      </c>
      <c r="C5886" s="25">
        <v>44587</v>
      </c>
      <c r="D5886" s="26">
        <v>0.45900462962962968</v>
      </c>
      <c r="E5886" t="s">
        <v>24</v>
      </c>
      <c r="F5886" t="s">
        <v>175</v>
      </c>
      <c r="G5886" t="s">
        <v>172</v>
      </c>
      <c r="H5886" t="s">
        <v>207</v>
      </c>
      <c r="I5886">
        <v>284.58999999999997</v>
      </c>
      <c r="J5886" s="7">
        <v>486928</v>
      </c>
      <c r="K5886" s="7">
        <f t="shared" si="367"/>
        <v>921</v>
      </c>
      <c r="L5886" s="32">
        <v>487849</v>
      </c>
      <c r="M5886" s="10">
        <f t="shared" si="368"/>
        <v>30.900108577633006</v>
      </c>
    </row>
    <row r="5887" spans="1:13" ht="15.75" hidden="1" customHeight="1" x14ac:dyDescent="0.3">
      <c r="B5887" t="s">
        <v>186</v>
      </c>
      <c r="C5887" s="25">
        <v>44588</v>
      </c>
      <c r="D5887" s="26">
        <v>0.56964120370370364</v>
      </c>
      <c r="E5887" t="s">
        <v>24</v>
      </c>
      <c r="F5887" t="s">
        <v>166</v>
      </c>
      <c r="G5887" t="s">
        <v>161</v>
      </c>
      <c r="H5887" t="s">
        <v>207</v>
      </c>
      <c r="I5887">
        <v>290.02999999999997</v>
      </c>
      <c r="J5887" s="11">
        <v>487849</v>
      </c>
      <c r="K5887" s="11">
        <f t="shared" si="367"/>
        <v>764</v>
      </c>
      <c r="L5887" s="34">
        <v>488613</v>
      </c>
      <c r="M5887" s="10">
        <f t="shared" si="368"/>
        <v>37.962041884816749</v>
      </c>
    </row>
    <row r="5888" spans="1:13" ht="15.75" hidden="1" customHeight="1" x14ac:dyDescent="0.3">
      <c r="B5888" t="s">
        <v>186</v>
      </c>
      <c r="C5888" s="25">
        <v>44590</v>
      </c>
      <c r="D5888" s="26">
        <v>0.63793981481481488</v>
      </c>
      <c r="E5888" t="s">
        <v>24</v>
      </c>
      <c r="F5888" t="s">
        <v>210</v>
      </c>
      <c r="G5888" t="s">
        <v>211</v>
      </c>
      <c r="H5888" t="s">
        <v>207</v>
      </c>
      <c r="I5888">
        <v>390.04</v>
      </c>
      <c r="J5888" s="7">
        <v>488613</v>
      </c>
      <c r="K5888" s="11">
        <f t="shared" si="367"/>
        <v>1158</v>
      </c>
      <c r="L5888" s="7">
        <v>489771</v>
      </c>
      <c r="M5888" s="10">
        <f t="shared" si="368"/>
        <v>33.682210708117445</v>
      </c>
    </row>
    <row r="5889" spans="1:19" ht="15.75" hidden="1" customHeight="1" x14ac:dyDescent="0.3">
      <c r="B5889" t="s">
        <v>186</v>
      </c>
      <c r="C5889" s="25">
        <v>44592</v>
      </c>
      <c r="D5889" s="26">
        <v>0.63719907407407406</v>
      </c>
      <c r="E5889" t="s">
        <v>24</v>
      </c>
      <c r="F5889" t="s">
        <v>175</v>
      </c>
      <c r="G5889" t="s">
        <v>172</v>
      </c>
      <c r="H5889" t="s">
        <v>207</v>
      </c>
      <c r="I5889">
        <v>281.33999999999997</v>
      </c>
      <c r="J5889" s="7">
        <v>489771</v>
      </c>
      <c r="K5889" s="11">
        <f t="shared" si="367"/>
        <v>0</v>
      </c>
      <c r="L5889" s="7">
        <v>489771</v>
      </c>
      <c r="M5889" s="10" t="e">
        <f t="shared" si="368"/>
        <v>#DIV/0!</v>
      </c>
    </row>
    <row r="5890" spans="1:19" ht="15.75" hidden="1" customHeight="1" x14ac:dyDescent="0.3">
      <c r="A5890" s="9">
        <v>5573</v>
      </c>
      <c r="B5890" t="s">
        <v>186</v>
      </c>
      <c r="C5890" s="25">
        <v>44719</v>
      </c>
      <c r="D5890" s="26">
        <v>0.94810185185185192</v>
      </c>
      <c r="E5890" t="s">
        <v>29</v>
      </c>
      <c r="F5890" t="s">
        <v>651</v>
      </c>
      <c r="G5890" t="s">
        <v>172</v>
      </c>
      <c r="H5890" t="s">
        <v>11</v>
      </c>
      <c r="I5890">
        <v>363.56</v>
      </c>
      <c r="J5890" s="52">
        <v>0</v>
      </c>
      <c r="K5890" s="89">
        <f>+L5890-J5451</f>
        <v>339</v>
      </c>
      <c r="L5890" s="51">
        <v>339</v>
      </c>
      <c r="M5890" s="10">
        <f t="shared" si="368"/>
        <v>107.24483775811208</v>
      </c>
    </row>
    <row r="5891" spans="1:19" ht="15.75" hidden="1" customHeight="1" x14ac:dyDescent="0.3">
      <c r="A5891" s="9">
        <v>5703</v>
      </c>
      <c r="B5891" t="s">
        <v>186</v>
      </c>
      <c r="C5891" s="25">
        <v>44721</v>
      </c>
      <c r="D5891" s="26">
        <v>0.67556712962962961</v>
      </c>
      <c r="E5891" t="s">
        <v>29</v>
      </c>
      <c r="F5891" t="s">
        <v>634</v>
      </c>
      <c r="G5891" t="s">
        <v>211</v>
      </c>
      <c r="H5891" t="s">
        <v>11</v>
      </c>
      <c r="I5891">
        <v>344.37</v>
      </c>
      <c r="J5891" s="32">
        <v>0</v>
      </c>
      <c r="K5891" s="89">
        <f>+L5891-J5453</f>
        <v>865</v>
      </c>
      <c r="L5891" s="7">
        <v>865</v>
      </c>
      <c r="M5891" s="10">
        <f t="shared" si="368"/>
        <v>39.811560693641617</v>
      </c>
    </row>
    <row r="5892" spans="1:19" ht="15.75" hidden="1" customHeight="1" x14ac:dyDescent="0.3">
      <c r="A5892" s="9">
        <v>5788</v>
      </c>
      <c r="B5892" t="s">
        <v>186</v>
      </c>
      <c r="C5892" s="25">
        <v>44723</v>
      </c>
      <c r="D5892" s="26">
        <v>0.60577546296296292</v>
      </c>
      <c r="E5892" t="s">
        <v>29</v>
      </c>
      <c r="F5892" t="s">
        <v>730</v>
      </c>
      <c r="G5892" t="s">
        <v>666</v>
      </c>
      <c r="H5892" t="s">
        <v>11</v>
      </c>
      <c r="I5892">
        <v>262.01</v>
      </c>
      <c r="J5892" s="52">
        <v>0</v>
      </c>
      <c r="K5892" s="89">
        <f>+L5892-J5454</f>
        <v>526</v>
      </c>
      <c r="L5892" s="51">
        <v>526</v>
      </c>
      <c r="M5892" s="10">
        <f t="shared" si="368"/>
        <v>49.811787072243348</v>
      </c>
    </row>
    <row r="5893" spans="1:19" ht="15.75" hidden="1" customHeight="1" x14ac:dyDescent="0.3">
      <c r="A5893" s="9">
        <v>5789</v>
      </c>
      <c r="B5893" t="s">
        <v>186</v>
      </c>
      <c r="C5893" s="25">
        <v>44723</v>
      </c>
      <c r="D5893" s="26">
        <v>0.9167939814814815</v>
      </c>
      <c r="E5893" t="s">
        <v>29</v>
      </c>
      <c r="F5893" t="s">
        <v>634</v>
      </c>
      <c r="G5893" t="s">
        <v>211</v>
      </c>
      <c r="H5893" t="s">
        <v>11</v>
      </c>
      <c r="I5893">
        <v>100.09</v>
      </c>
      <c r="J5893" s="32">
        <v>0</v>
      </c>
      <c r="K5893" s="89">
        <f>+L5893-J5455</f>
        <v>411</v>
      </c>
      <c r="L5893" s="7">
        <v>411</v>
      </c>
      <c r="M5893" s="10">
        <f t="shared" si="368"/>
        <v>24.352798053527984</v>
      </c>
    </row>
    <row r="5894" spans="1:19" ht="15.75" hidden="1" customHeight="1" x14ac:dyDescent="0.3">
      <c r="A5894" s="9">
        <v>5908</v>
      </c>
      <c r="B5894" t="s">
        <v>186</v>
      </c>
      <c r="C5894" s="25">
        <v>44725</v>
      </c>
      <c r="D5894" s="26">
        <v>0.43754629629629632</v>
      </c>
      <c r="E5894" t="s">
        <v>29</v>
      </c>
      <c r="F5894" t="s">
        <v>637</v>
      </c>
      <c r="G5894" t="s">
        <v>196</v>
      </c>
      <c r="H5894" t="s">
        <v>11</v>
      </c>
      <c r="I5894">
        <v>100.01</v>
      </c>
      <c r="J5894" s="32">
        <v>0</v>
      </c>
      <c r="K5894" s="146">
        <v>482</v>
      </c>
      <c r="L5894" s="7">
        <v>482</v>
      </c>
      <c r="M5894" s="10">
        <f t="shared" si="368"/>
        <v>20.748962655601659</v>
      </c>
      <c r="N5894" s="2"/>
      <c r="O5894" s="2"/>
      <c r="P5894" s="2"/>
      <c r="Q5894" s="2"/>
      <c r="R5894" s="2"/>
      <c r="S5894" s="2"/>
    </row>
    <row r="5895" spans="1:19" ht="15.75" hidden="1" customHeight="1" x14ac:dyDescent="0.3">
      <c r="A5895" s="9">
        <v>6025</v>
      </c>
      <c r="B5895" t="s">
        <v>186</v>
      </c>
      <c r="C5895" s="25">
        <v>44727</v>
      </c>
      <c r="D5895" s="26">
        <v>0.29741898148148149</v>
      </c>
      <c r="E5895" t="s">
        <v>29</v>
      </c>
      <c r="F5895" t="s">
        <v>651</v>
      </c>
      <c r="G5895" t="s">
        <v>172</v>
      </c>
      <c r="H5895" t="s">
        <v>187</v>
      </c>
      <c r="I5895">
        <v>309.68</v>
      </c>
      <c r="J5895" s="32">
        <v>0</v>
      </c>
      <c r="K5895" s="89">
        <v>361</v>
      </c>
      <c r="L5895" s="7">
        <v>361</v>
      </c>
      <c r="M5895" s="10">
        <f t="shared" si="368"/>
        <v>85.78393351800554</v>
      </c>
    </row>
    <row r="5896" spans="1:19" ht="15.75" hidden="1" customHeight="1" x14ac:dyDescent="0.3">
      <c r="A5896" s="9">
        <v>6141</v>
      </c>
      <c r="B5896" t="s">
        <v>186</v>
      </c>
      <c r="C5896" s="25">
        <v>44729</v>
      </c>
      <c r="D5896" s="26">
        <v>0.49634259259259261</v>
      </c>
      <c r="E5896" t="s">
        <v>29</v>
      </c>
      <c r="F5896" t="s">
        <v>651</v>
      </c>
      <c r="G5896" t="s">
        <v>172</v>
      </c>
      <c r="H5896" t="s">
        <v>305</v>
      </c>
      <c r="I5896" s="122">
        <v>294.19</v>
      </c>
      <c r="J5896" s="32">
        <v>0</v>
      </c>
      <c r="K5896" s="89">
        <f>+L5896-J5896</f>
        <v>568</v>
      </c>
      <c r="L5896" s="7">
        <v>568</v>
      </c>
      <c r="M5896" s="10">
        <f t="shared" si="368"/>
        <v>51.794014084507047</v>
      </c>
    </row>
    <row r="5897" spans="1:19" ht="15.75" hidden="1" customHeight="1" x14ac:dyDescent="0.3">
      <c r="A5897" s="9">
        <v>6142</v>
      </c>
      <c r="B5897" t="s">
        <v>186</v>
      </c>
      <c r="C5897" s="25">
        <v>44729</v>
      </c>
      <c r="D5897" s="26">
        <v>0.97983796296296299</v>
      </c>
      <c r="E5897" t="s">
        <v>29</v>
      </c>
      <c r="F5897" t="s">
        <v>632</v>
      </c>
      <c r="G5897" t="s">
        <v>161</v>
      </c>
      <c r="H5897" t="s">
        <v>305</v>
      </c>
      <c r="I5897" s="125">
        <v>261.72000000000003</v>
      </c>
      <c r="J5897" s="32">
        <v>0</v>
      </c>
      <c r="K5897" s="89">
        <f>+L5897-J5897</f>
        <v>619</v>
      </c>
      <c r="L5897" s="7">
        <v>619</v>
      </c>
      <c r="M5897" s="10">
        <f t="shared" si="368"/>
        <v>42.281098546042003</v>
      </c>
    </row>
    <row r="5898" spans="1:19" ht="15.75" hidden="1" customHeight="1" x14ac:dyDescent="0.3">
      <c r="A5898" s="9">
        <v>6201</v>
      </c>
      <c r="B5898" t="s">
        <v>186</v>
      </c>
      <c r="C5898" s="25">
        <v>44730</v>
      </c>
      <c r="D5898" s="26">
        <v>0.93545138888888879</v>
      </c>
      <c r="E5898" t="s">
        <v>29</v>
      </c>
      <c r="F5898" t="s">
        <v>635</v>
      </c>
      <c r="G5898" t="s">
        <v>185</v>
      </c>
      <c r="H5898" t="s">
        <v>305</v>
      </c>
      <c r="I5898" s="125">
        <v>256.18</v>
      </c>
      <c r="J5898" s="71">
        <v>0</v>
      </c>
      <c r="K5898" s="89">
        <f>+L5898-J5898</f>
        <v>631</v>
      </c>
      <c r="L5898" s="7">
        <v>631</v>
      </c>
      <c r="M5898" s="10">
        <f t="shared" si="368"/>
        <v>40.599049128367668</v>
      </c>
    </row>
    <row r="5899" spans="1:19" ht="15.75" hidden="1" customHeight="1" x14ac:dyDescent="0.3">
      <c r="A5899" s="9">
        <v>6259</v>
      </c>
      <c r="B5899" t="s">
        <v>186</v>
      </c>
      <c r="C5899" s="25">
        <v>44732</v>
      </c>
      <c r="D5899" s="26">
        <v>0.93893518518518526</v>
      </c>
      <c r="E5899" t="s">
        <v>29</v>
      </c>
      <c r="F5899" t="s">
        <v>634</v>
      </c>
      <c r="G5899" t="s">
        <v>211</v>
      </c>
      <c r="H5899" t="s">
        <v>305</v>
      </c>
      <c r="I5899" s="125">
        <v>208.26</v>
      </c>
      <c r="J5899" s="71">
        <v>0</v>
      </c>
      <c r="K5899" s="89">
        <f>+L5899-J5899</f>
        <v>573</v>
      </c>
      <c r="L5899" s="7">
        <v>573</v>
      </c>
      <c r="M5899" s="10">
        <f t="shared" si="368"/>
        <v>36.345549738219894</v>
      </c>
    </row>
    <row r="5900" spans="1:19" ht="15.75" hidden="1" customHeight="1" x14ac:dyDescent="0.3">
      <c r="A5900" s="9">
        <v>6374</v>
      </c>
      <c r="B5900" t="s">
        <v>186</v>
      </c>
      <c r="C5900" s="25">
        <v>44735</v>
      </c>
      <c r="D5900" s="26">
        <v>0.37538194444444445</v>
      </c>
      <c r="E5900" t="s">
        <v>29</v>
      </c>
      <c r="F5900" t="s">
        <v>651</v>
      </c>
      <c r="G5900" t="s">
        <v>172</v>
      </c>
      <c r="H5900" t="s">
        <v>305</v>
      </c>
      <c r="I5900" s="125">
        <v>369.26</v>
      </c>
      <c r="J5900" s="33">
        <v>0</v>
      </c>
      <c r="K5900" s="89">
        <v>1031</v>
      </c>
      <c r="L5900" s="31">
        <v>1031</v>
      </c>
      <c r="M5900" s="10">
        <f t="shared" si="368"/>
        <v>35.81571290009699</v>
      </c>
    </row>
    <row r="5901" spans="1:19" ht="12.75" hidden="1" customHeight="1" x14ac:dyDescent="0.3">
      <c r="A5901" s="9">
        <v>6375</v>
      </c>
      <c r="B5901" t="s">
        <v>186</v>
      </c>
      <c r="C5901" s="25">
        <v>44735</v>
      </c>
      <c r="D5901" s="26">
        <v>0.8728935185185186</v>
      </c>
      <c r="E5901" t="s">
        <v>29</v>
      </c>
      <c r="F5901" t="s">
        <v>632</v>
      </c>
      <c r="G5901" t="s">
        <v>161</v>
      </c>
      <c r="H5901" t="s">
        <v>305</v>
      </c>
      <c r="I5901" s="148">
        <v>220.11</v>
      </c>
      <c r="J5901" s="32">
        <v>0</v>
      </c>
      <c r="K5901" s="94">
        <v>619</v>
      </c>
      <c r="L5901" s="31">
        <v>619</v>
      </c>
      <c r="M5901" s="10">
        <f t="shared" si="368"/>
        <v>35.55896607431341</v>
      </c>
    </row>
    <row r="5902" spans="1:19" ht="15.75" hidden="1" customHeight="1" x14ac:dyDescent="0.3">
      <c r="A5902" s="9">
        <v>6421</v>
      </c>
      <c r="B5902" t="s">
        <v>186</v>
      </c>
      <c r="C5902" s="25">
        <v>44736</v>
      </c>
      <c r="D5902" s="26">
        <v>0.95630787037037035</v>
      </c>
      <c r="E5902" t="s">
        <v>29</v>
      </c>
      <c r="F5902" t="s">
        <v>635</v>
      </c>
      <c r="G5902" t="s">
        <v>185</v>
      </c>
      <c r="H5902" t="s">
        <v>305</v>
      </c>
      <c r="I5902" s="148">
        <v>269.25</v>
      </c>
      <c r="J5902" s="32">
        <v>0</v>
      </c>
      <c r="K5902" s="89">
        <v>631</v>
      </c>
      <c r="L5902" s="7">
        <v>631</v>
      </c>
      <c r="M5902" s="36">
        <f t="shared" si="368"/>
        <v>42.670364500792388</v>
      </c>
    </row>
    <row r="5903" spans="1:19" ht="15.75" hidden="1" customHeight="1" x14ac:dyDescent="0.3">
      <c r="A5903" s="9">
        <v>6485</v>
      </c>
      <c r="B5903" t="s">
        <v>186</v>
      </c>
      <c r="C5903" s="25">
        <v>44737</v>
      </c>
      <c r="D5903" s="26">
        <v>0.77021990740740742</v>
      </c>
      <c r="E5903" t="s">
        <v>29</v>
      </c>
      <c r="F5903" t="s">
        <v>634</v>
      </c>
      <c r="G5903" t="s">
        <v>211</v>
      </c>
      <c r="H5903" t="s">
        <v>305</v>
      </c>
      <c r="I5903" s="148">
        <v>147.52000000000001</v>
      </c>
      <c r="J5903" s="32">
        <v>0</v>
      </c>
      <c r="K5903" s="89">
        <v>514</v>
      </c>
      <c r="L5903" s="7">
        <v>514</v>
      </c>
      <c r="M5903" s="10">
        <f t="shared" si="368"/>
        <v>28.700389105058367</v>
      </c>
    </row>
    <row r="5904" spans="1:19" ht="15.75" hidden="1" customHeight="1" x14ac:dyDescent="0.3">
      <c r="A5904" s="9">
        <v>6587</v>
      </c>
      <c r="B5904" t="s">
        <v>186</v>
      </c>
      <c r="C5904" s="25">
        <v>44739</v>
      </c>
      <c r="D5904" s="26">
        <v>0.62290509259259264</v>
      </c>
      <c r="E5904" t="s">
        <v>29</v>
      </c>
      <c r="F5904" t="s">
        <v>760</v>
      </c>
      <c r="G5904" t="s">
        <v>471</v>
      </c>
      <c r="H5904" t="s">
        <v>305</v>
      </c>
      <c r="I5904" s="148">
        <v>200.16</v>
      </c>
      <c r="J5904" s="33">
        <v>0</v>
      </c>
      <c r="K5904" s="96">
        <v>712</v>
      </c>
      <c r="L5904" s="31">
        <v>712</v>
      </c>
      <c r="M5904" s="131">
        <f t="shared" si="368"/>
        <v>28.112359550561798</v>
      </c>
    </row>
    <row r="5905" spans="1:13" ht="15.75" hidden="1" customHeight="1" x14ac:dyDescent="0.3">
      <c r="B5905" t="s">
        <v>716</v>
      </c>
      <c r="C5905" s="25">
        <v>44760</v>
      </c>
      <c r="D5905" s="26">
        <v>0.80921296296296286</v>
      </c>
      <c r="E5905" t="s">
        <v>30</v>
      </c>
      <c r="F5905" t="s">
        <v>169</v>
      </c>
      <c r="G5905" t="s">
        <v>196</v>
      </c>
      <c r="H5905" t="s">
        <v>199</v>
      </c>
      <c r="I5905" s="160">
        <v>156</v>
      </c>
      <c r="J5905" s="8"/>
      <c r="K5905" s="8">
        <v>75047</v>
      </c>
      <c r="L5905" s="8">
        <f>+K5905-J5905</f>
        <v>75047</v>
      </c>
      <c r="M5905" s="254">
        <f t="shared" si="368"/>
        <v>0.20786973496608793</v>
      </c>
    </row>
    <row r="5906" spans="1:13" ht="15.75" hidden="1" customHeight="1" x14ac:dyDescent="0.3">
      <c r="B5906" t="s">
        <v>716</v>
      </c>
      <c r="C5906" s="25">
        <v>44762</v>
      </c>
      <c r="D5906" s="26">
        <v>0.41297453703703701</v>
      </c>
      <c r="E5906" t="s">
        <v>30</v>
      </c>
      <c r="F5906" t="s">
        <v>210</v>
      </c>
      <c r="G5906" t="s">
        <v>211</v>
      </c>
      <c r="H5906" t="s">
        <v>199</v>
      </c>
      <c r="I5906" s="160">
        <v>447.09</v>
      </c>
      <c r="J5906" s="160">
        <f>447+156+200+225</f>
        <v>1028</v>
      </c>
      <c r="K5906" s="160">
        <v>751803</v>
      </c>
      <c r="L5906" s="160">
        <v>2908</v>
      </c>
      <c r="M5906" s="254">
        <f>+J5906/L5906*100</f>
        <v>35.350756533700142</v>
      </c>
    </row>
    <row r="5907" spans="1:13" ht="15.75" hidden="1" customHeight="1" x14ac:dyDescent="0.3">
      <c r="B5907" t="s">
        <v>181</v>
      </c>
      <c r="C5907" s="25">
        <v>44573</v>
      </c>
      <c r="D5907" s="26">
        <v>0.38467592592592598</v>
      </c>
      <c r="E5907" t="s">
        <v>24</v>
      </c>
      <c r="F5907" t="s">
        <v>175</v>
      </c>
      <c r="G5907" t="s">
        <v>172</v>
      </c>
      <c r="H5907" t="s">
        <v>182</v>
      </c>
      <c r="I5907">
        <v>194.27</v>
      </c>
      <c r="J5907" s="30">
        <v>591435</v>
      </c>
      <c r="K5907" s="30">
        <f t="shared" ref="K5907:K5913" si="369">+L5907-J5907</f>
        <v>406</v>
      </c>
      <c r="L5907" s="34">
        <v>591841</v>
      </c>
      <c r="M5907" s="61">
        <f>I5907/L5907*100</f>
        <v>3.2824694470305373E-2</v>
      </c>
    </row>
    <row r="5908" spans="1:13" ht="15.75" hidden="1" customHeight="1" x14ac:dyDescent="0.3">
      <c r="B5908" t="s">
        <v>181</v>
      </c>
      <c r="C5908" s="25">
        <v>44574</v>
      </c>
      <c r="D5908" s="26">
        <v>0.4287731481481481</v>
      </c>
      <c r="E5908" t="s">
        <v>24</v>
      </c>
      <c r="F5908" t="s">
        <v>210</v>
      </c>
      <c r="G5908" t="s">
        <v>211</v>
      </c>
      <c r="H5908" t="s">
        <v>182</v>
      </c>
      <c r="I5908">
        <v>300.05</v>
      </c>
      <c r="J5908" s="7">
        <v>591841</v>
      </c>
      <c r="K5908" s="11">
        <f t="shared" si="369"/>
        <v>694</v>
      </c>
      <c r="L5908" s="7">
        <v>592535</v>
      </c>
      <c r="M5908" s="10">
        <f t="shared" ref="M5908:M5939" si="370">I5908/K5908*100</f>
        <v>43.23487031700288</v>
      </c>
    </row>
    <row r="5909" spans="1:13" ht="15.75" hidden="1" customHeight="1" x14ac:dyDescent="0.3">
      <c r="B5909" t="s">
        <v>181</v>
      </c>
      <c r="C5909" s="25">
        <v>44575</v>
      </c>
      <c r="D5909" s="26">
        <v>0.76896990740740734</v>
      </c>
      <c r="E5909" t="s">
        <v>24</v>
      </c>
      <c r="F5909" t="s">
        <v>210</v>
      </c>
      <c r="G5909" t="s">
        <v>211</v>
      </c>
      <c r="H5909" t="s">
        <v>182</v>
      </c>
      <c r="I5909">
        <v>425.3</v>
      </c>
      <c r="J5909" s="7">
        <v>592535</v>
      </c>
      <c r="K5909" s="11">
        <f t="shared" si="369"/>
        <v>1042</v>
      </c>
      <c r="L5909" s="31">
        <v>593577</v>
      </c>
      <c r="M5909" s="10">
        <f t="shared" si="370"/>
        <v>40.815738963531672</v>
      </c>
    </row>
    <row r="5910" spans="1:13" ht="15.75" hidden="1" customHeight="1" x14ac:dyDescent="0.3">
      <c r="B5910" t="s">
        <v>181</v>
      </c>
      <c r="C5910" s="25">
        <v>44576</v>
      </c>
      <c r="D5910" s="26">
        <v>0.82203703703703701</v>
      </c>
      <c r="E5910" t="s">
        <v>24</v>
      </c>
      <c r="F5910" t="s">
        <v>175</v>
      </c>
      <c r="G5910" t="s">
        <v>172</v>
      </c>
      <c r="H5910" t="s">
        <v>182</v>
      </c>
      <c r="I5910">
        <v>375.63</v>
      </c>
      <c r="J5910" s="7">
        <v>593577</v>
      </c>
      <c r="K5910" s="11">
        <f t="shared" si="369"/>
        <v>899</v>
      </c>
      <c r="L5910" s="7">
        <v>594476</v>
      </c>
      <c r="M5910" s="10">
        <f t="shared" si="370"/>
        <v>41.783092324805338</v>
      </c>
    </row>
    <row r="5911" spans="1:13" ht="15.75" hidden="1" customHeight="1" x14ac:dyDescent="0.3">
      <c r="A5911" s="9">
        <v>43</v>
      </c>
      <c r="B5911" t="s">
        <v>181</v>
      </c>
      <c r="C5911" s="25">
        <v>44564</v>
      </c>
      <c r="D5911" s="26">
        <v>0.79952546296296301</v>
      </c>
      <c r="E5911" t="s">
        <v>24</v>
      </c>
      <c r="F5911" t="s">
        <v>210</v>
      </c>
      <c r="G5911" t="s">
        <v>211</v>
      </c>
      <c r="H5911" t="s">
        <v>123</v>
      </c>
      <c r="I5911">
        <v>308.94</v>
      </c>
      <c r="J5911" s="7">
        <v>0</v>
      </c>
      <c r="K5911" s="11">
        <f t="shared" si="369"/>
        <v>676.28</v>
      </c>
      <c r="L5911" s="7">
        <v>676.28</v>
      </c>
      <c r="M5911" s="10">
        <f t="shared" si="370"/>
        <v>45.682261785059445</v>
      </c>
    </row>
    <row r="5912" spans="1:13" ht="15.75" hidden="1" customHeight="1" x14ac:dyDescent="0.3">
      <c r="A5912" s="9">
        <v>44</v>
      </c>
      <c r="B5912" t="s">
        <v>181</v>
      </c>
      <c r="C5912" s="25">
        <v>44566</v>
      </c>
      <c r="D5912" s="26">
        <v>0.35458333333333331</v>
      </c>
      <c r="E5912" t="s">
        <v>24</v>
      </c>
      <c r="F5912" t="s">
        <v>210</v>
      </c>
      <c r="G5912" t="s">
        <v>211</v>
      </c>
      <c r="H5912" t="s">
        <v>123</v>
      </c>
      <c r="I5912">
        <v>433.12</v>
      </c>
      <c r="J5912" s="7">
        <v>0</v>
      </c>
      <c r="K5912" s="11">
        <f t="shared" si="369"/>
        <v>1069.33</v>
      </c>
      <c r="L5912" s="34">
        <v>1069.33</v>
      </c>
      <c r="M5912" s="10">
        <f t="shared" si="370"/>
        <v>40.503866907315796</v>
      </c>
    </row>
    <row r="5913" spans="1:13" ht="15.75" hidden="1" customHeight="1" x14ac:dyDescent="0.3">
      <c r="A5913" s="9">
        <v>45</v>
      </c>
      <c r="B5913" t="s">
        <v>181</v>
      </c>
      <c r="C5913" s="25">
        <v>44567</v>
      </c>
      <c r="D5913" s="26">
        <v>0.16327546296296297</v>
      </c>
      <c r="E5913" t="s">
        <v>24</v>
      </c>
      <c r="F5913" t="s">
        <v>175</v>
      </c>
      <c r="G5913" t="s">
        <v>172</v>
      </c>
      <c r="H5913" t="s">
        <v>123</v>
      </c>
      <c r="I5913">
        <v>372.63</v>
      </c>
      <c r="J5913" s="31">
        <v>0</v>
      </c>
      <c r="K5913" s="28">
        <f t="shared" si="369"/>
        <v>934.21</v>
      </c>
      <c r="L5913" s="31">
        <v>934.21</v>
      </c>
      <c r="M5913" s="131">
        <f t="shared" si="370"/>
        <v>39.887177401226701</v>
      </c>
    </row>
    <row r="5914" spans="1:13" ht="15.75" hidden="1" customHeight="1" x14ac:dyDescent="0.3">
      <c r="B5914" t="s">
        <v>716</v>
      </c>
      <c r="C5914" s="25">
        <v>44762</v>
      </c>
      <c r="D5914" s="26">
        <v>0.4256597222222222</v>
      </c>
      <c r="E5914" t="s">
        <v>30</v>
      </c>
      <c r="F5914" t="s">
        <v>210</v>
      </c>
      <c r="G5914" t="s">
        <v>211</v>
      </c>
      <c r="H5914" t="s">
        <v>199</v>
      </c>
      <c r="I5914" s="160">
        <v>37.369999999999997</v>
      </c>
      <c r="J5914" s="8"/>
      <c r="K5914" s="8">
        <v>751803</v>
      </c>
      <c r="L5914" s="8">
        <f>+K5914-J5914</f>
        <v>751803</v>
      </c>
      <c r="M5914" s="254">
        <f t="shared" si="370"/>
        <v>4.9707170628475808E-3</v>
      </c>
    </row>
    <row r="5915" spans="1:13" ht="15.75" hidden="1" customHeight="1" x14ac:dyDescent="0.3">
      <c r="B5915" t="s">
        <v>716</v>
      </c>
      <c r="C5915" s="25">
        <v>44763</v>
      </c>
      <c r="D5915" s="26">
        <v>0.1605439814814815</v>
      </c>
      <c r="E5915" t="s">
        <v>30</v>
      </c>
      <c r="F5915" t="s">
        <v>165</v>
      </c>
      <c r="G5915" t="s">
        <v>185</v>
      </c>
      <c r="H5915" t="s">
        <v>199</v>
      </c>
      <c r="I5915" s="160">
        <v>66.900000000000006</v>
      </c>
      <c r="J5915" s="8"/>
      <c r="K5915" s="8">
        <v>752373</v>
      </c>
      <c r="L5915" s="8">
        <f>+K5915-J5915</f>
        <v>752373</v>
      </c>
      <c r="M5915" s="254">
        <f t="shared" si="370"/>
        <v>8.8918661355471308E-3</v>
      </c>
    </row>
    <row r="5916" spans="1:13" ht="15.75" hidden="1" customHeight="1" x14ac:dyDescent="0.3">
      <c r="B5916" t="s">
        <v>384</v>
      </c>
      <c r="C5916" s="25">
        <v>44580</v>
      </c>
      <c r="D5916" s="26">
        <v>0.54160879629629632</v>
      </c>
      <c r="E5916" t="s">
        <v>24</v>
      </c>
      <c r="F5916" t="s">
        <v>175</v>
      </c>
      <c r="G5916" t="s">
        <v>172</v>
      </c>
      <c r="H5916" t="s">
        <v>192</v>
      </c>
      <c r="I5916">
        <v>350.02</v>
      </c>
      <c r="J5916" s="34">
        <v>0</v>
      </c>
      <c r="K5916" s="30">
        <f t="shared" ref="K5916:K5947" si="371">+L5916-J5916</f>
        <v>742.91800000000001</v>
      </c>
      <c r="L5916" s="34">
        <v>742.91800000000001</v>
      </c>
      <c r="M5916" s="254">
        <f t="shared" si="370"/>
        <v>47.114217181438597</v>
      </c>
    </row>
    <row r="5917" spans="1:13" ht="15.75" hidden="1" customHeight="1" x14ac:dyDescent="0.3">
      <c r="B5917" t="s">
        <v>384</v>
      </c>
      <c r="C5917" s="25">
        <v>44581</v>
      </c>
      <c r="D5917" s="26">
        <v>0.48637731481481478</v>
      </c>
      <c r="E5917" t="s">
        <v>24</v>
      </c>
      <c r="F5917" t="s">
        <v>210</v>
      </c>
      <c r="G5917" t="s">
        <v>211</v>
      </c>
      <c r="H5917" t="s">
        <v>192</v>
      </c>
      <c r="I5917">
        <v>360.08</v>
      </c>
      <c r="J5917" s="51">
        <v>0</v>
      </c>
      <c r="K5917" s="11">
        <f t="shared" si="371"/>
        <v>825.57</v>
      </c>
      <c r="L5917" s="51">
        <v>825.57</v>
      </c>
      <c r="M5917" s="254">
        <f t="shared" si="370"/>
        <v>43.615925966302065</v>
      </c>
    </row>
    <row r="5918" spans="1:13" ht="15.75" hidden="1" customHeight="1" x14ac:dyDescent="0.3">
      <c r="B5918" t="s">
        <v>384</v>
      </c>
      <c r="C5918" s="25">
        <v>44582</v>
      </c>
      <c r="D5918" s="26">
        <v>0.48998842592592595</v>
      </c>
      <c r="E5918" t="s">
        <v>24</v>
      </c>
      <c r="F5918" t="s">
        <v>210</v>
      </c>
      <c r="G5918" t="s">
        <v>211</v>
      </c>
      <c r="H5918" t="s">
        <v>192</v>
      </c>
      <c r="I5918">
        <v>421.26</v>
      </c>
      <c r="J5918" s="51">
        <v>0</v>
      </c>
      <c r="K5918" s="11">
        <f t="shared" si="371"/>
        <v>940.36</v>
      </c>
      <c r="L5918" s="51">
        <v>940.36</v>
      </c>
      <c r="M5918" s="254">
        <f t="shared" si="370"/>
        <v>44.797737036879489</v>
      </c>
    </row>
    <row r="5919" spans="1:13" ht="15.75" hidden="1" customHeight="1" x14ac:dyDescent="0.3">
      <c r="B5919" t="s">
        <v>384</v>
      </c>
      <c r="C5919" s="25">
        <v>44583</v>
      </c>
      <c r="D5919" s="26">
        <v>0.72531249999999992</v>
      </c>
      <c r="E5919" t="s">
        <v>24</v>
      </c>
      <c r="F5919" t="s">
        <v>197</v>
      </c>
      <c r="G5919" t="s">
        <v>44</v>
      </c>
      <c r="H5919" t="s">
        <v>192</v>
      </c>
      <c r="I5919">
        <v>250.01</v>
      </c>
      <c r="J5919" s="51">
        <v>0</v>
      </c>
      <c r="K5919" s="11">
        <f t="shared" si="371"/>
        <v>1019.79</v>
      </c>
      <c r="L5919" s="51">
        <v>1019.79</v>
      </c>
      <c r="M5919" s="254">
        <f t="shared" si="370"/>
        <v>24.515831690838311</v>
      </c>
    </row>
    <row r="5920" spans="1:13" ht="15.75" hidden="1" customHeight="1" x14ac:dyDescent="0.3">
      <c r="B5920" t="s">
        <v>384</v>
      </c>
      <c r="C5920" s="25">
        <v>44584</v>
      </c>
      <c r="D5920" s="26">
        <v>0.40011574074074074</v>
      </c>
      <c r="E5920" t="s">
        <v>24</v>
      </c>
      <c r="F5920" t="s">
        <v>210</v>
      </c>
      <c r="G5920" t="s">
        <v>211</v>
      </c>
      <c r="H5920" t="s">
        <v>192</v>
      </c>
      <c r="I5920">
        <v>490.28</v>
      </c>
      <c r="J5920" s="51">
        <v>0</v>
      </c>
      <c r="K5920" s="11">
        <f t="shared" si="371"/>
        <v>584.67999999999995</v>
      </c>
      <c r="L5920" s="51">
        <v>584.67999999999995</v>
      </c>
      <c r="M5920" s="254">
        <f t="shared" si="370"/>
        <v>83.854416090853121</v>
      </c>
    </row>
    <row r="5921" spans="1:13" ht="15.75" hidden="1" customHeight="1" x14ac:dyDescent="0.3">
      <c r="B5921" t="s">
        <v>384</v>
      </c>
      <c r="C5921" s="25">
        <v>44585</v>
      </c>
      <c r="D5921" s="26">
        <v>2.9039351851851854E-2</v>
      </c>
      <c r="E5921" t="s">
        <v>24</v>
      </c>
      <c r="F5921" t="s">
        <v>210</v>
      </c>
      <c r="G5921" t="s">
        <v>211</v>
      </c>
      <c r="H5921" t="s">
        <v>192</v>
      </c>
      <c r="I5921">
        <v>400.02</v>
      </c>
      <c r="J5921" s="51">
        <v>0</v>
      </c>
      <c r="K5921" s="11">
        <f t="shared" si="371"/>
        <v>389.95</v>
      </c>
      <c r="L5921" s="51">
        <v>389.95</v>
      </c>
      <c r="M5921" s="254">
        <f t="shared" si="370"/>
        <v>102.5823823567124</v>
      </c>
    </row>
    <row r="5922" spans="1:13" ht="15.75" hidden="1" customHeight="1" x14ac:dyDescent="0.3">
      <c r="B5922" t="s">
        <v>384</v>
      </c>
      <c r="C5922" s="25">
        <v>44586</v>
      </c>
      <c r="D5922" s="26">
        <v>0.54526620370370371</v>
      </c>
      <c r="E5922" t="s">
        <v>24</v>
      </c>
      <c r="F5922" t="s">
        <v>197</v>
      </c>
      <c r="G5922" t="s">
        <v>44</v>
      </c>
      <c r="H5922" t="s">
        <v>192</v>
      </c>
      <c r="I5922">
        <v>250.01</v>
      </c>
      <c r="J5922" s="51">
        <v>0</v>
      </c>
      <c r="K5922" s="11">
        <f t="shared" si="371"/>
        <v>1179.6300000000001</v>
      </c>
      <c r="L5922" s="51">
        <v>1179.6300000000001</v>
      </c>
      <c r="M5922" s="254">
        <f t="shared" si="370"/>
        <v>21.193933691072623</v>
      </c>
    </row>
    <row r="5923" spans="1:13" ht="15.75" hidden="1" customHeight="1" x14ac:dyDescent="0.3">
      <c r="B5923" t="s">
        <v>384</v>
      </c>
      <c r="C5923" s="25">
        <v>44592</v>
      </c>
      <c r="D5923" s="26">
        <v>0.85517361111111112</v>
      </c>
      <c r="E5923" t="s">
        <v>24</v>
      </c>
      <c r="F5923" t="s">
        <v>210</v>
      </c>
      <c r="G5923" t="s">
        <v>211</v>
      </c>
      <c r="H5923" t="s">
        <v>192</v>
      </c>
      <c r="I5923">
        <v>492.03</v>
      </c>
      <c r="J5923" s="7">
        <v>0</v>
      </c>
      <c r="K5923" s="11">
        <f t="shared" si="371"/>
        <v>612.79999999999995</v>
      </c>
      <c r="L5923" s="7">
        <v>612.79999999999995</v>
      </c>
      <c r="M5923" s="254">
        <f t="shared" si="370"/>
        <v>80.292101827676248</v>
      </c>
    </row>
    <row r="5924" spans="1:13" ht="15.75" hidden="1" customHeight="1" x14ac:dyDescent="0.3">
      <c r="A5924" s="9">
        <v>308</v>
      </c>
      <c r="B5924" t="s">
        <v>384</v>
      </c>
      <c r="C5924" s="25">
        <v>44594</v>
      </c>
      <c r="D5924" s="26">
        <v>0.61547453703703703</v>
      </c>
      <c r="E5924" t="s">
        <v>25</v>
      </c>
      <c r="F5924" t="s">
        <v>210</v>
      </c>
      <c r="G5924" t="s">
        <v>211</v>
      </c>
      <c r="H5924" t="s">
        <v>192</v>
      </c>
      <c r="I5924">
        <v>415.54</v>
      </c>
      <c r="J5924" s="7">
        <v>0</v>
      </c>
      <c r="K5924" s="11">
        <f t="shared" si="371"/>
        <v>1086.1600000000001</v>
      </c>
      <c r="L5924" s="34">
        <v>1086.1600000000001</v>
      </c>
      <c r="M5924" s="254">
        <f t="shared" si="370"/>
        <v>38.257715253737942</v>
      </c>
    </row>
    <row r="5925" spans="1:13" ht="15.75" hidden="1" customHeight="1" x14ac:dyDescent="0.3">
      <c r="A5925" s="9">
        <v>309</v>
      </c>
      <c r="B5925" t="s">
        <v>384</v>
      </c>
      <c r="C5925" s="25">
        <v>44597</v>
      </c>
      <c r="D5925" s="26">
        <v>0.42466435185185186</v>
      </c>
      <c r="E5925" t="s">
        <v>25</v>
      </c>
      <c r="F5925" t="s">
        <v>197</v>
      </c>
      <c r="G5925" t="s">
        <v>44</v>
      </c>
      <c r="H5925" t="s">
        <v>192</v>
      </c>
      <c r="I5925">
        <v>250</v>
      </c>
      <c r="J5925" s="7">
        <v>0</v>
      </c>
      <c r="K5925" s="11">
        <f t="shared" si="371"/>
        <v>1253.43</v>
      </c>
      <c r="L5925" s="7">
        <v>1253.43</v>
      </c>
      <c r="M5925" s="254">
        <f t="shared" si="370"/>
        <v>19.945270178629841</v>
      </c>
    </row>
    <row r="5926" spans="1:13" ht="15.75" hidden="1" customHeight="1" x14ac:dyDescent="0.3">
      <c r="A5926" s="9">
        <v>310</v>
      </c>
      <c r="B5926" t="s">
        <v>384</v>
      </c>
      <c r="C5926" s="25">
        <v>44597</v>
      </c>
      <c r="D5926" s="26">
        <v>0.76665509259259268</v>
      </c>
      <c r="E5926" t="s">
        <v>25</v>
      </c>
      <c r="F5926" t="s">
        <v>210</v>
      </c>
      <c r="G5926" t="s">
        <v>211</v>
      </c>
      <c r="H5926" t="s">
        <v>192</v>
      </c>
      <c r="I5926">
        <v>574.95000000000005</v>
      </c>
      <c r="J5926" s="7">
        <v>0</v>
      </c>
      <c r="K5926" s="11">
        <f t="shared" si="371"/>
        <v>337.29</v>
      </c>
      <c r="L5926" s="7">
        <v>337.29</v>
      </c>
      <c r="M5926" s="254">
        <f t="shared" si="370"/>
        <v>170.46162056390642</v>
      </c>
    </row>
    <row r="5927" spans="1:13" ht="15.75" hidden="1" customHeight="1" x14ac:dyDescent="0.3">
      <c r="A5927" s="9">
        <v>311</v>
      </c>
      <c r="B5927" t="s">
        <v>384</v>
      </c>
      <c r="C5927" s="25">
        <v>44599</v>
      </c>
      <c r="D5927" s="26">
        <v>0.58880787037037041</v>
      </c>
      <c r="E5927" t="s">
        <v>25</v>
      </c>
      <c r="F5927" t="s">
        <v>210</v>
      </c>
      <c r="G5927" t="s">
        <v>211</v>
      </c>
      <c r="H5927" t="s">
        <v>192</v>
      </c>
      <c r="I5927">
        <v>434.4</v>
      </c>
      <c r="J5927" s="34">
        <v>0</v>
      </c>
      <c r="K5927" s="11">
        <f t="shared" si="371"/>
        <v>975.66</v>
      </c>
      <c r="L5927" s="7">
        <v>975.66</v>
      </c>
      <c r="M5927" s="254">
        <f t="shared" si="370"/>
        <v>44.523707029088001</v>
      </c>
    </row>
    <row r="5928" spans="1:13" ht="15.75" hidden="1" customHeight="1" x14ac:dyDescent="0.3">
      <c r="A5928" s="9">
        <v>312</v>
      </c>
      <c r="B5928" t="s">
        <v>384</v>
      </c>
      <c r="C5928" s="25">
        <v>44602</v>
      </c>
      <c r="D5928" s="26">
        <v>0.73384259259259255</v>
      </c>
      <c r="E5928" t="s">
        <v>25</v>
      </c>
      <c r="F5928" t="s">
        <v>197</v>
      </c>
      <c r="G5928" t="s">
        <v>44</v>
      </c>
      <c r="H5928" t="s">
        <v>192</v>
      </c>
      <c r="I5928">
        <v>250.02</v>
      </c>
      <c r="J5928" s="7">
        <v>0</v>
      </c>
      <c r="K5928" s="11">
        <f t="shared" si="371"/>
        <v>1255.69</v>
      </c>
      <c r="L5928" s="37">
        <v>1255.69</v>
      </c>
      <c r="M5928" s="254">
        <f t="shared" si="370"/>
        <v>19.910965286018044</v>
      </c>
    </row>
    <row r="5929" spans="1:13" ht="15.75" hidden="1" customHeight="1" x14ac:dyDescent="0.3">
      <c r="A5929" s="9">
        <v>313</v>
      </c>
      <c r="B5929" t="s">
        <v>384</v>
      </c>
      <c r="C5929" s="25">
        <v>44603</v>
      </c>
      <c r="D5929" s="26">
        <v>4.2291666666666665E-2</v>
      </c>
      <c r="E5929" t="s">
        <v>25</v>
      </c>
      <c r="F5929" t="s">
        <v>210</v>
      </c>
      <c r="G5929" t="s">
        <v>211</v>
      </c>
      <c r="H5929" t="s">
        <v>192</v>
      </c>
      <c r="I5929">
        <v>567.08000000000004</v>
      </c>
      <c r="J5929" s="7">
        <v>0</v>
      </c>
      <c r="K5929" s="11">
        <f t="shared" si="371"/>
        <v>233.87</v>
      </c>
      <c r="L5929" s="34">
        <v>233.87</v>
      </c>
      <c r="M5929" s="254">
        <f t="shared" si="370"/>
        <v>242.47658955830164</v>
      </c>
    </row>
    <row r="5930" spans="1:13" ht="15.75" hidden="1" customHeight="1" x14ac:dyDescent="0.3">
      <c r="A5930" s="9">
        <v>314</v>
      </c>
      <c r="B5930" t="s">
        <v>384</v>
      </c>
      <c r="C5930" s="25">
        <v>44604</v>
      </c>
      <c r="D5930" s="26">
        <v>0.4176273148148148</v>
      </c>
      <c r="E5930" t="s">
        <v>25</v>
      </c>
      <c r="F5930" t="s">
        <v>340</v>
      </c>
      <c r="G5930" t="s">
        <v>337</v>
      </c>
      <c r="H5930" t="s">
        <v>192</v>
      </c>
      <c r="I5930">
        <v>518.28</v>
      </c>
      <c r="J5930" s="7">
        <v>0</v>
      </c>
      <c r="K5930" s="11">
        <f t="shared" si="371"/>
        <v>1322.36</v>
      </c>
      <c r="L5930" s="7">
        <v>1322.36</v>
      </c>
      <c r="M5930" s="254">
        <f t="shared" si="370"/>
        <v>39.193563023684931</v>
      </c>
    </row>
    <row r="5931" spans="1:13" ht="15.75" hidden="1" customHeight="1" x14ac:dyDescent="0.3">
      <c r="A5931" s="9">
        <v>315</v>
      </c>
      <c r="B5931" t="s">
        <v>384</v>
      </c>
      <c r="C5931" s="25">
        <v>44605</v>
      </c>
      <c r="D5931" s="26">
        <v>0.51664351851851853</v>
      </c>
      <c r="E5931" t="s">
        <v>25</v>
      </c>
      <c r="F5931" t="s">
        <v>210</v>
      </c>
      <c r="G5931" t="s">
        <v>211</v>
      </c>
      <c r="H5931" t="s">
        <v>192</v>
      </c>
      <c r="I5931">
        <v>540.19000000000005</v>
      </c>
      <c r="J5931" s="31">
        <v>0</v>
      </c>
      <c r="K5931" s="11">
        <f t="shared" si="371"/>
        <v>1136.23</v>
      </c>
      <c r="L5931" s="34">
        <v>1136.23</v>
      </c>
      <c r="M5931" s="254">
        <f t="shared" si="370"/>
        <v>47.542310975770761</v>
      </c>
    </row>
    <row r="5932" spans="1:13" ht="15.75" hidden="1" customHeight="1" x14ac:dyDescent="0.3">
      <c r="A5932" s="9">
        <v>316</v>
      </c>
      <c r="B5932" t="s">
        <v>384</v>
      </c>
      <c r="C5932" s="25">
        <v>44606</v>
      </c>
      <c r="D5932" s="26">
        <v>0.61960648148148145</v>
      </c>
      <c r="E5932" t="s">
        <v>25</v>
      </c>
      <c r="F5932" t="s">
        <v>391</v>
      </c>
      <c r="G5932" t="s">
        <v>392</v>
      </c>
      <c r="H5932" t="s">
        <v>192</v>
      </c>
      <c r="I5932">
        <v>361.88</v>
      </c>
      <c r="J5932" s="31">
        <v>0</v>
      </c>
      <c r="K5932" s="11">
        <f t="shared" si="371"/>
        <v>713.29</v>
      </c>
      <c r="L5932" s="32">
        <v>713.29</v>
      </c>
      <c r="M5932" s="254">
        <f t="shared" si="370"/>
        <v>50.733923088785772</v>
      </c>
    </row>
    <row r="5933" spans="1:13" ht="15.75" hidden="1" customHeight="1" x14ac:dyDescent="0.3">
      <c r="A5933" s="9">
        <v>317</v>
      </c>
      <c r="B5933" t="s">
        <v>384</v>
      </c>
      <c r="C5933" s="25">
        <v>44615</v>
      </c>
      <c r="D5933" s="26">
        <v>0.92278935185185185</v>
      </c>
      <c r="E5933" t="s">
        <v>25</v>
      </c>
      <c r="F5933" t="s">
        <v>210</v>
      </c>
      <c r="G5933" t="s">
        <v>211</v>
      </c>
      <c r="H5933" t="s">
        <v>192</v>
      </c>
      <c r="I5933">
        <v>561.12</v>
      </c>
      <c r="J5933" s="7">
        <v>0</v>
      </c>
      <c r="K5933" s="11">
        <f t="shared" si="371"/>
        <v>1191.53</v>
      </c>
      <c r="L5933" s="7">
        <v>1191.53</v>
      </c>
      <c r="M5933" s="254">
        <f t="shared" si="370"/>
        <v>47.092393812996733</v>
      </c>
    </row>
    <row r="5934" spans="1:13" ht="15.75" hidden="1" customHeight="1" x14ac:dyDescent="0.3">
      <c r="A5934" s="9">
        <v>318</v>
      </c>
      <c r="B5934" t="s">
        <v>384</v>
      </c>
      <c r="C5934" s="25">
        <v>44616</v>
      </c>
      <c r="D5934" s="26">
        <v>0.91820601851851846</v>
      </c>
      <c r="E5934" t="s">
        <v>25</v>
      </c>
      <c r="F5934" t="s">
        <v>168</v>
      </c>
      <c r="G5934" t="s">
        <v>460</v>
      </c>
      <c r="H5934" t="s">
        <v>192</v>
      </c>
      <c r="I5934">
        <v>380.01</v>
      </c>
      <c r="J5934" s="7">
        <v>0</v>
      </c>
      <c r="K5934" s="11">
        <f t="shared" si="371"/>
        <v>782.5</v>
      </c>
      <c r="L5934" s="7">
        <v>782.5</v>
      </c>
      <c r="M5934" s="254">
        <f t="shared" si="370"/>
        <v>48.563578274760381</v>
      </c>
    </row>
    <row r="5935" spans="1:13" ht="15.75" hidden="1" customHeight="1" x14ac:dyDescent="0.3">
      <c r="A5935" s="9">
        <v>319</v>
      </c>
      <c r="B5935" t="s">
        <v>384</v>
      </c>
      <c r="C5935" s="25">
        <v>44618</v>
      </c>
      <c r="D5935" s="26">
        <v>0.53871527777777783</v>
      </c>
      <c r="E5935" t="s">
        <v>25</v>
      </c>
      <c r="F5935" t="s">
        <v>175</v>
      </c>
      <c r="G5935" t="s">
        <v>172</v>
      </c>
      <c r="H5935" t="s">
        <v>192</v>
      </c>
      <c r="I5935">
        <v>426.62</v>
      </c>
      <c r="J5935" s="76">
        <v>0</v>
      </c>
      <c r="K5935" s="11">
        <f t="shared" si="371"/>
        <v>1132.29</v>
      </c>
      <c r="L5935" s="7">
        <v>1132.29</v>
      </c>
      <c r="M5935" s="254">
        <f t="shared" si="370"/>
        <v>37.677626756396329</v>
      </c>
    </row>
    <row r="5936" spans="1:13" ht="15.75" hidden="1" customHeight="1" x14ac:dyDescent="0.3">
      <c r="A5936" s="9">
        <v>320</v>
      </c>
      <c r="B5936" t="s">
        <v>384</v>
      </c>
      <c r="C5936" s="25">
        <v>44619</v>
      </c>
      <c r="D5936" s="26">
        <v>0.58996527777777785</v>
      </c>
      <c r="E5936" t="s">
        <v>25</v>
      </c>
      <c r="F5936" t="s">
        <v>210</v>
      </c>
      <c r="G5936" t="s">
        <v>211</v>
      </c>
      <c r="H5936" t="s">
        <v>192</v>
      </c>
      <c r="I5936">
        <v>370.02</v>
      </c>
      <c r="J5936" s="11">
        <v>0</v>
      </c>
      <c r="K5936" s="7">
        <f t="shared" si="371"/>
        <v>824.16</v>
      </c>
      <c r="L5936" s="34">
        <v>824.16</v>
      </c>
      <c r="M5936" s="254">
        <f t="shared" si="370"/>
        <v>44.89662201514269</v>
      </c>
    </row>
    <row r="5937" spans="1:13" ht="15.75" hidden="1" customHeight="1" x14ac:dyDescent="0.3">
      <c r="A5937" s="9">
        <v>321</v>
      </c>
      <c r="B5937" t="s">
        <v>384</v>
      </c>
      <c r="C5937" s="25">
        <v>44620</v>
      </c>
      <c r="D5937" s="26">
        <v>0.82114583333333335</v>
      </c>
      <c r="E5937" t="s">
        <v>25</v>
      </c>
      <c r="F5937" t="s">
        <v>210</v>
      </c>
      <c r="G5937" t="s">
        <v>211</v>
      </c>
      <c r="H5937" t="s">
        <v>192</v>
      </c>
      <c r="I5937">
        <v>484.21</v>
      </c>
      <c r="J5937" s="11">
        <v>0</v>
      </c>
      <c r="K5937" s="7">
        <f t="shared" si="371"/>
        <v>760.21</v>
      </c>
      <c r="L5937" s="7">
        <v>760.21</v>
      </c>
      <c r="M5937" s="254">
        <f t="shared" si="370"/>
        <v>63.694242380394883</v>
      </c>
    </row>
    <row r="5938" spans="1:13" ht="15.75" hidden="1" customHeight="1" x14ac:dyDescent="0.3">
      <c r="A5938" s="9">
        <v>1360</v>
      </c>
      <c r="B5938" t="s">
        <v>384</v>
      </c>
      <c r="C5938" s="25">
        <v>44621</v>
      </c>
      <c r="D5938" s="26">
        <v>0.60671296296296295</v>
      </c>
      <c r="E5938" t="s">
        <v>26</v>
      </c>
      <c r="F5938" t="s">
        <v>175</v>
      </c>
      <c r="G5938" t="s">
        <v>172</v>
      </c>
      <c r="H5938" t="s">
        <v>192</v>
      </c>
      <c r="I5938">
        <v>232.54</v>
      </c>
      <c r="J5938" s="11">
        <v>0</v>
      </c>
      <c r="K5938" s="90">
        <f t="shared" si="371"/>
        <v>689.25</v>
      </c>
      <c r="L5938" s="7">
        <v>689.25</v>
      </c>
      <c r="M5938" s="254">
        <f t="shared" si="370"/>
        <v>33.738121146173377</v>
      </c>
    </row>
    <row r="5939" spans="1:13" ht="15.75" hidden="1" customHeight="1" x14ac:dyDescent="0.3">
      <c r="A5939" s="9">
        <v>1361</v>
      </c>
      <c r="B5939" t="s">
        <v>384</v>
      </c>
      <c r="C5939" s="25">
        <v>44622</v>
      </c>
      <c r="D5939" s="26">
        <v>0.569849537037037</v>
      </c>
      <c r="E5939" t="s">
        <v>26</v>
      </c>
      <c r="F5939" t="s">
        <v>210</v>
      </c>
      <c r="G5939" t="s">
        <v>211</v>
      </c>
      <c r="H5939" t="s">
        <v>192</v>
      </c>
      <c r="I5939">
        <v>360.03</v>
      </c>
      <c r="J5939" s="7">
        <v>0</v>
      </c>
      <c r="K5939" s="89">
        <f t="shared" si="371"/>
        <v>850</v>
      </c>
      <c r="L5939" s="7">
        <v>850</v>
      </c>
      <c r="M5939" s="254">
        <f t="shared" si="370"/>
        <v>42.35647058823529</v>
      </c>
    </row>
    <row r="5940" spans="1:13" ht="15.75" hidden="1" customHeight="1" x14ac:dyDescent="0.3">
      <c r="A5940" s="9">
        <v>1362</v>
      </c>
      <c r="B5940" t="s">
        <v>384</v>
      </c>
      <c r="C5940" s="25">
        <v>44623</v>
      </c>
      <c r="D5940" s="26">
        <v>0.93487268518518529</v>
      </c>
      <c r="E5940" t="s">
        <v>26</v>
      </c>
      <c r="F5940" t="s">
        <v>210</v>
      </c>
      <c r="G5940" t="s">
        <v>211</v>
      </c>
      <c r="H5940" t="s">
        <v>192</v>
      </c>
      <c r="I5940">
        <v>462.16</v>
      </c>
      <c r="J5940" s="7">
        <v>0</v>
      </c>
      <c r="K5940" s="89">
        <f t="shared" si="371"/>
        <v>1050</v>
      </c>
      <c r="L5940" s="7">
        <v>1050</v>
      </c>
      <c r="M5940" s="254">
        <f t="shared" ref="M5940:M5971" si="372">I5940/K5940*100</f>
        <v>44.015238095238097</v>
      </c>
    </row>
    <row r="5941" spans="1:13" ht="15.75" hidden="1" customHeight="1" x14ac:dyDescent="0.3">
      <c r="A5941" s="9">
        <v>1363</v>
      </c>
      <c r="B5941" t="s">
        <v>384</v>
      </c>
      <c r="C5941" s="25">
        <v>44625</v>
      </c>
      <c r="D5941" s="26">
        <v>0.56074074074074076</v>
      </c>
      <c r="E5941" t="s">
        <v>26</v>
      </c>
      <c r="F5941" t="s">
        <v>262</v>
      </c>
      <c r="G5941" t="s">
        <v>263</v>
      </c>
      <c r="H5941" t="s">
        <v>192</v>
      </c>
      <c r="I5941">
        <v>424.56</v>
      </c>
      <c r="J5941" s="7">
        <v>0</v>
      </c>
      <c r="K5941" s="89">
        <f t="shared" si="371"/>
        <v>1143</v>
      </c>
      <c r="L5941" s="7">
        <v>1143</v>
      </c>
      <c r="M5941" s="254">
        <f t="shared" si="372"/>
        <v>37.144356955380573</v>
      </c>
    </row>
    <row r="5942" spans="1:13" ht="15.75" hidden="1" customHeight="1" x14ac:dyDescent="0.3">
      <c r="A5942" s="9">
        <v>1364</v>
      </c>
      <c r="B5942" t="s">
        <v>384</v>
      </c>
      <c r="C5942" s="25">
        <v>44626</v>
      </c>
      <c r="D5942" s="26">
        <v>0.35839120370370375</v>
      </c>
      <c r="E5942" t="s">
        <v>26</v>
      </c>
      <c r="F5942" t="s">
        <v>210</v>
      </c>
      <c r="G5942" t="s">
        <v>211</v>
      </c>
      <c r="H5942" t="s">
        <v>192</v>
      </c>
      <c r="I5942">
        <v>266.48</v>
      </c>
      <c r="J5942" s="34">
        <v>0</v>
      </c>
      <c r="K5942" s="89">
        <f t="shared" si="371"/>
        <v>588.58000000000004</v>
      </c>
      <c r="L5942" s="7">
        <v>588.58000000000004</v>
      </c>
      <c r="M5942" s="254">
        <f t="shared" si="372"/>
        <v>45.275068809677528</v>
      </c>
    </row>
    <row r="5943" spans="1:13" ht="15.75" hidden="1" customHeight="1" x14ac:dyDescent="0.3">
      <c r="A5943" s="9">
        <v>1365</v>
      </c>
      <c r="B5943" t="s">
        <v>384</v>
      </c>
      <c r="C5943" s="25">
        <v>44627</v>
      </c>
      <c r="D5943" s="26">
        <v>0.43929398148148152</v>
      </c>
      <c r="E5943" t="s">
        <v>26</v>
      </c>
      <c r="F5943" t="s">
        <v>210</v>
      </c>
      <c r="G5943" t="s">
        <v>211</v>
      </c>
      <c r="H5943" t="s">
        <v>192</v>
      </c>
      <c r="I5943">
        <v>390.01</v>
      </c>
      <c r="J5943" s="34">
        <v>0</v>
      </c>
      <c r="K5943" s="89">
        <f t="shared" si="371"/>
        <v>845.96</v>
      </c>
      <c r="L5943" s="7">
        <v>845.96</v>
      </c>
      <c r="M5943" s="254">
        <f t="shared" si="372"/>
        <v>46.102652607688306</v>
      </c>
    </row>
    <row r="5944" spans="1:13" ht="15.75" hidden="1" customHeight="1" x14ac:dyDescent="0.3">
      <c r="A5944" s="9">
        <v>1366</v>
      </c>
      <c r="B5944" t="s">
        <v>384</v>
      </c>
      <c r="C5944" s="25">
        <v>44628</v>
      </c>
      <c r="D5944" s="26">
        <v>0.59847222222222218</v>
      </c>
      <c r="E5944" t="s">
        <v>26</v>
      </c>
      <c r="F5944" t="s">
        <v>309</v>
      </c>
      <c r="G5944" t="s">
        <v>310</v>
      </c>
      <c r="H5944" t="s">
        <v>192</v>
      </c>
      <c r="I5944">
        <v>482.44</v>
      </c>
      <c r="J5944" s="7">
        <v>0</v>
      </c>
      <c r="K5944" s="89">
        <f t="shared" si="371"/>
        <v>996.45</v>
      </c>
      <c r="L5944" s="34">
        <v>996.45</v>
      </c>
      <c r="M5944" s="254">
        <f t="shared" si="372"/>
        <v>48.415876361081835</v>
      </c>
    </row>
    <row r="5945" spans="1:13" ht="15.75" hidden="1" customHeight="1" x14ac:dyDescent="0.3">
      <c r="A5945" s="9">
        <v>1367</v>
      </c>
      <c r="B5945" t="s">
        <v>384</v>
      </c>
      <c r="C5945" s="25">
        <v>44629</v>
      </c>
      <c r="D5945" s="26">
        <v>0.46376157407407409</v>
      </c>
      <c r="E5945" t="s">
        <v>26</v>
      </c>
      <c r="F5945" t="s">
        <v>210</v>
      </c>
      <c r="G5945" t="s">
        <v>211</v>
      </c>
      <c r="H5945" t="s">
        <v>192</v>
      </c>
      <c r="I5945">
        <v>330</v>
      </c>
      <c r="J5945" s="7">
        <v>0</v>
      </c>
      <c r="K5945" s="89">
        <f t="shared" si="371"/>
        <v>751</v>
      </c>
      <c r="L5945" s="7">
        <v>751</v>
      </c>
      <c r="M5945" s="254">
        <f t="shared" si="372"/>
        <v>43.941411451398139</v>
      </c>
    </row>
    <row r="5946" spans="1:13" ht="15.75" hidden="1" customHeight="1" x14ac:dyDescent="0.3">
      <c r="A5946" s="9">
        <v>1368</v>
      </c>
      <c r="B5946" t="s">
        <v>384</v>
      </c>
      <c r="C5946" s="25">
        <v>44630</v>
      </c>
      <c r="D5946" s="26">
        <v>0.6326504629629629</v>
      </c>
      <c r="E5946" t="s">
        <v>26</v>
      </c>
      <c r="F5946" t="s">
        <v>278</v>
      </c>
      <c r="G5946" t="s">
        <v>279</v>
      </c>
      <c r="H5946" t="s">
        <v>192</v>
      </c>
      <c r="I5946">
        <v>312.77</v>
      </c>
      <c r="J5946" s="7">
        <v>0</v>
      </c>
      <c r="K5946" s="89">
        <f t="shared" si="371"/>
        <v>604.36</v>
      </c>
      <c r="L5946" s="34">
        <v>604.36</v>
      </c>
      <c r="M5946" s="254">
        <f t="shared" si="372"/>
        <v>51.752266860811439</v>
      </c>
    </row>
    <row r="5947" spans="1:13" ht="15.75" hidden="1" customHeight="1" x14ac:dyDescent="0.3">
      <c r="A5947" s="9">
        <v>1369</v>
      </c>
      <c r="B5947" t="s">
        <v>384</v>
      </c>
      <c r="C5947" s="25">
        <v>44631</v>
      </c>
      <c r="D5947" s="26">
        <v>0.86710648148148151</v>
      </c>
      <c r="E5947" t="s">
        <v>26</v>
      </c>
      <c r="F5947" t="s">
        <v>171</v>
      </c>
      <c r="G5947" t="s">
        <v>172</v>
      </c>
      <c r="H5947" t="s">
        <v>192</v>
      </c>
      <c r="I5947">
        <v>413.1</v>
      </c>
      <c r="J5947" s="31">
        <v>0</v>
      </c>
      <c r="K5947" s="89">
        <f t="shared" si="371"/>
        <v>1314.78</v>
      </c>
      <c r="L5947" s="31">
        <v>1314.78</v>
      </c>
      <c r="M5947" s="254">
        <f t="shared" si="372"/>
        <v>31.419705197827774</v>
      </c>
    </row>
    <row r="5948" spans="1:13" ht="15.75" hidden="1" customHeight="1" x14ac:dyDescent="0.3">
      <c r="A5948" s="9">
        <v>1370</v>
      </c>
      <c r="B5948" t="s">
        <v>384</v>
      </c>
      <c r="C5948" s="25">
        <v>44639</v>
      </c>
      <c r="D5948" s="26">
        <v>0.49422453703703706</v>
      </c>
      <c r="E5948" t="s">
        <v>26</v>
      </c>
      <c r="F5948" t="s">
        <v>210</v>
      </c>
      <c r="G5948" t="s">
        <v>322</v>
      </c>
      <c r="H5948" t="s">
        <v>192</v>
      </c>
      <c r="I5948">
        <v>562</v>
      </c>
      <c r="J5948" s="7">
        <v>0</v>
      </c>
      <c r="K5948" s="89">
        <f t="shared" ref="K5948:K5979" si="373">+L5948-J5948</f>
        <v>1316.68</v>
      </c>
      <c r="L5948" s="7">
        <v>1316.68</v>
      </c>
      <c r="M5948" s="254">
        <f t="shared" si="372"/>
        <v>42.683112069751189</v>
      </c>
    </row>
    <row r="5949" spans="1:13" ht="15.75" hidden="1" customHeight="1" x14ac:dyDescent="0.3">
      <c r="A5949" s="9">
        <v>1371</v>
      </c>
      <c r="B5949" t="s">
        <v>384</v>
      </c>
      <c r="C5949" s="25">
        <v>44640</v>
      </c>
      <c r="D5949" s="26">
        <v>0.44858796296296299</v>
      </c>
      <c r="E5949" t="s">
        <v>26</v>
      </c>
      <c r="F5949" t="s">
        <v>210</v>
      </c>
      <c r="G5949" t="s">
        <v>211</v>
      </c>
      <c r="H5949" t="s">
        <v>192</v>
      </c>
      <c r="I5949">
        <v>317.43</v>
      </c>
      <c r="J5949" s="7">
        <v>0</v>
      </c>
      <c r="K5949" s="89">
        <f t="shared" si="373"/>
        <v>754.89</v>
      </c>
      <c r="L5949" s="7">
        <v>754.89</v>
      </c>
      <c r="M5949" s="254">
        <f t="shared" si="372"/>
        <v>42.049835075308991</v>
      </c>
    </row>
    <row r="5950" spans="1:13" ht="15.75" hidden="1" customHeight="1" x14ac:dyDescent="0.3">
      <c r="A5950" s="9">
        <v>1372</v>
      </c>
      <c r="B5950" t="s">
        <v>384</v>
      </c>
      <c r="C5950" s="25">
        <v>44643</v>
      </c>
      <c r="D5950" s="26">
        <v>0.8057523148148148</v>
      </c>
      <c r="E5950" t="s">
        <v>26</v>
      </c>
      <c r="F5950" t="s">
        <v>197</v>
      </c>
      <c r="G5950" t="s">
        <v>44</v>
      </c>
      <c r="H5950" t="s">
        <v>192</v>
      </c>
      <c r="I5950">
        <v>400</v>
      </c>
      <c r="J5950" s="7">
        <v>0</v>
      </c>
      <c r="K5950" s="89">
        <f t="shared" si="373"/>
        <v>1265.18</v>
      </c>
      <c r="L5950" s="7">
        <v>1265.18</v>
      </c>
      <c r="M5950" s="254">
        <f t="shared" si="372"/>
        <v>31.616054632542401</v>
      </c>
    </row>
    <row r="5951" spans="1:13" ht="15.75" hidden="1" customHeight="1" x14ac:dyDescent="0.3">
      <c r="A5951" s="9">
        <v>1373</v>
      </c>
      <c r="B5951" t="s">
        <v>384</v>
      </c>
      <c r="C5951" s="25">
        <v>44644</v>
      </c>
      <c r="D5951" s="26">
        <v>0.6136342592592593</v>
      </c>
      <c r="E5951" t="s">
        <v>26</v>
      </c>
      <c r="F5951" t="s">
        <v>210</v>
      </c>
      <c r="G5951" t="s">
        <v>211</v>
      </c>
      <c r="H5951" t="s">
        <v>192</v>
      </c>
      <c r="I5951">
        <v>527.9</v>
      </c>
      <c r="J5951" s="7">
        <v>0</v>
      </c>
      <c r="K5951" s="89">
        <f t="shared" si="373"/>
        <v>587.19000000000005</v>
      </c>
      <c r="L5951" s="34">
        <v>587.19000000000005</v>
      </c>
      <c r="M5951" s="254">
        <f t="shared" si="372"/>
        <v>89.902757199543586</v>
      </c>
    </row>
    <row r="5952" spans="1:13" ht="15.75" hidden="1" customHeight="1" x14ac:dyDescent="0.3">
      <c r="A5952" s="9">
        <v>1374</v>
      </c>
      <c r="B5952" t="s">
        <v>384</v>
      </c>
      <c r="C5952" s="25">
        <v>44645</v>
      </c>
      <c r="D5952" s="26">
        <v>0.53260416666666666</v>
      </c>
      <c r="E5952" t="s">
        <v>26</v>
      </c>
      <c r="F5952" t="s">
        <v>210</v>
      </c>
      <c r="G5952" t="s">
        <v>211</v>
      </c>
      <c r="H5952" t="s">
        <v>192</v>
      </c>
      <c r="I5952">
        <v>364.31</v>
      </c>
      <c r="J5952" s="7">
        <v>0</v>
      </c>
      <c r="K5952" s="89">
        <f t="shared" si="373"/>
        <v>1100</v>
      </c>
      <c r="L5952" s="7">
        <v>1100</v>
      </c>
      <c r="M5952" s="254">
        <f t="shared" si="372"/>
        <v>33.119090909090907</v>
      </c>
    </row>
    <row r="5953" spans="1:13" ht="15.75" hidden="1" customHeight="1" x14ac:dyDescent="0.3">
      <c r="A5953" s="9">
        <v>1375</v>
      </c>
      <c r="B5953" t="s">
        <v>384</v>
      </c>
      <c r="C5953" s="25">
        <v>44647</v>
      </c>
      <c r="D5953" s="26">
        <v>0.33336805555555554</v>
      </c>
      <c r="E5953" t="s">
        <v>26</v>
      </c>
      <c r="F5953" t="s">
        <v>428</v>
      </c>
      <c r="G5953" t="s">
        <v>429</v>
      </c>
      <c r="H5953" t="s">
        <v>192</v>
      </c>
      <c r="I5953">
        <v>150.02000000000001</v>
      </c>
      <c r="J5953" s="7">
        <v>0</v>
      </c>
      <c r="K5953" s="89">
        <f t="shared" si="373"/>
        <v>1000</v>
      </c>
      <c r="L5953" s="7">
        <v>1000</v>
      </c>
      <c r="M5953" s="254">
        <f t="shared" si="372"/>
        <v>15.002000000000001</v>
      </c>
    </row>
    <row r="5954" spans="1:13" ht="15.75" hidden="1" customHeight="1" x14ac:dyDescent="0.3">
      <c r="A5954" s="9">
        <v>1376</v>
      </c>
      <c r="B5954" t="s">
        <v>384</v>
      </c>
      <c r="C5954" s="25">
        <v>44648</v>
      </c>
      <c r="D5954" s="26">
        <v>0.79881944444444442</v>
      </c>
      <c r="E5954" t="s">
        <v>26</v>
      </c>
      <c r="F5954" t="s">
        <v>197</v>
      </c>
      <c r="G5954" t="s">
        <v>44</v>
      </c>
      <c r="H5954" t="s">
        <v>192</v>
      </c>
      <c r="I5954">
        <v>300.01</v>
      </c>
      <c r="J5954" s="7">
        <v>0</v>
      </c>
      <c r="K5954" s="89">
        <f t="shared" si="373"/>
        <v>451.4</v>
      </c>
      <c r="L5954" s="7">
        <v>451.4</v>
      </c>
      <c r="M5954" s="254">
        <f t="shared" si="372"/>
        <v>66.462117855560479</v>
      </c>
    </row>
    <row r="5955" spans="1:13" ht="15.75" hidden="1" customHeight="1" x14ac:dyDescent="0.3">
      <c r="A5955" s="9">
        <v>1377</v>
      </c>
      <c r="B5955" t="s">
        <v>384</v>
      </c>
      <c r="C5955" s="25">
        <v>44649</v>
      </c>
      <c r="D5955" s="26">
        <v>0.48510416666666667</v>
      </c>
      <c r="E5955" t="s">
        <v>26</v>
      </c>
      <c r="F5955" t="s">
        <v>210</v>
      </c>
      <c r="G5955" t="s">
        <v>211</v>
      </c>
      <c r="H5955" t="s">
        <v>192</v>
      </c>
      <c r="I5955">
        <v>375.4</v>
      </c>
      <c r="J5955" s="7">
        <v>0</v>
      </c>
      <c r="K5955" s="89">
        <f t="shared" si="373"/>
        <v>587.28</v>
      </c>
      <c r="L5955" s="35">
        <v>587.28</v>
      </c>
      <c r="M5955" s="254">
        <f t="shared" si="372"/>
        <v>63.921809017844978</v>
      </c>
    </row>
    <row r="5956" spans="1:13" ht="15.75" hidden="1" customHeight="1" x14ac:dyDescent="0.3">
      <c r="A5956" s="9">
        <v>1378</v>
      </c>
      <c r="B5956" t="s">
        <v>384</v>
      </c>
      <c r="C5956" s="25">
        <v>44650</v>
      </c>
      <c r="D5956" s="26">
        <v>0.78430555555555559</v>
      </c>
      <c r="E5956" t="s">
        <v>26</v>
      </c>
      <c r="F5956" t="s">
        <v>210</v>
      </c>
      <c r="G5956" t="s">
        <v>211</v>
      </c>
      <c r="H5956" t="s">
        <v>192</v>
      </c>
      <c r="I5956">
        <v>410.03</v>
      </c>
      <c r="J5956" s="7">
        <v>0</v>
      </c>
      <c r="K5956" s="89">
        <f t="shared" si="373"/>
        <v>820.68</v>
      </c>
      <c r="L5956" s="32">
        <v>820.68</v>
      </c>
      <c r="M5956" s="254">
        <f t="shared" si="372"/>
        <v>49.962226446361555</v>
      </c>
    </row>
    <row r="5957" spans="1:13" ht="15.75" hidden="1" customHeight="1" x14ac:dyDescent="0.3">
      <c r="A5957" s="9">
        <v>2551</v>
      </c>
      <c r="B5957" t="s">
        <v>384</v>
      </c>
      <c r="C5957" s="25">
        <v>44652</v>
      </c>
      <c r="D5957" s="26">
        <v>0.49537037037037041</v>
      </c>
      <c r="E5957" t="s">
        <v>27</v>
      </c>
      <c r="F5957" t="s">
        <v>197</v>
      </c>
      <c r="G5957" t="s">
        <v>44</v>
      </c>
      <c r="H5957" t="s">
        <v>192</v>
      </c>
      <c r="I5957" s="4">
        <v>100.09</v>
      </c>
      <c r="J5957" s="7">
        <v>0</v>
      </c>
      <c r="K5957" s="89">
        <f t="shared" si="373"/>
        <v>1196.6600000000001</v>
      </c>
      <c r="L5957" s="7">
        <v>1196.6600000000001</v>
      </c>
      <c r="M5957" s="254">
        <f t="shared" si="372"/>
        <v>8.3641134490999942</v>
      </c>
    </row>
    <row r="5958" spans="1:13" ht="15.75" hidden="1" customHeight="1" x14ac:dyDescent="0.3">
      <c r="A5958" s="9">
        <v>2552</v>
      </c>
      <c r="B5958" t="s">
        <v>384</v>
      </c>
      <c r="C5958" s="25">
        <v>44652</v>
      </c>
      <c r="D5958" s="26">
        <v>0.82283564814814814</v>
      </c>
      <c r="E5958" t="s">
        <v>27</v>
      </c>
      <c r="F5958" t="s">
        <v>210</v>
      </c>
      <c r="G5958" t="s">
        <v>211</v>
      </c>
      <c r="H5958" t="s">
        <v>192</v>
      </c>
      <c r="I5958" s="4">
        <v>567.02</v>
      </c>
      <c r="J5958" s="7">
        <v>0</v>
      </c>
      <c r="K5958" s="89">
        <f t="shared" si="373"/>
        <v>1779</v>
      </c>
      <c r="L5958" s="7">
        <v>1779</v>
      </c>
      <c r="M5958" s="254">
        <f t="shared" si="372"/>
        <v>31.872962338392352</v>
      </c>
    </row>
    <row r="5959" spans="1:13" ht="15.75" hidden="1" customHeight="1" x14ac:dyDescent="0.3">
      <c r="A5959" s="9">
        <v>2553</v>
      </c>
      <c r="B5959" t="s">
        <v>384</v>
      </c>
      <c r="C5959" s="25">
        <v>44653</v>
      </c>
      <c r="D5959" s="26">
        <v>0.7524305555555556</v>
      </c>
      <c r="E5959" t="s">
        <v>27</v>
      </c>
      <c r="F5959" t="s">
        <v>210</v>
      </c>
      <c r="G5959" t="s">
        <v>211</v>
      </c>
      <c r="H5959" t="s">
        <v>192</v>
      </c>
      <c r="I5959" s="4">
        <v>325.37</v>
      </c>
      <c r="J5959" s="7">
        <v>0</v>
      </c>
      <c r="K5959" s="89">
        <f t="shared" si="373"/>
        <v>884.84</v>
      </c>
      <c r="L5959" s="34">
        <v>884.84</v>
      </c>
      <c r="M5959" s="254">
        <f t="shared" si="372"/>
        <v>36.771619727860404</v>
      </c>
    </row>
    <row r="5960" spans="1:13" ht="15.75" hidden="1" customHeight="1" x14ac:dyDescent="0.3">
      <c r="A5960" s="9">
        <v>2554</v>
      </c>
      <c r="B5960" t="s">
        <v>384</v>
      </c>
      <c r="C5960" s="25">
        <v>44655</v>
      </c>
      <c r="D5960" s="26">
        <v>0.6929050925925927</v>
      </c>
      <c r="E5960" t="s">
        <v>27</v>
      </c>
      <c r="F5960" t="s">
        <v>428</v>
      </c>
      <c r="G5960" t="s">
        <v>429</v>
      </c>
      <c r="H5960" t="s">
        <v>192</v>
      </c>
      <c r="I5960" s="4">
        <v>100.14</v>
      </c>
      <c r="J5960" s="7">
        <v>0</v>
      </c>
      <c r="K5960" s="89">
        <f t="shared" si="373"/>
        <v>902.39</v>
      </c>
      <c r="L5960" s="32">
        <v>902.39</v>
      </c>
      <c r="M5960" s="254">
        <f t="shared" si="372"/>
        <v>11.097197442347543</v>
      </c>
    </row>
    <row r="5961" spans="1:13" ht="15.75" hidden="1" customHeight="1" x14ac:dyDescent="0.3">
      <c r="A5961" s="9">
        <v>2555</v>
      </c>
      <c r="B5961" t="s">
        <v>384</v>
      </c>
      <c r="C5961" s="25">
        <v>44656</v>
      </c>
      <c r="D5961" s="26">
        <v>0.81231481481481482</v>
      </c>
      <c r="E5961" t="s">
        <v>27</v>
      </c>
      <c r="F5961" t="s">
        <v>197</v>
      </c>
      <c r="G5961" t="s">
        <v>44</v>
      </c>
      <c r="H5961" t="s">
        <v>192</v>
      </c>
      <c r="I5961" s="4">
        <v>200</v>
      </c>
      <c r="J5961" s="7">
        <v>0</v>
      </c>
      <c r="K5961" s="89">
        <f t="shared" si="373"/>
        <v>756.72</v>
      </c>
      <c r="L5961" s="34">
        <v>756.72</v>
      </c>
      <c r="M5961" s="254">
        <f t="shared" si="372"/>
        <v>26.4298551643937</v>
      </c>
    </row>
    <row r="5962" spans="1:13" ht="15.75" hidden="1" customHeight="1" x14ac:dyDescent="0.3">
      <c r="A5962" s="9">
        <v>2556</v>
      </c>
      <c r="B5962" t="s">
        <v>384</v>
      </c>
      <c r="C5962" s="25">
        <v>44657</v>
      </c>
      <c r="D5962" s="26">
        <v>0.48060185185185184</v>
      </c>
      <c r="E5962" t="s">
        <v>27</v>
      </c>
      <c r="F5962" t="s">
        <v>210</v>
      </c>
      <c r="G5962" t="s">
        <v>211</v>
      </c>
      <c r="H5962" t="s">
        <v>192</v>
      </c>
      <c r="I5962" s="4">
        <v>543.59</v>
      </c>
      <c r="J5962" s="76">
        <v>0</v>
      </c>
      <c r="K5962" s="89">
        <f t="shared" si="373"/>
        <v>587.57000000000005</v>
      </c>
      <c r="L5962" s="32">
        <v>587.57000000000005</v>
      </c>
      <c r="M5962" s="254">
        <f t="shared" si="372"/>
        <v>92.514934390795986</v>
      </c>
    </row>
    <row r="5963" spans="1:13" ht="15.75" hidden="1" customHeight="1" x14ac:dyDescent="0.3">
      <c r="A5963" s="9">
        <v>2557</v>
      </c>
      <c r="B5963" t="s">
        <v>384</v>
      </c>
      <c r="C5963" s="25">
        <v>44658</v>
      </c>
      <c r="D5963" s="26">
        <v>0.67716435185185186</v>
      </c>
      <c r="E5963" t="s">
        <v>27</v>
      </c>
      <c r="F5963" t="s">
        <v>210</v>
      </c>
      <c r="G5963" t="s">
        <v>211</v>
      </c>
      <c r="H5963" t="s">
        <v>192</v>
      </c>
      <c r="I5963" s="4">
        <v>442.23</v>
      </c>
      <c r="J5963" s="76">
        <v>0</v>
      </c>
      <c r="K5963" s="89">
        <f t="shared" si="373"/>
        <v>1119.69</v>
      </c>
      <c r="L5963" s="32">
        <v>1119.69</v>
      </c>
      <c r="M5963" s="254">
        <f t="shared" si="372"/>
        <v>39.49575328885674</v>
      </c>
    </row>
    <row r="5964" spans="1:13" ht="15.75" hidden="1" customHeight="1" x14ac:dyDescent="0.3">
      <c r="A5964" s="9">
        <v>2558</v>
      </c>
      <c r="B5964" t="s">
        <v>384</v>
      </c>
      <c r="C5964" s="25">
        <v>44659</v>
      </c>
      <c r="D5964" s="26">
        <v>0.65225694444444449</v>
      </c>
      <c r="E5964" t="s">
        <v>27</v>
      </c>
      <c r="F5964" t="s">
        <v>428</v>
      </c>
      <c r="G5964" t="s">
        <v>429</v>
      </c>
      <c r="H5964" t="s">
        <v>192</v>
      </c>
      <c r="I5964" s="4">
        <v>100.56</v>
      </c>
      <c r="J5964" s="76">
        <v>0</v>
      </c>
      <c r="K5964" s="89">
        <f t="shared" si="373"/>
        <v>900.87</v>
      </c>
      <c r="L5964" s="32">
        <v>900.87</v>
      </c>
      <c r="M5964" s="254">
        <f t="shared" si="372"/>
        <v>11.16254287522062</v>
      </c>
    </row>
    <row r="5965" spans="1:13" ht="15.75" hidden="1" customHeight="1" x14ac:dyDescent="0.3">
      <c r="A5965" s="9">
        <v>2559</v>
      </c>
      <c r="B5965" t="s">
        <v>384</v>
      </c>
      <c r="C5965" s="25">
        <v>44660</v>
      </c>
      <c r="D5965" s="26">
        <v>0.4645023148148148</v>
      </c>
      <c r="E5965" t="s">
        <v>27</v>
      </c>
      <c r="F5965" t="s">
        <v>197</v>
      </c>
      <c r="G5965" t="s">
        <v>44</v>
      </c>
      <c r="H5965" t="s">
        <v>192</v>
      </c>
      <c r="I5965" s="4">
        <v>150.55000000000001</v>
      </c>
      <c r="J5965" s="7">
        <v>0</v>
      </c>
      <c r="K5965" s="89">
        <f t="shared" si="373"/>
        <v>390.89</v>
      </c>
      <c r="L5965" s="32">
        <v>390.89</v>
      </c>
      <c r="M5965" s="254">
        <f t="shared" si="372"/>
        <v>38.514671646754842</v>
      </c>
    </row>
    <row r="5966" spans="1:13" ht="15.75" hidden="1" customHeight="1" x14ac:dyDescent="0.3">
      <c r="A5966" s="9">
        <v>2560</v>
      </c>
      <c r="B5966" t="s">
        <v>384</v>
      </c>
      <c r="C5966" s="25">
        <v>44660</v>
      </c>
      <c r="D5966" s="26">
        <v>0.84211805555555552</v>
      </c>
      <c r="E5966" t="s">
        <v>27</v>
      </c>
      <c r="F5966" t="s">
        <v>210</v>
      </c>
      <c r="G5966" t="s">
        <v>211</v>
      </c>
      <c r="H5966" t="s">
        <v>192</v>
      </c>
      <c r="I5966" s="4">
        <v>455.85</v>
      </c>
      <c r="J5966" s="7">
        <v>0</v>
      </c>
      <c r="K5966" s="89">
        <f t="shared" si="373"/>
        <v>586.97</v>
      </c>
      <c r="L5966" s="37">
        <v>586.97</v>
      </c>
      <c r="M5966" s="254">
        <f t="shared" si="372"/>
        <v>77.661549994037173</v>
      </c>
    </row>
    <row r="5967" spans="1:13" ht="15.75" hidden="1" customHeight="1" x14ac:dyDescent="0.3">
      <c r="A5967" s="9">
        <v>2561</v>
      </c>
      <c r="B5967" t="s">
        <v>384</v>
      </c>
      <c r="C5967" s="25">
        <v>44661</v>
      </c>
      <c r="D5967" s="26">
        <v>0.80716435185185187</v>
      </c>
      <c r="E5967" t="s">
        <v>27</v>
      </c>
      <c r="F5967" t="s">
        <v>210</v>
      </c>
      <c r="G5967" t="s">
        <v>211</v>
      </c>
      <c r="H5967" t="s">
        <v>192</v>
      </c>
      <c r="I5967" s="4">
        <v>390.2</v>
      </c>
      <c r="J5967" s="7">
        <v>0</v>
      </c>
      <c r="K5967" s="89">
        <f t="shared" si="373"/>
        <v>1062.26</v>
      </c>
      <c r="L5967" s="32">
        <v>1062.26</v>
      </c>
      <c r="M5967" s="254">
        <f t="shared" si="372"/>
        <v>36.733003219550767</v>
      </c>
    </row>
    <row r="5968" spans="1:13" ht="15.75" hidden="1" customHeight="1" x14ac:dyDescent="0.3">
      <c r="A5968" s="9">
        <v>2562</v>
      </c>
      <c r="B5968" t="s">
        <v>384</v>
      </c>
      <c r="C5968" s="25">
        <v>44663</v>
      </c>
      <c r="D5968" s="26">
        <v>0.34093749999999995</v>
      </c>
      <c r="E5968" t="s">
        <v>27</v>
      </c>
      <c r="F5968" t="s">
        <v>428</v>
      </c>
      <c r="G5968" t="s">
        <v>429</v>
      </c>
      <c r="H5968" t="s">
        <v>192</v>
      </c>
      <c r="I5968" s="4">
        <f>100.27+200.07</f>
        <v>300.33999999999997</v>
      </c>
      <c r="J5968" s="39">
        <v>0</v>
      </c>
      <c r="K5968" s="89">
        <f t="shared" si="373"/>
        <v>901.63</v>
      </c>
      <c r="L5968" s="32">
        <v>901.63</v>
      </c>
      <c r="M5968" s="254">
        <f t="shared" si="372"/>
        <v>33.31078158446369</v>
      </c>
    </row>
    <row r="5969" spans="1:13" ht="15.75" hidden="1" customHeight="1" x14ac:dyDescent="0.3">
      <c r="A5969" s="9">
        <v>2563</v>
      </c>
      <c r="B5969" t="s">
        <v>384</v>
      </c>
      <c r="C5969" s="25">
        <v>44664</v>
      </c>
      <c r="D5969" s="26">
        <v>0.63291666666666668</v>
      </c>
      <c r="E5969" t="s">
        <v>27</v>
      </c>
      <c r="F5969" t="s">
        <v>210</v>
      </c>
      <c r="G5969" t="s">
        <v>211</v>
      </c>
      <c r="H5969" t="s">
        <v>192</v>
      </c>
      <c r="I5969" s="4">
        <v>441.42</v>
      </c>
      <c r="J5969" s="39">
        <v>0</v>
      </c>
      <c r="K5969" s="89">
        <f t="shared" si="373"/>
        <v>1006.98</v>
      </c>
      <c r="L5969" s="37">
        <v>1006.98</v>
      </c>
      <c r="M5969" s="254">
        <f t="shared" si="372"/>
        <v>43.836024548650421</v>
      </c>
    </row>
    <row r="5970" spans="1:13" ht="15.75" hidden="1" customHeight="1" x14ac:dyDescent="0.3">
      <c r="A5970" s="9">
        <v>2564</v>
      </c>
      <c r="B5970" t="s">
        <v>384</v>
      </c>
      <c r="C5970" s="25">
        <v>44665</v>
      </c>
      <c r="D5970" s="26">
        <v>0.9315972222222223</v>
      </c>
      <c r="E5970" t="s">
        <v>27</v>
      </c>
      <c r="F5970" t="s">
        <v>210</v>
      </c>
      <c r="G5970" t="s">
        <v>211</v>
      </c>
      <c r="H5970" t="s">
        <v>192</v>
      </c>
      <c r="I5970" s="4">
        <v>446.86</v>
      </c>
      <c r="J5970" s="39">
        <v>0</v>
      </c>
      <c r="K5970" s="89">
        <f t="shared" si="373"/>
        <v>1119.5</v>
      </c>
      <c r="L5970" s="32">
        <v>1119.5</v>
      </c>
      <c r="M5970" s="254">
        <f t="shared" si="372"/>
        <v>39.916033943724877</v>
      </c>
    </row>
    <row r="5971" spans="1:13" ht="15.75" hidden="1" customHeight="1" x14ac:dyDescent="0.3">
      <c r="A5971" s="9">
        <v>2565</v>
      </c>
      <c r="B5971" t="s">
        <v>384</v>
      </c>
      <c r="C5971" s="25">
        <v>44669</v>
      </c>
      <c r="D5971" s="26">
        <v>0.51401620370370371</v>
      </c>
      <c r="E5971" t="s">
        <v>27</v>
      </c>
      <c r="F5971" t="s">
        <v>171</v>
      </c>
      <c r="G5971" t="s">
        <v>172</v>
      </c>
      <c r="H5971" t="s">
        <v>192</v>
      </c>
      <c r="I5971" s="4">
        <v>454.66</v>
      </c>
      <c r="J5971" s="11">
        <v>0</v>
      </c>
      <c r="K5971" s="89">
        <f t="shared" si="373"/>
        <v>1121.53</v>
      </c>
      <c r="L5971" s="37">
        <v>1121.53</v>
      </c>
      <c r="M5971" s="254">
        <f t="shared" si="372"/>
        <v>40.539263327775451</v>
      </c>
    </row>
    <row r="5972" spans="1:13" ht="15.75" hidden="1" customHeight="1" x14ac:dyDescent="0.3">
      <c r="A5972" s="9">
        <v>2566</v>
      </c>
      <c r="B5972" t="s">
        <v>384</v>
      </c>
      <c r="C5972" s="25">
        <v>44670</v>
      </c>
      <c r="D5972" s="26">
        <v>0.31921296296296298</v>
      </c>
      <c r="E5972" t="s">
        <v>27</v>
      </c>
      <c r="F5972" t="s">
        <v>166</v>
      </c>
      <c r="G5972" t="s">
        <v>161</v>
      </c>
      <c r="H5972" t="s">
        <v>192</v>
      </c>
      <c r="I5972" s="4">
        <v>226.97</v>
      </c>
      <c r="J5972" s="11">
        <v>0</v>
      </c>
      <c r="K5972" s="89">
        <f t="shared" si="373"/>
        <v>613</v>
      </c>
      <c r="L5972" s="32">
        <v>613</v>
      </c>
      <c r="M5972" s="254">
        <f t="shared" ref="M5972:M6003" si="374">I5972/K5972*100</f>
        <v>37.026101141924961</v>
      </c>
    </row>
    <row r="5973" spans="1:13" ht="15.75" hidden="1" customHeight="1" x14ac:dyDescent="0.3">
      <c r="A5973" s="9">
        <v>2567</v>
      </c>
      <c r="B5973" t="s">
        <v>384</v>
      </c>
      <c r="C5973" s="25">
        <v>44671</v>
      </c>
      <c r="D5973" s="26">
        <v>0.70354166666666673</v>
      </c>
      <c r="E5973" t="s">
        <v>27</v>
      </c>
      <c r="F5973" t="s">
        <v>210</v>
      </c>
      <c r="G5973" t="s">
        <v>211</v>
      </c>
      <c r="H5973" t="s">
        <v>192</v>
      </c>
      <c r="I5973" s="4">
        <v>396.12</v>
      </c>
      <c r="J5973" s="11">
        <v>0</v>
      </c>
      <c r="K5973" s="89">
        <f t="shared" si="373"/>
        <v>986</v>
      </c>
      <c r="L5973" s="32">
        <v>986</v>
      </c>
      <c r="M5973" s="254">
        <f t="shared" si="374"/>
        <v>40.174442190669374</v>
      </c>
    </row>
    <row r="5974" spans="1:13" ht="15.75" hidden="1" customHeight="1" x14ac:dyDescent="0.3">
      <c r="A5974" s="9">
        <v>2568</v>
      </c>
      <c r="B5974" t="s">
        <v>384</v>
      </c>
      <c r="C5974" s="25">
        <v>44672</v>
      </c>
      <c r="D5974" s="26">
        <v>0.64701388888888889</v>
      </c>
      <c r="E5974" t="s">
        <v>27</v>
      </c>
      <c r="F5974" t="s">
        <v>428</v>
      </c>
      <c r="G5974" t="s">
        <v>429</v>
      </c>
      <c r="H5974" t="s">
        <v>192</v>
      </c>
      <c r="I5974" s="4">
        <f>150.02+150.98</f>
        <v>301</v>
      </c>
      <c r="J5974" s="11">
        <v>0</v>
      </c>
      <c r="K5974" s="89">
        <f t="shared" si="373"/>
        <v>903</v>
      </c>
      <c r="L5974" s="32">
        <v>903</v>
      </c>
      <c r="M5974" s="254">
        <f t="shared" si="374"/>
        <v>33.333333333333329</v>
      </c>
    </row>
    <row r="5975" spans="1:13" ht="15" hidden="1" customHeight="1" x14ac:dyDescent="0.3">
      <c r="A5975" s="9">
        <v>2569</v>
      </c>
      <c r="B5975" t="s">
        <v>384</v>
      </c>
      <c r="C5975" s="25">
        <v>44673</v>
      </c>
      <c r="D5975" s="26">
        <v>0.94601851851851848</v>
      </c>
      <c r="E5975" t="s">
        <v>27</v>
      </c>
      <c r="F5975" t="s">
        <v>210</v>
      </c>
      <c r="G5975" t="s">
        <v>211</v>
      </c>
      <c r="H5975" t="s">
        <v>192</v>
      </c>
      <c r="I5975" s="4">
        <v>427.08</v>
      </c>
      <c r="J5975" s="7">
        <v>0</v>
      </c>
      <c r="K5975" s="89">
        <f t="shared" si="373"/>
        <v>969.86</v>
      </c>
      <c r="L5975" s="37">
        <v>969.86</v>
      </c>
      <c r="M5975" s="254">
        <f t="shared" si="374"/>
        <v>44.035221578372138</v>
      </c>
    </row>
    <row r="5976" spans="1:13" ht="15.75" hidden="1" customHeight="1" x14ac:dyDescent="0.3">
      <c r="A5976" s="9">
        <v>2570</v>
      </c>
      <c r="B5976" t="s">
        <v>384</v>
      </c>
      <c r="C5976" s="25">
        <v>44675</v>
      </c>
      <c r="D5976" s="26">
        <v>0.49799768518518522</v>
      </c>
      <c r="E5976" t="s">
        <v>27</v>
      </c>
      <c r="F5976" t="s">
        <v>210</v>
      </c>
      <c r="G5976" t="s">
        <v>211</v>
      </c>
      <c r="H5976" t="s">
        <v>192</v>
      </c>
      <c r="I5976" s="4">
        <v>408.13</v>
      </c>
      <c r="J5976" s="7">
        <v>0</v>
      </c>
      <c r="K5976" s="89">
        <f t="shared" si="373"/>
        <v>1062.93</v>
      </c>
      <c r="L5976" s="32">
        <v>1062.93</v>
      </c>
      <c r="M5976" s="254">
        <f t="shared" si="374"/>
        <v>38.396695925413709</v>
      </c>
    </row>
    <row r="5977" spans="1:13" ht="15.75" hidden="1" customHeight="1" x14ac:dyDescent="0.3">
      <c r="A5977" s="9">
        <v>2571</v>
      </c>
      <c r="B5977" t="s">
        <v>384</v>
      </c>
      <c r="C5977" s="25">
        <v>44676</v>
      </c>
      <c r="D5977" s="26">
        <v>0.60643518518518513</v>
      </c>
      <c r="E5977" t="s">
        <v>27</v>
      </c>
      <c r="F5977" t="s">
        <v>428</v>
      </c>
      <c r="G5977" t="s">
        <v>429</v>
      </c>
      <c r="H5977" t="s">
        <v>192</v>
      </c>
      <c r="I5977">
        <v>399</v>
      </c>
      <c r="J5977" s="7">
        <v>0</v>
      </c>
      <c r="K5977" s="89">
        <f t="shared" si="373"/>
        <v>899</v>
      </c>
      <c r="L5977" s="34">
        <v>899</v>
      </c>
      <c r="M5977" s="254">
        <f t="shared" si="374"/>
        <v>44.382647385984427</v>
      </c>
    </row>
    <row r="5978" spans="1:13" ht="15.75" hidden="1" customHeight="1" x14ac:dyDescent="0.3">
      <c r="A5978" s="9">
        <v>2572</v>
      </c>
      <c r="B5978" t="s">
        <v>384</v>
      </c>
      <c r="C5978" s="25">
        <v>44677</v>
      </c>
      <c r="D5978" s="26">
        <v>0.66855324074074074</v>
      </c>
      <c r="E5978" t="s">
        <v>27</v>
      </c>
      <c r="F5978" t="s">
        <v>210</v>
      </c>
      <c r="G5978" t="s">
        <v>211</v>
      </c>
      <c r="H5978" t="s">
        <v>192</v>
      </c>
      <c r="I5978">
        <v>384.09</v>
      </c>
      <c r="J5978" s="7">
        <v>0</v>
      </c>
      <c r="K5978" s="89">
        <f t="shared" si="373"/>
        <v>972.57</v>
      </c>
      <c r="L5978" s="7">
        <v>972.57</v>
      </c>
      <c r="M5978" s="254">
        <f t="shared" si="374"/>
        <v>39.492273049754765</v>
      </c>
    </row>
    <row r="5979" spans="1:13" ht="15.75" hidden="1" customHeight="1" x14ac:dyDescent="0.3">
      <c r="A5979" s="9">
        <v>2573</v>
      </c>
      <c r="B5979" t="s">
        <v>384</v>
      </c>
      <c r="C5979" s="25">
        <v>44678</v>
      </c>
      <c r="D5979" s="26">
        <v>0.65945601851851854</v>
      </c>
      <c r="E5979" t="s">
        <v>27</v>
      </c>
      <c r="F5979" t="s">
        <v>210</v>
      </c>
      <c r="G5979" t="s">
        <v>211</v>
      </c>
      <c r="H5979" t="s">
        <v>192</v>
      </c>
      <c r="I5979">
        <v>419.45</v>
      </c>
      <c r="J5979" s="7">
        <v>0</v>
      </c>
      <c r="K5979" s="89">
        <f t="shared" si="373"/>
        <v>1062.6099999999999</v>
      </c>
      <c r="L5979" s="7">
        <v>1062.6099999999999</v>
      </c>
      <c r="M5979" s="254">
        <f t="shared" si="374"/>
        <v>39.473560384336679</v>
      </c>
    </row>
    <row r="5980" spans="1:13" ht="15.75" hidden="1" customHeight="1" x14ac:dyDescent="0.3">
      <c r="A5980" s="9">
        <v>3914</v>
      </c>
      <c r="B5980" t="s">
        <v>384</v>
      </c>
      <c r="C5980" s="25">
        <v>44687</v>
      </c>
      <c r="D5980" s="26">
        <v>0.67730324074074078</v>
      </c>
      <c r="E5980" t="s">
        <v>28</v>
      </c>
      <c r="F5980" t="s">
        <v>331</v>
      </c>
      <c r="G5980" t="s">
        <v>277</v>
      </c>
      <c r="H5980" t="s">
        <v>192</v>
      </c>
      <c r="I5980">
        <v>476.72</v>
      </c>
      <c r="J5980" s="7">
        <v>0</v>
      </c>
      <c r="K5980" s="89">
        <f t="shared" ref="K5980:K5982" si="375">+L5980-J5980</f>
        <v>1224</v>
      </c>
      <c r="L5980" s="32">
        <v>1224</v>
      </c>
      <c r="M5980" s="254">
        <f t="shared" si="374"/>
        <v>38.947712418300654</v>
      </c>
    </row>
    <row r="5981" spans="1:13" ht="15.75" hidden="1" customHeight="1" x14ac:dyDescent="0.3">
      <c r="A5981" s="9">
        <v>3968</v>
      </c>
      <c r="B5981" t="s">
        <v>384</v>
      </c>
      <c r="C5981" s="25">
        <v>44688</v>
      </c>
      <c r="D5981" s="26">
        <v>0.82098379629629636</v>
      </c>
      <c r="E5981" t="s">
        <v>28</v>
      </c>
      <c r="F5981" t="s">
        <v>210</v>
      </c>
      <c r="G5981" t="s">
        <v>211</v>
      </c>
      <c r="H5981" t="s">
        <v>192</v>
      </c>
      <c r="I5981" s="122">
        <v>414.57</v>
      </c>
      <c r="J5981" s="7">
        <v>0</v>
      </c>
      <c r="K5981" s="89">
        <f t="shared" si="375"/>
        <v>938</v>
      </c>
      <c r="L5981" s="32">
        <v>938</v>
      </c>
      <c r="M5981" s="254">
        <f t="shared" si="374"/>
        <v>44.197228144989339</v>
      </c>
    </row>
    <row r="5982" spans="1:13" ht="15.75" hidden="1" customHeight="1" x14ac:dyDescent="0.3">
      <c r="A5982" s="9">
        <v>4016</v>
      </c>
      <c r="B5982" t="s">
        <v>384</v>
      </c>
      <c r="C5982" s="25">
        <v>44689</v>
      </c>
      <c r="D5982" s="26">
        <v>0.94783564814814814</v>
      </c>
      <c r="E5982" t="s">
        <v>28</v>
      </c>
      <c r="F5982" t="s">
        <v>210</v>
      </c>
      <c r="G5982" t="s">
        <v>211</v>
      </c>
      <c r="H5982" t="s">
        <v>192</v>
      </c>
      <c r="I5982" s="122">
        <v>390.03</v>
      </c>
      <c r="J5982" s="7">
        <v>0</v>
      </c>
      <c r="K5982" s="89">
        <f t="shared" si="375"/>
        <v>1062.98</v>
      </c>
      <c r="L5982" s="37">
        <v>1062.98</v>
      </c>
      <c r="M5982" s="254">
        <f t="shared" si="374"/>
        <v>36.692129673182933</v>
      </c>
    </row>
    <row r="5983" spans="1:13" ht="15.75" hidden="1" customHeight="1" x14ac:dyDescent="0.3">
      <c r="A5983" s="9">
        <v>4261</v>
      </c>
      <c r="B5983" t="s">
        <v>384</v>
      </c>
      <c r="C5983" s="25">
        <v>44694</v>
      </c>
      <c r="D5983" s="26">
        <v>0.77815972222222218</v>
      </c>
      <c r="E5983" t="s">
        <v>28</v>
      </c>
      <c r="F5983" t="s">
        <v>197</v>
      </c>
      <c r="G5983" t="s">
        <v>44</v>
      </c>
      <c r="H5983" t="s">
        <v>192</v>
      </c>
      <c r="I5983" s="122">
        <v>352.7</v>
      </c>
      <c r="J5983" s="7">
        <v>0</v>
      </c>
      <c r="K5983" s="89">
        <f>+L5983-J6112</f>
        <v>1304</v>
      </c>
      <c r="L5983" s="33">
        <v>1304</v>
      </c>
      <c r="M5983" s="254">
        <f t="shared" si="374"/>
        <v>27.047546012269937</v>
      </c>
    </row>
    <row r="5984" spans="1:13" ht="15.75" hidden="1" customHeight="1" x14ac:dyDescent="0.3">
      <c r="A5984" s="9">
        <v>4302</v>
      </c>
      <c r="B5984" t="s">
        <v>384</v>
      </c>
      <c r="C5984" s="25">
        <v>44695</v>
      </c>
      <c r="D5984" s="26">
        <v>0.51012731481481477</v>
      </c>
      <c r="E5984" t="s">
        <v>28</v>
      </c>
      <c r="F5984" t="s">
        <v>210</v>
      </c>
      <c r="G5984" t="s">
        <v>211</v>
      </c>
      <c r="H5984" t="s">
        <v>192</v>
      </c>
      <c r="I5984">
        <v>440.01</v>
      </c>
      <c r="J5984" s="7">
        <v>0</v>
      </c>
      <c r="K5984" s="89">
        <f>+L5984-J6113</f>
        <v>586</v>
      </c>
      <c r="L5984" s="32">
        <v>586</v>
      </c>
      <c r="M5984" s="254">
        <f t="shared" si="374"/>
        <v>75.087030716723547</v>
      </c>
    </row>
    <row r="5985" spans="1:13" ht="15.75" hidden="1" customHeight="1" x14ac:dyDescent="0.3">
      <c r="A5985" s="9">
        <v>4303</v>
      </c>
      <c r="B5985" t="s">
        <v>384</v>
      </c>
      <c r="C5985" s="25">
        <v>44695</v>
      </c>
      <c r="D5985" s="26">
        <v>0.87296296296296294</v>
      </c>
      <c r="E5985" t="s">
        <v>28</v>
      </c>
      <c r="F5985" t="s">
        <v>165</v>
      </c>
      <c r="G5985" t="s">
        <v>185</v>
      </c>
      <c r="H5985" t="s">
        <v>192</v>
      </c>
      <c r="I5985">
        <v>241.45</v>
      </c>
      <c r="J5985" s="7">
        <v>0</v>
      </c>
      <c r="K5985" s="89">
        <f>+L5985-J6114</f>
        <v>548</v>
      </c>
      <c r="L5985" s="32">
        <v>548</v>
      </c>
      <c r="M5985" s="254">
        <f t="shared" si="374"/>
        <v>44.060218978102192</v>
      </c>
    </row>
    <row r="5986" spans="1:13" ht="15.75" hidden="1" customHeight="1" x14ac:dyDescent="0.3">
      <c r="A5986" s="9">
        <v>4495</v>
      </c>
      <c r="B5986" t="s">
        <v>384</v>
      </c>
      <c r="C5986" s="25">
        <v>44698</v>
      </c>
      <c r="D5986" s="26">
        <v>0.82030092592592585</v>
      </c>
      <c r="E5986" t="s">
        <v>28</v>
      </c>
      <c r="F5986" t="s">
        <v>396</v>
      </c>
      <c r="G5986" t="s">
        <v>397</v>
      </c>
      <c r="H5986" t="s">
        <v>192</v>
      </c>
      <c r="I5986">
        <v>461.59</v>
      </c>
      <c r="J5986" s="7">
        <v>0</v>
      </c>
      <c r="K5986" s="89">
        <f>+L5986-J6113</f>
        <v>1079</v>
      </c>
      <c r="L5986" s="37">
        <v>1079</v>
      </c>
      <c r="M5986" s="254">
        <f t="shared" si="374"/>
        <v>42.779425393883223</v>
      </c>
    </row>
    <row r="5987" spans="1:13" ht="15.75" hidden="1" customHeight="1" x14ac:dyDescent="0.3">
      <c r="A5987" s="9">
        <v>4601</v>
      </c>
      <c r="B5987" t="s">
        <v>384</v>
      </c>
      <c r="C5987" s="25">
        <v>44700</v>
      </c>
      <c r="D5987" s="26">
        <v>0.55667824074074079</v>
      </c>
      <c r="E5987" t="s">
        <v>28</v>
      </c>
      <c r="F5987" t="s">
        <v>619</v>
      </c>
      <c r="G5987" t="s">
        <v>620</v>
      </c>
      <c r="H5987" t="s">
        <v>192</v>
      </c>
      <c r="I5987">
        <v>300.5</v>
      </c>
      <c r="J5987" s="7">
        <v>0</v>
      </c>
      <c r="K5987" s="89">
        <f>+L5987-J6258</f>
        <v>865</v>
      </c>
      <c r="L5987" s="32">
        <v>865</v>
      </c>
      <c r="M5987" s="254">
        <f t="shared" si="374"/>
        <v>34.739884393063583</v>
      </c>
    </row>
    <row r="5988" spans="1:13" ht="15.75" hidden="1" customHeight="1" x14ac:dyDescent="0.3">
      <c r="A5988" s="9">
        <v>4650</v>
      </c>
      <c r="B5988" t="s">
        <v>384</v>
      </c>
      <c r="C5988" s="25">
        <v>44701</v>
      </c>
      <c r="D5988" s="26">
        <v>0.6514699074074074</v>
      </c>
      <c r="E5988" t="s">
        <v>28</v>
      </c>
      <c r="F5988" t="s">
        <v>197</v>
      </c>
      <c r="G5988" t="s">
        <v>44</v>
      </c>
      <c r="H5988" t="s">
        <v>192</v>
      </c>
      <c r="I5988">
        <v>118.11</v>
      </c>
      <c r="J5988" s="76">
        <v>0</v>
      </c>
      <c r="K5988" s="89">
        <f>+L5988-J6259</f>
        <v>643</v>
      </c>
      <c r="L5988" s="32">
        <v>643</v>
      </c>
      <c r="M5988" s="254">
        <f t="shared" si="374"/>
        <v>18.368584758942458</v>
      </c>
    </row>
    <row r="5989" spans="1:13" ht="15.75" hidden="1" customHeight="1" x14ac:dyDescent="0.3">
      <c r="A5989" s="9">
        <v>4703</v>
      </c>
      <c r="B5989" t="s">
        <v>384</v>
      </c>
      <c r="C5989" s="25">
        <v>44702</v>
      </c>
      <c r="D5989" s="26">
        <v>0.88538194444444451</v>
      </c>
      <c r="E5989" t="s">
        <v>28</v>
      </c>
      <c r="F5989" t="s">
        <v>165</v>
      </c>
      <c r="G5989" t="s">
        <v>185</v>
      </c>
      <c r="H5989" t="s">
        <v>192</v>
      </c>
      <c r="I5989">
        <v>296.38</v>
      </c>
      <c r="J5989" s="76">
        <v>0</v>
      </c>
      <c r="K5989" s="89">
        <f>+L5989-J6260</f>
        <v>637</v>
      </c>
      <c r="L5989" s="32">
        <v>637</v>
      </c>
      <c r="M5989" s="254">
        <f t="shared" si="374"/>
        <v>46.527472527472526</v>
      </c>
    </row>
    <row r="5990" spans="1:13" ht="15.75" hidden="1" customHeight="1" x14ac:dyDescent="0.3">
      <c r="A5990" s="9">
        <v>4713</v>
      </c>
      <c r="B5990" t="s">
        <v>384</v>
      </c>
      <c r="C5990" s="25">
        <v>44702</v>
      </c>
      <c r="D5990" s="26">
        <v>0.40474537037037034</v>
      </c>
      <c r="E5990" t="s">
        <v>28</v>
      </c>
      <c r="F5990" t="s">
        <v>166</v>
      </c>
      <c r="G5990" t="s">
        <v>161</v>
      </c>
      <c r="H5990" t="s">
        <v>192</v>
      </c>
      <c r="I5990">
        <v>374.8</v>
      </c>
      <c r="J5990" s="7">
        <v>0</v>
      </c>
      <c r="K5990" s="89">
        <f>+L5990-J6258</f>
        <v>511</v>
      </c>
      <c r="L5990" s="32">
        <v>511</v>
      </c>
      <c r="M5990" s="254">
        <f t="shared" si="374"/>
        <v>73.346379647749515</v>
      </c>
    </row>
    <row r="5991" spans="1:13" ht="15.75" hidden="1" customHeight="1" x14ac:dyDescent="0.3">
      <c r="A5991" s="9">
        <v>4760</v>
      </c>
      <c r="B5991" t="s">
        <v>384</v>
      </c>
      <c r="C5991" s="25">
        <v>44703</v>
      </c>
      <c r="D5991" s="26">
        <v>0.7888425925925926</v>
      </c>
      <c r="E5991" t="s">
        <v>28</v>
      </c>
      <c r="F5991" t="s">
        <v>293</v>
      </c>
      <c r="G5991" t="s">
        <v>196</v>
      </c>
      <c r="H5991" t="s">
        <v>192</v>
      </c>
      <c r="I5991">
        <v>200</v>
      </c>
      <c r="J5991" s="7">
        <v>0</v>
      </c>
      <c r="K5991" s="89">
        <f>+L5991-J6262</f>
        <v>966</v>
      </c>
      <c r="L5991" s="32">
        <v>966</v>
      </c>
      <c r="M5991" s="254">
        <f t="shared" si="374"/>
        <v>20.703933747412009</v>
      </c>
    </row>
    <row r="5992" spans="1:13" ht="15.75" hidden="1" customHeight="1" x14ac:dyDescent="0.3">
      <c r="A5992" s="9">
        <v>4814</v>
      </c>
      <c r="B5992" t="s">
        <v>384</v>
      </c>
      <c r="C5992" s="25">
        <v>44704</v>
      </c>
      <c r="D5992" s="26">
        <v>0.30031249999999998</v>
      </c>
      <c r="E5992" t="s">
        <v>28</v>
      </c>
      <c r="F5992" t="s">
        <v>169</v>
      </c>
      <c r="G5992" t="s">
        <v>196</v>
      </c>
      <c r="H5992" t="s">
        <v>192</v>
      </c>
      <c r="I5992">
        <v>129.09</v>
      </c>
      <c r="J5992" s="7">
        <v>0</v>
      </c>
      <c r="K5992" s="89">
        <f>+L5992-J6260</f>
        <v>26</v>
      </c>
      <c r="L5992" s="32">
        <v>26</v>
      </c>
      <c r="M5992" s="254">
        <f t="shared" si="374"/>
        <v>496.5</v>
      </c>
    </row>
    <row r="5993" spans="1:13" ht="15.75" hidden="1" customHeight="1" x14ac:dyDescent="0.3">
      <c r="A5993" s="9">
        <v>4920</v>
      </c>
      <c r="B5993" t="s">
        <v>384</v>
      </c>
      <c r="C5993" s="25">
        <v>44706</v>
      </c>
      <c r="D5993" s="26">
        <v>0.3891087962962963</v>
      </c>
      <c r="E5993" t="s">
        <v>28</v>
      </c>
      <c r="F5993" t="s">
        <v>530</v>
      </c>
      <c r="G5993" t="s">
        <v>489</v>
      </c>
      <c r="H5993" t="s">
        <v>192</v>
      </c>
      <c r="I5993">
        <v>441.54</v>
      </c>
      <c r="J5993" s="7">
        <v>0</v>
      </c>
      <c r="K5993" s="89">
        <f>+L5993-J6261</f>
        <v>1056</v>
      </c>
      <c r="L5993" s="32">
        <v>1056</v>
      </c>
      <c r="M5993" s="254">
        <f t="shared" si="374"/>
        <v>41.8125</v>
      </c>
    </row>
    <row r="5994" spans="1:13" ht="15.75" hidden="1" customHeight="1" x14ac:dyDescent="0.3">
      <c r="A5994" s="9">
        <v>4921</v>
      </c>
      <c r="B5994" t="s">
        <v>384</v>
      </c>
      <c r="C5994" s="25">
        <v>44706</v>
      </c>
      <c r="D5994" s="26">
        <v>0.74290509259259263</v>
      </c>
      <c r="E5994" t="s">
        <v>28</v>
      </c>
      <c r="F5994" t="s">
        <v>396</v>
      </c>
      <c r="G5994" t="s">
        <v>397</v>
      </c>
      <c r="H5994" t="s">
        <v>192</v>
      </c>
      <c r="I5994">
        <v>250</v>
      </c>
      <c r="J5994" s="7">
        <v>0</v>
      </c>
      <c r="K5994" s="89">
        <f>+L5994-J6262</f>
        <v>570</v>
      </c>
      <c r="L5994" s="32">
        <v>570</v>
      </c>
      <c r="M5994" s="254">
        <f t="shared" si="374"/>
        <v>43.859649122807014</v>
      </c>
    </row>
    <row r="5995" spans="1:13" ht="15.75" hidden="1" customHeight="1" x14ac:dyDescent="0.3">
      <c r="A5995" s="9">
        <v>4977</v>
      </c>
      <c r="B5995" t="s">
        <v>384</v>
      </c>
      <c r="C5995" s="25">
        <v>44707</v>
      </c>
      <c r="D5995" s="26">
        <v>0.6436574074074074</v>
      </c>
      <c r="E5995" t="s">
        <v>28</v>
      </c>
      <c r="F5995" t="s">
        <v>633</v>
      </c>
      <c r="G5995" t="s">
        <v>322</v>
      </c>
      <c r="H5995" t="s">
        <v>192</v>
      </c>
      <c r="I5995">
        <v>353.2</v>
      </c>
      <c r="J5995" s="7">
        <v>0</v>
      </c>
      <c r="K5995" s="94">
        <f t="shared" ref="K5995:K6000" si="376">+L5995-J6262</f>
        <v>766</v>
      </c>
      <c r="L5995" s="34">
        <v>766</v>
      </c>
      <c r="M5995" s="254">
        <f t="shared" si="374"/>
        <v>46.10966057441253</v>
      </c>
    </row>
    <row r="5996" spans="1:13" ht="15.75" hidden="1" customHeight="1" x14ac:dyDescent="0.3">
      <c r="A5996" s="9">
        <v>5017</v>
      </c>
      <c r="B5996" t="s">
        <v>384</v>
      </c>
      <c r="C5996" s="25">
        <v>44708</v>
      </c>
      <c r="D5996" s="26">
        <v>0.39224537037037038</v>
      </c>
      <c r="E5996" t="s">
        <v>28</v>
      </c>
      <c r="F5996" t="s">
        <v>637</v>
      </c>
      <c r="G5996" t="s">
        <v>196</v>
      </c>
      <c r="H5996" t="s">
        <v>192</v>
      </c>
      <c r="I5996">
        <v>100</v>
      </c>
      <c r="J5996" s="7">
        <v>0</v>
      </c>
      <c r="K5996" s="89">
        <f t="shared" si="376"/>
        <v>511</v>
      </c>
      <c r="L5996" s="34">
        <v>511</v>
      </c>
      <c r="M5996" s="254">
        <f t="shared" si="374"/>
        <v>19.569471624266143</v>
      </c>
    </row>
    <row r="5997" spans="1:13" ht="15.75" hidden="1" customHeight="1" x14ac:dyDescent="0.3">
      <c r="A5997" s="9">
        <v>5078</v>
      </c>
      <c r="B5997" t="s">
        <v>384</v>
      </c>
      <c r="C5997" s="25">
        <v>44709</v>
      </c>
      <c r="D5997" s="26">
        <v>0.52160879629629631</v>
      </c>
      <c r="E5997" t="s">
        <v>28</v>
      </c>
      <c r="F5997" t="s">
        <v>639</v>
      </c>
      <c r="G5997" t="s">
        <v>44</v>
      </c>
      <c r="H5997" t="s">
        <v>192</v>
      </c>
      <c r="I5997">
        <v>231</v>
      </c>
      <c r="J5997" s="7">
        <v>0</v>
      </c>
      <c r="K5997" s="89">
        <f t="shared" si="376"/>
        <v>727</v>
      </c>
      <c r="L5997" s="7">
        <v>727</v>
      </c>
      <c r="M5997" s="254">
        <f t="shared" si="374"/>
        <v>31.774415405777169</v>
      </c>
    </row>
    <row r="5998" spans="1:13" ht="15.75" hidden="1" customHeight="1" x14ac:dyDescent="0.3">
      <c r="A5998" s="9">
        <v>5079</v>
      </c>
      <c r="B5998" t="s">
        <v>384</v>
      </c>
      <c r="C5998" s="25">
        <v>44709</v>
      </c>
      <c r="D5998" s="26">
        <v>0.73430555555555566</v>
      </c>
      <c r="E5998" t="s">
        <v>28</v>
      </c>
      <c r="F5998" t="s">
        <v>659</v>
      </c>
      <c r="G5998" t="s">
        <v>489</v>
      </c>
      <c r="H5998" t="s">
        <v>192</v>
      </c>
      <c r="I5998">
        <v>279.01</v>
      </c>
      <c r="J5998" s="7">
        <v>0</v>
      </c>
      <c r="K5998" s="89">
        <f t="shared" si="376"/>
        <v>341</v>
      </c>
      <c r="L5998" s="7">
        <v>341</v>
      </c>
      <c r="M5998" s="254">
        <f t="shared" si="374"/>
        <v>81.821114369501473</v>
      </c>
    </row>
    <row r="5999" spans="1:13" ht="15.75" hidden="1" customHeight="1" x14ac:dyDescent="0.3">
      <c r="A5999" s="9">
        <v>5131</v>
      </c>
      <c r="B5999" t="s">
        <v>384</v>
      </c>
      <c r="C5999" s="25">
        <v>44710</v>
      </c>
      <c r="D5999" s="26">
        <v>0.67100694444444453</v>
      </c>
      <c r="E5999" t="s">
        <v>28</v>
      </c>
      <c r="F5999" t="s">
        <v>635</v>
      </c>
      <c r="G5999" t="s">
        <v>185</v>
      </c>
      <c r="H5999" t="s">
        <v>192</v>
      </c>
      <c r="I5999">
        <v>384.01</v>
      </c>
      <c r="J5999" s="7">
        <v>0</v>
      </c>
      <c r="K5999" s="89">
        <f t="shared" si="376"/>
        <v>1124</v>
      </c>
      <c r="L5999" s="7">
        <v>1124</v>
      </c>
      <c r="M5999" s="254">
        <f t="shared" si="374"/>
        <v>34.164590747330962</v>
      </c>
    </row>
    <row r="6000" spans="1:13" ht="15.75" hidden="1" customHeight="1" x14ac:dyDescent="0.3">
      <c r="A6000" s="9">
        <v>5132</v>
      </c>
      <c r="B6000" t="s">
        <v>384</v>
      </c>
      <c r="C6000" s="25">
        <v>44710</v>
      </c>
      <c r="D6000" s="26">
        <v>0.95398148148148154</v>
      </c>
      <c r="E6000" t="s">
        <v>28</v>
      </c>
      <c r="F6000" t="s">
        <v>634</v>
      </c>
      <c r="G6000" t="s">
        <v>211</v>
      </c>
      <c r="H6000" t="s">
        <v>192</v>
      </c>
      <c r="I6000">
        <v>141.38999999999999</v>
      </c>
      <c r="J6000" s="7">
        <v>0</v>
      </c>
      <c r="K6000" s="89">
        <f t="shared" si="376"/>
        <v>513</v>
      </c>
      <c r="L6000" s="31">
        <v>513</v>
      </c>
      <c r="M6000" s="254">
        <f t="shared" si="374"/>
        <v>27.561403508771924</v>
      </c>
    </row>
    <row r="6001" spans="1:13" ht="15.75" hidden="1" customHeight="1" x14ac:dyDescent="0.3">
      <c r="A6001" s="9">
        <v>5186</v>
      </c>
      <c r="B6001" t="s">
        <v>384</v>
      </c>
      <c r="C6001" s="25">
        <v>44711</v>
      </c>
      <c r="D6001" s="26">
        <v>0.73526620370370377</v>
      </c>
      <c r="E6001" t="s">
        <v>28</v>
      </c>
      <c r="F6001" t="s">
        <v>684</v>
      </c>
      <c r="G6001" t="s">
        <v>620</v>
      </c>
      <c r="H6001" t="s">
        <v>192</v>
      </c>
      <c r="I6001">
        <v>195.43</v>
      </c>
      <c r="J6001" s="32">
        <v>0</v>
      </c>
      <c r="K6001" s="94">
        <f>+L6001-J6266</f>
        <v>524</v>
      </c>
      <c r="L6001" s="7">
        <v>524</v>
      </c>
      <c r="M6001" s="254">
        <f t="shared" si="374"/>
        <v>37.295801526717561</v>
      </c>
    </row>
    <row r="6002" spans="1:13" ht="15.75" hidden="1" customHeight="1" x14ac:dyDescent="0.3">
      <c r="A6002" s="9">
        <v>5271</v>
      </c>
      <c r="B6002" t="s">
        <v>384</v>
      </c>
      <c r="C6002" s="25">
        <v>44713</v>
      </c>
      <c r="D6002" s="26">
        <v>0.69615740740740739</v>
      </c>
      <c r="E6002" t="s">
        <v>29</v>
      </c>
      <c r="F6002" t="s">
        <v>661</v>
      </c>
      <c r="G6002" t="s">
        <v>457</v>
      </c>
      <c r="H6002" t="s">
        <v>192</v>
      </c>
      <c r="I6002">
        <v>50</v>
      </c>
      <c r="J6002" s="32">
        <v>0</v>
      </c>
      <c r="K6002" s="89">
        <f>+L6002-J6266</f>
        <v>917</v>
      </c>
      <c r="L6002" s="35">
        <v>917</v>
      </c>
      <c r="M6002" s="254">
        <f t="shared" si="374"/>
        <v>5.4525627044711014</v>
      </c>
    </row>
    <row r="6003" spans="1:13" ht="15.75" hidden="1" customHeight="1" x14ac:dyDescent="0.3">
      <c r="A6003" s="9">
        <v>5272</v>
      </c>
      <c r="B6003" t="s">
        <v>384</v>
      </c>
      <c r="C6003" s="25">
        <v>44713</v>
      </c>
      <c r="D6003" s="26">
        <v>0.73692129629629621</v>
      </c>
      <c r="E6003" t="s">
        <v>29</v>
      </c>
      <c r="F6003" t="s">
        <v>659</v>
      </c>
      <c r="G6003" t="s">
        <v>489</v>
      </c>
      <c r="H6003" t="s">
        <v>192</v>
      </c>
      <c r="I6003">
        <v>384.64</v>
      </c>
      <c r="J6003" s="32">
        <v>0</v>
      </c>
      <c r="K6003" s="89">
        <f>+L6003-J6267</f>
        <v>66</v>
      </c>
      <c r="L6003" s="7">
        <v>66</v>
      </c>
      <c r="M6003" s="254">
        <f t="shared" si="374"/>
        <v>582.78787878787875</v>
      </c>
    </row>
    <row r="6004" spans="1:13" ht="15.75" hidden="1" customHeight="1" x14ac:dyDescent="0.3">
      <c r="A6004" s="9">
        <v>5325</v>
      </c>
      <c r="B6004" t="s">
        <v>384</v>
      </c>
      <c r="C6004" s="25">
        <v>44714</v>
      </c>
      <c r="D6004" s="26">
        <v>0.58521990740740748</v>
      </c>
      <c r="E6004" t="s">
        <v>29</v>
      </c>
      <c r="F6004" t="s">
        <v>635</v>
      </c>
      <c r="G6004" t="s">
        <v>185</v>
      </c>
      <c r="H6004" t="s">
        <v>192</v>
      </c>
      <c r="I6004">
        <v>344.72</v>
      </c>
      <c r="J6004" s="32">
        <v>0</v>
      </c>
      <c r="K6004" s="89">
        <f>+L6004-J6267</f>
        <v>782</v>
      </c>
      <c r="L6004" s="7">
        <v>782</v>
      </c>
      <c r="M6004" s="254">
        <f t="shared" ref="M6004:M6030" si="377">I6004/K6004*100</f>
        <v>44.081841432225069</v>
      </c>
    </row>
    <row r="6005" spans="1:13" ht="15.75" hidden="1" customHeight="1" x14ac:dyDescent="0.3">
      <c r="A6005" s="9">
        <v>5326</v>
      </c>
      <c r="B6005" t="s">
        <v>384</v>
      </c>
      <c r="C6005" s="25">
        <v>44714</v>
      </c>
      <c r="D6005" s="26">
        <v>0.87342592592592594</v>
      </c>
      <c r="E6005" t="s">
        <v>29</v>
      </c>
      <c r="F6005" t="s">
        <v>634</v>
      </c>
      <c r="G6005" t="s">
        <v>211</v>
      </c>
      <c r="H6005" t="s">
        <v>192</v>
      </c>
      <c r="I6005">
        <v>165.75</v>
      </c>
      <c r="J6005" s="32">
        <v>0</v>
      </c>
      <c r="K6005" s="89">
        <f>+L6005-J6268</f>
        <v>514</v>
      </c>
      <c r="L6005" s="34">
        <v>514</v>
      </c>
      <c r="M6005" s="254">
        <f t="shared" si="377"/>
        <v>32.247081712062261</v>
      </c>
    </row>
    <row r="6006" spans="1:13" ht="15.75" hidden="1" customHeight="1" x14ac:dyDescent="0.3">
      <c r="A6006" s="9">
        <v>5392</v>
      </c>
      <c r="B6006" t="s">
        <v>384</v>
      </c>
      <c r="C6006" s="25">
        <v>44715</v>
      </c>
      <c r="D6006" s="26">
        <v>0.55531249999999999</v>
      </c>
      <c r="E6006" t="s">
        <v>29</v>
      </c>
      <c r="F6006" t="s">
        <v>637</v>
      </c>
      <c r="G6006" t="s">
        <v>196</v>
      </c>
      <c r="H6006" t="s">
        <v>192</v>
      </c>
      <c r="I6006">
        <v>187.88</v>
      </c>
      <c r="J6006" s="32">
        <v>0</v>
      </c>
      <c r="K6006" s="89">
        <f>+L6006-J6265</f>
        <v>276</v>
      </c>
      <c r="L6006" s="7">
        <v>276</v>
      </c>
      <c r="M6006" s="254">
        <f t="shared" si="377"/>
        <v>68.072463768115938</v>
      </c>
    </row>
    <row r="6007" spans="1:13" ht="15.75" hidden="1" customHeight="1" x14ac:dyDescent="0.3">
      <c r="A6007" s="9">
        <v>5448</v>
      </c>
      <c r="B6007" t="s">
        <v>384</v>
      </c>
      <c r="C6007" s="25">
        <v>44716</v>
      </c>
      <c r="D6007" s="26">
        <v>0.52940972222222216</v>
      </c>
      <c r="E6007" t="s">
        <v>29</v>
      </c>
      <c r="F6007" t="s">
        <v>639</v>
      </c>
      <c r="G6007" t="s">
        <v>44</v>
      </c>
      <c r="H6007" t="s">
        <v>192</v>
      </c>
      <c r="I6007">
        <v>115.48</v>
      </c>
      <c r="J6007" s="32">
        <v>0</v>
      </c>
      <c r="K6007" s="89">
        <f>+L6007-J6266</f>
        <v>527</v>
      </c>
      <c r="L6007" s="7">
        <v>527</v>
      </c>
      <c r="M6007" s="254">
        <f t="shared" si="377"/>
        <v>21.91271347248577</v>
      </c>
    </row>
    <row r="6008" spans="1:13" ht="15.75" hidden="1" customHeight="1" x14ac:dyDescent="0.3">
      <c r="A6008" s="9">
        <v>5449</v>
      </c>
      <c r="B6008" t="s">
        <v>384</v>
      </c>
      <c r="C6008" s="25">
        <v>44716</v>
      </c>
      <c r="D6008" s="26">
        <v>0.75707175925925929</v>
      </c>
      <c r="E6008" t="s">
        <v>29</v>
      </c>
      <c r="F6008" t="s">
        <v>659</v>
      </c>
      <c r="G6008" t="s">
        <v>489</v>
      </c>
      <c r="H6008" t="s">
        <v>192</v>
      </c>
      <c r="I6008">
        <v>301.81</v>
      </c>
      <c r="J6008" s="32">
        <v>0</v>
      </c>
      <c r="K6008" s="89">
        <f>+L6008-J6267</f>
        <v>341</v>
      </c>
      <c r="L6008" s="7">
        <v>341</v>
      </c>
      <c r="M6008" s="254">
        <f t="shared" si="377"/>
        <v>88.507331378299128</v>
      </c>
    </row>
    <row r="6009" spans="1:13" ht="15.75" hidden="1" customHeight="1" x14ac:dyDescent="0.3">
      <c r="A6009" s="9">
        <v>5502</v>
      </c>
      <c r="B6009" t="s">
        <v>384</v>
      </c>
      <c r="C6009" s="25">
        <v>44717</v>
      </c>
      <c r="D6009" s="26">
        <v>0.59137731481481481</v>
      </c>
      <c r="E6009" t="s">
        <v>29</v>
      </c>
      <c r="F6009" t="s">
        <v>635</v>
      </c>
      <c r="G6009" t="s">
        <v>185</v>
      </c>
      <c r="H6009" t="s">
        <v>192</v>
      </c>
      <c r="I6009">
        <v>347.49</v>
      </c>
      <c r="J6009" s="32">
        <v>0</v>
      </c>
      <c r="K6009" s="89">
        <f>+L6009-J6268</f>
        <v>787</v>
      </c>
      <c r="L6009" s="31">
        <v>787</v>
      </c>
      <c r="M6009" s="254">
        <f t="shared" si="377"/>
        <v>44.153748411689961</v>
      </c>
    </row>
    <row r="6010" spans="1:13" ht="15.75" hidden="1" customHeight="1" x14ac:dyDescent="0.3">
      <c r="A6010" s="9">
        <v>5545</v>
      </c>
      <c r="B6010" t="s">
        <v>384</v>
      </c>
      <c r="C6010" s="25">
        <v>44718</v>
      </c>
      <c r="D6010" s="26">
        <v>0.5699305555555555</v>
      </c>
      <c r="E6010" t="s">
        <v>29</v>
      </c>
      <c r="F6010" t="s">
        <v>642</v>
      </c>
      <c r="G6010" t="s">
        <v>203</v>
      </c>
      <c r="H6010" t="s">
        <v>192</v>
      </c>
      <c r="I6010">
        <v>250</v>
      </c>
      <c r="J6010" s="32">
        <v>0</v>
      </c>
      <c r="K6010" s="89">
        <f>+L6010-J5574</f>
        <v>1057</v>
      </c>
      <c r="L6010" s="7">
        <v>1057</v>
      </c>
      <c r="M6010" s="254">
        <f t="shared" si="377"/>
        <v>23.651844843897823</v>
      </c>
    </row>
    <row r="6011" spans="1:13" ht="15.75" hidden="1" customHeight="1" x14ac:dyDescent="0.3">
      <c r="A6011" s="9">
        <v>5546</v>
      </c>
      <c r="B6011" t="s">
        <v>384</v>
      </c>
      <c r="C6011" s="25">
        <v>44718</v>
      </c>
      <c r="D6011" s="26">
        <v>0.99103009259259256</v>
      </c>
      <c r="E6011" t="s">
        <v>29</v>
      </c>
      <c r="F6011" t="s">
        <v>635</v>
      </c>
      <c r="G6011" t="s">
        <v>185</v>
      </c>
      <c r="H6011" t="s">
        <v>192</v>
      </c>
      <c r="I6011">
        <v>330.38</v>
      </c>
      <c r="J6011" s="32">
        <v>0</v>
      </c>
      <c r="K6011" s="89">
        <f>+L6011-J5575</f>
        <v>574</v>
      </c>
      <c r="L6011" s="7">
        <v>574</v>
      </c>
      <c r="M6011" s="254">
        <f t="shared" si="377"/>
        <v>57.557491289198602</v>
      </c>
    </row>
    <row r="6012" spans="1:13" ht="15.75" hidden="1" customHeight="1" x14ac:dyDescent="0.3">
      <c r="A6012" s="9">
        <v>5578</v>
      </c>
      <c r="B6012" t="s">
        <v>384</v>
      </c>
      <c r="C6012" s="25">
        <v>44719</v>
      </c>
      <c r="D6012" s="26">
        <v>0.66997685185185185</v>
      </c>
      <c r="E6012" t="s">
        <v>29</v>
      </c>
      <c r="F6012" t="s">
        <v>632</v>
      </c>
      <c r="G6012" t="s">
        <v>161</v>
      </c>
      <c r="H6012" t="s">
        <v>192</v>
      </c>
      <c r="I6012">
        <v>174.93</v>
      </c>
      <c r="J6012" s="32">
        <v>0</v>
      </c>
      <c r="K6012" s="89">
        <f>+L6012-J5573</f>
        <v>590</v>
      </c>
      <c r="L6012" s="7">
        <v>590</v>
      </c>
      <c r="M6012" s="254">
        <f t="shared" si="377"/>
        <v>29.649152542372882</v>
      </c>
    </row>
    <row r="6013" spans="1:13" ht="15.75" hidden="1" customHeight="1" x14ac:dyDescent="0.3">
      <c r="A6013" s="9">
        <v>5757</v>
      </c>
      <c r="B6013" t="s">
        <v>384</v>
      </c>
      <c r="C6013" s="25">
        <v>44722</v>
      </c>
      <c r="D6013" s="26">
        <v>0.97506944444444443</v>
      </c>
      <c r="E6013" t="s">
        <v>29</v>
      </c>
      <c r="F6013" t="s">
        <v>644</v>
      </c>
      <c r="G6013" t="s">
        <v>303</v>
      </c>
      <c r="H6013" t="s">
        <v>192</v>
      </c>
      <c r="I6013">
        <v>522.79999999999995</v>
      </c>
      <c r="J6013" s="32">
        <v>0</v>
      </c>
      <c r="K6013" s="89">
        <f>+L6013-J5575</f>
        <v>1281</v>
      </c>
      <c r="L6013" s="34">
        <v>1281</v>
      </c>
      <c r="M6013" s="254">
        <f t="shared" si="377"/>
        <v>40.811865729898514</v>
      </c>
    </row>
    <row r="6014" spans="1:13" ht="15.75" hidden="1" customHeight="1" x14ac:dyDescent="0.3">
      <c r="A6014" s="9">
        <v>5798</v>
      </c>
      <c r="B6014" t="s">
        <v>384</v>
      </c>
      <c r="C6014" s="25">
        <v>44723</v>
      </c>
      <c r="D6014" s="26">
        <v>0.59684027777777782</v>
      </c>
      <c r="E6014" t="s">
        <v>29</v>
      </c>
      <c r="F6014" t="s">
        <v>634</v>
      </c>
      <c r="G6014" t="s">
        <v>211</v>
      </c>
      <c r="H6014" t="s">
        <v>192</v>
      </c>
      <c r="I6014">
        <v>186.43</v>
      </c>
      <c r="J6014" s="32">
        <v>0</v>
      </c>
      <c r="K6014" s="89">
        <f>+L6014-J5576</f>
        <v>418</v>
      </c>
      <c r="L6014" s="7">
        <v>418</v>
      </c>
      <c r="M6014" s="254">
        <f t="shared" si="377"/>
        <v>44.600478468899524</v>
      </c>
    </row>
    <row r="6015" spans="1:13" ht="15.75" hidden="1" customHeight="1" x14ac:dyDescent="0.3">
      <c r="A6015" s="9">
        <v>5799</v>
      </c>
      <c r="B6015" t="s">
        <v>384</v>
      </c>
      <c r="C6015" s="25">
        <v>44723</v>
      </c>
      <c r="D6015" s="26">
        <v>0.95081018518518512</v>
      </c>
      <c r="E6015" t="s">
        <v>29</v>
      </c>
      <c r="F6015" t="s">
        <v>635</v>
      </c>
      <c r="G6015" t="s">
        <v>185</v>
      </c>
      <c r="H6015" t="s">
        <v>192</v>
      </c>
      <c r="I6015">
        <v>179.91</v>
      </c>
      <c r="J6015" s="32">
        <v>0</v>
      </c>
      <c r="K6015" s="89">
        <f>+L6015-J5577</f>
        <v>1294</v>
      </c>
      <c r="L6015" s="7">
        <v>1294</v>
      </c>
      <c r="M6015" s="254">
        <f t="shared" si="377"/>
        <v>13.903400309119011</v>
      </c>
    </row>
    <row r="6016" spans="1:13" ht="15.75" hidden="1" customHeight="1" x14ac:dyDescent="0.3">
      <c r="A6016" s="9">
        <v>5862</v>
      </c>
      <c r="B6016" t="s">
        <v>384</v>
      </c>
      <c r="C6016" s="25">
        <v>44724</v>
      </c>
      <c r="D6016" s="26">
        <v>0.56111111111111112</v>
      </c>
      <c r="E6016" t="s">
        <v>29</v>
      </c>
      <c r="F6016" t="s">
        <v>634</v>
      </c>
      <c r="G6016" t="s">
        <v>211</v>
      </c>
      <c r="H6016" t="s">
        <v>192</v>
      </c>
      <c r="I6016">
        <v>149.62</v>
      </c>
      <c r="J6016" s="32">
        <v>0</v>
      </c>
      <c r="K6016" s="89">
        <f>+L6016-J5578</f>
        <v>514</v>
      </c>
      <c r="L6016" s="7">
        <v>514</v>
      </c>
      <c r="M6016" s="254">
        <f t="shared" si="377"/>
        <v>29.108949416342412</v>
      </c>
    </row>
    <row r="6017" spans="1:19" ht="15.75" hidden="1" customHeight="1" x14ac:dyDescent="0.3">
      <c r="A6017" s="9">
        <v>5918</v>
      </c>
      <c r="B6017" t="s">
        <v>384</v>
      </c>
      <c r="C6017" s="25">
        <v>44725</v>
      </c>
      <c r="D6017" s="26">
        <v>0.32787037037037037</v>
      </c>
      <c r="E6017" t="s">
        <v>29</v>
      </c>
      <c r="F6017" t="s">
        <v>637</v>
      </c>
      <c r="G6017" t="s">
        <v>196</v>
      </c>
      <c r="H6017" t="s">
        <v>192</v>
      </c>
      <c r="I6017">
        <v>167</v>
      </c>
      <c r="J6017" s="32">
        <v>0</v>
      </c>
      <c r="K6017" s="89">
        <v>481</v>
      </c>
      <c r="L6017" s="34">
        <v>481</v>
      </c>
      <c r="M6017" s="254">
        <f t="shared" si="377"/>
        <v>34.719334719334718</v>
      </c>
      <c r="N6017" s="2"/>
      <c r="O6017" s="2"/>
      <c r="P6017" s="2"/>
      <c r="Q6017" s="2"/>
      <c r="R6017" s="2"/>
      <c r="S6017" s="2"/>
    </row>
    <row r="6018" spans="1:19" ht="15.75" hidden="1" customHeight="1" x14ac:dyDescent="0.3">
      <c r="A6018" s="9">
        <v>5919</v>
      </c>
      <c r="B6018" t="s">
        <v>384</v>
      </c>
      <c r="C6018" s="25">
        <v>44725</v>
      </c>
      <c r="D6018" s="26">
        <v>0.97190972222222216</v>
      </c>
      <c r="E6018" t="s">
        <v>29</v>
      </c>
      <c r="F6018" t="s">
        <v>639</v>
      </c>
      <c r="G6018" t="s">
        <v>44</v>
      </c>
      <c r="H6018" t="s">
        <v>192</v>
      </c>
      <c r="I6018">
        <v>113.38</v>
      </c>
      <c r="J6018" s="32">
        <v>0</v>
      </c>
      <c r="K6018" s="89">
        <v>668</v>
      </c>
      <c r="L6018" s="7">
        <v>668</v>
      </c>
      <c r="M6018" s="254">
        <f t="shared" si="377"/>
        <v>16.973053892215567</v>
      </c>
      <c r="N6018" s="2"/>
      <c r="O6018" s="2"/>
      <c r="P6018" s="2"/>
      <c r="Q6018" s="2"/>
      <c r="R6018" s="2"/>
      <c r="S6018" s="2"/>
    </row>
    <row r="6019" spans="1:19" ht="15.75" hidden="1" customHeight="1" x14ac:dyDescent="0.3">
      <c r="A6019" s="9">
        <v>5969</v>
      </c>
      <c r="B6019" t="s">
        <v>384</v>
      </c>
      <c r="C6019" s="25">
        <v>44726</v>
      </c>
      <c r="D6019" s="26">
        <v>0.45124999999999998</v>
      </c>
      <c r="E6019" t="s">
        <v>29</v>
      </c>
      <c r="F6019" t="s">
        <v>659</v>
      </c>
      <c r="G6019" t="s">
        <v>489</v>
      </c>
      <c r="H6019" t="s">
        <v>192</v>
      </c>
      <c r="I6019">
        <v>277.69</v>
      </c>
      <c r="J6019" s="32">
        <v>0</v>
      </c>
      <c r="K6019" s="89">
        <v>341</v>
      </c>
      <c r="L6019" s="7">
        <v>341</v>
      </c>
      <c r="M6019" s="254">
        <f t="shared" si="377"/>
        <v>81.434017595307921</v>
      </c>
      <c r="N6019" s="2"/>
      <c r="O6019" s="2"/>
      <c r="P6019" s="2"/>
      <c r="Q6019" s="2"/>
      <c r="R6019" s="2"/>
      <c r="S6019" s="2"/>
    </row>
    <row r="6020" spans="1:19" ht="15.75" hidden="1" customHeight="1" x14ac:dyDescent="0.3">
      <c r="A6020" s="9">
        <v>5970</v>
      </c>
      <c r="B6020" t="s">
        <v>384</v>
      </c>
      <c r="C6020" s="25">
        <v>44726</v>
      </c>
      <c r="D6020" s="26">
        <v>0.95322916666666668</v>
      </c>
      <c r="E6020" t="s">
        <v>29</v>
      </c>
      <c r="F6020" t="s">
        <v>635</v>
      </c>
      <c r="G6020" t="s">
        <v>185</v>
      </c>
      <c r="H6020" t="s">
        <v>192</v>
      </c>
      <c r="I6020">
        <v>444.14</v>
      </c>
      <c r="J6020" s="53">
        <v>0</v>
      </c>
      <c r="K6020" s="89">
        <v>779</v>
      </c>
      <c r="L6020" s="7">
        <v>779</v>
      </c>
      <c r="M6020" s="254">
        <f t="shared" si="377"/>
        <v>57.014120667522462</v>
      </c>
      <c r="N6020" s="2"/>
      <c r="O6020" s="2"/>
      <c r="P6020" s="2"/>
      <c r="Q6020" s="2"/>
      <c r="R6020" s="2"/>
      <c r="S6020" s="2"/>
    </row>
    <row r="6021" spans="1:19" ht="15.75" hidden="1" customHeight="1" x14ac:dyDescent="0.3">
      <c r="A6021" s="9">
        <v>6090</v>
      </c>
      <c r="B6021" t="s">
        <v>384</v>
      </c>
      <c r="C6021" s="25">
        <v>44728</v>
      </c>
      <c r="D6021" s="26">
        <v>0.25061342592592589</v>
      </c>
      <c r="E6021" t="s">
        <v>29</v>
      </c>
      <c r="F6021" t="s">
        <v>684</v>
      </c>
      <c r="G6021" t="s">
        <v>620</v>
      </c>
      <c r="H6021" t="s">
        <v>192</v>
      </c>
      <c r="I6021">
        <v>348</v>
      </c>
      <c r="J6021" s="53">
        <v>0</v>
      </c>
      <c r="K6021" s="89">
        <v>1038</v>
      </c>
      <c r="L6021" s="7">
        <v>1038</v>
      </c>
      <c r="M6021" s="254">
        <f t="shared" si="377"/>
        <v>33.52601156069364</v>
      </c>
    </row>
    <row r="6022" spans="1:19" ht="15.75" hidden="1" customHeight="1" x14ac:dyDescent="0.3">
      <c r="A6022" s="9">
        <v>6480</v>
      </c>
      <c r="B6022" t="s">
        <v>384</v>
      </c>
      <c r="C6022" s="25">
        <v>44737</v>
      </c>
      <c r="D6022" s="26">
        <v>0.4440162037037037</v>
      </c>
      <c r="E6022" t="s">
        <v>29</v>
      </c>
      <c r="F6022" t="s">
        <v>639</v>
      </c>
      <c r="G6022" t="s">
        <v>44</v>
      </c>
      <c r="H6022" t="s">
        <v>192</v>
      </c>
      <c r="I6022">
        <v>134.77000000000001</v>
      </c>
      <c r="J6022" s="32">
        <v>0</v>
      </c>
      <c r="K6022" s="89">
        <v>607</v>
      </c>
      <c r="L6022" s="7">
        <v>607</v>
      </c>
      <c r="M6022" s="254">
        <f t="shared" si="377"/>
        <v>22.202635914332784</v>
      </c>
    </row>
    <row r="6023" spans="1:19" ht="15.75" hidden="1" customHeight="1" x14ac:dyDescent="0.3">
      <c r="A6023" s="9">
        <v>6481</v>
      </c>
      <c r="B6023" t="s">
        <v>384</v>
      </c>
      <c r="C6023" s="25">
        <v>44737</v>
      </c>
      <c r="D6023" s="26">
        <v>0.63737268518518519</v>
      </c>
      <c r="E6023" t="s">
        <v>29</v>
      </c>
      <c r="F6023" t="s">
        <v>659</v>
      </c>
      <c r="G6023" t="s">
        <v>489</v>
      </c>
      <c r="H6023" t="s">
        <v>192</v>
      </c>
      <c r="I6023">
        <v>271.91000000000003</v>
      </c>
      <c r="J6023" s="32">
        <v>0</v>
      </c>
      <c r="K6023" s="89">
        <v>342</v>
      </c>
      <c r="L6023" s="7">
        <v>342</v>
      </c>
      <c r="M6023" s="254">
        <f t="shared" si="377"/>
        <v>79.505847953216374</v>
      </c>
    </row>
    <row r="6024" spans="1:19" ht="15.75" hidden="1" customHeight="1" x14ac:dyDescent="0.3">
      <c r="A6024" s="9">
        <v>6529</v>
      </c>
      <c r="B6024" t="s">
        <v>384</v>
      </c>
      <c r="C6024" s="25">
        <v>44738</v>
      </c>
      <c r="D6024" s="26">
        <v>1.7291666666666667E-2</v>
      </c>
      <c r="E6024" t="s">
        <v>29</v>
      </c>
      <c r="F6024" t="s">
        <v>645</v>
      </c>
      <c r="G6024" t="s">
        <v>279</v>
      </c>
      <c r="H6024" t="s">
        <v>192</v>
      </c>
      <c r="I6024">
        <v>259.43</v>
      </c>
      <c r="J6024" s="32">
        <v>0</v>
      </c>
      <c r="K6024" s="89">
        <v>583</v>
      </c>
      <c r="L6024" s="51">
        <v>583</v>
      </c>
      <c r="M6024" s="254">
        <f t="shared" si="377"/>
        <v>44.499142367066895</v>
      </c>
    </row>
    <row r="6025" spans="1:19" ht="15.75" hidden="1" customHeight="1" x14ac:dyDescent="0.3">
      <c r="A6025" s="9">
        <v>6530</v>
      </c>
      <c r="B6025" t="s">
        <v>384</v>
      </c>
      <c r="C6025" s="25">
        <v>44738</v>
      </c>
      <c r="D6025" s="26">
        <v>0.68913194444444448</v>
      </c>
      <c r="E6025" t="s">
        <v>29</v>
      </c>
      <c r="F6025" t="s">
        <v>642</v>
      </c>
      <c r="G6025" t="s">
        <v>203</v>
      </c>
      <c r="H6025" t="s">
        <v>192</v>
      </c>
      <c r="I6025">
        <v>195.31</v>
      </c>
      <c r="J6025" s="32">
        <v>0</v>
      </c>
      <c r="K6025" s="89">
        <v>588</v>
      </c>
      <c r="L6025" s="7">
        <v>588</v>
      </c>
      <c r="M6025" s="254">
        <f t="shared" si="377"/>
        <v>33.215986394557824</v>
      </c>
    </row>
    <row r="6026" spans="1:19" ht="15.75" hidden="1" customHeight="1" x14ac:dyDescent="0.3">
      <c r="A6026" s="9">
        <v>6582</v>
      </c>
      <c r="B6026" t="s">
        <v>384</v>
      </c>
      <c r="C6026" s="25">
        <v>44739</v>
      </c>
      <c r="D6026" s="26">
        <v>0.53206018518518516</v>
      </c>
      <c r="E6026" t="s">
        <v>29</v>
      </c>
      <c r="F6026" t="s">
        <v>642</v>
      </c>
      <c r="G6026" t="s">
        <v>203</v>
      </c>
      <c r="H6026" t="s">
        <v>192</v>
      </c>
      <c r="I6026">
        <v>194.01</v>
      </c>
      <c r="J6026" s="32">
        <v>0</v>
      </c>
      <c r="K6026" s="89">
        <v>508</v>
      </c>
      <c r="L6026" s="34">
        <v>508</v>
      </c>
      <c r="M6026" s="254">
        <f t="shared" si="377"/>
        <v>38.190944881889763</v>
      </c>
    </row>
    <row r="6027" spans="1:19" ht="15.75" hidden="1" customHeight="1" x14ac:dyDescent="0.3">
      <c r="A6027" s="9">
        <v>6583</v>
      </c>
      <c r="B6027" t="s">
        <v>384</v>
      </c>
      <c r="C6027" s="25">
        <v>44739</v>
      </c>
      <c r="D6027" s="26">
        <v>0.89469907407407412</v>
      </c>
      <c r="E6027" t="s">
        <v>29</v>
      </c>
      <c r="F6027" t="s">
        <v>635</v>
      </c>
      <c r="G6027" t="s">
        <v>185</v>
      </c>
      <c r="H6027" t="s">
        <v>192</v>
      </c>
      <c r="I6027">
        <v>238.04</v>
      </c>
      <c r="J6027" s="32">
        <v>0</v>
      </c>
      <c r="K6027" s="89">
        <v>574</v>
      </c>
      <c r="L6027" s="7">
        <v>574</v>
      </c>
      <c r="M6027" s="254">
        <f t="shared" si="377"/>
        <v>41.470383275261327</v>
      </c>
    </row>
    <row r="6028" spans="1:19" ht="15.75" hidden="1" customHeight="1" x14ac:dyDescent="0.3">
      <c r="A6028" s="9">
        <v>6639</v>
      </c>
      <c r="B6028" t="s">
        <v>384</v>
      </c>
      <c r="C6028" s="25">
        <v>44740</v>
      </c>
      <c r="D6028" s="26">
        <v>0.56013888888888885</v>
      </c>
      <c r="E6028" t="s">
        <v>29</v>
      </c>
      <c r="F6028" t="s">
        <v>632</v>
      </c>
      <c r="G6028" t="s">
        <v>161</v>
      </c>
      <c r="H6028" t="s">
        <v>192</v>
      </c>
      <c r="I6028">
        <v>178.01</v>
      </c>
      <c r="J6028" s="32">
        <v>0</v>
      </c>
      <c r="K6028" s="89">
        <v>590</v>
      </c>
      <c r="L6028" s="7">
        <v>590</v>
      </c>
      <c r="M6028" s="254">
        <f t="shared" si="377"/>
        <v>30.171186440677968</v>
      </c>
    </row>
    <row r="6029" spans="1:19" ht="15.75" hidden="1" customHeight="1" x14ac:dyDescent="0.3">
      <c r="A6029" s="9">
        <v>6640</v>
      </c>
      <c r="B6029" t="s">
        <v>384</v>
      </c>
      <c r="C6029" s="25">
        <v>44740</v>
      </c>
      <c r="D6029" s="26">
        <v>0.81060185185185185</v>
      </c>
      <c r="E6029" t="s">
        <v>29</v>
      </c>
      <c r="F6029" t="s">
        <v>637</v>
      </c>
      <c r="G6029" t="s">
        <v>196</v>
      </c>
      <c r="H6029" t="s">
        <v>192</v>
      </c>
      <c r="I6029">
        <v>130.12</v>
      </c>
      <c r="J6029" s="32">
        <v>0</v>
      </c>
      <c r="K6029" s="89">
        <v>412</v>
      </c>
      <c r="L6029" s="34">
        <v>412</v>
      </c>
      <c r="M6029" s="254">
        <f t="shared" si="377"/>
        <v>31.582524271844658</v>
      </c>
    </row>
    <row r="6030" spans="1:19" ht="15.75" hidden="1" customHeight="1" x14ac:dyDescent="0.3">
      <c r="A6030" s="9">
        <v>6705</v>
      </c>
      <c r="B6030" t="s">
        <v>384</v>
      </c>
      <c r="C6030" s="25">
        <v>44741</v>
      </c>
      <c r="D6030" s="26">
        <v>0.86324074074074064</v>
      </c>
      <c r="E6030" t="s">
        <v>29</v>
      </c>
      <c r="F6030" t="s">
        <v>639</v>
      </c>
      <c r="G6030" t="s">
        <v>44</v>
      </c>
      <c r="H6030" t="s">
        <v>192</v>
      </c>
      <c r="I6030">
        <v>198.72</v>
      </c>
      <c r="J6030" s="32">
        <v>0</v>
      </c>
      <c r="K6030" s="94">
        <v>680</v>
      </c>
      <c r="L6030" s="7">
        <v>680</v>
      </c>
      <c r="M6030" s="254">
        <f t="shared" si="377"/>
        <v>29.223529411764705</v>
      </c>
    </row>
    <row r="6031" spans="1:19" ht="15.75" hidden="1" customHeight="1" x14ac:dyDescent="0.3">
      <c r="A6031" s="9">
        <v>6751</v>
      </c>
      <c r="B6031" t="s">
        <v>384</v>
      </c>
      <c r="C6031" s="25">
        <v>44742</v>
      </c>
      <c r="D6031" s="26">
        <v>0.37959490740740742</v>
      </c>
      <c r="E6031" t="s">
        <v>29</v>
      </c>
      <c r="F6031" t="s">
        <v>530</v>
      </c>
      <c r="G6031" t="s">
        <v>489</v>
      </c>
      <c r="H6031" t="s">
        <v>192</v>
      </c>
      <c r="I6031" s="148">
        <v>239.55</v>
      </c>
      <c r="J6031" s="54"/>
      <c r="K6031" s="56">
        <v>810423</v>
      </c>
      <c r="L6031" s="45">
        <f>+K6031-J6031</f>
        <v>810423</v>
      </c>
      <c r="M6031" s="254">
        <f>I6031/L6031*100</f>
        <v>2.9558637896505903E-2</v>
      </c>
    </row>
    <row r="6032" spans="1:19" ht="15.75" hidden="1" customHeight="1" x14ac:dyDescent="0.3">
      <c r="B6032" t="s">
        <v>716</v>
      </c>
      <c r="C6032" s="25">
        <v>44763</v>
      </c>
      <c r="D6032" s="26">
        <v>0.4064814814814815</v>
      </c>
      <c r="E6032" t="s">
        <v>30</v>
      </c>
      <c r="F6032" t="s">
        <v>165</v>
      </c>
      <c r="G6032" t="s">
        <v>185</v>
      </c>
      <c r="H6032" t="s">
        <v>199</v>
      </c>
      <c r="I6032" s="160">
        <v>183.01</v>
      </c>
      <c r="J6032" s="8"/>
      <c r="K6032" s="8">
        <v>75237</v>
      </c>
      <c r="L6032" s="8">
        <f>+K6032-J6032</f>
        <v>75237</v>
      </c>
      <c r="M6032" s="254">
        <f>I6032/K6032*100</f>
        <v>0.24324468014407805</v>
      </c>
    </row>
    <row r="6033" spans="2:13" ht="15.75" hidden="1" customHeight="1" x14ac:dyDescent="0.3">
      <c r="B6033" t="s">
        <v>716</v>
      </c>
      <c r="C6033" s="25">
        <v>44764</v>
      </c>
      <c r="D6033" s="26">
        <v>0.66420138888888891</v>
      </c>
      <c r="E6033" t="s">
        <v>30</v>
      </c>
      <c r="F6033" t="s">
        <v>293</v>
      </c>
      <c r="G6033" t="s">
        <v>196</v>
      </c>
      <c r="H6033" t="s">
        <v>199</v>
      </c>
      <c r="I6033" s="160">
        <v>200</v>
      </c>
      <c r="J6033" s="8"/>
      <c r="K6033" s="8">
        <v>753443</v>
      </c>
      <c r="L6033" s="8">
        <f>+K6033-J6033</f>
        <v>753443</v>
      </c>
      <c r="M6033" s="254">
        <f>I6033/K6033*100</f>
        <v>2.654480830003066E-2</v>
      </c>
    </row>
    <row r="6034" spans="2:13" ht="15.75" hidden="1" customHeight="1" x14ac:dyDescent="0.3">
      <c r="B6034" t="s">
        <v>716</v>
      </c>
      <c r="C6034" s="25">
        <v>44764</v>
      </c>
      <c r="D6034" s="26">
        <v>0.77456018518518521</v>
      </c>
      <c r="E6034" t="s">
        <v>30</v>
      </c>
      <c r="F6034" t="s">
        <v>169</v>
      </c>
      <c r="G6034" t="s">
        <v>196</v>
      </c>
      <c r="H6034" t="s">
        <v>199</v>
      </c>
      <c r="I6034" s="206">
        <v>173.24</v>
      </c>
      <c r="J6034" s="45"/>
      <c r="K6034" s="45">
        <v>9852</v>
      </c>
      <c r="L6034" s="45">
        <f>+K6034-J6034</f>
        <v>9852</v>
      </c>
      <c r="M6034" s="273">
        <f>I6034/K6034*100</f>
        <v>1.7584246853430776</v>
      </c>
    </row>
    <row r="6035" spans="2:13" ht="15.75" hidden="1" customHeight="1" x14ac:dyDescent="0.3">
      <c r="B6035" t="s">
        <v>716</v>
      </c>
      <c r="C6035" s="25">
        <v>44772</v>
      </c>
      <c r="D6035" s="26">
        <v>0.47090277777777773</v>
      </c>
      <c r="E6035" t="s">
        <v>30</v>
      </c>
      <c r="F6035" t="s">
        <v>175</v>
      </c>
      <c r="G6035" t="s">
        <v>172</v>
      </c>
      <c r="H6035" t="s">
        <v>199</v>
      </c>
      <c r="I6035" s="160">
        <v>193.2</v>
      </c>
      <c r="J6035" s="8"/>
      <c r="K6035" s="8">
        <v>753930</v>
      </c>
      <c r="L6035" s="8">
        <f>+K6035-J6035</f>
        <v>753930</v>
      </c>
      <c r="M6035" s="254">
        <f>I6035/K6035*100</f>
        <v>2.5625721220802991E-2</v>
      </c>
    </row>
    <row r="6036" spans="2:13" ht="15.75" hidden="1" customHeight="1" x14ac:dyDescent="0.3">
      <c r="B6036" t="s">
        <v>716</v>
      </c>
      <c r="C6036" s="25">
        <v>44773</v>
      </c>
      <c r="D6036" s="26">
        <v>0.61719907407407404</v>
      </c>
      <c r="E6036" t="s">
        <v>30</v>
      </c>
      <c r="F6036" t="s">
        <v>210</v>
      </c>
      <c r="G6036" t="s">
        <v>211</v>
      </c>
      <c r="H6036" t="s">
        <v>199</v>
      </c>
      <c r="I6036" s="160">
        <v>333</v>
      </c>
      <c r="J6036" s="160">
        <f>37+67+183+200+173+193+333</f>
        <v>1186</v>
      </c>
      <c r="K6036" s="160">
        <v>754479</v>
      </c>
      <c r="L6036" s="160">
        <v>2875</v>
      </c>
      <c r="M6036" s="272">
        <f>+J6036/L6036*100</f>
        <v>41.252173913043478</v>
      </c>
    </row>
    <row r="6037" spans="2:13" ht="15.75" hidden="1" customHeight="1" x14ac:dyDescent="0.3">
      <c r="B6037" t="s">
        <v>466</v>
      </c>
      <c r="C6037" s="25">
        <v>44743</v>
      </c>
      <c r="D6037" s="26">
        <v>0.71643518518518512</v>
      </c>
      <c r="E6037" t="s">
        <v>30</v>
      </c>
      <c r="F6037" t="s">
        <v>197</v>
      </c>
      <c r="G6037" t="s">
        <v>44</v>
      </c>
      <c r="H6037" t="s">
        <v>15</v>
      </c>
      <c r="I6037" s="160">
        <v>202.16</v>
      </c>
      <c r="J6037" s="8"/>
      <c r="K6037" s="8">
        <v>560560</v>
      </c>
      <c r="L6037" s="24">
        <f>+K6037-J6037</f>
        <v>560560</v>
      </c>
      <c r="M6037" s="91">
        <f>I6037/L6037*100</f>
        <v>3.6063936063936063E-2</v>
      </c>
    </row>
    <row r="6038" spans="2:13" ht="15.75" hidden="1" customHeight="1" x14ac:dyDescent="0.3">
      <c r="B6038" t="s">
        <v>466</v>
      </c>
      <c r="C6038" s="25">
        <v>44745</v>
      </c>
      <c r="D6038" s="26">
        <v>0.19934027777777777</v>
      </c>
      <c r="E6038" t="s">
        <v>30</v>
      </c>
      <c r="F6038" t="s">
        <v>165</v>
      </c>
      <c r="G6038" t="s">
        <v>185</v>
      </c>
      <c r="H6038" t="s">
        <v>15</v>
      </c>
      <c r="I6038" s="160">
        <f>109.47+479.41</f>
        <v>588.88</v>
      </c>
      <c r="J6038" s="8"/>
      <c r="K6038" s="8">
        <v>561717</v>
      </c>
      <c r="L6038" s="8">
        <f>+K6038-J6038</f>
        <v>561717</v>
      </c>
      <c r="M6038" s="132">
        <f>I6038/L6038*100</f>
        <v>0.10483570908482384</v>
      </c>
    </row>
    <row r="6039" spans="2:13" ht="15.75" hidden="1" customHeight="1" x14ac:dyDescent="0.3">
      <c r="B6039" t="s">
        <v>466</v>
      </c>
      <c r="C6039" s="25">
        <v>44746</v>
      </c>
      <c r="D6039" s="26">
        <v>0.55778935185185186</v>
      </c>
      <c r="E6039" t="s">
        <v>30</v>
      </c>
      <c r="F6039" t="s">
        <v>274</v>
      </c>
      <c r="G6039" t="s">
        <v>495</v>
      </c>
      <c r="H6039" t="s">
        <v>15</v>
      </c>
      <c r="I6039" s="160">
        <v>50.05</v>
      </c>
      <c r="J6039" s="8"/>
      <c r="K6039" s="8">
        <v>562823</v>
      </c>
      <c r="L6039" s="8">
        <f>+K6039-J6039</f>
        <v>562823</v>
      </c>
      <c r="M6039" s="91">
        <f>I6039/L6039*100</f>
        <v>8.892671408240245E-3</v>
      </c>
    </row>
    <row r="6040" spans="2:13" ht="15.75" hidden="1" customHeight="1" x14ac:dyDescent="0.3">
      <c r="B6040" t="s">
        <v>466</v>
      </c>
      <c r="C6040" s="25">
        <v>44746</v>
      </c>
      <c r="D6040" s="26">
        <v>0.62462962962962965</v>
      </c>
      <c r="E6040" t="s">
        <v>30</v>
      </c>
      <c r="F6040" t="s">
        <v>446</v>
      </c>
      <c r="G6040" t="s">
        <v>402</v>
      </c>
      <c r="H6040" t="s">
        <v>15</v>
      </c>
      <c r="I6040" s="160">
        <v>347.68</v>
      </c>
      <c r="J6040" s="8"/>
      <c r="K6040" s="8">
        <v>562914</v>
      </c>
      <c r="L6040" s="8">
        <f>+K6040-J6040</f>
        <v>562914</v>
      </c>
      <c r="M6040" s="91">
        <f>I6040/L6040*100</f>
        <v>6.1764319238818012E-2</v>
      </c>
    </row>
    <row r="6041" spans="2:13" ht="15.75" hidden="1" customHeight="1" x14ac:dyDescent="0.3">
      <c r="B6041" t="s">
        <v>466</v>
      </c>
      <c r="C6041" s="25">
        <v>44747</v>
      </c>
      <c r="D6041" s="26">
        <v>0.59078703703703705</v>
      </c>
      <c r="E6041" t="s">
        <v>30</v>
      </c>
      <c r="F6041" t="s">
        <v>197</v>
      </c>
      <c r="G6041" t="s">
        <v>44</v>
      </c>
      <c r="H6041" t="s">
        <v>15</v>
      </c>
      <c r="I6041" s="160">
        <f>113.24+134.77</f>
        <v>248.01</v>
      </c>
      <c r="J6041" s="160">
        <f>324+202+589+50+348+248</f>
        <v>1761</v>
      </c>
      <c r="K6041" s="160">
        <v>563428</v>
      </c>
      <c r="L6041" s="160">
        <v>5189</v>
      </c>
      <c r="M6041" s="237">
        <f>+J6041/L6041*100</f>
        <v>33.937174792830987</v>
      </c>
    </row>
    <row r="6042" spans="2:13" ht="15.75" hidden="1" customHeight="1" x14ac:dyDescent="0.3">
      <c r="B6042" t="s">
        <v>466</v>
      </c>
      <c r="C6042" s="25">
        <v>44749</v>
      </c>
      <c r="D6042" s="26">
        <v>0.33655092592592589</v>
      </c>
      <c r="E6042" t="s">
        <v>30</v>
      </c>
      <c r="F6042" t="s">
        <v>165</v>
      </c>
      <c r="G6042" t="s">
        <v>185</v>
      </c>
      <c r="H6042" t="s">
        <v>15</v>
      </c>
      <c r="I6042" s="173">
        <v>479</v>
      </c>
      <c r="J6042" s="8"/>
      <c r="K6042" s="8"/>
      <c r="L6042" s="24"/>
      <c r="M6042" s="91" t="e">
        <f>I6042/K6042*100</f>
        <v>#DIV/0!</v>
      </c>
    </row>
    <row r="6043" spans="2:13" ht="15.75" hidden="1" customHeight="1" x14ac:dyDescent="0.3">
      <c r="B6043" t="s">
        <v>466</v>
      </c>
      <c r="C6043" s="25">
        <v>44749</v>
      </c>
      <c r="D6043" s="26">
        <v>0.3435185185185185</v>
      </c>
      <c r="E6043" t="s">
        <v>30</v>
      </c>
      <c r="F6043" t="s">
        <v>165</v>
      </c>
      <c r="G6043" t="s">
        <v>185</v>
      </c>
      <c r="H6043" t="s">
        <v>15</v>
      </c>
      <c r="I6043" s="173">
        <v>46.19</v>
      </c>
      <c r="J6043" s="8"/>
      <c r="K6043" s="8"/>
      <c r="L6043" s="8"/>
      <c r="M6043" s="248" t="e">
        <f>I6043/K6043*100</f>
        <v>#DIV/0!</v>
      </c>
    </row>
    <row r="6044" spans="2:13" ht="15.75" hidden="1" customHeight="1" x14ac:dyDescent="0.3">
      <c r="B6044" t="s">
        <v>466</v>
      </c>
      <c r="C6044" s="25">
        <v>44750</v>
      </c>
      <c r="D6044" s="26">
        <v>0.54548611111111112</v>
      </c>
      <c r="E6044" t="s">
        <v>30</v>
      </c>
      <c r="F6044" t="s">
        <v>446</v>
      </c>
      <c r="G6044" t="s">
        <v>402</v>
      </c>
      <c r="H6044" t="s">
        <v>15</v>
      </c>
      <c r="I6044" s="173">
        <v>370.45</v>
      </c>
      <c r="J6044" s="8"/>
      <c r="K6044" s="8"/>
      <c r="L6044" s="24"/>
      <c r="M6044" s="91" t="e">
        <f>I6044/K6044*100</f>
        <v>#DIV/0!</v>
      </c>
    </row>
    <row r="6045" spans="2:13" ht="15.75" hidden="1" customHeight="1" x14ac:dyDescent="0.3">
      <c r="B6045" t="s">
        <v>466</v>
      </c>
      <c r="C6045" s="25">
        <v>44751</v>
      </c>
      <c r="D6045" s="26">
        <v>0.61284722222222221</v>
      </c>
      <c r="E6045" t="s">
        <v>30</v>
      </c>
      <c r="F6045" t="s">
        <v>488</v>
      </c>
      <c r="G6045" t="s">
        <v>489</v>
      </c>
      <c r="H6045" t="s">
        <v>15</v>
      </c>
      <c r="I6045" s="173">
        <v>317.54000000000002</v>
      </c>
      <c r="J6045" s="8"/>
      <c r="K6045" s="8"/>
      <c r="L6045" s="8"/>
      <c r="M6045" s="132" t="e">
        <f>I6045/K6045*100</f>
        <v>#DIV/0!</v>
      </c>
    </row>
    <row r="6046" spans="2:13" ht="15.75" hidden="1" customHeight="1" x14ac:dyDescent="0.3">
      <c r="B6046" t="s">
        <v>466</v>
      </c>
      <c r="C6046" s="25">
        <v>44752</v>
      </c>
      <c r="D6046" s="26">
        <v>0.81005787037037036</v>
      </c>
      <c r="E6046" t="s">
        <v>30</v>
      </c>
      <c r="F6046" t="s">
        <v>165</v>
      </c>
      <c r="G6046" t="s">
        <v>185</v>
      </c>
      <c r="H6046" t="s">
        <v>15</v>
      </c>
      <c r="I6046" s="173">
        <v>398.02</v>
      </c>
      <c r="J6046" s="160">
        <f>46+479+370+317+398</f>
        <v>1610</v>
      </c>
      <c r="K6046" s="160"/>
      <c r="L6046" s="173">
        <v>3991</v>
      </c>
      <c r="M6046" s="149">
        <f>+J6046/L6046*100</f>
        <v>40.340766725131544</v>
      </c>
    </row>
    <row r="6047" spans="2:13" ht="15.75" hidden="1" customHeight="1" x14ac:dyDescent="0.3">
      <c r="B6047" t="s">
        <v>466</v>
      </c>
      <c r="C6047" s="25">
        <v>44753</v>
      </c>
      <c r="D6047" s="26">
        <v>0.78328703703703706</v>
      </c>
      <c r="E6047" t="s">
        <v>30</v>
      </c>
      <c r="F6047" t="s">
        <v>169</v>
      </c>
      <c r="G6047" t="s">
        <v>196</v>
      </c>
      <c r="H6047" t="s">
        <v>15</v>
      </c>
      <c r="I6047" s="173">
        <v>317.54000000000002</v>
      </c>
      <c r="J6047" s="23"/>
      <c r="K6047" s="23"/>
      <c r="L6047" s="23"/>
      <c r="M6047" s="139"/>
    </row>
    <row r="6048" spans="2:13" ht="15.75" hidden="1" customHeight="1" x14ac:dyDescent="0.3">
      <c r="B6048" t="s">
        <v>466</v>
      </c>
      <c r="C6048" s="25">
        <v>44754</v>
      </c>
      <c r="D6048" s="26">
        <v>0.55815972222222221</v>
      </c>
      <c r="E6048" t="s">
        <v>30</v>
      </c>
      <c r="F6048" t="s">
        <v>878</v>
      </c>
      <c r="G6048" t="s">
        <v>392</v>
      </c>
      <c r="H6048" t="s">
        <v>15</v>
      </c>
      <c r="I6048" s="173">
        <v>190.34</v>
      </c>
      <c r="J6048" s="23"/>
      <c r="K6048" s="23"/>
      <c r="L6048" s="291"/>
      <c r="M6048" s="91"/>
    </row>
    <row r="6049" spans="1:13" ht="15.75" hidden="1" customHeight="1" x14ac:dyDescent="0.3">
      <c r="B6049" t="s">
        <v>304</v>
      </c>
      <c r="C6049" s="25">
        <v>44564</v>
      </c>
      <c r="D6049" s="26">
        <v>0.67340277777777768</v>
      </c>
      <c r="E6049" t="s">
        <v>24</v>
      </c>
      <c r="F6049" t="s">
        <v>175</v>
      </c>
      <c r="G6049" t="s">
        <v>172</v>
      </c>
      <c r="H6049" t="s">
        <v>305</v>
      </c>
      <c r="I6049">
        <v>118.56</v>
      </c>
      <c r="J6049" s="34">
        <v>553595</v>
      </c>
      <c r="K6049" s="34">
        <f t="shared" ref="K6049:K6093" si="378">+L6049-J6049</f>
        <v>383</v>
      </c>
      <c r="L6049" s="35">
        <v>553978</v>
      </c>
      <c r="M6049" s="61">
        <f t="shared" ref="M6049:M6072" si="379">I6049/K6049*100</f>
        <v>30.955613577023499</v>
      </c>
    </row>
    <row r="6050" spans="1:13" ht="15.75" hidden="1" customHeight="1" x14ac:dyDescent="0.3">
      <c r="B6050" t="s">
        <v>304</v>
      </c>
      <c r="C6050" s="25">
        <v>44566</v>
      </c>
      <c r="D6050" s="26">
        <v>0.27289351851851851</v>
      </c>
      <c r="E6050" t="s">
        <v>24</v>
      </c>
      <c r="F6050" t="s">
        <v>210</v>
      </c>
      <c r="G6050" t="s">
        <v>211</v>
      </c>
      <c r="H6050" t="s">
        <v>305</v>
      </c>
      <c r="I6050">
        <v>365.88</v>
      </c>
      <c r="J6050" s="39">
        <v>553978</v>
      </c>
      <c r="K6050" s="11">
        <f t="shared" si="378"/>
        <v>848</v>
      </c>
      <c r="L6050" s="7">
        <v>554826</v>
      </c>
      <c r="M6050" s="10">
        <f t="shared" si="379"/>
        <v>43.14622641509434</v>
      </c>
    </row>
    <row r="6051" spans="1:13" ht="15.75" hidden="1" customHeight="1" x14ac:dyDescent="0.3">
      <c r="B6051" t="s">
        <v>304</v>
      </c>
      <c r="C6051" s="25">
        <v>44568</v>
      </c>
      <c r="D6051" s="26">
        <v>0.53059027777777779</v>
      </c>
      <c r="E6051" t="s">
        <v>24</v>
      </c>
      <c r="F6051" t="s">
        <v>210</v>
      </c>
      <c r="G6051" t="s">
        <v>211</v>
      </c>
      <c r="H6051" t="s">
        <v>305</v>
      </c>
      <c r="I6051">
        <v>431.39</v>
      </c>
      <c r="J6051" s="76">
        <v>554826</v>
      </c>
      <c r="K6051" s="11">
        <f t="shared" si="378"/>
        <v>1139</v>
      </c>
      <c r="L6051" s="7">
        <v>555965</v>
      </c>
      <c r="M6051" s="10">
        <f t="shared" si="379"/>
        <v>37.874451273046532</v>
      </c>
    </row>
    <row r="6052" spans="1:13" ht="15.75" hidden="1" customHeight="1" x14ac:dyDescent="0.3">
      <c r="B6052" t="s">
        <v>304</v>
      </c>
      <c r="C6052" s="25">
        <v>44571</v>
      </c>
      <c r="D6052" s="26">
        <v>0.28069444444444441</v>
      </c>
      <c r="E6052" t="s">
        <v>24</v>
      </c>
      <c r="F6052" t="s">
        <v>175</v>
      </c>
      <c r="G6052" t="s">
        <v>172</v>
      </c>
      <c r="H6052" t="s">
        <v>305</v>
      </c>
      <c r="I6052">
        <v>328.38</v>
      </c>
      <c r="J6052" s="11">
        <v>555965</v>
      </c>
      <c r="K6052" s="11">
        <f t="shared" si="378"/>
        <v>944</v>
      </c>
      <c r="L6052" s="7">
        <v>556909</v>
      </c>
      <c r="M6052" s="10">
        <f t="shared" si="379"/>
        <v>34.78601694915254</v>
      </c>
    </row>
    <row r="6053" spans="1:13" ht="15.75" hidden="1" customHeight="1" x14ac:dyDescent="0.3">
      <c r="B6053" t="s">
        <v>304</v>
      </c>
      <c r="C6053" s="25">
        <v>44574</v>
      </c>
      <c r="D6053" s="26">
        <v>0.6678587962962963</v>
      </c>
      <c r="E6053" t="s">
        <v>24</v>
      </c>
      <c r="F6053" t="s">
        <v>205</v>
      </c>
      <c r="G6053" t="s">
        <v>206</v>
      </c>
      <c r="H6053" t="s">
        <v>305</v>
      </c>
      <c r="I6053">
        <v>407.89</v>
      </c>
      <c r="J6053" s="7">
        <v>556909</v>
      </c>
      <c r="K6053" s="11">
        <f t="shared" si="378"/>
        <v>1049</v>
      </c>
      <c r="L6053" s="7">
        <v>557958</v>
      </c>
      <c r="M6053" s="10">
        <f t="shared" si="379"/>
        <v>38.883698760724499</v>
      </c>
    </row>
    <row r="6054" spans="1:13" ht="15.75" hidden="1" customHeight="1" x14ac:dyDescent="0.3">
      <c r="B6054" t="s">
        <v>304</v>
      </c>
      <c r="C6054" s="25">
        <v>44575</v>
      </c>
      <c r="D6054" s="26">
        <v>0.40135416666666668</v>
      </c>
      <c r="E6054" t="s">
        <v>24</v>
      </c>
      <c r="F6054" t="s">
        <v>210</v>
      </c>
      <c r="G6054" t="s">
        <v>211</v>
      </c>
      <c r="H6054" t="s">
        <v>305</v>
      </c>
      <c r="I6054">
        <v>301.8</v>
      </c>
      <c r="J6054" s="7">
        <v>557958</v>
      </c>
      <c r="K6054" s="11">
        <f t="shared" si="378"/>
        <v>730</v>
      </c>
      <c r="L6054" s="7">
        <v>558688</v>
      </c>
      <c r="M6054" s="10">
        <f t="shared" si="379"/>
        <v>41.342465753424655</v>
      </c>
    </row>
    <row r="6055" spans="1:13" ht="15.75" hidden="1" customHeight="1" x14ac:dyDescent="0.3">
      <c r="B6055" t="s">
        <v>304</v>
      </c>
      <c r="C6055" s="25">
        <v>44576</v>
      </c>
      <c r="D6055" s="26">
        <v>0.4486342592592592</v>
      </c>
      <c r="E6055" t="s">
        <v>24</v>
      </c>
      <c r="F6055" t="s">
        <v>210</v>
      </c>
      <c r="G6055" t="s">
        <v>211</v>
      </c>
      <c r="H6055" t="s">
        <v>305</v>
      </c>
      <c r="I6055">
        <v>396.16</v>
      </c>
      <c r="J6055" s="7">
        <v>558688</v>
      </c>
      <c r="K6055" s="11">
        <f t="shared" si="378"/>
        <v>1085</v>
      </c>
      <c r="L6055" s="7">
        <v>559773</v>
      </c>
      <c r="M6055" s="10">
        <f t="shared" si="379"/>
        <v>36.512442396313368</v>
      </c>
    </row>
    <row r="6056" spans="1:13" ht="15.75" hidden="1" customHeight="1" x14ac:dyDescent="0.3">
      <c r="B6056" t="s">
        <v>304</v>
      </c>
      <c r="C6056" s="25">
        <v>44581</v>
      </c>
      <c r="D6056" s="26">
        <v>0.38608796296296299</v>
      </c>
      <c r="E6056" t="s">
        <v>24</v>
      </c>
      <c r="F6056" t="s">
        <v>175</v>
      </c>
      <c r="G6056" t="s">
        <v>172</v>
      </c>
      <c r="H6056" t="s">
        <v>305</v>
      </c>
      <c r="I6056">
        <v>368.42</v>
      </c>
      <c r="J6056" s="11">
        <v>559773</v>
      </c>
      <c r="K6056" s="11">
        <f t="shared" si="378"/>
        <v>971</v>
      </c>
      <c r="L6056" s="30">
        <v>560744</v>
      </c>
      <c r="M6056" s="10">
        <f t="shared" si="379"/>
        <v>37.942327497425339</v>
      </c>
    </row>
    <row r="6057" spans="1:13" ht="15.75" hidden="1" customHeight="1" x14ac:dyDescent="0.3">
      <c r="A6057" s="9">
        <v>388</v>
      </c>
      <c r="B6057" t="s">
        <v>304</v>
      </c>
      <c r="C6057" s="25">
        <v>44598</v>
      </c>
      <c r="D6057" s="26">
        <v>0.23407407407407407</v>
      </c>
      <c r="E6057" t="s">
        <v>25</v>
      </c>
      <c r="F6057" t="s">
        <v>166</v>
      </c>
      <c r="G6057" t="s">
        <v>161</v>
      </c>
      <c r="H6057" t="s">
        <v>305</v>
      </c>
      <c r="I6057">
        <v>370.72</v>
      </c>
      <c r="J6057" s="7">
        <v>0</v>
      </c>
      <c r="K6057" s="11">
        <f t="shared" si="378"/>
        <v>776.14</v>
      </c>
      <c r="L6057" s="11">
        <v>776.14</v>
      </c>
      <c r="M6057" s="10">
        <f t="shared" si="379"/>
        <v>47.764578555415262</v>
      </c>
    </row>
    <row r="6058" spans="1:13" ht="15.75" hidden="1" customHeight="1" x14ac:dyDescent="0.3">
      <c r="A6058" s="9">
        <v>389</v>
      </c>
      <c r="B6058" t="s">
        <v>304</v>
      </c>
      <c r="C6058" s="25">
        <v>44599</v>
      </c>
      <c r="D6058" s="26">
        <v>0.11251157407407408</v>
      </c>
      <c r="E6058" t="s">
        <v>25</v>
      </c>
      <c r="F6058" t="s">
        <v>202</v>
      </c>
      <c r="G6058" t="s">
        <v>203</v>
      </c>
      <c r="H6058" t="s">
        <v>305</v>
      </c>
      <c r="I6058">
        <v>437.49</v>
      </c>
      <c r="J6058" s="7">
        <v>0</v>
      </c>
      <c r="K6058" s="11">
        <f t="shared" si="378"/>
        <v>1169.57</v>
      </c>
      <c r="L6058" s="7">
        <v>1169.57</v>
      </c>
      <c r="M6058" s="10">
        <f t="shared" si="379"/>
        <v>37.406055216874577</v>
      </c>
    </row>
    <row r="6059" spans="1:13" ht="15.75" hidden="1" customHeight="1" x14ac:dyDescent="0.3">
      <c r="A6059" s="9">
        <v>390</v>
      </c>
      <c r="B6059" t="s">
        <v>304</v>
      </c>
      <c r="C6059" s="25">
        <v>44599</v>
      </c>
      <c r="D6059" s="26">
        <v>0.69244212962962959</v>
      </c>
      <c r="E6059" t="s">
        <v>25</v>
      </c>
      <c r="F6059" t="s">
        <v>202</v>
      </c>
      <c r="G6059" t="s">
        <v>203</v>
      </c>
      <c r="H6059" t="s">
        <v>305</v>
      </c>
      <c r="I6059">
        <v>176.28</v>
      </c>
      <c r="J6059" s="7">
        <v>0</v>
      </c>
      <c r="K6059" s="11">
        <f t="shared" si="378"/>
        <v>512.17999999999995</v>
      </c>
      <c r="L6059" s="7">
        <v>512.17999999999995</v>
      </c>
      <c r="M6059" s="10">
        <f t="shared" si="379"/>
        <v>34.417587566871028</v>
      </c>
    </row>
    <row r="6060" spans="1:13" ht="15.75" hidden="1" customHeight="1" x14ac:dyDescent="0.3">
      <c r="A6060" s="9">
        <v>391</v>
      </c>
      <c r="B6060" t="s">
        <v>304</v>
      </c>
      <c r="C6060" s="25">
        <v>44600</v>
      </c>
      <c r="D6060" s="26">
        <v>0.63027777777777783</v>
      </c>
      <c r="E6060" t="s">
        <v>25</v>
      </c>
      <c r="F6060" t="s">
        <v>210</v>
      </c>
      <c r="G6060" t="s">
        <v>211</v>
      </c>
      <c r="H6060" t="s">
        <v>305</v>
      </c>
      <c r="I6060">
        <v>389.29</v>
      </c>
      <c r="J6060" s="7">
        <v>0</v>
      </c>
      <c r="K6060" s="11">
        <f t="shared" si="378"/>
        <v>1088.17</v>
      </c>
      <c r="L6060" s="7">
        <v>1088.17</v>
      </c>
      <c r="M6060" s="10">
        <f t="shared" si="379"/>
        <v>35.774741079059339</v>
      </c>
    </row>
    <row r="6061" spans="1:13" ht="15.75" hidden="1" customHeight="1" x14ac:dyDescent="0.3">
      <c r="A6061" s="9">
        <v>392</v>
      </c>
      <c r="B6061" t="s">
        <v>304</v>
      </c>
      <c r="C6061" s="25">
        <v>44602</v>
      </c>
      <c r="D6061" s="26">
        <v>0.49758101851851855</v>
      </c>
      <c r="E6061" t="s">
        <v>25</v>
      </c>
      <c r="F6061" t="s">
        <v>175</v>
      </c>
      <c r="G6061" t="s">
        <v>172</v>
      </c>
      <c r="H6061" t="s">
        <v>305</v>
      </c>
      <c r="I6061">
        <v>379.19</v>
      </c>
      <c r="J6061" s="7">
        <v>0</v>
      </c>
      <c r="K6061" s="73">
        <f t="shared" si="378"/>
        <v>1005.13</v>
      </c>
      <c r="L6061" s="35">
        <v>1005.13</v>
      </c>
      <c r="M6061" s="10">
        <f t="shared" si="379"/>
        <v>37.725468347377948</v>
      </c>
    </row>
    <row r="6062" spans="1:13" ht="15.75" hidden="1" customHeight="1" x14ac:dyDescent="0.3">
      <c r="A6062" s="9">
        <v>393</v>
      </c>
      <c r="B6062" t="s">
        <v>304</v>
      </c>
      <c r="C6062" s="25">
        <v>44603</v>
      </c>
      <c r="D6062" s="26">
        <v>4.1562500000000002E-2</v>
      </c>
      <c r="E6062" t="s">
        <v>25</v>
      </c>
      <c r="F6062" t="s">
        <v>210</v>
      </c>
      <c r="G6062" t="s">
        <v>211</v>
      </c>
      <c r="H6062" t="s">
        <v>305</v>
      </c>
      <c r="I6062">
        <v>355.1</v>
      </c>
      <c r="J6062" s="7">
        <v>0</v>
      </c>
      <c r="K6062" s="73">
        <f t="shared" si="378"/>
        <v>829.67</v>
      </c>
      <c r="L6062" s="7">
        <v>829.67</v>
      </c>
      <c r="M6062" s="10">
        <f t="shared" si="379"/>
        <v>42.800149457013035</v>
      </c>
    </row>
    <row r="6063" spans="1:13" ht="15.75" hidden="1" customHeight="1" x14ac:dyDescent="0.3">
      <c r="A6063" s="9">
        <v>394</v>
      </c>
      <c r="B6063" t="s">
        <v>304</v>
      </c>
      <c r="C6063" s="25">
        <v>44604</v>
      </c>
      <c r="D6063" s="26">
        <v>0.26164351851851853</v>
      </c>
      <c r="E6063" t="s">
        <v>25</v>
      </c>
      <c r="F6063" t="s">
        <v>202</v>
      </c>
      <c r="G6063" t="s">
        <v>203</v>
      </c>
      <c r="H6063" t="s">
        <v>305</v>
      </c>
      <c r="I6063">
        <v>404.15</v>
      </c>
      <c r="J6063" s="7">
        <v>0</v>
      </c>
      <c r="K6063" s="11">
        <f t="shared" si="378"/>
        <v>1087.22</v>
      </c>
      <c r="L6063" s="29">
        <v>1087.22</v>
      </c>
      <c r="M6063" s="10">
        <f t="shared" si="379"/>
        <v>37.172789315869828</v>
      </c>
    </row>
    <row r="6064" spans="1:13" ht="15.75" hidden="1" customHeight="1" x14ac:dyDescent="0.3">
      <c r="A6064" s="9">
        <v>395</v>
      </c>
      <c r="B6064" t="s">
        <v>304</v>
      </c>
      <c r="C6064" s="25">
        <v>44604</v>
      </c>
      <c r="D6064" s="26">
        <v>0.60325231481481478</v>
      </c>
      <c r="E6064" t="s">
        <v>25</v>
      </c>
      <c r="F6064" t="s">
        <v>202</v>
      </c>
      <c r="G6064" t="s">
        <v>203</v>
      </c>
      <c r="H6064" t="s">
        <v>305</v>
      </c>
      <c r="I6064">
        <v>179.18</v>
      </c>
      <c r="J6064" s="7">
        <v>0</v>
      </c>
      <c r="K6064" s="11">
        <f t="shared" si="378"/>
        <v>510.39</v>
      </c>
      <c r="L6064" s="7">
        <v>510.39</v>
      </c>
      <c r="M6064" s="10">
        <f t="shared" si="379"/>
        <v>35.106487196065757</v>
      </c>
    </row>
    <row r="6065" spans="1:13" ht="15.75" hidden="1" customHeight="1" x14ac:dyDescent="0.3">
      <c r="A6065" s="9">
        <v>396</v>
      </c>
      <c r="B6065" t="s">
        <v>304</v>
      </c>
      <c r="C6065" s="25">
        <v>44605</v>
      </c>
      <c r="D6065" s="26">
        <v>0.92134259259259255</v>
      </c>
      <c r="E6065" t="s">
        <v>25</v>
      </c>
      <c r="F6065" t="s">
        <v>210</v>
      </c>
      <c r="G6065" t="s">
        <v>211</v>
      </c>
      <c r="H6065" t="s">
        <v>305</v>
      </c>
      <c r="I6065">
        <v>380.8</v>
      </c>
      <c r="J6065" s="7">
        <v>0</v>
      </c>
      <c r="K6065" s="11">
        <f t="shared" si="378"/>
        <v>1088.5</v>
      </c>
      <c r="L6065" s="7">
        <v>1088.5</v>
      </c>
      <c r="M6065" s="10">
        <f t="shared" si="379"/>
        <v>34.983922829581992</v>
      </c>
    </row>
    <row r="6066" spans="1:13" ht="15.75" hidden="1" customHeight="1" x14ac:dyDescent="0.3">
      <c r="A6066" s="9">
        <v>397</v>
      </c>
      <c r="B6066" t="s">
        <v>304</v>
      </c>
      <c r="C6066" s="25">
        <v>44607</v>
      </c>
      <c r="D6066" s="26">
        <v>0.42932870370370368</v>
      </c>
      <c r="E6066" t="s">
        <v>25</v>
      </c>
      <c r="F6066" t="s">
        <v>175</v>
      </c>
      <c r="G6066" t="s">
        <v>172</v>
      </c>
      <c r="H6066" t="s">
        <v>305</v>
      </c>
      <c r="I6066">
        <v>339.15</v>
      </c>
      <c r="J6066" s="7">
        <v>0</v>
      </c>
      <c r="K6066" s="11">
        <f t="shared" si="378"/>
        <v>968.74</v>
      </c>
      <c r="L6066" s="67">
        <v>968.74</v>
      </c>
      <c r="M6066" s="10">
        <f t="shared" si="379"/>
        <v>35.009393645353754</v>
      </c>
    </row>
    <row r="6067" spans="1:13" ht="15.75" hidden="1" customHeight="1" x14ac:dyDescent="0.3">
      <c r="A6067" s="9">
        <v>398</v>
      </c>
      <c r="B6067" t="s">
        <v>304</v>
      </c>
      <c r="C6067" s="25">
        <v>44608</v>
      </c>
      <c r="D6067" s="26">
        <v>0.53442129629629631</v>
      </c>
      <c r="E6067" t="s">
        <v>25</v>
      </c>
      <c r="F6067" t="s">
        <v>166</v>
      </c>
      <c r="G6067" t="s">
        <v>161</v>
      </c>
      <c r="H6067" t="s">
        <v>305</v>
      </c>
      <c r="I6067">
        <v>320.13</v>
      </c>
      <c r="J6067" s="11">
        <v>0</v>
      </c>
      <c r="K6067" s="11">
        <f t="shared" si="378"/>
        <v>754.74</v>
      </c>
      <c r="L6067" s="32">
        <v>754.74</v>
      </c>
      <c r="M6067" s="10">
        <f t="shared" si="379"/>
        <v>42.415931314094919</v>
      </c>
    </row>
    <row r="6068" spans="1:13" ht="15.75" hidden="1" customHeight="1" x14ac:dyDescent="0.3">
      <c r="A6068" s="9">
        <v>399</v>
      </c>
      <c r="B6068" t="s">
        <v>304</v>
      </c>
      <c r="C6068" s="25">
        <v>44609</v>
      </c>
      <c r="D6068" s="26">
        <v>0.2711689814814815</v>
      </c>
      <c r="E6068" t="s">
        <v>25</v>
      </c>
      <c r="F6068" t="s">
        <v>278</v>
      </c>
      <c r="G6068" t="s">
        <v>279</v>
      </c>
      <c r="H6068" t="s">
        <v>305</v>
      </c>
      <c r="I6068">
        <v>330.02</v>
      </c>
      <c r="J6068" s="7">
        <v>0</v>
      </c>
      <c r="K6068" s="11">
        <f t="shared" si="378"/>
        <v>795.53</v>
      </c>
      <c r="L6068" s="7">
        <v>795.53</v>
      </c>
      <c r="M6068" s="10">
        <f t="shared" si="379"/>
        <v>41.484293489874673</v>
      </c>
    </row>
    <row r="6069" spans="1:13" ht="15.75" hidden="1" customHeight="1" x14ac:dyDescent="0.3">
      <c r="A6069" s="9">
        <v>400</v>
      </c>
      <c r="B6069" t="s">
        <v>304</v>
      </c>
      <c r="C6069" s="25">
        <v>44610</v>
      </c>
      <c r="D6069" s="26">
        <v>0.40865740740740741</v>
      </c>
      <c r="E6069" t="s">
        <v>25</v>
      </c>
      <c r="F6069" t="s">
        <v>262</v>
      </c>
      <c r="G6069" t="s">
        <v>263</v>
      </c>
      <c r="H6069" t="s">
        <v>305</v>
      </c>
      <c r="I6069">
        <v>418.64</v>
      </c>
      <c r="J6069" s="7">
        <v>0</v>
      </c>
      <c r="K6069" s="11">
        <f t="shared" si="378"/>
        <v>1187.19</v>
      </c>
      <c r="L6069" s="7">
        <v>1187.19</v>
      </c>
      <c r="M6069" s="10">
        <f t="shared" si="379"/>
        <v>35.263100261963118</v>
      </c>
    </row>
    <row r="6070" spans="1:13" ht="15.75" hidden="1" customHeight="1" x14ac:dyDescent="0.3">
      <c r="A6070" s="9">
        <v>401</v>
      </c>
      <c r="B6070" t="s">
        <v>304</v>
      </c>
      <c r="C6070" s="25">
        <v>44611</v>
      </c>
      <c r="D6070" s="26">
        <v>0.59206018518518522</v>
      </c>
      <c r="E6070" t="s">
        <v>25</v>
      </c>
      <c r="F6070" t="s">
        <v>210</v>
      </c>
      <c r="G6070" t="s">
        <v>211</v>
      </c>
      <c r="H6070" t="s">
        <v>305</v>
      </c>
      <c r="I6070">
        <v>399.63</v>
      </c>
      <c r="J6070" s="7">
        <v>0</v>
      </c>
      <c r="K6070" s="11">
        <f t="shared" si="378"/>
        <v>1187.19</v>
      </c>
      <c r="L6070" s="34">
        <v>1187.19</v>
      </c>
      <c r="M6070" s="10">
        <f t="shared" si="379"/>
        <v>33.66184014353221</v>
      </c>
    </row>
    <row r="6071" spans="1:13" ht="15.75" hidden="1" customHeight="1" x14ac:dyDescent="0.3">
      <c r="A6071" s="9">
        <v>402</v>
      </c>
      <c r="B6071" t="s">
        <v>304</v>
      </c>
      <c r="C6071" s="25">
        <v>44613</v>
      </c>
      <c r="D6071" s="26">
        <v>0.40728009259259257</v>
      </c>
      <c r="E6071" t="s">
        <v>25</v>
      </c>
      <c r="F6071" t="s">
        <v>202</v>
      </c>
      <c r="G6071" t="s">
        <v>203</v>
      </c>
      <c r="H6071" t="s">
        <v>305</v>
      </c>
      <c r="I6071">
        <v>424.99</v>
      </c>
      <c r="J6071" s="7">
        <v>0</v>
      </c>
      <c r="K6071" s="73">
        <f t="shared" si="378"/>
        <v>1089.67</v>
      </c>
      <c r="L6071" s="7">
        <v>1089.67</v>
      </c>
      <c r="M6071" s="10">
        <f t="shared" si="379"/>
        <v>39.0017161158883</v>
      </c>
    </row>
    <row r="6072" spans="1:13" ht="15.75" hidden="1" customHeight="1" x14ac:dyDescent="0.3">
      <c r="A6072" s="9">
        <v>403</v>
      </c>
      <c r="B6072" t="s">
        <v>304</v>
      </c>
      <c r="C6072" s="25">
        <v>44613</v>
      </c>
      <c r="D6072" s="26">
        <v>0.87127314814814805</v>
      </c>
      <c r="E6072" t="s">
        <v>25</v>
      </c>
      <c r="F6072" t="s">
        <v>202</v>
      </c>
      <c r="G6072" t="s">
        <v>203</v>
      </c>
      <c r="H6072" t="s">
        <v>305</v>
      </c>
      <c r="I6072">
        <v>173.87</v>
      </c>
      <c r="J6072" s="7">
        <v>0</v>
      </c>
      <c r="K6072" s="11">
        <f t="shared" si="378"/>
        <v>509.61</v>
      </c>
      <c r="L6072" s="7">
        <v>509.61</v>
      </c>
      <c r="M6072" s="10">
        <f t="shared" si="379"/>
        <v>34.118247287141145</v>
      </c>
    </row>
    <row r="6073" spans="1:13" ht="15.75" hidden="1" customHeight="1" x14ac:dyDescent="0.3">
      <c r="A6073" s="9">
        <v>404</v>
      </c>
      <c r="B6073" t="s">
        <v>304</v>
      </c>
      <c r="C6073" s="25">
        <v>44615</v>
      </c>
      <c r="D6073" s="26">
        <v>0.3825810185185185</v>
      </c>
      <c r="E6073" t="s">
        <v>25</v>
      </c>
      <c r="F6073" t="s">
        <v>165</v>
      </c>
      <c r="G6073" t="s">
        <v>185</v>
      </c>
      <c r="H6073" t="s">
        <v>305</v>
      </c>
      <c r="I6073">
        <v>259.77</v>
      </c>
      <c r="J6073" s="7">
        <v>0</v>
      </c>
      <c r="K6073" s="11">
        <f t="shared" si="378"/>
        <v>575.59</v>
      </c>
      <c r="L6073" s="30">
        <v>575.59</v>
      </c>
      <c r="M6073" s="10"/>
    </row>
    <row r="6074" spans="1:13" ht="15.75" hidden="1" customHeight="1" x14ac:dyDescent="0.3">
      <c r="A6074" s="9">
        <v>405</v>
      </c>
      <c r="B6074" t="s">
        <v>304</v>
      </c>
      <c r="C6074" s="25">
        <v>44615</v>
      </c>
      <c r="D6074" s="26">
        <v>0.82100694444444444</v>
      </c>
      <c r="E6074" t="s">
        <v>25</v>
      </c>
      <c r="F6074" t="s">
        <v>210</v>
      </c>
      <c r="G6074" t="s">
        <v>211</v>
      </c>
      <c r="H6074" t="s">
        <v>305</v>
      </c>
      <c r="I6074">
        <v>176.03</v>
      </c>
      <c r="J6074" s="7">
        <v>0</v>
      </c>
      <c r="K6074" s="11">
        <f t="shared" si="378"/>
        <v>514.28</v>
      </c>
      <c r="L6074" s="7">
        <v>514.28</v>
      </c>
      <c r="M6074" s="10">
        <f t="shared" ref="M6074:M6093" si="380">I6074/K6074*100</f>
        <v>34.228435871509689</v>
      </c>
    </row>
    <row r="6075" spans="1:13" ht="15.75" hidden="1" customHeight="1" x14ac:dyDescent="0.3">
      <c r="A6075" s="9">
        <v>406</v>
      </c>
      <c r="B6075" t="s">
        <v>304</v>
      </c>
      <c r="C6075" s="25">
        <v>44617</v>
      </c>
      <c r="D6075" s="26">
        <v>0.85111111111111104</v>
      </c>
      <c r="E6075" t="s">
        <v>25</v>
      </c>
      <c r="F6075" t="s">
        <v>262</v>
      </c>
      <c r="G6075" t="s">
        <v>263</v>
      </c>
      <c r="H6075" t="s">
        <v>305</v>
      </c>
      <c r="I6075">
        <v>327.58</v>
      </c>
      <c r="J6075" s="7">
        <v>0</v>
      </c>
      <c r="K6075" s="11">
        <f t="shared" si="378"/>
        <v>843.56</v>
      </c>
      <c r="L6075" s="7">
        <v>843.56</v>
      </c>
      <c r="M6075" s="10">
        <f t="shared" si="380"/>
        <v>38.83304092180758</v>
      </c>
    </row>
    <row r="6076" spans="1:13" ht="15.75" hidden="1" customHeight="1" x14ac:dyDescent="0.3">
      <c r="A6076" s="9">
        <v>407</v>
      </c>
      <c r="B6076" t="s">
        <v>304</v>
      </c>
      <c r="C6076" s="25">
        <v>44618</v>
      </c>
      <c r="D6076" s="26">
        <v>0.36956018518518513</v>
      </c>
      <c r="E6076" t="s">
        <v>25</v>
      </c>
      <c r="F6076" t="s">
        <v>391</v>
      </c>
      <c r="G6076" t="s">
        <v>392</v>
      </c>
      <c r="H6076" t="s">
        <v>305</v>
      </c>
      <c r="I6076">
        <v>41.94</v>
      </c>
      <c r="J6076" s="7">
        <v>0</v>
      </c>
      <c r="K6076" s="11">
        <f t="shared" si="378"/>
        <v>101.31</v>
      </c>
      <c r="L6076" s="34">
        <v>101.31</v>
      </c>
      <c r="M6076" s="10">
        <f t="shared" si="380"/>
        <v>41.397690257625108</v>
      </c>
    </row>
    <row r="6077" spans="1:13" ht="15.75" hidden="1" customHeight="1" x14ac:dyDescent="0.3">
      <c r="A6077" s="9">
        <v>460</v>
      </c>
      <c r="B6077" t="s">
        <v>304</v>
      </c>
      <c r="C6077" s="25">
        <v>44593</v>
      </c>
      <c r="D6077" s="26">
        <v>0.4128472222222222</v>
      </c>
      <c r="E6077" t="s">
        <v>25</v>
      </c>
      <c r="F6077" t="s">
        <v>210</v>
      </c>
      <c r="G6077" t="s">
        <v>211</v>
      </c>
      <c r="H6077" t="s">
        <v>308</v>
      </c>
      <c r="I6077">
        <v>368.12</v>
      </c>
      <c r="J6077" s="7">
        <v>0</v>
      </c>
      <c r="K6077" s="11">
        <f t="shared" si="378"/>
        <v>941.48</v>
      </c>
      <c r="L6077" s="7">
        <v>941.48</v>
      </c>
      <c r="M6077" s="10">
        <f t="shared" si="380"/>
        <v>39.100140204783955</v>
      </c>
    </row>
    <row r="6078" spans="1:13" ht="15.75" hidden="1" customHeight="1" x14ac:dyDescent="0.3">
      <c r="A6078" s="9">
        <v>461</v>
      </c>
      <c r="B6078" t="s">
        <v>304</v>
      </c>
      <c r="C6078" s="25">
        <v>44594</v>
      </c>
      <c r="D6078" s="26">
        <v>0.43900462962962966</v>
      </c>
      <c r="E6078" t="s">
        <v>25</v>
      </c>
      <c r="F6078" t="s">
        <v>210</v>
      </c>
      <c r="G6078" t="s">
        <v>211</v>
      </c>
      <c r="H6078" t="s">
        <v>308</v>
      </c>
      <c r="I6078">
        <v>380.21</v>
      </c>
      <c r="J6078" s="7">
        <v>0</v>
      </c>
      <c r="K6078" s="7">
        <f t="shared" si="378"/>
        <v>1063.78</v>
      </c>
      <c r="L6078" s="34">
        <v>1063.78</v>
      </c>
      <c r="M6078" s="10">
        <f t="shared" si="380"/>
        <v>35.741412698114274</v>
      </c>
    </row>
    <row r="6079" spans="1:13" ht="15.75" hidden="1" customHeight="1" x14ac:dyDescent="0.3">
      <c r="A6079" s="9">
        <v>462</v>
      </c>
      <c r="B6079" t="s">
        <v>304</v>
      </c>
      <c r="C6079" s="25">
        <v>44596</v>
      </c>
      <c r="D6079" s="26">
        <v>0.39968749999999997</v>
      </c>
      <c r="E6079" t="s">
        <v>25</v>
      </c>
      <c r="F6079" t="s">
        <v>171</v>
      </c>
      <c r="G6079" t="s">
        <v>172</v>
      </c>
      <c r="H6079" t="s">
        <v>308</v>
      </c>
      <c r="I6079">
        <v>396.89</v>
      </c>
      <c r="J6079" s="7">
        <v>0</v>
      </c>
      <c r="K6079" s="7">
        <f t="shared" si="378"/>
        <v>1069.3599999999999</v>
      </c>
      <c r="L6079" s="7">
        <v>1069.3599999999999</v>
      </c>
      <c r="M6079" s="10">
        <f t="shared" si="380"/>
        <v>37.114722824867215</v>
      </c>
    </row>
    <row r="6080" spans="1:13" ht="15.75" hidden="1" customHeight="1" x14ac:dyDescent="0.3">
      <c r="A6080" s="9">
        <v>463</v>
      </c>
      <c r="B6080" t="s">
        <v>304</v>
      </c>
      <c r="C6080" s="25">
        <v>44596</v>
      </c>
      <c r="D6080" s="26">
        <v>0.60862268518518514</v>
      </c>
      <c r="E6080" t="s">
        <v>25</v>
      </c>
      <c r="F6080" t="s">
        <v>171</v>
      </c>
      <c r="G6080" t="s">
        <v>172</v>
      </c>
      <c r="H6080" t="s">
        <v>308</v>
      </c>
      <c r="I6080">
        <v>86.04</v>
      </c>
      <c r="J6080" s="7">
        <v>0</v>
      </c>
      <c r="K6080" s="7">
        <f t="shared" si="378"/>
        <v>253.22</v>
      </c>
      <c r="L6080" s="7">
        <v>253.22</v>
      </c>
      <c r="M6080" s="10">
        <f t="shared" si="380"/>
        <v>33.978358739436068</v>
      </c>
    </row>
    <row r="6081" spans="1:13" ht="15.75" hidden="1" customHeight="1" x14ac:dyDescent="0.3">
      <c r="A6081" s="9">
        <v>1448</v>
      </c>
      <c r="B6081" t="s">
        <v>304</v>
      </c>
      <c r="C6081" s="25">
        <v>44628</v>
      </c>
      <c r="D6081" s="26">
        <v>0.48258101851851848</v>
      </c>
      <c r="E6081" t="s">
        <v>26</v>
      </c>
      <c r="F6081" t="s">
        <v>205</v>
      </c>
      <c r="G6081" t="s">
        <v>206</v>
      </c>
      <c r="H6081" t="s">
        <v>305</v>
      </c>
      <c r="I6081">
        <v>209</v>
      </c>
      <c r="J6081" s="7">
        <v>0</v>
      </c>
      <c r="K6081" s="90">
        <f t="shared" si="378"/>
        <v>1071.52</v>
      </c>
      <c r="L6081" s="7">
        <v>1071.52</v>
      </c>
      <c r="M6081" s="10">
        <f t="shared" si="380"/>
        <v>19.505002239808871</v>
      </c>
    </row>
    <row r="6082" spans="1:13" ht="15.75" hidden="1" customHeight="1" x14ac:dyDescent="0.3">
      <c r="A6082" s="9">
        <v>1449</v>
      </c>
      <c r="B6082" t="s">
        <v>304</v>
      </c>
      <c r="C6082" s="25">
        <v>44629</v>
      </c>
      <c r="D6082" s="26">
        <v>0.42111111111111116</v>
      </c>
      <c r="E6082" t="s">
        <v>26</v>
      </c>
      <c r="F6082" t="s">
        <v>210</v>
      </c>
      <c r="G6082" t="s">
        <v>211</v>
      </c>
      <c r="H6082" t="s">
        <v>305</v>
      </c>
      <c r="I6082">
        <v>309</v>
      </c>
      <c r="J6082" s="11">
        <v>0</v>
      </c>
      <c r="K6082" s="89">
        <f t="shared" si="378"/>
        <v>703.19</v>
      </c>
      <c r="L6082" s="7">
        <v>703.19</v>
      </c>
      <c r="M6082" s="10">
        <f t="shared" si="380"/>
        <v>43.942604417013889</v>
      </c>
    </row>
    <row r="6083" spans="1:13" ht="15.75" hidden="1" customHeight="1" x14ac:dyDescent="0.3">
      <c r="A6083" s="9">
        <v>1450</v>
      </c>
      <c r="B6083" t="s">
        <v>304</v>
      </c>
      <c r="C6083" s="25">
        <v>44631</v>
      </c>
      <c r="D6083" s="26">
        <v>4.5185185185185189E-2</v>
      </c>
      <c r="E6083" t="s">
        <v>26</v>
      </c>
      <c r="F6083" t="s">
        <v>210</v>
      </c>
      <c r="G6083" t="s">
        <v>211</v>
      </c>
      <c r="H6083" t="s">
        <v>305</v>
      </c>
      <c r="I6083">
        <f>43.94+443.34</f>
        <v>487.28</v>
      </c>
      <c r="J6083" s="11">
        <v>0</v>
      </c>
      <c r="K6083" s="89">
        <f t="shared" si="378"/>
        <v>1120.42</v>
      </c>
      <c r="L6083" s="42">
        <v>1120.42</v>
      </c>
      <c r="M6083" s="10">
        <f t="shared" si="380"/>
        <v>43.490833794469921</v>
      </c>
    </row>
    <row r="6084" spans="1:13" ht="15.75" hidden="1" customHeight="1" x14ac:dyDescent="0.3">
      <c r="A6084" s="9">
        <v>1451</v>
      </c>
      <c r="B6084" t="s">
        <v>304</v>
      </c>
      <c r="C6084" s="25">
        <v>44634</v>
      </c>
      <c r="D6084" s="26">
        <v>0.49881944444444443</v>
      </c>
      <c r="E6084" t="s">
        <v>26</v>
      </c>
      <c r="F6084" t="s">
        <v>175</v>
      </c>
      <c r="G6084" t="s">
        <v>172</v>
      </c>
      <c r="H6084" t="s">
        <v>305</v>
      </c>
      <c r="I6084">
        <v>400.45</v>
      </c>
      <c r="J6084" s="7">
        <v>0</v>
      </c>
      <c r="K6084" s="89">
        <f t="shared" si="378"/>
        <v>1132.8900000000001</v>
      </c>
      <c r="L6084" s="7">
        <v>1132.8900000000001</v>
      </c>
      <c r="M6084" s="10">
        <f t="shared" si="380"/>
        <v>35.347650698655649</v>
      </c>
    </row>
    <row r="6085" spans="1:13" ht="15.75" hidden="1" customHeight="1" x14ac:dyDescent="0.3">
      <c r="A6085" s="9">
        <v>1452</v>
      </c>
      <c r="B6085" t="s">
        <v>304</v>
      </c>
      <c r="C6085" s="25">
        <v>44634</v>
      </c>
      <c r="D6085" s="26">
        <v>0.90571759259259255</v>
      </c>
      <c r="E6085" t="s">
        <v>26</v>
      </c>
      <c r="F6085" t="s">
        <v>210</v>
      </c>
      <c r="G6085" t="s">
        <v>211</v>
      </c>
      <c r="H6085" t="s">
        <v>305</v>
      </c>
      <c r="I6085">
        <v>280.70999999999998</v>
      </c>
      <c r="J6085" s="7">
        <v>0</v>
      </c>
      <c r="K6085" s="89">
        <f t="shared" si="378"/>
        <v>694.86</v>
      </c>
      <c r="L6085" s="7">
        <v>694.86</v>
      </c>
      <c r="M6085" s="10">
        <f t="shared" si="380"/>
        <v>40.398065797426817</v>
      </c>
    </row>
    <row r="6086" spans="1:13" ht="15.75" hidden="1" customHeight="1" x14ac:dyDescent="0.3">
      <c r="A6086" s="9">
        <v>1453</v>
      </c>
      <c r="B6086" t="s">
        <v>304</v>
      </c>
      <c r="C6086" s="25">
        <v>44635</v>
      </c>
      <c r="D6086" s="26">
        <v>0.8523263888888889</v>
      </c>
      <c r="E6086" t="s">
        <v>26</v>
      </c>
      <c r="F6086" t="s">
        <v>210</v>
      </c>
      <c r="G6086" t="s">
        <v>211</v>
      </c>
      <c r="H6086" t="s">
        <v>305</v>
      </c>
      <c r="I6086">
        <v>306.55</v>
      </c>
      <c r="J6086" s="7">
        <v>0</v>
      </c>
      <c r="K6086" s="89">
        <f t="shared" si="378"/>
        <v>887.82</v>
      </c>
      <c r="L6086" s="7">
        <v>887.82</v>
      </c>
      <c r="M6086" s="10">
        <f t="shared" si="380"/>
        <v>34.528395395463043</v>
      </c>
    </row>
    <row r="6087" spans="1:13" ht="15.75" hidden="1" customHeight="1" x14ac:dyDescent="0.3">
      <c r="A6087" s="9">
        <v>1454</v>
      </c>
      <c r="B6087" t="s">
        <v>304</v>
      </c>
      <c r="C6087" s="25">
        <v>44636</v>
      </c>
      <c r="D6087" s="26">
        <v>0.75718750000000001</v>
      </c>
      <c r="E6087" t="s">
        <v>26</v>
      </c>
      <c r="F6087" t="s">
        <v>428</v>
      </c>
      <c r="G6087" t="s">
        <v>429</v>
      </c>
      <c r="H6087" t="s">
        <v>305</v>
      </c>
      <c r="I6087">
        <v>316</v>
      </c>
      <c r="J6087" s="7">
        <v>0</v>
      </c>
      <c r="K6087" s="89">
        <f t="shared" si="378"/>
        <v>930.89</v>
      </c>
      <c r="L6087" s="7">
        <v>930.89</v>
      </c>
      <c r="M6087" s="10">
        <f t="shared" si="380"/>
        <v>33.946008658380691</v>
      </c>
    </row>
    <row r="6088" spans="1:13" ht="15.75" hidden="1" customHeight="1" x14ac:dyDescent="0.3">
      <c r="A6088" s="9">
        <v>1455</v>
      </c>
      <c r="B6088" t="s">
        <v>304</v>
      </c>
      <c r="C6088" s="25">
        <v>44637</v>
      </c>
      <c r="D6088" s="26">
        <v>0.60776620370370371</v>
      </c>
      <c r="E6088" t="s">
        <v>26</v>
      </c>
      <c r="F6088" t="s">
        <v>490</v>
      </c>
      <c r="G6088" t="s">
        <v>487</v>
      </c>
      <c r="H6088" t="s">
        <v>305</v>
      </c>
      <c r="I6088">
        <v>302.52999999999997</v>
      </c>
      <c r="J6088" s="7">
        <v>0</v>
      </c>
      <c r="K6088" s="89">
        <f t="shared" si="378"/>
        <v>749.23</v>
      </c>
      <c r="L6088" s="7">
        <v>749.23</v>
      </c>
      <c r="M6088" s="10">
        <f t="shared" si="380"/>
        <v>40.378788889926987</v>
      </c>
    </row>
    <row r="6089" spans="1:13" ht="15.75" hidden="1" customHeight="1" x14ac:dyDescent="0.3">
      <c r="A6089" s="9">
        <v>1456</v>
      </c>
      <c r="B6089" t="s">
        <v>304</v>
      </c>
      <c r="C6089" s="25">
        <v>44643</v>
      </c>
      <c r="D6089" s="26">
        <v>0.26853009259259258</v>
      </c>
      <c r="E6089" t="s">
        <v>26</v>
      </c>
      <c r="F6089" t="s">
        <v>202</v>
      </c>
      <c r="G6089" t="s">
        <v>203</v>
      </c>
      <c r="H6089" t="s">
        <v>305</v>
      </c>
      <c r="I6089">
        <v>440.52</v>
      </c>
      <c r="J6089" s="7">
        <v>0</v>
      </c>
      <c r="K6089" s="89">
        <f t="shared" si="378"/>
        <v>1229.76</v>
      </c>
      <c r="L6089" s="7">
        <v>1229.76</v>
      </c>
      <c r="M6089" s="10">
        <f t="shared" si="380"/>
        <v>35.821623731459795</v>
      </c>
    </row>
    <row r="6090" spans="1:13" ht="15.75" hidden="1" customHeight="1" x14ac:dyDescent="0.3">
      <c r="A6090" s="9">
        <v>1457</v>
      </c>
      <c r="B6090" t="s">
        <v>304</v>
      </c>
      <c r="C6090" s="25">
        <v>44643</v>
      </c>
      <c r="D6090" s="26">
        <v>0.63325231481481481</v>
      </c>
      <c r="E6090" t="s">
        <v>26</v>
      </c>
      <c r="F6090" t="s">
        <v>202</v>
      </c>
      <c r="G6090" t="s">
        <v>203</v>
      </c>
      <c r="H6090" t="s">
        <v>305</v>
      </c>
      <c r="I6090">
        <v>150</v>
      </c>
      <c r="J6090" s="7">
        <v>0</v>
      </c>
      <c r="K6090" s="89">
        <f t="shared" si="378"/>
        <v>506.42</v>
      </c>
      <c r="L6090" s="7">
        <v>506.42</v>
      </c>
      <c r="M6090" s="10">
        <f t="shared" si="380"/>
        <v>29.619683266853595</v>
      </c>
    </row>
    <row r="6091" spans="1:13" ht="15.75" hidden="1" customHeight="1" x14ac:dyDescent="0.3">
      <c r="A6091" s="9">
        <v>1458</v>
      </c>
      <c r="B6091" t="s">
        <v>304</v>
      </c>
      <c r="C6091" s="25">
        <v>44644</v>
      </c>
      <c r="D6091" s="26">
        <v>0.44951388888888894</v>
      </c>
      <c r="E6091" t="s">
        <v>26</v>
      </c>
      <c r="F6091" t="s">
        <v>396</v>
      </c>
      <c r="G6091" t="s">
        <v>397</v>
      </c>
      <c r="H6091" t="s">
        <v>305</v>
      </c>
      <c r="I6091">
        <v>378.43</v>
      </c>
      <c r="J6091" s="7">
        <v>0</v>
      </c>
      <c r="K6091" s="89">
        <f t="shared" si="378"/>
        <v>764.55</v>
      </c>
      <c r="L6091" s="7">
        <v>764.55</v>
      </c>
      <c r="M6091" s="10">
        <f t="shared" si="380"/>
        <v>49.497089791380553</v>
      </c>
    </row>
    <row r="6092" spans="1:13" ht="15.75" hidden="1" customHeight="1" x14ac:dyDescent="0.3">
      <c r="A6092" s="9">
        <v>1459</v>
      </c>
      <c r="B6092" t="s">
        <v>304</v>
      </c>
      <c r="C6092" s="25">
        <v>44644</v>
      </c>
      <c r="D6092" s="26">
        <v>0.92890046296296302</v>
      </c>
      <c r="E6092" t="s">
        <v>26</v>
      </c>
      <c r="F6092" t="s">
        <v>293</v>
      </c>
      <c r="G6092" t="s">
        <v>196</v>
      </c>
      <c r="H6092" t="s">
        <v>305</v>
      </c>
      <c r="I6092">
        <v>200</v>
      </c>
      <c r="J6092" s="7">
        <v>0</v>
      </c>
      <c r="K6092" s="89">
        <f t="shared" si="378"/>
        <v>787.11</v>
      </c>
      <c r="L6092" s="7">
        <v>787.11</v>
      </c>
      <c r="M6092" s="10">
        <f t="shared" si="380"/>
        <v>25.409409104191283</v>
      </c>
    </row>
    <row r="6093" spans="1:13" ht="15.75" hidden="1" customHeight="1" x14ac:dyDescent="0.3">
      <c r="A6093" s="9">
        <v>1460</v>
      </c>
      <c r="B6093" t="s">
        <v>304</v>
      </c>
      <c r="C6093" s="25">
        <v>44646</v>
      </c>
      <c r="D6093" s="26">
        <v>0.48194444444444445</v>
      </c>
      <c r="E6093" t="s">
        <v>26</v>
      </c>
      <c r="F6093" t="s">
        <v>262</v>
      </c>
      <c r="G6093" t="s">
        <v>263</v>
      </c>
      <c r="H6093" t="s">
        <v>305</v>
      </c>
      <c r="I6093">
        <f>55.78+198.47</f>
        <v>254.25</v>
      </c>
      <c r="J6093" s="7">
        <v>0</v>
      </c>
      <c r="K6093" s="89">
        <f t="shared" si="378"/>
        <v>417.34</v>
      </c>
      <c r="L6093" s="7">
        <v>417.34</v>
      </c>
      <c r="M6093" s="10">
        <f t="shared" si="380"/>
        <v>60.921550773949306</v>
      </c>
    </row>
    <row r="6094" spans="1:13" ht="15.75" hidden="1" customHeight="1" x14ac:dyDescent="0.3">
      <c r="A6094" s="9">
        <v>6486</v>
      </c>
      <c r="B6094" t="s">
        <v>383</v>
      </c>
      <c r="C6094" s="25">
        <v>44737</v>
      </c>
      <c r="D6094" s="26">
        <v>0.41175925925925921</v>
      </c>
      <c r="E6094" t="s">
        <v>29</v>
      </c>
      <c r="F6094" t="s">
        <v>651</v>
      </c>
      <c r="G6094" t="s">
        <v>172</v>
      </c>
      <c r="H6094" t="s">
        <v>306</v>
      </c>
      <c r="I6094" s="148">
        <v>248.53</v>
      </c>
      <c r="J6094" s="198">
        <f>248.53+100+183+261+301</f>
        <v>1093.53</v>
      </c>
      <c r="K6094" s="228">
        <v>454</v>
      </c>
      <c r="L6094" s="154">
        <v>2715</v>
      </c>
      <c r="M6094" s="229">
        <f>+J6094/L6094*100</f>
        <v>40.277348066298337</v>
      </c>
    </row>
    <row r="6095" spans="1:13" ht="15.75" hidden="1" customHeight="1" x14ac:dyDescent="0.3">
      <c r="B6095" t="s">
        <v>466</v>
      </c>
      <c r="C6095" s="25">
        <v>44758</v>
      </c>
      <c r="D6095" s="26">
        <v>0.48600694444444442</v>
      </c>
      <c r="E6095" t="s">
        <v>30</v>
      </c>
      <c r="F6095" t="s">
        <v>343</v>
      </c>
      <c r="G6095" t="s">
        <v>344</v>
      </c>
      <c r="H6095" t="s">
        <v>15</v>
      </c>
      <c r="I6095" s="173">
        <v>100</v>
      </c>
      <c r="J6095" s="151">
        <f>290+317</f>
        <v>607</v>
      </c>
      <c r="K6095" s="151"/>
      <c r="L6095" s="151">
        <v>1787</v>
      </c>
      <c r="M6095" s="149">
        <f>+J6095/L6095*100</f>
        <v>33.967543368774486</v>
      </c>
    </row>
    <row r="6096" spans="1:13" ht="15.75" hidden="1" customHeight="1" x14ac:dyDescent="0.3">
      <c r="B6096" t="s">
        <v>466</v>
      </c>
      <c r="C6096" s="25">
        <v>44759</v>
      </c>
      <c r="D6096" s="26">
        <v>0.64340277777777777</v>
      </c>
      <c r="E6096" t="s">
        <v>30</v>
      </c>
      <c r="F6096" t="s">
        <v>165</v>
      </c>
      <c r="G6096" t="s">
        <v>185</v>
      </c>
      <c r="H6096" t="s">
        <v>15</v>
      </c>
      <c r="I6096" s="173">
        <v>479</v>
      </c>
      <c r="J6096" s="23"/>
      <c r="K6096" s="23"/>
      <c r="L6096" s="23"/>
      <c r="M6096" s="91"/>
    </row>
    <row r="6097" spans="2:13" ht="15.75" hidden="1" customHeight="1" x14ac:dyDescent="0.3">
      <c r="B6097" t="s">
        <v>383</v>
      </c>
      <c r="C6097" s="25">
        <v>44580</v>
      </c>
      <c r="D6097" s="26">
        <v>0.79322916666666676</v>
      </c>
      <c r="E6097" t="s">
        <v>24</v>
      </c>
      <c r="F6097" t="s">
        <v>175</v>
      </c>
      <c r="G6097" t="s">
        <v>172</v>
      </c>
      <c r="H6097" t="s">
        <v>182</v>
      </c>
      <c r="I6097">
        <v>83.18</v>
      </c>
      <c r="J6097" s="34">
        <v>0</v>
      </c>
      <c r="K6097" s="30">
        <f t="shared" ref="K6097:K6128" si="381">+L6097-J6097</f>
        <v>183.45</v>
      </c>
      <c r="L6097" s="34">
        <v>183.45</v>
      </c>
      <c r="M6097" s="61">
        <f t="shared" ref="M6097:M6127" si="382">I6097/K6097*100</f>
        <v>45.342055055873544</v>
      </c>
    </row>
    <row r="6098" spans="2:13" ht="15.75" hidden="1" customHeight="1" x14ac:dyDescent="0.3">
      <c r="B6098" t="s">
        <v>383</v>
      </c>
      <c r="C6098" s="25">
        <v>44581</v>
      </c>
      <c r="D6098" s="26">
        <v>0.65423611111111113</v>
      </c>
      <c r="E6098" t="s">
        <v>24</v>
      </c>
      <c r="F6098" t="s">
        <v>210</v>
      </c>
      <c r="G6098" t="s">
        <v>211</v>
      </c>
      <c r="H6098" t="s">
        <v>182</v>
      </c>
      <c r="I6098">
        <v>284.26</v>
      </c>
      <c r="J6098" s="7">
        <v>0</v>
      </c>
      <c r="K6098" s="11">
        <f t="shared" si="381"/>
        <v>687.56</v>
      </c>
      <c r="L6098" s="7">
        <v>687.56</v>
      </c>
      <c r="M6098" s="10">
        <f t="shared" si="382"/>
        <v>41.343300948280884</v>
      </c>
    </row>
    <row r="6099" spans="2:13" ht="15.75" hidden="1" customHeight="1" x14ac:dyDescent="0.3">
      <c r="B6099" t="s">
        <v>383</v>
      </c>
      <c r="C6099" s="25">
        <v>44582</v>
      </c>
      <c r="D6099" s="26">
        <v>0.80398148148148152</v>
      </c>
      <c r="E6099" t="s">
        <v>24</v>
      </c>
      <c r="F6099" t="s">
        <v>210</v>
      </c>
      <c r="G6099" t="s">
        <v>211</v>
      </c>
      <c r="H6099" t="s">
        <v>182</v>
      </c>
      <c r="I6099">
        <v>415.2</v>
      </c>
      <c r="J6099" s="7">
        <v>0</v>
      </c>
      <c r="K6099" s="11">
        <f t="shared" si="381"/>
        <v>1062.46</v>
      </c>
      <c r="L6099" s="7">
        <v>1062.46</v>
      </c>
      <c r="M6099" s="10">
        <f t="shared" si="382"/>
        <v>39.079118272687914</v>
      </c>
    </row>
    <row r="6100" spans="2:13" ht="15.75" hidden="1" customHeight="1" x14ac:dyDescent="0.3">
      <c r="B6100" t="s">
        <v>383</v>
      </c>
      <c r="C6100" s="25">
        <v>44585</v>
      </c>
      <c r="D6100" s="26">
        <v>4.5543981481481477E-2</v>
      </c>
      <c r="E6100" t="s">
        <v>24</v>
      </c>
      <c r="F6100" t="s">
        <v>175</v>
      </c>
      <c r="G6100" t="s">
        <v>172</v>
      </c>
      <c r="H6100" t="s">
        <v>182</v>
      </c>
      <c r="I6100">
        <v>352.01</v>
      </c>
      <c r="J6100" s="7">
        <v>0</v>
      </c>
      <c r="K6100" s="11">
        <f t="shared" si="381"/>
        <v>898.8</v>
      </c>
      <c r="L6100" s="7">
        <v>898.8</v>
      </c>
      <c r="M6100" s="10">
        <f t="shared" si="382"/>
        <v>39.164441477525592</v>
      </c>
    </row>
    <row r="6101" spans="2:13" ht="15.75" hidden="1" customHeight="1" x14ac:dyDescent="0.3">
      <c r="B6101" t="s">
        <v>383</v>
      </c>
      <c r="C6101" s="25">
        <v>44586</v>
      </c>
      <c r="D6101" s="26">
        <v>0.92017361111111118</v>
      </c>
      <c r="E6101" t="s">
        <v>24</v>
      </c>
      <c r="F6101" t="s">
        <v>210</v>
      </c>
      <c r="G6101" t="s">
        <v>211</v>
      </c>
      <c r="H6101" t="s">
        <v>182</v>
      </c>
      <c r="I6101">
        <v>374.89</v>
      </c>
      <c r="J6101" s="7">
        <v>0</v>
      </c>
      <c r="K6101" s="11">
        <f t="shared" si="381"/>
        <v>723.33</v>
      </c>
      <c r="L6101" s="31">
        <v>723.33</v>
      </c>
      <c r="M6101" s="10">
        <f t="shared" si="382"/>
        <v>51.828349439398337</v>
      </c>
    </row>
    <row r="6102" spans="2:13" ht="15.75" hidden="1" customHeight="1" x14ac:dyDescent="0.3">
      <c r="B6102" t="s">
        <v>383</v>
      </c>
      <c r="C6102" s="25">
        <v>44588</v>
      </c>
      <c r="D6102" s="26">
        <v>5.5150462962962964E-2</v>
      </c>
      <c r="E6102" t="s">
        <v>24</v>
      </c>
      <c r="F6102" t="s">
        <v>210</v>
      </c>
      <c r="G6102" t="s">
        <v>211</v>
      </c>
      <c r="H6102" t="s">
        <v>182</v>
      </c>
      <c r="I6102">
        <v>451.26</v>
      </c>
      <c r="J6102" s="76">
        <v>0</v>
      </c>
      <c r="K6102" s="11">
        <f t="shared" si="381"/>
        <v>936.83</v>
      </c>
      <c r="L6102" s="7">
        <v>936.83</v>
      </c>
      <c r="M6102" s="10">
        <f t="shared" si="382"/>
        <v>48.16882465335226</v>
      </c>
    </row>
    <row r="6103" spans="2:13" ht="15.75" hidden="1" customHeight="1" x14ac:dyDescent="0.3">
      <c r="B6103" t="s">
        <v>383</v>
      </c>
      <c r="C6103" s="25">
        <v>44590</v>
      </c>
      <c r="D6103" s="26">
        <v>0.82641203703703703</v>
      </c>
      <c r="E6103" t="s">
        <v>24</v>
      </c>
      <c r="F6103" t="s">
        <v>175</v>
      </c>
      <c r="G6103" t="s">
        <v>172</v>
      </c>
      <c r="H6103" t="s">
        <v>182</v>
      </c>
      <c r="I6103">
        <v>396.29</v>
      </c>
      <c r="J6103" s="76">
        <v>0</v>
      </c>
      <c r="K6103" s="11">
        <f t="shared" si="381"/>
        <v>1041.93</v>
      </c>
      <c r="L6103" s="7">
        <v>1041.93</v>
      </c>
      <c r="M6103" s="10">
        <f t="shared" si="382"/>
        <v>38.034224947933161</v>
      </c>
    </row>
    <row r="6104" spans="2:13" ht="15.75" hidden="1" customHeight="1" x14ac:dyDescent="0.3">
      <c r="B6104" t="s">
        <v>383</v>
      </c>
      <c r="C6104" s="25">
        <v>44592</v>
      </c>
      <c r="D6104" s="26">
        <v>0.80563657407407396</v>
      </c>
      <c r="E6104" t="s">
        <v>24</v>
      </c>
      <c r="F6104" t="s">
        <v>210</v>
      </c>
      <c r="G6104" t="s">
        <v>211</v>
      </c>
      <c r="H6104" t="s">
        <v>182</v>
      </c>
      <c r="I6104">
        <v>298.29000000000002</v>
      </c>
      <c r="J6104" s="11">
        <v>0</v>
      </c>
      <c r="K6104" s="7">
        <f t="shared" si="381"/>
        <v>687.66</v>
      </c>
      <c r="L6104" s="34">
        <v>687.66</v>
      </c>
      <c r="M6104" s="10">
        <f t="shared" si="382"/>
        <v>43.377541226769047</v>
      </c>
    </row>
    <row r="6105" spans="2:13" ht="15.75" hidden="1" customHeight="1" x14ac:dyDescent="0.3">
      <c r="B6105" t="s">
        <v>383</v>
      </c>
      <c r="C6105" s="25">
        <v>44572</v>
      </c>
      <c r="D6105" s="26">
        <v>4.5451388888888888E-2</v>
      </c>
      <c r="E6105" t="s">
        <v>24</v>
      </c>
      <c r="F6105" t="s">
        <v>197</v>
      </c>
      <c r="G6105" t="s">
        <v>44</v>
      </c>
      <c r="H6105" t="s">
        <v>192</v>
      </c>
      <c r="I6105">
        <v>141.16999999999999</v>
      </c>
      <c r="J6105" s="11">
        <v>0</v>
      </c>
      <c r="K6105" s="7">
        <f t="shared" si="381"/>
        <v>307.27</v>
      </c>
      <c r="L6105" s="7">
        <v>307.27</v>
      </c>
      <c r="M6105" s="10">
        <f t="shared" si="382"/>
        <v>45.943307189117064</v>
      </c>
    </row>
    <row r="6106" spans="2:13" ht="15.75" hidden="1" customHeight="1" x14ac:dyDescent="0.3">
      <c r="B6106" t="s">
        <v>383</v>
      </c>
      <c r="C6106" s="25">
        <v>44572</v>
      </c>
      <c r="D6106" s="26">
        <v>0.7965740740740741</v>
      </c>
      <c r="E6106" t="s">
        <v>24</v>
      </c>
      <c r="F6106" t="s">
        <v>366</v>
      </c>
      <c r="G6106" t="s">
        <v>367</v>
      </c>
      <c r="H6106" t="s">
        <v>192</v>
      </c>
      <c r="I6106">
        <v>177.42</v>
      </c>
      <c r="J6106" s="7">
        <v>0</v>
      </c>
      <c r="K6106" s="11">
        <f t="shared" si="381"/>
        <v>339.48</v>
      </c>
      <c r="L6106" s="7">
        <v>339.48</v>
      </c>
      <c r="M6106" s="10">
        <f t="shared" si="382"/>
        <v>52.26228349240013</v>
      </c>
    </row>
    <row r="6107" spans="2:13" ht="15.75" hidden="1" customHeight="1" x14ac:dyDescent="0.3">
      <c r="B6107" t="s">
        <v>383</v>
      </c>
      <c r="C6107" s="25">
        <v>44573</v>
      </c>
      <c r="D6107" s="26">
        <v>0.77043981481481483</v>
      </c>
      <c r="E6107" t="s">
        <v>24</v>
      </c>
      <c r="F6107" t="s">
        <v>165</v>
      </c>
      <c r="G6107" t="s">
        <v>185</v>
      </c>
      <c r="H6107" t="s">
        <v>192</v>
      </c>
      <c r="I6107">
        <v>376.44</v>
      </c>
      <c r="J6107" s="7">
        <v>0</v>
      </c>
      <c r="K6107" s="11">
        <f t="shared" si="381"/>
        <v>715.97</v>
      </c>
      <c r="L6107" s="7">
        <v>715.97</v>
      </c>
      <c r="M6107" s="10">
        <f t="shared" si="382"/>
        <v>52.577621967400866</v>
      </c>
    </row>
    <row r="6108" spans="2:13" ht="15.75" hidden="1" customHeight="1" x14ac:dyDescent="0.3">
      <c r="B6108" t="s">
        <v>383</v>
      </c>
      <c r="C6108" s="25">
        <v>44575</v>
      </c>
      <c r="D6108" s="26">
        <v>0.27879629629629626</v>
      </c>
      <c r="E6108" t="s">
        <v>24</v>
      </c>
      <c r="F6108" t="s">
        <v>169</v>
      </c>
      <c r="G6108" t="s">
        <v>196</v>
      </c>
      <c r="H6108" t="s">
        <v>192</v>
      </c>
      <c r="I6108">
        <v>372.84</v>
      </c>
      <c r="J6108" s="7">
        <v>0</v>
      </c>
      <c r="K6108" s="11">
        <f t="shared" si="381"/>
        <v>925.96</v>
      </c>
      <c r="L6108" s="7">
        <v>925.96</v>
      </c>
      <c r="M6108" s="10">
        <f t="shared" si="382"/>
        <v>40.265238239232794</v>
      </c>
    </row>
    <row r="6109" spans="2:13" ht="15.75" hidden="1" customHeight="1" x14ac:dyDescent="0.3">
      <c r="B6109" t="s">
        <v>383</v>
      </c>
      <c r="C6109" s="25">
        <v>44576</v>
      </c>
      <c r="D6109" s="26">
        <v>0.45065972222222223</v>
      </c>
      <c r="E6109" t="s">
        <v>24</v>
      </c>
      <c r="F6109" t="s">
        <v>197</v>
      </c>
      <c r="G6109" t="s">
        <v>44</v>
      </c>
      <c r="H6109" t="s">
        <v>192</v>
      </c>
      <c r="I6109">
        <v>200.02</v>
      </c>
      <c r="J6109" s="7">
        <v>0</v>
      </c>
      <c r="K6109" s="11">
        <f t="shared" si="381"/>
        <v>662.55</v>
      </c>
      <c r="L6109" s="7">
        <v>662.55</v>
      </c>
      <c r="M6109" s="10">
        <f t="shared" si="382"/>
        <v>30.189419666440269</v>
      </c>
    </row>
    <row r="6110" spans="2:13" ht="15.75" hidden="1" customHeight="1" x14ac:dyDescent="0.3">
      <c r="B6110" t="s">
        <v>383</v>
      </c>
      <c r="C6110" s="25">
        <v>44577</v>
      </c>
      <c r="D6110" s="26">
        <v>2.2488425925925926E-2</v>
      </c>
      <c r="E6110" t="s">
        <v>24</v>
      </c>
      <c r="F6110" t="s">
        <v>210</v>
      </c>
      <c r="G6110" t="s">
        <v>211</v>
      </c>
      <c r="H6110" t="s">
        <v>192</v>
      </c>
      <c r="I6110">
        <v>370.58</v>
      </c>
      <c r="J6110" s="7">
        <v>0</v>
      </c>
      <c r="K6110" s="11">
        <f t="shared" si="381"/>
        <v>556.52</v>
      </c>
      <c r="L6110" s="7">
        <v>556.52</v>
      </c>
      <c r="M6110" s="10">
        <f t="shared" si="382"/>
        <v>66.588801840005758</v>
      </c>
    </row>
    <row r="6111" spans="2:13" ht="15.75" hidden="1" customHeight="1" x14ac:dyDescent="0.3">
      <c r="B6111" t="s">
        <v>383</v>
      </c>
      <c r="C6111" s="25">
        <v>44578</v>
      </c>
      <c r="D6111" s="26">
        <v>5.0567129629629635E-2</v>
      </c>
      <c r="E6111" t="s">
        <v>24</v>
      </c>
      <c r="F6111" t="s">
        <v>210</v>
      </c>
      <c r="G6111" t="s">
        <v>211</v>
      </c>
      <c r="H6111" t="s">
        <v>192</v>
      </c>
      <c r="I6111">
        <v>434.19</v>
      </c>
      <c r="J6111" s="34">
        <v>0</v>
      </c>
      <c r="K6111" s="11">
        <f t="shared" si="381"/>
        <v>1060</v>
      </c>
      <c r="L6111" s="7">
        <v>1060</v>
      </c>
      <c r="M6111" s="10">
        <f t="shared" si="382"/>
        <v>40.961320754716979</v>
      </c>
    </row>
    <row r="6112" spans="2:13" ht="15.75" hidden="1" customHeight="1" x14ac:dyDescent="0.3">
      <c r="B6112" t="s">
        <v>383</v>
      </c>
      <c r="C6112" s="25">
        <v>44578</v>
      </c>
      <c r="D6112" s="26">
        <v>0.79056712962962961</v>
      </c>
      <c r="E6112" t="s">
        <v>24</v>
      </c>
      <c r="F6112" t="s">
        <v>169</v>
      </c>
      <c r="G6112" t="s">
        <v>170</v>
      </c>
      <c r="H6112" t="s">
        <v>192</v>
      </c>
      <c r="I6112">
        <v>189.25</v>
      </c>
      <c r="J6112" s="34">
        <v>0</v>
      </c>
      <c r="K6112" s="11">
        <f t="shared" si="381"/>
        <v>491.7</v>
      </c>
      <c r="L6112" s="31">
        <v>491.7</v>
      </c>
      <c r="M6112" s="10">
        <f t="shared" si="382"/>
        <v>38.488916005694527</v>
      </c>
    </row>
    <row r="6113" spans="1:13" ht="15.75" hidden="1" customHeight="1" x14ac:dyDescent="0.3">
      <c r="A6113" s="9">
        <v>115</v>
      </c>
      <c r="B6113" t="s">
        <v>383</v>
      </c>
      <c r="C6113" s="25">
        <v>44567</v>
      </c>
      <c r="D6113" s="26">
        <v>0.78437499999999993</v>
      </c>
      <c r="E6113" t="s">
        <v>24</v>
      </c>
      <c r="F6113" t="s">
        <v>226</v>
      </c>
      <c r="G6113" t="s">
        <v>227</v>
      </c>
      <c r="H6113" t="s">
        <v>289</v>
      </c>
      <c r="I6113">
        <f>226.11+236.79</f>
        <v>462.9</v>
      </c>
      <c r="J6113" s="34">
        <v>0</v>
      </c>
      <c r="K6113" s="11">
        <f t="shared" si="381"/>
        <v>245.67</v>
      </c>
      <c r="L6113" s="7">
        <v>245.67</v>
      </c>
      <c r="M6113" s="10">
        <f t="shared" si="382"/>
        <v>188.42349493222616</v>
      </c>
    </row>
    <row r="6114" spans="1:13" ht="15.75" hidden="1" customHeight="1" x14ac:dyDescent="0.3">
      <c r="A6114" s="9">
        <v>229</v>
      </c>
      <c r="B6114" t="s">
        <v>383</v>
      </c>
      <c r="C6114" s="25">
        <v>44594</v>
      </c>
      <c r="D6114" s="26">
        <v>0.66065972222222225</v>
      </c>
      <c r="E6114" t="s">
        <v>25</v>
      </c>
      <c r="F6114" t="s">
        <v>210</v>
      </c>
      <c r="G6114" t="s">
        <v>211</v>
      </c>
      <c r="H6114" t="s">
        <v>182</v>
      </c>
      <c r="I6114">
        <v>411.68</v>
      </c>
      <c r="J6114" s="34">
        <v>0</v>
      </c>
      <c r="K6114" s="11">
        <f t="shared" si="381"/>
        <v>1062.26</v>
      </c>
      <c r="L6114" s="7">
        <v>1062.26</v>
      </c>
      <c r="M6114" s="10">
        <f t="shared" si="382"/>
        <v>38.755107035942238</v>
      </c>
    </row>
    <row r="6115" spans="1:13" ht="15.75" hidden="1" customHeight="1" x14ac:dyDescent="0.3">
      <c r="A6115" s="9">
        <v>230</v>
      </c>
      <c r="B6115" t="s">
        <v>383</v>
      </c>
      <c r="C6115" s="25">
        <v>44595</v>
      </c>
      <c r="D6115" s="26">
        <v>0.85616898148148157</v>
      </c>
      <c r="E6115" t="s">
        <v>25</v>
      </c>
      <c r="F6115" t="s">
        <v>175</v>
      </c>
      <c r="G6115" t="s">
        <v>172</v>
      </c>
      <c r="H6115" t="s">
        <v>182</v>
      </c>
      <c r="I6115">
        <v>323.01</v>
      </c>
      <c r="J6115" s="7">
        <v>0</v>
      </c>
      <c r="K6115" s="11">
        <f t="shared" si="381"/>
        <v>898.89</v>
      </c>
      <c r="L6115" s="34">
        <v>898.89</v>
      </c>
      <c r="M6115" s="10">
        <f t="shared" si="382"/>
        <v>35.934318993425222</v>
      </c>
    </row>
    <row r="6116" spans="1:13" ht="15.75" hidden="1" customHeight="1" x14ac:dyDescent="0.3">
      <c r="A6116" s="9">
        <v>236</v>
      </c>
      <c r="B6116" t="s">
        <v>383</v>
      </c>
      <c r="C6116" s="25">
        <v>44611</v>
      </c>
      <c r="D6116" s="26">
        <v>0.39173611111111112</v>
      </c>
      <c r="E6116" t="s">
        <v>25</v>
      </c>
      <c r="F6116" t="s">
        <v>175</v>
      </c>
      <c r="G6116" t="s">
        <v>172</v>
      </c>
      <c r="H6116" t="s">
        <v>182</v>
      </c>
      <c r="I6116">
        <v>411.44</v>
      </c>
      <c r="J6116" s="7">
        <v>0</v>
      </c>
      <c r="K6116" s="73">
        <f t="shared" si="381"/>
        <v>977.57</v>
      </c>
      <c r="L6116" s="32">
        <v>977.57</v>
      </c>
      <c r="M6116" s="10">
        <f t="shared" si="382"/>
        <v>42.088034616446905</v>
      </c>
    </row>
    <row r="6117" spans="1:13" ht="15.75" hidden="1" customHeight="1" x14ac:dyDescent="0.3">
      <c r="A6117" s="9">
        <v>237</v>
      </c>
      <c r="B6117" t="s">
        <v>383</v>
      </c>
      <c r="C6117" s="25">
        <v>44612</v>
      </c>
      <c r="D6117" s="26">
        <v>0.41751157407407408</v>
      </c>
      <c r="E6117" t="s">
        <v>25</v>
      </c>
      <c r="F6117" t="s">
        <v>210</v>
      </c>
      <c r="G6117" t="s">
        <v>211</v>
      </c>
      <c r="H6117" t="s">
        <v>182</v>
      </c>
      <c r="I6117">
        <v>395.48</v>
      </c>
      <c r="J6117" s="7">
        <v>0</v>
      </c>
      <c r="K6117" s="73">
        <f t="shared" si="381"/>
        <v>829.79</v>
      </c>
      <c r="L6117" s="32">
        <v>829.79</v>
      </c>
      <c r="M6117" s="10">
        <f t="shared" si="382"/>
        <v>47.660251388905635</v>
      </c>
    </row>
    <row r="6118" spans="1:13" ht="15.75" hidden="1" customHeight="1" x14ac:dyDescent="0.3">
      <c r="A6118" s="9">
        <v>238</v>
      </c>
      <c r="B6118" t="s">
        <v>383</v>
      </c>
      <c r="C6118" s="25">
        <v>44613</v>
      </c>
      <c r="D6118" s="26">
        <v>3.1377314814814809E-2</v>
      </c>
      <c r="E6118" t="s">
        <v>25</v>
      </c>
      <c r="F6118" t="s">
        <v>165</v>
      </c>
      <c r="G6118" t="s">
        <v>185</v>
      </c>
      <c r="H6118" t="s">
        <v>182</v>
      </c>
      <c r="I6118">
        <v>272.57</v>
      </c>
      <c r="J6118" s="7">
        <v>0</v>
      </c>
      <c r="K6118" s="73">
        <f t="shared" si="381"/>
        <v>548.35</v>
      </c>
      <c r="L6118" s="32">
        <v>548.35</v>
      </c>
      <c r="M6118" s="10">
        <f t="shared" si="382"/>
        <v>49.707303729369926</v>
      </c>
    </row>
    <row r="6119" spans="1:13" ht="15.75" hidden="1" customHeight="1" x14ac:dyDescent="0.3">
      <c r="A6119" s="9">
        <v>239</v>
      </c>
      <c r="B6119" t="s">
        <v>383</v>
      </c>
      <c r="C6119" s="25">
        <v>44614</v>
      </c>
      <c r="D6119" s="26">
        <v>0.61866898148148153</v>
      </c>
      <c r="E6119" t="s">
        <v>25</v>
      </c>
      <c r="F6119" t="s">
        <v>340</v>
      </c>
      <c r="G6119" t="s">
        <v>337</v>
      </c>
      <c r="H6119" t="s">
        <v>182</v>
      </c>
      <c r="I6119">
        <v>287.20999999999998</v>
      </c>
      <c r="J6119" s="31">
        <v>0</v>
      </c>
      <c r="K6119" s="11">
        <f t="shared" si="381"/>
        <v>824.1</v>
      </c>
      <c r="L6119" s="32">
        <v>824.1</v>
      </c>
      <c r="M6119" s="10">
        <f t="shared" si="382"/>
        <v>34.851352991141852</v>
      </c>
    </row>
    <row r="6120" spans="1:13" ht="15.75" hidden="1" customHeight="1" x14ac:dyDescent="0.3">
      <c r="A6120" s="9">
        <v>240</v>
      </c>
      <c r="B6120" t="s">
        <v>383</v>
      </c>
      <c r="C6120" s="25">
        <v>44615</v>
      </c>
      <c r="D6120" s="26">
        <v>0.89416666666666667</v>
      </c>
      <c r="E6120" t="s">
        <v>25</v>
      </c>
      <c r="F6120" t="s">
        <v>165</v>
      </c>
      <c r="G6120" t="s">
        <v>185</v>
      </c>
      <c r="H6120" t="s">
        <v>182</v>
      </c>
      <c r="I6120">
        <v>193.96</v>
      </c>
      <c r="J6120" s="31">
        <v>0</v>
      </c>
      <c r="K6120" s="11">
        <f t="shared" si="381"/>
        <v>803.39</v>
      </c>
      <c r="L6120" s="32">
        <v>803.39</v>
      </c>
      <c r="M6120" s="10">
        <f t="shared" si="382"/>
        <v>24.14269532854529</v>
      </c>
    </row>
    <row r="6121" spans="1:13" ht="15.75" hidden="1" customHeight="1" x14ac:dyDescent="0.3">
      <c r="A6121" s="9">
        <v>241</v>
      </c>
      <c r="B6121" t="s">
        <v>383</v>
      </c>
      <c r="C6121" s="25">
        <v>44616</v>
      </c>
      <c r="D6121" s="26">
        <v>0.51560185185185181</v>
      </c>
      <c r="E6121" t="s">
        <v>25</v>
      </c>
      <c r="F6121" t="s">
        <v>210</v>
      </c>
      <c r="G6121" t="s">
        <v>211</v>
      </c>
      <c r="H6121" t="s">
        <v>182</v>
      </c>
      <c r="I6121">
        <v>354.96</v>
      </c>
      <c r="J6121" s="31">
        <v>0</v>
      </c>
      <c r="K6121" s="11">
        <f t="shared" si="381"/>
        <v>513.51</v>
      </c>
      <c r="L6121" s="32">
        <v>513.51</v>
      </c>
      <c r="M6121" s="10">
        <f t="shared" si="382"/>
        <v>69.124262429163991</v>
      </c>
    </row>
    <row r="6122" spans="1:13" ht="15.75" hidden="1" customHeight="1" x14ac:dyDescent="0.3">
      <c r="A6122" s="9">
        <v>242</v>
      </c>
      <c r="B6122" t="s">
        <v>383</v>
      </c>
      <c r="C6122" s="25">
        <v>44618</v>
      </c>
      <c r="D6122" s="26">
        <v>0.49791666666666662</v>
      </c>
      <c r="E6122" t="s">
        <v>25</v>
      </c>
      <c r="F6122" t="s">
        <v>175</v>
      </c>
      <c r="G6122" t="s">
        <v>172</v>
      </c>
      <c r="H6122" t="s">
        <v>182</v>
      </c>
      <c r="I6122">
        <v>388.61</v>
      </c>
      <c r="J6122" s="31">
        <v>0</v>
      </c>
      <c r="K6122" s="11">
        <f t="shared" si="381"/>
        <v>1033.8599999999999</v>
      </c>
      <c r="L6122" s="32">
        <v>1033.8599999999999</v>
      </c>
      <c r="M6122" s="10">
        <f t="shared" si="382"/>
        <v>37.588261466736313</v>
      </c>
    </row>
    <row r="6123" spans="1:13" ht="15.75" hidden="1" customHeight="1" x14ac:dyDescent="0.3">
      <c r="A6123" s="9">
        <v>243</v>
      </c>
      <c r="B6123" t="s">
        <v>383</v>
      </c>
      <c r="C6123" s="25">
        <v>44619</v>
      </c>
      <c r="D6123" s="26">
        <v>0.45725694444444448</v>
      </c>
      <c r="E6123" t="s">
        <v>25</v>
      </c>
      <c r="F6123" t="s">
        <v>210</v>
      </c>
      <c r="G6123" t="s">
        <v>211</v>
      </c>
      <c r="H6123" t="s">
        <v>182</v>
      </c>
      <c r="I6123">
        <v>390.3</v>
      </c>
      <c r="J6123" s="51">
        <v>0</v>
      </c>
      <c r="K6123" s="51">
        <f t="shared" si="381"/>
        <v>829.86</v>
      </c>
      <c r="L6123" s="52">
        <v>829.86</v>
      </c>
      <c r="M6123" s="10">
        <f t="shared" si="382"/>
        <v>47.03202949895163</v>
      </c>
    </row>
    <row r="6124" spans="1:13" ht="15.75" hidden="1" customHeight="1" x14ac:dyDescent="0.3">
      <c r="A6124" s="9">
        <v>244</v>
      </c>
      <c r="B6124" t="s">
        <v>383</v>
      </c>
      <c r="C6124" s="25">
        <v>44619</v>
      </c>
      <c r="D6124" s="26">
        <v>0.89672453703703703</v>
      </c>
      <c r="E6124" t="s">
        <v>25</v>
      </c>
      <c r="F6124" t="s">
        <v>165</v>
      </c>
      <c r="G6124" t="s">
        <v>185</v>
      </c>
      <c r="H6124" t="s">
        <v>182</v>
      </c>
      <c r="I6124">
        <v>150</v>
      </c>
      <c r="J6124" s="7">
        <v>0</v>
      </c>
      <c r="K6124" s="11">
        <f t="shared" si="381"/>
        <v>546.95000000000005</v>
      </c>
      <c r="L6124" s="32">
        <v>546.95000000000005</v>
      </c>
      <c r="M6124" s="10">
        <f t="shared" si="382"/>
        <v>27.424810311728677</v>
      </c>
    </row>
    <row r="6125" spans="1:13" ht="15.75" hidden="1" customHeight="1" x14ac:dyDescent="0.3">
      <c r="A6125" s="9">
        <v>245</v>
      </c>
      <c r="B6125" t="s">
        <v>383</v>
      </c>
      <c r="C6125" s="25">
        <v>44620</v>
      </c>
      <c r="D6125" s="26">
        <v>0.82348379629629631</v>
      </c>
      <c r="E6125" t="s">
        <v>25</v>
      </c>
      <c r="F6125" t="s">
        <v>210</v>
      </c>
      <c r="G6125" t="s">
        <v>211</v>
      </c>
      <c r="H6125" t="s">
        <v>182</v>
      </c>
      <c r="I6125">
        <v>377.34</v>
      </c>
      <c r="J6125" s="7">
        <v>0</v>
      </c>
      <c r="K6125" s="11">
        <f t="shared" si="381"/>
        <v>572.16999999999996</v>
      </c>
      <c r="L6125" s="37">
        <v>572.16999999999996</v>
      </c>
      <c r="M6125" s="10">
        <f t="shared" si="382"/>
        <v>65.94893126168796</v>
      </c>
    </row>
    <row r="6126" spans="1:13" ht="15.75" hidden="1" customHeight="1" x14ac:dyDescent="0.3">
      <c r="A6126" s="9">
        <v>452</v>
      </c>
      <c r="B6126" t="s">
        <v>383</v>
      </c>
      <c r="C6126" s="25">
        <v>44597</v>
      </c>
      <c r="D6126" s="26">
        <v>0.96885416666666668</v>
      </c>
      <c r="E6126" t="s">
        <v>25</v>
      </c>
      <c r="F6126" t="s">
        <v>210</v>
      </c>
      <c r="G6126" t="s">
        <v>211</v>
      </c>
      <c r="H6126" t="s">
        <v>207</v>
      </c>
      <c r="I6126">
        <v>369.81</v>
      </c>
      <c r="J6126" s="7">
        <v>0</v>
      </c>
      <c r="K6126" s="11">
        <f t="shared" si="381"/>
        <v>832.13</v>
      </c>
      <c r="L6126" s="7">
        <v>832.13</v>
      </c>
      <c r="M6126" s="10">
        <f t="shared" si="382"/>
        <v>44.44137334310745</v>
      </c>
    </row>
    <row r="6127" spans="1:13" ht="15.75" hidden="1" customHeight="1" x14ac:dyDescent="0.3">
      <c r="A6127" s="9">
        <v>453</v>
      </c>
      <c r="B6127" t="s">
        <v>383</v>
      </c>
      <c r="C6127" s="25">
        <v>44599</v>
      </c>
      <c r="D6127" s="26">
        <v>0.4614583333333333</v>
      </c>
      <c r="E6127" t="s">
        <v>25</v>
      </c>
      <c r="F6127" t="s">
        <v>210</v>
      </c>
      <c r="G6127" t="s">
        <v>211</v>
      </c>
      <c r="H6127" t="s">
        <v>207</v>
      </c>
      <c r="I6127">
        <v>388</v>
      </c>
      <c r="J6127" s="7">
        <v>0</v>
      </c>
      <c r="K6127" s="11">
        <f t="shared" si="381"/>
        <v>1055.3</v>
      </c>
      <c r="L6127" s="7">
        <v>1055.3</v>
      </c>
      <c r="M6127" s="10">
        <f t="shared" si="382"/>
        <v>36.766796171704726</v>
      </c>
    </row>
    <row r="6128" spans="1:13" ht="15.75" hidden="1" customHeight="1" x14ac:dyDescent="0.3">
      <c r="A6128" s="9">
        <v>1290</v>
      </c>
      <c r="B6128" t="s">
        <v>383</v>
      </c>
      <c r="C6128" s="25">
        <v>44621</v>
      </c>
      <c r="D6128" s="26">
        <v>0.65822916666666664</v>
      </c>
      <c r="E6128" t="s">
        <v>26</v>
      </c>
      <c r="F6128" t="s">
        <v>175</v>
      </c>
      <c r="G6128" t="s">
        <v>172</v>
      </c>
      <c r="H6128" t="s">
        <v>182</v>
      </c>
      <c r="I6128">
        <v>336.35</v>
      </c>
      <c r="J6128" s="7">
        <v>0</v>
      </c>
      <c r="K6128" s="89">
        <f t="shared" si="381"/>
        <v>829.84</v>
      </c>
      <c r="L6128" s="32">
        <v>829.84</v>
      </c>
      <c r="M6128" s="10">
        <f t="shared" ref="M6128:M6159" si="383">I6128/K6128*100</f>
        <v>40.531909765737971</v>
      </c>
    </row>
    <row r="6129" spans="1:13" ht="15.75" hidden="1" customHeight="1" x14ac:dyDescent="0.3">
      <c r="A6129" s="9">
        <v>1291</v>
      </c>
      <c r="B6129" t="s">
        <v>383</v>
      </c>
      <c r="C6129" s="25">
        <v>44622</v>
      </c>
      <c r="D6129" s="26">
        <v>0.66039351851851846</v>
      </c>
      <c r="E6129" t="s">
        <v>26</v>
      </c>
      <c r="F6129" t="s">
        <v>210</v>
      </c>
      <c r="G6129" t="s">
        <v>211</v>
      </c>
      <c r="H6129" t="s">
        <v>182</v>
      </c>
      <c r="I6129">
        <v>375.27</v>
      </c>
      <c r="J6129" s="7">
        <v>0</v>
      </c>
      <c r="K6129" s="89">
        <f t="shared" ref="K6129:K6151" si="384">+L6129-J6129</f>
        <v>714.25</v>
      </c>
      <c r="L6129" s="32">
        <v>714.25</v>
      </c>
      <c r="M6129" s="10">
        <f t="shared" si="383"/>
        <v>52.540427021351064</v>
      </c>
    </row>
    <row r="6130" spans="1:13" ht="15.75" hidden="1" customHeight="1" x14ac:dyDescent="0.3">
      <c r="A6130" s="9">
        <v>1292</v>
      </c>
      <c r="B6130" t="s">
        <v>383</v>
      </c>
      <c r="C6130" s="25">
        <v>44623</v>
      </c>
      <c r="D6130" s="26">
        <v>7.1087962962962964E-2</v>
      </c>
      <c r="E6130" t="s">
        <v>26</v>
      </c>
      <c r="F6130" t="s">
        <v>165</v>
      </c>
      <c r="G6130" t="s">
        <v>185</v>
      </c>
      <c r="H6130" t="s">
        <v>182</v>
      </c>
      <c r="I6130">
        <v>200</v>
      </c>
      <c r="J6130" s="7">
        <v>0</v>
      </c>
      <c r="K6130" s="89">
        <f t="shared" si="384"/>
        <v>547.61</v>
      </c>
      <c r="L6130" s="7">
        <v>547.61</v>
      </c>
      <c r="M6130" s="10">
        <f t="shared" si="383"/>
        <v>36.522342543050712</v>
      </c>
    </row>
    <row r="6131" spans="1:13" ht="15.75" hidden="1" customHeight="1" x14ac:dyDescent="0.3">
      <c r="A6131" s="9">
        <v>1293</v>
      </c>
      <c r="B6131" t="s">
        <v>383</v>
      </c>
      <c r="C6131" s="25">
        <v>44623</v>
      </c>
      <c r="D6131" s="26">
        <v>0.77958333333333341</v>
      </c>
      <c r="E6131" t="s">
        <v>26</v>
      </c>
      <c r="F6131" t="s">
        <v>210</v>
      </c>
      <c r="G6131" t="s">
        <v>211</v>
      </c>
      <c r="H6131" t="s">
        <v>182</v>
      </c>
      <c r="I6131">
        <v>267.7</v>
      </c>
      <c r="J6131" s="7">
        <v>0</v>
      </c>
      <c r="K6131" s="89">
        <f t="shared" si="384"/>
        <v>574.79</v>
      </c>
      <c r="L6131" s="34">
        <v>574.79</v>
      </c>
      <c r="M6131" s="10">
        <f t="shared" si="383"/>
        <v>46.573531202700117</v>
      </c>
    </row>
    <row r="6132" spans="1:13" ht="15.75" hidden="1" customHeight="1" x14ac:dyDescent="0.3">
      <c r="A6132" s="9">
        <v>1294</v>
      </c>
      <c r="B6132" t="s">
        <v>383</v>
      </c>
      <c r="C6132" s="25">
        <v>44625</v>
      </c>
      <c r="D6132" s="26">
        <v>0.73902777777777784</v>
      </c>
      <c r="E6132" t="s">
        <v>26</v>
      </c>
      <c r="F6132" t="s">
        <v>171</v>
      </c>
      <c r="G6132" t="s">
        <v>172</v>
      </c>
      <c r="H6132" t="s">
        <v>182</v>
      </c>
      <c r="I6132">
        <v>451.29</v>
      </c>
      <c r="J6132" s="7">
        <v>0</v>
      </c>
      <c r="K6132" s="89">
        <f t="shared" si="384"/>
        <v>1053.94</v>
      </c>
      <c r="L6132" s="32">
        <v>1053.94</v>
      </c>
      <c r="M6132" s="10">
        <f t="shared" si="383"/>
        <v>42.819325578306163</v>
      </c>
    </row>
    <row r="6133" spans="1:13" ht="15.75" hidden="1" customHeight="1" x14ac:dyDescent="0.3">
      <c r="A6133" s="9">
        <v>1295</v>
      </c>
      <c r="B6133" t="s">
        <v>383</v>
      </c>
      <c r="C6133" s="25">
        <v>44627</v>
      </c>
      <c r="D6133" s="26">
        <v>0.63878472222222216</v>
      </c>
      <c r="E6133" t="s">
        <v>26</v>
      </c>
      <c r="F6133" t="s">
        <v>210</v>
      </c>
      <c r="G6133" t="s">
        <v>211</v>
      </c>
      <c r="H6133" t="s">
        <v>182</v>
      </c>
      <c r="I6133">
        <v>367.18</v>
      </c>
      <c r="J6133" s="7">
        <v>0</v>
      </c>
      <c r="K6133" s="89">
        <f t="shared" si="384"/>
        <v>692.75</v>
      </c>
      <c r="L6133" s="33">
        <v>692.75</v>
      </c>
      <c r="M6133" s="10">
        <f t="shared" si="383"/>
        <v>53.003247924936844</v>
      </c>
    </row>
    <row r="6134" spans="1:13" ht="15.75" hidden="1" customHeight="1" x14ac:dyDescent="0.3">
      <c r="A6134" s="9">
        <v>1946</v>
      </c>
      <c r="B6134" t="s">
        <v>383</v>
      </c>
      <c r="C6134" s="25">
        <v>44642</v>
      </c>
      <c r="D6134" s="26">
        <v>0.63245370370370368</v>
      </c>
      <c r="E6134" t="s">
        <v>26</v>
      </c>
      <c r="F6134" t="s">
        <v>331</v>
      </c>
      <c r="G6134" t="s">
        <v>277</v>
      </c>
      <c r="H6134" t="s">
        <v>140</v>
      </c>
      <c r="I6134">
        <v>306.17</v>
      </c>
      <c r="J6134" s="7">
        <v>0</v>
      </c>
      <c r="K6134" s="89">
        <f t="shared" si="384"/>
        <v>278.86</v>
      </c>
      <c r="L6134" s="7">
        <v>278.86</v>
      </c>
      <c r="M6134" s="10">
        <f t="shared" si="383"/>
        <v>109.79344473929571</v>
      </c>
    </row>
    <row r="6135" spans="1:13" ht="15.75" hidden="1" customHeight="1" x14ac:dyDescent="0.3">
      <c r="A6135" s="9">
        <v>1947</v>
      </c>
      <c r="B6135" t="s">
        <v>383</v>
      </c>
      <c r="C6135" s="25">
        <v>44643</v>
      </c>
      <c r="D6135" s="26">
        <v>0.66259259259259262</v>
      </c>
      <c r="E6135" t="s">
        <v>26</v>
      </c>
      <c r="F6135" t="s">
        <v>501</v>
      </c>
      <c r="G6135" t="s">
        <v>502</v>
      </c>
      <c r="H6135" t="s">
        <v>140</v>
      </c>
      <c r="I6135">
        <v>50</v>
      </c>
      <c r="J6135" s="7">
        <v>0</v>
      </c>
      <c r="K6135" s="89">
        <f t="shared" si="384"/>
        <v>346.49</v>
      </c>
      <c r="L6135" s="7">
        <v>346.49</v>
      </c>
      <c r="M6135" s="10">
        <f t="shared" si="383"/>
        <v>14.430430892666454</v>
      </c>
    </row>
    <row r="6136" spans="1:13" ht="15.75" hidden="1" customHeight="1" x14ac:dyDescent="0.3">
      <c r="A6136" s="9">
        <v>1948</v>
      </c>
      <c r="B6136" t="s">
        <v>383</v>
      </c>
      <c r="C6136" s="25">
        <v>44643</v>
      </c>
      <c r="D6136" s="26">
        <v>0.9695138888888889</v>
      </c>
      <c r="E6136" t="s">
        <v>26</v>
      </c>
      <c r="F6136" t="s">
        <v>503</v>
      </c>
      <c r="G6136" t="s">
        <v>504</v>
      </c>
      <c r="H6136" t="s">
        <v>140</v>
      </c>
      <c r="I6136">
        <v>283.64999999999998</v>
      </c>
      <c r="J6136" s="7">
        <v>0</v>
      </c>
      <c r="K6136" s="89">
        <f t="shared" si="384"/>
        <v>418.22</v>
      </c>
      <c r="L6136" s="7">
        <v>418.22</v>
      </c>
      <c r="M6136" s="10">
        <f t="shared" si="383"/>
        <v>67.823155277126858</v>
      </c>
    </row>
    <row r="6137" spans="1:13" ht="15.75" hidden="1" customHeight="1" x14ac:dyDescent="0.3">
      <c r="A6137" s="9">
        <v>1949</v>
      </c>
      <c r="B6137" t="s">
        <v>383</v>
      </c>
      <c r="C6137" s="25">
        <v>44644</v>
      </c>
      <c r="D6137" s="26">
        <v>0.80090277777777785</v>
      </c>
      <c r="E6137" t="s">
        <v>26</v>
      </c>
      <c r="F6137" t="s">
        <v>505</v>
      </c>
      <c r="G6137" t="s">
        <v>506</v>
      </c>
      <c r="H6137" t="s">
        <v>140</v>
      </c>
      <c r="I6137">
        <v>278.47000000000003</v>
      </c>
      <c r="J6137" s="7">
        <v>0</v>
      </c>
      <c r="K6137" s="89">
        <f t="shared" si="384"/>
        <v>589.17999999999995</v>
      </c>
      <c r="L6137" s="7">
        <v>589.17999999999995</v>
      </c>
      <c r="M6137" s="10">
        <f t="shared" si="383"/>
        <v>47.263994025594904</v>
      </c>
    </row>
    <row r="6138" spans="1:13" ht="15.75" hidden="1" customHeight="1" x14ac:dyDescent="0.3">
      <c r="A6138" s="9">
        <v>1950</v>
      </c>
      <c r="B6138" t="s">
        <v>383</v>
      </c>
      <c r="C6138" s="25">
        <v>44649</v>
      </c>
      <c r="D6138" s="26">
        <v>0.61175925925925922</v>
      </c>
      <c r="E6138" t="s">
        <v>26</v>
      </c>
      <c r="F6138" t="s">
        <v>516</v>
      </c>
      <c r="G6138" t="s">
        <v>517</v>
      </c>
      <c r="H6138" t="s">
        <v>140</v>
      </c>
      <c r="I6138">
        <v>100</v>
      </c>
      <c r="J6138" s="7">
        <v>0</v>
      </c>
      <c r="K6138" s="90">
        <f t="shared" si="384"/>
        <v>617</v>
      </c>
      <c r="L6138" s="7">
        <v>617</v>
      </c>
      <c r="M6138" s="10">
        <f t="shared" si="383"/>
        <v>16.207455429497568</v>
      </c>
    </row>
    <row r="6139" spans="1:13" ht="15.75" hidden="1" customHeight="1" x14ac:dyDescent="0.3">
      <c r="A6139" s="9">
        <v>1951</v>
      </c>
      <c r="B6139" t="s">
        <v>383</v>
      </c>
      <c r="C6139" s="25">
        <v>44650</v>
      </c>
      <c r="D6139" s="26">
        <v>0.59894675925925933</v>
      </c>
      <c r="E6139" t="s">
        <v>26</v>
      </c>
      <c r="F6139" t="s">
        <v>526</v>
      </c>
      <c r="G6139" t="s">
        <v>527</v>
      </c>
      <c r="H6139" t="s">
        <v>140</v>
      </c>
      <c r="I6139">
        <v>50</v>
      </c>
      <c r="J6139" s="7">
        <v>0</v>
      </c>
      <c r="K6139" s="90">
        <f t="shared" si="384"/>
        <v>703.53</v>
      </c>
      <c r="L6139" s="7">
        <v>703.53</v>
      </c>
      <c r="M6139" s="10">
        <f t="shared" si="383"/>
        <v>7.1070174690489392</v>
      </c>
    </row>
    <row r="6140" spans="1:13" ht="15.75" hidden="1" customHeight="1" x14ac:dyDescent="0.3">
      <c r="A6140" s="9">
        <v>1952</v>
      </c>
      <c r="B6140" t="s">
        <v>383</v>
      </c>
      <c r="C6140" s="25">
        <v>44651</v>
      </c>
      <c r="D6140" s="26">
        <v>0.54754629629629636</v>
      </c>
      <c r="E6140" t="s">
        <v>26</v>
      </c>
      <c r="F6140" t="s">
        <v>523</v>
      </c>
      <c r="G6140" t="s">
        <v>388</v>
      </c>
      <c r="H6140" t="s">
        <v>140</v>
      </c>
      <c r="I6140">
        <v>300</v>
      </c>
      <c r="J6140" s="51">
        <v>0</v>
      </c>
      <c r="K6140" s="88">
        <f t="shared" si="384"/>
        <v>343.39</v>
      </c>
      <c r="L6140" s="51">
        <v>343.39</v>
      </c>
      <c r="M6140" s="10">
        <f t="shared" si="383"/>
        <v>87.364221439179943</v>
      </c>
    </row>
    <row r="6141" spans="1:13" ht="15.75" hidden="1" customHeight="1" x14ac:dyDescent="0.3">
      <c r="A6141" s="9">
        <v>2478</v>
      </c>
      <c r="B6141" t="s">
        <v>383</v>
      </c>
      <c r="C6141" s="25">
        <v>44653</v>
      </c>
      <c r="D6141" s="26">
        <v>0.51622685185185191</v>
      </c>
      <c r="E6141" t="s">
        <v>27</v>
      </c>
      <c r="F6141" t="s">
        <v>197</v>
      </c>
      <c r="G6141" t="s">
        <v>44</v>
      </c>
      <c r="H6141" t="s">
        <v>182</v>
      </c>
      <c r="I6141" s="4">
        <v>150.6</v>
      </c>
      <c r="J6141" s="39">
        <v>0</v>
      </c>
      <c r="K6141" s="89">
        <f t="shared" si="384"/>
        <v>427.28</v>
      </c>
      <c r="L6141" s="32">
        <v>427.28</v>
      </c>
      <c r="M6141" s="10">
        <f t="shared" si="383"/>
        <v>35.246208575173185</v>
      </c>
    </row>
    <row r="6142" spans="1:13" ht="15.75" hidden="1" customHeight="1" x14ac:dyDescent="0.3">
      <c r="A6142" s="9">
        <v>2479</v>
      </c>
      <c r="B6142" t="s">
        <v>383</v>
      </c>
      <c r="C6142" s="25">
        <v>44653</v>
      </c>
      <c r="D6142" s="26">
        <v>0.92644675925925923</v>
      </c>
      <c r="E6142" t="s">
        <v>27</v>
      </c>
      <c r="F6142" t="s">
        <v>166</v>
      </c>
      <c r="G6142" t="s">
        <v>161</v>
      </c>
      <c r="H6142" t="s">
        <v>182</v>
      </c>
      <c r="I6142" s="128">
        <v>385.86</v>
      </c>
      <c r="J6142" s="39">
        <v>0</v>
      </c>
      <c r="K6142" s="89">
        <f t="shared" si="384"/>
        <v>938.53</v>
      </c>
      <c r="L6142" s="32">
        <v>938.53</v>
      </c>
      <c r="M6142" s="10">
        <f t="shared" si="383"/>
        <v>41.113230264349568</v>
      </c>
    </row>
    <row r="6143" spans="1:13" ht="15.75" hidden="1" customHeight="1" x14ac:dyDescent="0.3">
      <c r="A6143" s="9">
        <v>2480</v>
      </c>
      <c r="B6143" t="s">
        <v>383</v>
      </c>
      <c r="C6143" s="25">
        <v>44665</v>
      </c>
      <c r="D6143" s="26">
        <v>0.73487268518518523</v>
      </c>
      <c r="E6143" t="s">
        <v>27</v>
      </c>
      <c r="F6143" t="s">
        <v>165</v>
      </c>
      <c r="G6143" t="s">
        <v>185</v>
      </c>
      <c r="H6143" t="s">
        <v>182</v>
      </c>
      <c r="I6143" s="128">
        <v>410.02</v>
      </c>
      <c r="J6143" s="7">
        <v>0</v>
      </c>
      <c r="K6143" s="89">
        <f t="shared" si="384"/>
        <v>1269.55</v>
      </c>
      <c r="L6143" s="72">
        <v>1269.55</v>
      </c>
      <c r="M6143" s="10">
        <f t="shared" si="383"/>
        <v>32.296483005789447</v>
      </c>
    </row>
    <row r="6144" spans="1:13" ht="15.75" hidden="1" customHeight="1" x14ac:dyDescent="0.3">
      <c r="A6144" s="9">
        <v>2481</v>
      </c>
      <c r="B6144" t="s">
        <v>383</v>
      </c>
      <c r="C6144" s="25">
        <v>44666</v>
      </c>
      <c r="D6144" s="26">
        <v>0.61832175925925925</v>
      </c>
      <c r="E6144" t="s">
        <v>27</v>
      </c>
      <c r="F6144" t="s">
        <v>210</v>
      </c>
      <c r="G6144" t="s">
        <v>211</v>
      </c>
      <c r="H6144" t="s">
        <v>182</v>
      </c>
      <c r="I6144" s="128">
        <v>184.62</v>
      </c>
      <c r="J6144" s="74">
        <v>0</v>
      </c>
      <c r="K6144" s="89">
        <f t="shared" si="384"/>
        <v>547.13</v>
      </c>
      <c r="L6144" s="38">
        <v>547.13</v>
      </c>
      <c r="M6144" s="10">
        <f t="shared" si="383"/>
        <v>33.743351671449204</v>
      </c>
    </row>
    <row r="6145" spans="1:13" ht="15.75" hidden="1" customHeight="1" x14ac:dyDescent="0.3">
      <c r="A6145" s="9">
        <v>2482</v>
      </c>
      <c r="B6145" t="s">
        <v>383</v>
      </c>
      <c r="C6145" s="25">
        <v>44667</v>
      </c>
      <c r="D6145" s="26">
        <v>0.16233796296296296</v>
      </c>
      <c r="E6145" t="s">
        <v>27</v>
      </c>
      <c r="F6145" t="s">
        <v>175</v>
      </c>
      <c r="G6145" t="s">
        <v>172</v>
      </c>
      <c r="H6145" t="s">
        <v>182</v>
      </c>
      <c r="I6145" s="128">
        <v>225.57</v>
      </c>
      <c r="J6145" s="76">
        <v>0</v>
      </c>
      <c r="K6145" s="89">
        <f t="shared" si="384"/>
        <v>693.54</v>
      </c>
      <c r="L6145" s="32">
        <v>693.54</v>
      </c>
      <c r="M6145" s="10">
        <f t="shared" si="383"/>
        <v>32.524439830435156</v>
      </c>
    </row>
    <row r="6146" spans="1:13" ht="15.75" hidden="1" customHeight="1" x14ac:dyDescent="0.3">
      <c r="A6146" s="9">
        <v>2671</v>
      </c>
      <c r="B6146" t="s">
        <v>383</v>
      </c>
      <c r="C6146" s="25">
        <v>44678</v>
      </c>
      <c r="D6146" s="26">
        <v>0.6946296296296296</v>
      </c>
      <c r="E6146" t="s">
        <v>27</v>
      </c>
      <c r="F6146" t="s">
        <v>197</v>
      </c>
      <c r="G6146" t="s">
        <v>44</v>
      </c>
      <c r="H6146" t="s">
        <v>306</v>
      </c>
      <c r="I6146">
        <v>150.05000000000001</v>
      </c>
      <c r="J6146" s="32">
        <v>0</v>
      </c>
      <c r="K6146" s="89">
        <f t="shared" si="384"/>
        <v>100</v>
      </c>
      <c r="L6146" s="34">
        <v>100</v>
      </c>
      <c r="M6146" s="10">
        <f t="shared" si="383"/>
        <v>150.05000000000001</v>
      </c>
    </row>
    <row r="6147" spans="1:13" ht="15.75" hidden="1" customHeight="1" x14ac:dyDescent="0.3">
      <c r="A6147" s="9">
        <v>2672</v>
      </c>
      <c r="B6147" t="s">
        <v>383</v>
      </c>
      <c r="C6147" s="25">
        <v>44679</v>
      </c>
      <c r="D6147" s="26">
        <v>8.6817129629629633E-2</v>
      </c>
      <c r="E6147" t="s">
        <v>27</v>
      </c>
      <c r="F6147" t="s">
        <v>210</v>
      </c>
      <c r="G6147" t="s">
        <v>211</v>
      </c>
      <c r="H6147" t="s">
        <v>306</v>
      </c>
      <c r="I6147">
        <v>305.83</v>
      </c>
      <c r="J6147" s="32">
        <v>0</v>
      </c>
      <c r="K6147" s="89">
        <f t="shared" si="384"/>
        <v>671</v>
      </c>
      <c r="L6147" s="7">
        <v>671</v>
      </c>
      <c r="M6147" s="10">
        <f t="shared" si="383"/>
        <v>45.578241430700444</v>
      </c>
    </row>
    <row r="6148" spans="1:13" ht="15.75" hidden="1" customHeight="1" x14ac:dyDescent="0.3">
      <c r="A6148" s="9">
        <v>3718</v>
      </c>
      <c r="B6148" t="s">
        <v>383</v>
      </c>
      <c r="C6148" s="25">
        <v>44683</v>
      </c>
      <c r="D6148" s="26">
        <v>0.47331018518518514</v>
      </c>
      <c r="E6148" t="s">
        <v>28</v>
      </c>
      <c r="F6148" t="s">
        <v>175</v>
      </c>
      <c r="G6148" t="s">
        <v>172</v>
      </c>
      <c r="H6148" t="s">
        <v>306</v>
      </c>
      <c r="I6148">
        <v>309.81</v>
      </c>
      <c r="J6148" s="32">
        <v>0</v>
      </c>
      <c r="K6148" s="89">
        <f t="shared" si="384"/>
        <v>704</v>
      </c>
      <c r="L6148" s="32">
        <v>704</v>
      </c>
      <c r="M6148" s="10">
        <f t="shared" si="383"/>
        <v>44.007102272727273</v>
      </c>
    </row>
    <row r="6149" spans="1:13" ht="15.75" hidden="1" customHeight="1" x14ac:dyDescent="0.3">
      <c r="A6149" s="9">
        <v>3799</v>
      </c>
      <c r="B6149" t="s">
        <v>383</v>
      </c>
      <c r="C6149" s="25">
        <v>44685</v>
      </c>
      <c r="D6149" s="26">
        <v>0.11903935185185184</v>
      </c>
      <c r="E6149" t="s">
        <v>28</v>
      </c>
      <c r="F6149" t="s">
        <v>210</v>
      </c>
      <c r="G6149" t="s">
        <v>211</v>
      </c>
      <c r="H6149" t="s">
        <v>306</v>
      </c>
      <c r="I6149">
        <v>326.60000000000002</v>
      </c>
      <c r="J6149" s="32">
        <v>0</v>
      </c>
      <c r="K6149" s="89">
        <f t="shared" si="384"/>
        <v>718</v>
      </c>
      <c r="L6149" s="32">
        <v>718</v>
      </c>
      <c r="M6149" s="10">
        <f t="shared" si="383"/>
        <v>45.487465181058504</v>
      </c>
    </row>
    <row r="6150" spans="1:13" ht="15.75" hidden="1" customHeight="1" x14ac:dyDescent="0.3">
      <c r="A6150" s="9">
        <v>3800</v>
      </c>
      <c r="B6150" t="s">
        <v>383</v>
      </c>
      <c r="C6150" s="25">
        <v>44685</v>
      </c>
      <c r="D6150" s="26">
        <v>0.94873842592592583</v>
      </c>
      <c r="E6150" t="s">
        <v>28</v>
      </c>
      <c r="F6150" t="s">
        <v>165</v>
      </c>
      <c r="G6150" t="s">
        <v>185</v>
      </c>
      <c r="H6150" t="s">
        <v>306</v>
      </c>
      <c r="I6150">
        <v>100</v>
      </c>
      <c r="J6150" s="41">
        <v>0</v>
      </c>
      <c r="K6150" s="89">
        <f t="shared" si="384"/>
        <v>485</v>
      </c>
      <c r="L6150" s="32">
        <v>485</v>
      </c>
      <c r="M6150" s="10">
        <f t="shared" si="383"/>
        <v>20.618556701030926</v>
      </c>
    </row>
    <row r="6151" spans="1:13" ht="15.75" hidden="1" customHeight="1" x14ac:dyDescent="0.3">
      <c r="A6151" s="9">
        <v>3936</v>
      </c>
      <c r="B6151" t="s">
        <v>383</v>
      </c>
      <c r="C6151" s="25">
        <v>44687</v>
      </c>
      <c r="D6151" s="26">
        <v>3.2997685185185185E-2</v>
      </c>
      <c r="E6151" t="s">
        <v>28</v>
      </c>
      <c r="F6151" t="s">
        <v>166</v>
      </c>
      <c r="G6151" t="s">
        <v>161</v>
      </c>
      <c r="H6151" t="s">
        <v>306</v>
      </c>
      <c r="I6151">
        <v>350.01</v>
      </c>
      <c r="J6151" s="41">
        <v>0</v>
      </c>
      <c r="K6151" s="89">
        <f t="shared" si="384"/>
        <v>591</v>
      </c>
      <c r="L6151" s="32">
        <v>591</v>
      </c>
      <c r="M6151" s="10">
        <f t="shared" si="383"/>
        <v>59.223350253807105</v>
      </c>
    </row>
    <row r="6152" spans="1:13" ht="15.75" hidden="1" customHeight="1" x14ac:dyDescent="0.3">
      <c r="A6152" s="9">
        <v>4307</v>
      </c>
      <c r="B6152" t="s">
        <v>383</v>
      </c>
      <c r="C6152" s="25">
        <v>44695</v>
      </c>
      <c r="D6152" s="26">
        <v>0.46011574074074074</v>
      </c>
      <c r="E6152" t="s">
        <v>28</v>
      </c>
      <c r="F6152" t="s">
        <v>175</v>
      </c>
      <c r="G6152" t="s">
        <v>172</v>
      </c>
      <c r="H6152" t="s">
        <v>306</v>
      </c>
      <c r="I6152">
        <v>403.3</v>
      </c>
      <c r="J6152" s="41">
        <v>0</v>
      </c>
      <c r="K6152" s="89">
        <f>+L6152-J6423</f>
        <v>157</v>
      </c>
      <c r="L6152" s="32">
        <v>157</v>
      </c>
      <c r="M6152" s="10">
        <f t="shared" si="383"/>
        <v>256.87898089171972</v>
      </c>
    </row>
    <row r="6153" spans="1:13" ht="15.75" hidden="1" customHeight="1" x14ac:dyDescent="0.3">
      <c r="A6153" s="9">
        <v>4375</v>
      </c>
      <c r="B6153" t="s">
        <v>383</v>
      </c>
      <c r="C6153" s="25">
        <v>44696</v>
      </c>
      <c r="D6153" s="26">
        <v>0.36846064814814811</v>
      </c>
      <c r="E6153" t="s">
        <v>28</v>
      </c>
      <c r="F6153" t="s">
        <v>210</v>
      </c>
      <c r="G6153" t="s">
        <v>211</v>
      </c>
      <c r="H6153" t="s">
        <v>306</v>
      </c>
      <c r="I6153">
        <v>294</v>
      </c>
      <c r="J6153" s="32">
        <v>0</v>
      </c>
      <c r="K6153" s="89">
        <f>+L6153-J6425</f>
        <v>712</v>
      </c>
      <c r="L6153" s="32">
        <v>712</v>
      </c>
      <c r="M6153" s="10">
        <f t="shared" si="383"/>
        <v>41.292134831460672</v>
      </c>
    </row>
    <row r="6154" spans="1:13" ht="15.75" hidden="1" customHeight="1" x14ac:dyDescent="0.3">
      <c r="A6154" s="9">
        <v>4376</v>
      </c>
      <c r="B6154" t="s">
        <v>383</v>
      </c>
      <c r="C6154" s="25">
        <v>44696</v>
      </c>
      <c r="D6154" s="26">
        <v>0.79274305555555558</v>
      </c>
      <c r="E6154" t="s">
        <v>28</v>
      </c>
      <c r="F6154" t="s">
        <v>165</v>
      </c>
      <c r="G6154" t="s">
        <v>185</v>
      </c>
      <c r="H6154" t="s">
        <v>306</v>
      </c>
      <c r="I6154">
        <v>229.76</v>
      </c>
      <c r="J6154" s="32">
        <v>0</v>
      </c>
      <c r="K6154" s="89">
        <f>+L6154-J6426</f>
        <v>550</v>
      </c>
      <c r="L6154" s="32">
        <v>550</v>
      </c>
      <c r="M6154" s="10">
        <f t="shared" si="383"/>
        <v>41.774545454545454</v>
      </c>
    </row>
    <row r="6155" spans="1:13" ht="15.75" hidden="1" customHeight="1" x14ac:dyDescent="0.3">
      <c r="A6155" s="9">
        <v>4498</v>
      </c>
      <c r="B6155" t="s">
        <v>383</v>
      </c>
      <c r="C6155" s="25">
        <v>44698</v>
      </c>
      <c r="D6155" s="26">
        <v>0.46695601851851848</v>
      </c>
      <c r="E6155" t="s">
        <v>28</v>
      </c>
      <c r="F6155" t="s">
        <v>169</v>
      </c>
      <c r="G6155" t="s">
        <v>170</v>
      </c>
      <c r="H6155" t="s">
        <v>306</v>
      </c>
      <c r="I6155">
        <v>100</v>
      </c>
      <c r="J6155" s="32">
        <v>0</v>
      </c>
      <c r="K6155" s="89">
        <f>+L6155-J6424</f>
        <v>1025</v>
      </c>
      <c r="L6155" s="32">
        <v>1025</v>
      </c>
      <c r="M6155" s="10">
        <f t="shared" si="383"/>
        <v>9.7560975609756095</v>
      </c>
    </row>
    <row r="6156" spans="1:13" ht="15.75" hidden="1" customHeight="1" x14ac:dyDescent="0.3">
      <c r="A6156" s="9">
        <v>4542</v>
      </c>
      <c r="B6156" t="s">
        <v>383</v>
      </c>
      <c r="C6156" s="25">
        <v>44699</v>
      </c>
      <c r="D6156" s="26">
        <v>0.58659722222222221</v>
      </c>
      <c r="E6156" t="s">
        <v>28</v>
      </c>
      <c r="F6156" t="s">
        <v>414</v>
      </c>
      <c r="G6156" t="s">
        <v>449</v>
      </c>
      <c r="H6156" t="s">
        <v>306</v>
      </c>
      <c r="I6156">
        <v>150</v>
      </c>
      <c r="J6156" s="53">
        <v>0</v>
      </c>
      <c r="K6156" s="89">
        <f>+L6156-J6425</f>
        <v>726</v>
      </c>
      <c r="L6156" s="32">
        <v>726</v>
      </c>
      <c r="M6156" s="10">
        <f t="shared" si="383"/>
        <v>20.66115702479339</v>
      </c>
    </row>
    <row r="6157" spans="1:13" ht="15.75" hidden="1" customHeight="1" x14ac:dyDescent="0.3">
      <c r="A6157" s="9">
        <v>4543</v>
      </c>
      <c r="B6157" t="s">
        <v>383</v>
      </c>
      <c r="C6157" s="25">
        <v>44699</v>
      </c>
      <c r="D6157" s="26">
        <v>0.62951388888888882</v>
      </c>
      <c r="E6157" t="s">
        <v>28</v>
      </c>
      <c r="F6157" t="s">
        <v>512</v>
      </c>
      <c r="G6157" t="s">
        <v>513</v>
      </c>
      <c r="H6157" t="s">
        <v>306</v>
      </c>
      <c r="I6157">
        <v>240</v>
      </c>
      <c r="J6157" s="53">
        <v>0</v>
      </c>
      <c r="K6157" s="89">
        <f>+L6157-J6426</f>
        <v>36</v>
      </c>
      <c r="L6157" s="32">
        <v>36</v>
      </c>
      <c r="M6157" s="10">
        <f t="shared" si="383"/>
        <v>666.66666666666674</v>
      </c>
    </row>
    <row r="6158" spans="1:13" ht="15.75" hidden="1" customHeight="1" x14ac:dyDescent="0.3">
      <c r="A6158" s="9">
        <v>4554</v>
      </c>
      <c r="B6158" t="s">
        <v>383</v>
      </c>
      <c r="C6158" s="25">
        <v>44699</v>
      </c>
      <c r="D6158" s="26">
        <v>0.96240740740740749</v>
      </c>
      <c r="E6158" t="s">
        <v>28</v>
      </c>
      <c r="F6158" t="s">
        <v>166</v>
      </c>
      <c r="G6158" t="s">
        <v>161</v>
      </c>
      <c r="H6158" t="s">
        <v>306</v>
      </c>
      <c r="I6158">
        <v>212</v>
      </c>
      <c r="J6158" s="53">
        <v>0</v>
      </c>
      <c r="K6158" s="89">
        <f>+L6158-J6427</f>
        <v>511</v>
      </c>
      <c r="L6158" s="32">
        <v>511</v>
      </c>
      <c r="M6158" s="10">
        <f t="shared" si="383"/>
        <v>41.487279843444227</v>
      </c>
    </row>
    <row r="6159" spans="1:13" ht="15.75" hidden="1" customHeight="1" x14ac:dyDescent="0.3">
      <c r="A6159" s="9">
        <v>4603</v>
      </c>
      <c r="B6159" t="s">
        <v>383</v>
      </c>
      <c r="C6159" s="25">
        <v>44700</v>
      </c>
      <c r="D6159" s="26">
        <v>0.97030092592592598</v>
      </c>
      <c r="E6159" t="s">
        <v>28</v>
      </c>
      <c r="F6159" t="s">
        <v>165</v>
      </c>
      <c r="G6159" t="s">
        <v>185</v>
      </c>
      <c r="H6159" t="s">
        <v>306</v>
      </c>
      <c r="I6159">
        <v>283.01</v>
      </c>
      <c r="J6159" s="32">
        <v>0</v>
      </c>
      <c r="K6159" s="89">
        <f>+L6159-J6430</f>
        <v>628</v>
      </c>
      <c r="L6159" s="37">
        <v>628</v>
      </c>
      <c r="M6159" s="10">
        <f t="shared" si="383"/>
        <v>45.065286624203821</v>
      </c>
    </row>
    <row r="6160" spans="1:13" ht="15.75" hidden="1" customHeight="1" x14ac:dyDescent="0.3">
      <c r="A6160" s="9">
        <v>4654</v>
      </c>
      <c r="B6160" t="s">
        <v>383</v>
      </c>
      <c r="C6160" s="25">
        <v>44701</v>
      </c>
      <c r="D6160" s="26">
        <v>0.65327546296296302</v>
      </c>
      <c r="E6160" t="s">
        <v>28</v>
      </c>
      <c r="F6160" t="s">
        <v>210</v>
      </c>
      <c r="G6160" t="s">
        <v>211</v>
      </c>
      <c r="H6160" t="s">
        <v>306</v>
      </c>
      <c r="I6160">
        <v>141.16</v>
      </c>
      <c r="J6160" s="32">
        <v>0</v>
      </c>
      <c r="K6160" s="89">
        <f t="shared" ref="K6160:K6165" si="385">+L6160-J6430</f>
        <v>516</v>
      </c>
      <c r="L6160" s="32">
        <v>516</v>
      </c>
      <c r="M6160" s="10">
        <f t="shared" ref="M6160:M6186" si="386">I6160/K6160*100</f>
        <v>27.356589147286819</v>
      </c>
    </row>
    <row r="6161" spans="1:13" ht="15.75" hidden="1" customHeight="1" x14ac:dyDescent="0.3">
      <c r="A6161" s="9">
        <v>4764</v>
      </c>
      <c r="B6161" t="s">
        <v>383</v>
      </c>
      <c r="C6161" s="25">
        <v>44703</v>
      </c>
      <c r="D6161" s="26">
        <v>0.59201388888888895</v>
      </c>
      <c r="E6161" t="s">
        <v>28</v>
      </c>
      <c r="F6161" t="s">
        <v>197</v>
      </c>
      <c r="G6161" t="s">
        <v>44</v>
      </c>
      <c r="H6161" t="s">
        <v>306</v>
      </c>
      <c r="I6161">
        <v>115.68</v>
      </c>
      <c r="J6161" s="32">
        <v>0</v>
      </c>
      <c r="K6161" s="89">
        <f t="shared" si="385"/>
        <v>-233</v>
      </c>
      <c r="L6161" s="32">
        <v>832</v>
      </c>
      <c r="M6161" s="10">
        <f t="shared" si="386"/>
        <v>-49.648068669527902</v>
      </c>
    </row>
    <row r="6162" spans="1:13" ht="15.75" hidden="1" customHeight="1" x14ac:dyDescent="0.3">
      <c r="A6162" s="9">
        <v>4765</v>
      </c>
      <c r="B6162" t="s">
        <v>383</v>
      </c>
      <c r="C6162" s="25">
        <v>44703</v>
      </c>
      <c r="D6162" s="26">
        <v>0.97024305555555557</v>
      </c>
      <c r="E6162" t="s">
        <v>28</v>
      </c>
      <c r="F6162" t="s">
        <v>210</v>
      </c>
      <c r="G6162" t="s">
        <v>211</v>
      </c>
      <c r="H6162" t="s">
        <v>306</v>
      </c>
      <c r="I6162">
        <v>502.21</v>
      </c>
      <c r="J6162" s="32">
        <v>0</v>
      </c>
      <c r="K6162" s="90">
        <f t="shared" si="385"/>
        <v>588</v>
      </c>
      <c r="L6162" s="32">
        <v>588</v>
      </c>
      <c r="M6162" s="10">
        <f t="shared" si="386"/>
        <v>85.409863945578223</v>
      </c>
    </row>
    <row r="6163" spans="1:13" ht="15.75" hidden="1" customHeight="1" x14ac:dyDescent="0.3">
      <c r="A6163" s="9">
        <v>4818</v>
      </c>
      <c r="B6163" t="s">
        <v>383</v>
      </c>
      <c r="C6163" s="25">
        <v>44704</v>
      </c>
      <c r="D6163" s="26">
        <v>0.72135416666666663</v>
      </c>
      <c r="E6163" t="s">
        <v>28</v>
      </c>
      <c r="F6163" t="s">
        <v>165</v>
      </c>
      <c r="G6163" t="s">
        <v>185</v>
      </c>
      <c r="H6163" t="s">
        <v>306</v>
      </c>
      <c r="I6163">
        <v>249.31</v>
      </c>
      <c r="J6163" s="32">
        <v>0</v>
      </c>
      <c r="K6163" s="90">
        <f t="shared" si="385"/>
        <v>550</v>
      </c>
      <c r="L6163" s="32">
        <v>550</v>
      </c>
      <c r="M6163" s="10">
        <f t="shared" si="386"/>
        <v>45.329090909090908</v>
      </c>
    </row>
    <row r="6164" spans="1:13" ht="15.75" hidden="1" customHeight="1" x14ac:dyDescent="0.3">
      <c r="A6164" s="9">
        <v>4872</v>
      </c>
      <c r="B6164" t="s">
        <v>383</v>
      </c>
      <c r="C6164" s="25">
        <v>44705</v>
      </c>
      <c r="D6164" s="26">
        <v>0.49824074074074076</v>
      </c>
      <c r="E6164" t="s">
        <v>28</v>
      </c>
      <c r="F6164" t="s">
        <v>210</v>
      </c>
      <c r="G6164" t="s">
        <v>211</v>
      </c>
      <c r="H6164" t="s">
        <v>306</v>
      </c>
      <c r="I6164">
        <v>148.05000000000001</v>
      </c>
      <c r="J6164" s="32">
        <v>0</v>
      </c>
      <c r="K6164" s="89">
        <f t="shared" si="385"/>
        <v>517</v>
      </c>
      <c r="L6164" s="37">
        <v>517</v>
      </c>
      <c r="M6164" s="10">
        <f t="shared" si="386"/>
        <v>28.636363636363637</v>
      </c>
    </row>
    <row r="6165" spans="1:13" ht="15.75" hidden="1" customHeight="1" x14ac:dyDescent="0.3">
      <c r="A6165" s="9">
        <v>4923</v>
      </c>
      <c r="B6165" t="s">
        <v>383</v>
      </c>
      <c r="C6165" s="25">
        <v>44706</v>
      </c>
      <c r="D6165" s="26">
        <v>0.68076388888888895</v>
      </c>
      <c r="E6165" t="s">
        <v>28</v>
      </c>
      <c r="F6165" t="s">
        <v>262</v>
      </c>
      <c r="G6165" t="s">
        <v>263</v>
      </c>
      <c r="H6165" t="s">
        <v>306</v>
      </c>
      <c r="I6165">
        <v>200</v>
      </c>
      <c r="J6165" s="32">
        <v>0</v>
      </c>
      <c r="K6165" s="89">
        <f t="shared" si="385"/>
        <v>-227</v>
      </c>
      <c r="L6165" s="32">
        <v>837</v>
      </c>
      <c r="M6165" s="10">
        <f t="shared" si="386"/>
        <v>-88.105726872246692</v>
      </c>
    </row>
    <row r="6166" spans="1:13" ht="15.75" hidden="1" customHeight="1" x14ac:dyDescent="0.3">
      <c r="A6166" s="9">
        <v>4979</v>
      </c>
      <c r="B6166" t="s">
        <v>383</v>
      </c>
      <c r="C6166" s="25">
        <v>44707</v>
      </c>
      <c r="D6166" s="26">
        <v>0.8184027777777777</v>
      </c>
      <c r="E6166" t="s">
        <v>28</v>
      </c>
      <c r="F6166" t="s">
        <v>639</v>
      </c>
      <c r="G6166" t="s">
        <v>44</v>
      </c>
      <c r="H6166" t="s">
        <v>306</v>
      </c>
      <c r="I6166">
        <v>115.68</v>
      </c>
      <c r="J6166" s="32">
        <v>0</v>
      </c>
      <c r="K6166" s="89">
        <f>+L6166-J6435</f>
        <v>-736</v>
      </c>
      <c r="L6166" s="31">
        <v>328</v>
      </c>
      <c r="M6166" s="10">
        <f t="shared" si="386"/>
        <v>-15.717391304347828</v>
      </c>
    </row>
    <row r="6167" spans="1:13" ht="15.75" hidden="1" customHeight="1" x14ac:dyDescent="0.3">
      <c r="A6167" s="9">
        <v>5019</v>
      </c>
      <c r="B6167" t="s">
        <v>383</v>
      </c>
      <c r="C6167" s="25">
        <v>44708</v>
      </c>
      <c r="D6167" s="26">
        <v>0.40866898148148145</v>
      </c>
      <c r="E6167" t="s">
        <v>28</v>
      </c>
      <c r="F6167" t="s">
        <v>661</v>
      </c>
      <c r="G6167" t="s">
        <v>457</v>
      </c>
      <c r="H6167" t="s">
        <v>306</v>
      </c>
      <c r="I6167">
        <v>100</v>
      </c>
      <c r="J6167" s="32">
        <v>0</v>
      </c>
      <c r="K6167" s="89">
        <f>+L6167-J6436</f>
        <v>277</v>
      </c>
      <c r="L6167" s="7">
        <v>277</v>
      </c>
      <c r="M6167" s="10">
        <f t="shared" si="386"/>
        <v>36.101083032490976</v>
      </c>
    </row>
    <row r="6168" spans="1:13" ht="15.75" hidden="1" customHeight="1" x14ac:dyDescent="0.3">
      <c r="A6168" s="9">
        <v>5020</v>
      </c>
      <c r="B6168" t="s">
        <v>383</v>
      </c>
      <c r="C6168" s="25">
        <v>44708</v>
      </c>
      <c r="D6168" s="26">
        <v>0.59721064814814817</v>
      </c>
      <c r="E6168" t="s">
        <v>28</v>
      </c>
      <c r="F6168" t="s">
        <v>634</v>
      </c>
      <c r="G6168" t="s">
        <v>211</v>
      </c>
      <c r="H6168" t="s">
        <v>306</v>
      </c>
      <c r="I6168">
        <v>228.3</v>
      </c>
      <c r="J6168" s="52">
        <v>0</v>
      </c>
      <c r="K6168" s="88">
        <f>+L6168-J6437</f>
        <v>312</v>
      </c>
      <c r="L6168" s="51">
        <v>312</v>
      </c>
      <c r="M6168" s="10">
        <f t="shared" si="386"/>
        <v>73.173076923076934</v>
      </c>
    </row>
    <row r="6169" spans="1:13" ht="15.75" hidden="1" customHeight="1" x14ac:dyDescent="0.3">
      <c r="A6169" s="9">
        <v>5083</v>
      </c>
      <c r="B6169" t="s">
        <v>383</v>
      </c>
      <c r="C6169" s="25">
        <v>44709</v>
      </c>
      <c r="D6169" s="26">
        <v>0.37240740740740735</v>
      </c>
      <c r="E6169" t="s">
        <v>28</v>
      </c>
      <c r="F6169" t="s">
        <v>635</v>
      </c>
      <c r="G6169" t="s">
        <v>185</v>
      </c>
      <c r="H6169" t="s">
        <v>306</v>
      </c>
      <c r="I6169">
        <v>239.32</v>
      </c>
      <c r="J6169" s="52">
        <v>0</v>
      </c>
      <c r="K6169" s="88">
        <f>+L6169-J6438</f>
        <v>551</v>
      </c>
      <c r="L6169" s="51">
        <v>551</v>
      </c>
      <c r="M6169" s="10">
        <f t="shared" si="386"/>
        <v>43.433756805807619</v>
      </c>
    </row>
    <row r="6170" spans="1:13" ht="15.75" hidden="1" customHeight="1" x14ac:dyDescent="0.3">
      <c r="A6170" s="9">
        <v>5135</v>
      </c>
      <c r="B6170" t="s">
        <v>383</v>
      </c>
      <c r="C6170" s="25">
        <v>44710</v>
      </c>
      <c r="D6170" s="26">
        <v>0.4238425925925926</v>
      </c>
      <c r="E6170" t="s">
        <v>28</v>
      </c>
      <c r="F6170" t="s">
        <v>634</v>
      </c>
      <c r="G6170" t="s">
        <v>211</v>
      </c>
      <c r="H6170" t="s">
        <v>306</v>
      </c>
      <c r="I6170">
        <v>219.41</v>
      </c>
      <c r="J6170" s="52">
        <v>0</v>
      </c>
      <c r="K6170" s="88">
        <f>+L6170-J6439</f>
        <v>576</v>
      </c>
      <c r="L6170" s="51">
        <v>576</v>
      </c>
      <c r="M6170" s="10">
        <f t="shared" si="386"/>
        <v>38.092013888888886</v>
      </c>
    </row>
    <row r="6171" spans="1:13" ht="15.75" hidden="1" customHeight="1" x14ac:dyDescent="0.3">
      <c r="A6171" s="9">
        <v>5190</v>
      </c>
      <c r="B6171" t="s">
        <v>383</v>
      </c>
      <c r="C6171" s="25">
        <v>44711</v>
      </c>
      <c r="D6171" s="26">
        <v>0.45034722222222223</v>
      </c>
      <c r="E6171" t="s">
        <v>28</v>
      </c>
      <c r="F6171" t="s">
        <v>637</v>
      </c>
      <c r="G6171" t="s">
        <v>196</v>
      </c>
      <c r="H6171" t="s">
        <v>306</v>
      </c>
      <c r="I6171">
        <v>142.75</v>
      </c>
      <c r="J6171" s="32">
        <v>0</v>
      </c>
      <c r="K6171" s="89">
        <f>+L6171-J6438</f>
        <v>491</v>
      </c>
      <c r="L6171" s="51">
        <v>491</v>
      </c>
      <c r="M6171" s="10">
        <f t="shared" si="386"/>
        <v>29.073319755600814</v>
      </c>
    </row>
    <row r="6172" spans="1:13" ht="15.75" hidden="1" customHeight="1" x14ac:dyDescent="0.3">
      <c r="A6172" s="9">
        <v>5191</v>
      </c>
      <c r="B6172" t="s">
        <v>383</v>
      </c>
      <c r="C6172" s="25">
        <v>44711</v>
      </c>
      <c r="D6172" s="26">
        <v>0.94650462962962967</v>
      </c>
      <c r="E6172" t="s">
        <v>28</v>
      </c>
      <c r="F6172" t="s">
        <v>651</v>
      </c>
      <c r="G6172" t="s">
        <v>172</v>
      </c>
      <c r="H6172" t="s">
        <v>306</v>
      </c>
      <c r="I6172">
        <v>150.06</v>
      </c>
      <c r="J6172" s="32">
        <v>0</v>
      </c>
      <c r="K6172" s="89">
        <f>+L6172-J6439</f>
        <v>443</v>
      </c>
      <c r="L6172" s="51">
        <v>443</v>
      </c>
      <c r="M6172" s="10">
        <f t="shared" si="386"/>
        <v>33.873589164785557</v>
      </c>
    </row>
    <row r="6173" spans="1:13" ht="15.75" hidden="1" customHeight="1" x14ac:dyDescent="0.3">
      <c r="A6173" s="9">
        <v>5274</v>
      </c>
      <c r="B6173" t="s">
        <v>383</v>
      </c>
      <c r="C6173" s="25">
        <v>44713</v>
      </c>
      <c r="D6173" s="26">
        <v>0.43468749999999995</v>
      </c>
      <c r="E6173" t="s">
        <v>29</v>
      </c>
      <c r="F6173" t="s">
        <v>632</v>
      </c>
      <c r="G6173" t="s">
        <v>161</v>
      </c>
      <c r="H6173" t="s">
        <v>306</v>
      </c>
      <c r="I6173" s="130">
        <v>306.52</v>
      </c>
      <c r="J6173" s="32">
        <v>0</v>
      </c>
      <c r="K6173" s="89">
        <f>+L6173-J6439</f>
        <v>759</v>
      </c>
      <c r="L6173" s="7">
        <v>759</v>
      </c>
      <c r="M6173" s="10">
        <f t="shared" si="386"/>
        <v>40.38471673254282</v>
      </c>
    </row>
    <row r="6174" spans="1:13" ht="15.75" hidden="1" customHeight="1" x14ac:dyDescent="0.3">
      <c r="A6174" s="9">
        <v>5331</v>
      </c>
      <c r="B6174" t="s">
        <v>383</v>
      </c>
      <c r="C6174" s="25">
        <v>44714</v>
      </c>
      <c r="D6174" s="26">
        <v>0.11259259259259259</v>
      </c>
      <c r="E6174" t="s">
        <v>29</v>
      </c>
      <c r="F6174" t="s">
        <v>635</v>
      </c>
      <c r="G6174" t="s">
        <v>185</v>
      </c>
      <c r="H6174" t="s">
        <v>306</v>
      </c>
      <c r="I6174" s="130">
        <v>152.44999999999999</v>
      </c>
      <c r="J6174" s="32">
        <v>0</v>
      </c>
      <c r="K6174" s="89">
        <f>+L6174-J6439</f>
        <v>634</v>
      </c>
      <c r="L6174" s="34">
        <v>634</v>
      </c>
      <c r="M6174" s="10">
        <f t="shared" si="386"/>
        <v>24.045741324921131</v>
      </c>
    </row>
    <row r="6175" spans="1:13" ht="15.75" hidden="1" customHeight="1" x14ac:dyDescent="0.3">
      <c r="A6175" s="9">
        <v>5332</v>
      </c>
      <c r="B6175" t="s">
        <v>383</v>
      </c>
      <c r="C6175" s="25">
        <v>44714</v>
      </c>
      <c r="D6175" s="26">
        <v>0.8184837962962962</v>
      </c>
      <c r="E6175" t="s">
        <v>29</v>
      </c>
      <c r="F6175" t="s">
        <v>634</v>
      </c>
      <c r="G6175" t="s">
        <v>211</v>
      </c>
      <c r="H6175" t="s">
        <v>306</v>
      </c>
      <c r="I6175" s="130">
        <v>278.49</v>
      </c>
      <c r="J6175" s="32">
        <v>0</v>
      </c>
      <c r="K6175" s="89">
        <f>+L6175-J6440</f>
        <v>517</v>
      </c>
      <c r="L6175" s="7">
        <v>517</v>
      </c>
      <c r="M6175" s="10">
        <f t="shared" si="386"/>
        <v>53.866537717601545</v>
      </c>
    </row>
    <row r="6176" spans="1:13" ht="15.75" hidden="1" customHeight="1" x14ac:dyDescent="0.3">
      <c r="A6176" s="9">
        <v>5380</v>
      </c>
      <c r="B6176" t="s">
        <v>383</v>
      </c>
      <c r="C6176" s="25">
        <v>44714</v>
      </c>
      <c r="D6176" s="26">
        <v>0.11442129629629628</v>
      </c>
      <c r="E6176" t="s">
        <v>29</v>
      </c>
      <c r="F6176" t="s">
        <v>635</v>
      </c>
      <c r="G6176" t="s">
        <v>185</v>
      </c>
      <c r="H6176" t="s">
        <v>133</v>
      </c>
      <c r="I6176">
        <v>299.39</v>
      </c>
      <c r="J6176" s="32">
        <v>0</v>
      </c>
      <c r="K6176" s="89">
        <f>+L6176-J6347</f>
        <v>-803</v>
      </c>
      <c r="L6176" s="7">
        <v>624</v>
      </c>
      <c r="M6176" s="10">
        <f t="shared" si="386"/>
        <v>-37.283935242839348</v>
      </c>
    </row>
    <row r="6177" spans="1:19" ht="15.75" hidden="1" customHeight="1" x14ac:dyDescent="0.3">
      <c r="A6177" s="9">
        <v>5397</v>
      </c>
      <c r="B6177" t="s">
        <v>383</v>
      </c>
      <c r="C6177" s="25">
        <v>44715</v>
      </c>
      <c r="D6177" s="26">
        <v>0.70070601851851855</v>
      </c>
      <c r="E6177" t="s">
        <v>29</v>
      </c>
      <c r="F6177" t="s">
        <v>637</v>
      </c>
      <c r="G6177" t="s">
        <v>196</v>
      </c>
      <c r="H6177" t="s">
        <v>306</v>
      </c>
      <c r="I6177" s="130">
        <v>158.37</v>
      </c>
      <c r="J6177" s="33">
        <v>0</v>
      </c>
      <c r="K6177" s="89">
        <f>+L6177-J6437</f>
        <v>462</v>
      </c>
      <c r="L6177" s="31">
        <v>462</v>
      </c>
      <c r="M6177" s="10">
        <f t="shared" si="386"/>
        <v>34.279220779220779</v>
      </c>
    </row>
    <row r="6178" spans="1:19" ht="15.75" hidden="1" customHeight="1" x14ac:dyDescent="0.3">
      <c r="A6178" s="9">
        <v>5804</v>
      </c>
      <c r="B6178" t="s">
        <v>383</v>
      </c>
      <c r="C6178" s="25">
        <v>44723</v>
      </c>
      <c r="D6178" s="26">
        <v>0.86297453703703697</v>
      </c>
      <c r="E6178" t="s">
        <v>29</v>
      </c>
      <c r="F6178" t="s">
        <v>651</v>
      </c>
      <c r="G6178" t="s">
        <v>172</v>
      </c>
      <c r="H6178" t="s">
        <v>306</v>
      </c>
      <c r="I6178" s="130">
        <v>284.77999999999997</v>
      </c>
      <c r="J6178" s="32">
        <v>0</v>
      </c>
      <c r="K6178" s="89">
        <f>+L6178-J6417</f>
        <v>672</v>
      </c>
      <c r="L6178" s="7">
        <v>672</v>
      </c>
      <c r="M6178" s="10">
        <f t="shared" si="386"/>
        <v>42.377976190476183</v>
      </c>
    </row>
    <row r="6179" spans="1:19" ht="15.75" hidden="1" customHeight="1" x14ac:dyDescent="0.3">
      <c r="A6179" s="9">
        <v>5868</v>
      </c>
      <c r="B6179" t="s">
        <v>383</v>
      </c>
      <c r="C6179" s="25">
        <v>44724</v>
      </c>
      <c r="D6179" s="26">
        <v>0.76883101851851843</v>
      </c>
      <c r="E6179" t="s">
        <v>29</v>
      </c>
      <c r="F6179" t="s">
        <v>634</v>
      </c>
      <c r="G6179" t="s">
        <v>211</v>
      </c>
      <c r="H6179" t="s">
        <v>306</v>
      </c>
      <c r="I6179">
        <v>298.86</v>
      </c>
      <c r="J6179" s="37">
        <v>0</v>
      </c>
      <c r="K6179" s="89">
        <f>+L6179-J6418</f>
        <v>699</v>
      </c>
      <c r="L6179" s="34">
        <v>699</v>
      </c>
      <c r="M6179" s="10">
        <f t="shared" si="386"/>
        <v>42.75536480686695</v>
      </c>
    </row>
    <row r="6180" spans="1:19" ht="15.75" hidden="1" customHeight="1" x14ac:dyDescent="0.3">
      <c r="A6180" s="9">
        <v>5922</v>
      </c>
      <c r="B6180" t="s">
        <v>383</v>
      </c>
      <c r="C6180" s="25">
        <v>44725</v>
      </c>
      <c r="D6180" s="26">
        <v>0.88552083333333342</v>
      </c>
      <c r="E6180" t="s">
        <v>29</v>
      </c>
      <c r="F6180" t="s">
        <v>634</v>
      </c>
      <c r="G6180" t="s">
        <v>211</v>
      </c>
      <c r="H6180" t="s">
        <v>306</v>
      </c>
      <c r="I6180">
        <v>357.87</v>
      </c>
      <c r="J6180" s="32">
        <v>0</v>
      </c>
      <c r="K6180" s="89">
        <v>914</v>
      </c>
      <c r="L6180" s="7">
        <v>914</v>
      </c>
      <c r="M6180" s="10">
        <f t="shared" si="386"/>
        <v>39.154266958424508</v>
      </c>
      <c r="N6180" s="2"/>
      <c r="O6180" s="2"/>
      <c r="P6180" s="2"/>
      <c r="Q6180" s="2"/>
      <c r="R6180" s="2"/>
      <c r="S6180" s="2"/>
    </row>
    <row r="6181" spans="1:19" ht="15.75" hidden="1" customHeight="1" x14ac:dyDescent="0.3">
      <c r="A6181" s="9">
        <v>6032</v>
      </c>
      <c r="B6181" t="s">
        <v>383</v>
      </c>
      <c r="C6181" s="25">
        <v>44727</v>
      </c>
      <c r="D6181" s="26">
        <v>0.88356481481481486</v>
      </c>
      <c r="E6181" t="s">
        <v>29</v>
      </c>
      <c r="F6181" t="s">
        <v>655</v>
      </c>
      <c r="G6181" t="s">
        <v>170</v>
      </c>
      <c r="H6181" t="s">
        <v>306</v>
      </c>
      <c r="I6181">
        <v>100</v>
      </c>
      <c r="J6181" s="32">
        <v>0</v>
      </c>
      <c r="K6181" s="89">
        <v>515</v>
      </c>
      <c r="L6181" s="7">
        <v>515</v>
      </c>
      <c r="M6181" s="10">
        <f t="shared" si="386"/>
        <v>19.417475728155338</v>
      </c>
    </row>
    <row r="6182" spans="1:19" ht="15.75" hidden="1" customHeight="1" x14ac:dyDescent="0.3">
      <c r="A6182" s="9">
        <v>6143</v>
      </c>
      <c r="B6182" t="s">
        <v>383</v>
      </c>
      <c r="C6182" s="25">
        <v>44729</v>
      </c>
      <c r="D6182" s="26">
        <v>0.52576388888888892</v>
      </c>
      <c r="E6182" t="s">
        <v>29</v>
      </c>
      <c r="F6182" t="s">
        <v>651</v>
      </c>
      <c r="G6182" t="s">
        <v>172</v>
      </c>
      <c r="H6182" t="s">
        <v>306</v>
      </c>
      <c r="I6182">
        <v>318.07</v>
      </c>
      <c r="J6182" s="33">
        <v>0</v>
      </c>
      <c r="K6182" s="94">
        <v>558</v>
      </c>
      <c r="L6182" s="34">
        <v>558</v>
      </c>
      <c r="M6182" s="10">
        <f t="shared" si="386"/>
        <v>57.001792114695334</v>
      </c>
    </row>
    <row r="6183" spans="1:19" ht="15.75" hidden="1" customHeight="1" x14ac:dyDescent="0.3">
      <c r="A6183" s="9">
        <v>6202</v>
      </c>
      <c r="B6183" t="s">
        <v>383</v>
      </c>
      <c r="C6183" s="25">
        <v>44730</v>
      </c>
      <c r="D6183" s="26">
        <v>3.8425925925925923E-3</v>
      </c>
      <c r="E6183" t="s">
        <v>29</v>
      </c>
      <c r="F6183" t="s">
        <v>634</v>
      </c>
      <c r="G6183" t="s">
        <v>211</v>
      </c>
      <c r="H6183" t="s">
        <v>306</v>
      </c>
      <c r="I6183" s="148">
        <v>301.14999999999998</v>
      </c>
      <c r="J6183" s="33">
        <v>0</v>
      </c>
      <c r="K6183" s="94">
        <v>698</v>
      </c>
      <c r="L6183" s="7">
        <v>698</v>
      </c>
      <c r="M6183" s="10">
        <f t="shared" si="386"/>
        <v>43.144699140401144</v>
      </c>
    </row>
    <row r="6184" spans="1:19" ht="15.75" hidden="1" customHeight="1" x14ac:dyDescent="0.3">
      <c r="A6184" s="9">
        <v>6290</v>
      </c>
      <c r="B6184" t="s">
        <v>383</v>
      </c>
      <c r="C6184" s="25">
        <v>44733</v>
      </c>
      <c r="D6184" s="26">
        <v>0.70143518518518511</v>
      </c>
      <c r="E6184" t="s">
        <v>29</v>
      </c>
      <c r="F6184" t="s">
        <v>635</v>
      </c>
      <c r="G6184" t="s">
        <v>185</v>
      </c>
      <c r="H6184" t="s">
        <v>306</v>
      </c>
      <c r="I6184" s="148">
        <v>261.25</v>
      </c>
      <c r="J6184" s="32">
        <v>0</v>
      </c>
      <c r="K6184" s="90">
        <v>559</v>
      </c>
      <c r="L6184" s="7">
        <v>559</v>
      </c>
      <c r="M6184" s="10">
        <f t="shared" si="386"/>
        <v>46.735241502683358</v>
      </c>
    </row>
    <row r="6185" spans="1:19" ht="15.75" hidden="1" customHeight="1" x14ac:dyDescent="0.3">
      <c r="A6185" s="9">
        <v>6327</v>
      </c>
      <c r="B6185" t="s">
        <v>383</v>
      </c>
      <c r="C6185" s="25">
        <v>44734</v>
      </c>
      <c r="D6185" s="26">
        <v>0.89759259259259261</v>
      </c>
      <c r="E6185" t="s">
        <v>29</v>
      </c>
      <c r="F6185" t="s">
        <v>634</v>
      </c>
      <c r="G6185" t="s">
        <v>211</v>
      </c>
      <c r="H6185" t="s">
        <v>306</v>
      </c>
      <c r="I6185" s="148">
        <v>182.72</v>
      </c>
      <c r="J6185" s="32">
        <v>0</v>
      </c>
      <c r="K6185" s="90">
        <v>518</v>
      </c>
      <c r="L6185" s="7">
        <v>518</v>
      </c>
      <c r="M6185" s="10">
        <f t="shared" si="386"/>
        <v>35.274131274131278</v>
      </c>
    </row>
    <row r="6186" spans="1:19" ht="15.75" hidden="1" customHeight="1" x14ac:dyDescent="0.3">
      <c r="A6186" s="9">
        <v>6422</v>
      </c>
      <c r="B6186" t="s">
        <v>383</v>
      </c>
      <c r="C6186" s="25">
        <v>44736</v>
      </c>
      <c r="D6186" s="26">
        <v>0.77440972222222226</v>
      </c>
      <c r="E6186" t="s">
        <v>29</v>
      </c>
      <c r="F6186" t="s">
        <v>637</v>
      </c>
      <c r="G6186" t="s">
        <v>196</v>
      </c>
      <c r="H6186" t="s">
        <v>306</v>
      </c>
      <c r="I6186" s="148">
        <v>100</v>
      </c>
      <c r="J6186" s="33">
        <v>0</v>
      </c>
      <c r="K6186" s="99">
        <v>484</v>
      </c>
      <c r="L6186" s="31">
        <v>484</v>
      </c>
      <c r="M6186" s="131">
        <f t="shared" si="386"/>
        <v>20.66115702479339</v>
      </c>
    </row>
    <row r="6187" spans="1:19" ht="15.75" hidden="1" customHeight="1" x14ac:dyDescent="0.3">
      <c r="B6187" t="s">
        <v>466</v>
      </c>
      <c r="C6187" s="25">
        <v>44760</v>
      </c>
      <c r="D6187" s="26">
        <v>0.9685300925925926</v>
      </c>
      <c r="E6187" t="s">
        <v>30</v>
      </c>
      <c r="F6187" t="s">
        <v>165</v>
      </c>
      <c r="G6187" t="s">
        <v>185</v>
      </c>
      <c r="H6187" t="s">
        <v>15</v>
      </c>
      <c r="I6187" s="160">
        <v>296.12</v>
      </c>
      <c r="J6187" s="160">
        <f>96+479</f>
        <v>575</v>
      </c>
      <c r="K6187" s="160">
        <v>576806</v>
      </c>
      <c r="L6187" s="160">
        <v>1507</v>
      </c>
      <c r="M6187" s="150">
        <f>+J6187/L6187*100</f>
        <v>38.155275381552755</v>
      </c>
    </row>
    <row r="6188" spans="1:19" ht="15.75" hidden="1" customHeight="1" x14ac:dyDescent="0.3">
      <c r="B6188" t="s">
        <v>466</v>
      </c>
      <c r="C6188" s="25">
        <v>44763</v>
      </c>
      <c r="D6188" s="26">
        <v>0.25589120370370372</v>
      </c>
      <c r="E6188" t="s">
        <v>30</v>
      </c>
      <c r="F6188" t="s">
        <v>165</v>
      </c>
      <c r="G6188" t="s">
        <v>185</v>
      </c>
      <c r="H6188" t="s">
        <v>15</v>
      </c>
      <c r="I6188" s="160">
        <v>433.07</v>
      </c>
      <c r="J6188" s="8"/>
      <c r="K6188" s="8"/>
      <c r="L6188" s="8"/>
      <c r="M6188" s="254"/>
    </row>
    <row r="6189" spans="1:19" ht="15.75" hidden="1" customHeight="1" x14ac:dyDescent="0.3">
      <c r="B6189" t="s">
        <v>190</v>
      </c>
      <c r="C6189" s="25">
        <v>44565</v>
      </c>
      <c r="D6189" s="26">
        <v>0.3894097222222222</v>
      </c>
      <c r="E6189" t="s">
        <v>24</v>
      </c>
      <c r="F6189" t="s">
        <v>175</v>
      </c>
      <c r="G6189" t="s">
        <v>172</v>
      </c>
      <c r="H6189" t="s">
        <v>191</v>
      </c>
      <c r="I6189">
        <v>151.09</v>
      </c>
      <c r="J6189" s="34">
        <v>0</v>
      </c>
      <c r="K6189" s="34">
        <f t="shared" ref="K6189:K6220" si="387">+L6189-J6189</f>
        <v>300.49</v>
      </c>
      <c r="L6189" s="34">
        <v>300.49</v>
      </c>
      <c r="M6189" s="61">
        <f t="shared" ref="M6189:M6220" si="388">I6189/K6189*100</f>
        <v>50.281207361309868</v>
      </c>
    </row>
    <row r="6190" spans="1:19" ht="15.75" hidden="1" customHeight="1" x14ac:dyDescent="0.3">
      <c r="B6190" t="s">
        <v>190</v>
      </c>
      <c r="C6190" s="25">
        <v>44566</v>
      </c>
      <c r="D6190" s="26">
        <v>0.74638888888888888</v>
      </c>
      <c r="E6190" t="s">
        <v>24</v>
      </c>
      <c r="F6190" t="s">
        <v>166</v>
      </c>
      <c r="G6190" t="s">
        <v>161</v>
      </c>
      <c r="H6190" t="s">
        <v>191</v>
      </c>
      <c r="I6190">
        <v>281.3</v>
      </c>
      <c r="J6190" s="34">
        <v>0</v>
      </c>
      <c r="K6190" s="30">
        <f t="shared" si="387"/>
        <v>730.2</v>
      </c>
      <c r="L6190" s="7">
        <v>730.2</v>
      </c>
      <c r="M6190" s="10">
        <f t="shared" si="388"/>
        <v>38.52369213913996</v>
      </c>
    </row>
    <row r="6191" spans="1:19" ht="15.75" hidden="1" customHeight="1" x14ac:dyDescent="0.3">
      <c r="B6191" t="s">
        <v>190</v>
      </c>
      <c r="C6191" s="25">
        <v>44568</v>
      </c>
      <c r="D6191" s="26">
        <v>0.3304050925925926</v>
      </c>
      <c r="E6191" t="s">
        <v>24</v>
      </c>
      <c r="F6191" t="s">
        <v>210</v>
      </c>
      <c r="G6191" t="s">
        <v>211</v>
      </c>
      <c r="H6191" t="s">
        <v>191</v>
      </c>
      <c r="I6191">
        <v>432.92</v>
      </c>
      <c r="J6191" s="7">
        <v>0</v>
      </c>
      <c r="K6191" s="73">
        <f t="shared" si="387"/>
        <v>1139.6300000000001</v>
      </c>
      <c r="L6191" s="34">
        <v>1139.6300000000001</v>
      </c>
      <c r="M6191" s="10">
        <f t="shared" si="388"/>
        <v>37.987767959776413</v>
      </c>
    </row>
    <row r="6192" spans="1:19" ht="15.75" hidden="1" customHeight="1" x14ac:dyDescent="0.3">
      <c r="B6192" t="s">
        <v>190</v>
      </c>
      <c r="C6192" s="25">
        <v>44569</v>
      </c>
      <c r="D6192" s="26">
        <v>0.83729166666666666</v>
      </c>
      <c r="E6192" t="s">
        <v>24</v>
      </c>
      <c r="F6192" t="s">
        <v>197</v>
      </c>
      <c r="G6192" t="s">
        <v>44</v>
      </c>
      <c r="H6192" t="s">
        <v>191</v>
      </c>
      <c r="I6192">
        <v>100</v>
      </c>
      <c r="J6192" s="7">
        <v>0</v>
      </c>
      <c r="K6192" s="73">
        <f t="shared" si="387"/>
        <v>1071.1400000000001</v>
      </c>
      <c r="L6192" s="7">
        <v>1071.1400000000001</v>
      </c>
      <c r="M6192" s="10">
        <f t="shared" si="388"/>
        <v>9.3358477883376576</v>
      </c>
    </row>
    <row r="6193" spans="1:13" ht="15.75" hidden="1" customHeight="1" x14ac:dyDescent="0.3">
      <c r="B6193" t="s">
        <v>190</v>
      </c>
      <c r="C6193" s="25">
        <v>44570</v>
      </c>
      <c r="D6193" s="26">
        <v>0.58829861111111115</v>
      </c>
      <c r="E6193" t="s">
        <v>24</v>
      </c>
      <c r="F6193" t="s">
        <v>210</v>
      </c>
      <c r="G6193" t="s">
        <v>211</v>
      </c>
      <c r="H6193" t="s">
        <v>191</v>
      </c>
      <c r="I6193">
        <v>512.97</v>
      </c>
      <c r="J6193" s="7">
        <v>0</v>
      </c>
      <c r="K6193" s="73">
        <f t="shared" si="387"/>
        <v>587.4</v>
      </c>
      <c r="L6193" s="7">
        <v>587.4</v>
      </c>
      <c r="M6193" s="10">
        <f t="shared" si="388"/>
        <v>87.328907048008176</v>
      </c>
    </row>
    <row r="6194" spans="1:13" ht="15.75" hidden="1" customHeight="1" x14ac:dyDescent="0.3">
      <c r="B6194" t="s">
        <v>190</v>
      </c>
      <c r="C6194" s="25">
        <v>44573</v>
      </c>
      <c r="D6194" s="26">
        <v>1.3043981481481483E-2</v>
      </c>
      <c r="E6194" t="s">
        <v>24</v>
      </c>
      <c r="F6194" t="s">
        <v>210</v>
      </c>
      <c r="G6194" t="s">
        <v>211</v>
      </c>
      <c r="H6194" t="s">
        <v>191</v>
      </c>
      <c r="I6194">
        <v>450.43</v>
      </c>
      <c r="J6194" s="7">
        <v>0</v>
      </c>
      <c r="K6194" s="7">
        <f t="shared" si="387"/>
        <v>1124.93</v>
      </c>
      <c r="L6194" s="7">
        <v>1124.93</v>
      </c>
      <c r="M6194" s="10">
        <f t="shared" si="388"/>
        <v>40.040713644404541</v>
      </c>
    </row>
    <row r="6195" spans="1:13" ht="15.75" hidden="1" customHeight="1" x14ac:dyDescent="0.3">
      <c r="B6195" t="s">
        <v>190</v>
      </c>
      <c r="C6195" s="25">
        <v>44574</v>
      </c>
      <c r="D6195" s="26">
        <v>0.84218749999999998</v>
      </c>
      <c r="E6195" t="s">
        <v>24</v>
      </c>
      <c r="F6195" t="s">
        <v>197</v>
      </c>
      <c r="G6195" t="s">
        <v>44</v>
      </c>
      <c r="H6195" t="s">
        <v>191</v>
      </c>
      <c r="I6195">
        <v>100.01</v>
      </c>
      <c r="J6195" s="34">
        <v>0</v>
      </c>
      <c r="K6195" s="11">
        <f t="shared" si="387"/>
        <v>1448.35</v>
      </c>
      <c r="L6195" s="7">
        <v>1448.35</v>
      </c>
      <c r="M6195" s="10">
        <f t="shared" si="388"/>
        <v>6.9050989056512595</v>
      </c>
    </row>
    <row r="6196" spans="1:13" ht="15.75" hidden="1" customHeight="1" x14ac:dyDescent="0.3">
      <c r="B6196" t="s">
        <v>190</v>
      </c>
      <c r="C6196" s="25">
        <v>44575</v>
      </c>
      <c r="D6196" s="26">
        <v>0.51364583333333336</v>
      </c>
      <c r="E6196" t="s">
        <v>24</v>
      </c>
      <c r="F6196" t="s">
        <v>210</v>
      </c>
      <c r="G6196" t="s">
        <v>211</v>
      </c>
      <c r="H6196" t="s">
        <v>191</v>
      </c>
      <c r="I6196">
        <v>553.39</v>
      </c>
      <c r="J6196" s="7">
        <v>0</v>
      </c>
      <c r="K6196" s="73">
        <f t="shared" si="387"/>
        <v>587.36</v>
      </c>
      <c r="L6196" s="7">
        <v>587.36</v>
      </c>
      <c r="M6196" s="10">
        <f t="shared" si="388"/>
        <v>94.216494143285203</v>
      </c>
    </row>
    <row r="6197" spans="1:13" ht="15.75" hidden="1" customHeight="1" x14ac:dyDescent="0.3">
      <c r="B6197" t="s">
        <v>190</v>
      </c>
      <c r="C6197" s="25">
        <v>44579</v>
      </c>
      <c r="D6197" s="26">
        <v>0.35693287037037041</v>
      </c>
      <c r="E6197" t="s">
        <v>24</v>
      </c>
      <c r="F6197" t="s">
        <v>210</v>
      </c>
      <c r="G6197" t="s">
        <v>211</v>
      </c>
      <c r="H6197" t="s">
        <v>191</v>
      </c>
      <c r="I6197">
        <v>429.75</v>
      </c>
      <c r="J6197" s="7">
        <v>0</v>
      </c>
      <c r="K6197" s="73">
        <f t="shared" si="387"/>
        <v>1068.99</v>
      </c>
      <c r="L6197" s="7">
        <v>1068.99</v>
      </c>
      <c r="M6197" s="10">
        <f t="shared" si="388"/>
        <v>40.201498610838264</v>
      </c>
    </row>
    <row r="6198" spans="1:13" ht="15.75" hidden="1" customHeight="1" x14ac:dyDescent="0.3">
      <c r="B6198" t="s">
        <v>190</v>
      </c>
      <c r="C6198" s="25">
        <v>44580</v>
      </c>
      <c r="D6198" s="26">
        <v>0.67734953703703704</v>
      </c>
      <c r="E6198" t="s">
        <v>24</v>
      </c>
      <c r="F6198" t="s">
        <v>175</v>
      </c>
      <c r="G6198" t="s">
        <v>172</v>
      </c>
      <c r="H6198" t="s">
        <v>191</v>
      </c>
      <c r="I6198">
        <v>100</v>
      </c>
      <c r="J6198" s="7">
        <v>0</v>
      </c>
      <c r="K6198" s="73">
        <f t="shared" si="387"/>
        <v>941.7</v>
      </c>
      <c r="L6198" s="7">
        <v>941.7</v>
      </c>
      <c r="M6198" s="10">
        <f t="shared" si="388"/>
        <v>10.619093129446746</v>
      </c>
    </row>
    <row r="6199" spans="1:13" ht="15.75" hidden="1" customHeight="1" x14ac:dyDescent="0.3">
      <c r="B6199" t="s">
        <v>190</v>
      </c>
      <c r="C6199" s="25">
        <v>44581</v>
      </c>
      <c r="D6199" s="26">
        <v>0.8162962962962963</v>
      </c>
      <c r="E6199" t="s">
        <v>24</v>
      </c>
      <c r="F6199" t="s">
        <v>210</v>
      </c>
      <c r="G6199" t="s">
        <v>211</v>
      </c>
      <c r="H6199" t="s">
        <v>191</v>
      </c>
      <c r="I6199">
        <v>605.33000000000004</v>
      </c>
      <c r="J6199" s="7">
        <v>0</v>
      </c>
      <c r="K6199" s="11">
        <f t="shared" si="387"/>
        <v>831.77</v>
      </c>
      <c r="L6199" s="7">
        <v>831.77</v>
      </c>
      <c r="M6199" s="36">
        <f t="shared" si="388"/>
        <v>72.77612801615831</v>
      </c>
    </row>
    <row r="6200" spans="1:13" ht="15.75" hidden="1" customHeight="1" x14ac:dyDescent="0.3">
      <c r="B6200" t="s">
        <v>190</v>
      </c>
      <c r="C6200" s="25">
        <v>44583</v>
      </c>
      <c r="D6200" s="26">
        <v>0.3656712962962963</v>
      </c>
      <c r="E6200" t="s">
        <v>24</v>
      </c>
      <c r="F6200" t="s">
        <v>210</v>
      </c>
      <c r="G6200" t="s">
        <v>211</v>
      </c>
      <c r="H6200" t="s">
        <v>191</v>
      </c>
      <c r="I6200">
        <v>400.02</v>
      </c>
      <c r="J6200" s="7">
        <v>0</v>
      </c>
      <c r="K6200" s="11">
        <f t="shared" si="387"/>
        <v>1063.3399999999999</v>
      </c>
      <c r="L6200" s="7">
        <v>1063.3399999999999</v>
      </c>
      <c r="M6200" s="10">
        <f t="shared" si="388"/>
        <v>37.619199879624581</v>
      </c>
    </row>
    <row r="6201" spans="1:13" ht="15.75" hidden="1" customHeight="1" x14ac:dyDescent="0.3">
      <c r="B6201" t="s">
        <v>190</v>
      </c>
      <c r="C6201" s="25">
        <v>44584</v>
      </c>
      <c r="D6201" s="26">
        <v>0.45375000000000004</v>
      </c>
      <c r="E6201" t="s">
        <v>24</v>
      </c>
      <c r="F6201" t="s">
        <v>175</v>
      </c>
      <c r="G6201" t="s">
        <v>172</v>
      </c>
      <c r="H6201" t="s">
        <v>191</v>
      </c>
      <c r="I6201">
        <v>305.11</v>
      </c>
      <c r="J6201" s="7">
        <v>740375</v>
      </c>
      <c r="K6201" s="11">
        <f t="shared" si="387"/>
        <v>925</v>
      </c>
      <c r="L6201" s="7">
        <v>741300</v>
      </c>
      <c r="M6201" s="10">
        <f t="shared" si="388"/>
        <v>32.984864864864868</v>
      </c>
    </row>
    <row r="6202" spans="1:13" ht="15.75" hidden="1" customHeight="1" x14ac:dyDescent="0.3">
      <c r="A6202" s="9">
        <v>293</v>
      </c>
      <c r="B6202" t="s">
        <v>190</v>
      </c>
      <c r="C6202" s="25">
        <v>44593</v>
      </c>
      <c r="D6202" s="26">
        <v>0.84098379629629638</v>
      </c>
      <c r="E6202" t="s">
        <v>25</v>
      </c>
      <c r="F6202" t="s">
        <v>210</v>
      </c>
      <c r="G6202" t="s">
        <v>211</v>
      </c>
      <c r="H6202" t="s">
        <v>191</v>
      </c>
      <c r="I6202">
        <v>380.02</v>
      </c>
      <c r="J6202" s="7">
        <v>741300</v>
      </c>
      <c r="K6202" s="11">
        <f t="shared" si="387"/>
        <v>900</v>
      </c>
      <c r="L6202" s="7">
        <v>742200</v>
      </c>
      <c r="M6202" s="10">
        <f t="shared" si="388"/>
        <v>42.224444444444444</v>
      </c>
    </row>
    <row r="6203" spans="1:13" ht="15.75" hidden="1" customHeight="1" x14ac:dyDescent="0.3">
      <c r="A6203" s="9">
        <v>294</v>
      </c>
      <c r="B6203" t="s">
        <v>190</v>
      </c>
      <c r="C6203" s="25">
        <v>44594</v>
      </c>
      <c r="D6203" s="26">
        <v>0.93494212962962964</v>
      </c>
      <c r="E6203" t="s">
        <v>25</v>
      </c>
      <c r="F6203" t="s">
        <v>210</v>
      </c>
      <c r="G6203" t="s">
        <v>211</v>
      </c>
      <c r="H6203" t="s">
        <v>191</v>
      </c>
      <c r="I6203">
        <v>382.53</v>
      </c>
      <c r="J6203" s="32">
        <v>742200</v>
      </c>
      <c r="K6203" s="53">
        <f t="shared" si="387"/>
        <v>1080</v>
      </c>
      <c r="L6203" s="7">
        <v>743280</v>
      </c>
      <c r="M6203" s="10">
        <f t="shared" si="388"/>
        <v>35.419444444444444</v>
      </c>
    </row>
    <row r="6204" spans="1:13" ht="15.75" hidden="1" customHeight="1" x14ac:dyDescent="0.3">
      <c r="A6204" s="9">
        <v>295</v>
      </c>
      <c r="B6204" t="s">
        <v>190</v>
      </c>
      <c r="C6204" s="25">
        <v>44597</v>
      </c>
      <c r="D6204" s="26">
        <v>0.39116898148148144</v>
      </c>
      <c r="E6204" t="s">
        <v>25</v>
      </c>
      <c r="F6204" t="s">
        <v>175</v>
      </c>
      <c r="G6204" t="s">
        <v>172</v>
      </c>
      <c r="H6204" t="s">
        <v>191</v>
      </c>
      <c r="I6204">
        <v>200</v>
      </c>
      <c r="J6204" s="32">
        <v>0</v>
      </c>
      <c r="K6204" s="53">
        <f t="shared" si="387"/>
        <v>1167.3900000000001</v>
      </c>
      <c r="L6204" s="34">
        <v>1167.3900000000001</v>
      </c>
      <c r="M6204" s="10">
        <f t="shared" si="388"/>
        <v>17.132235157059764</v>
      </c>
    </row>
    <row r="6205" spans="1:13" ht="15.75" hidden="1" customHeight="1" x14ac:dyDescent="0.3">
      <c r="A6205" s="9">
        <v>296</v>
      </c>
      <c r="B6205" t="s">
        <v>190</v>
      </c>
      <c r="C6205" s="25">
        <v>44597</v>
      </c>
      <c r="D6205" s="26">
        <v>0.83939814814814817</v>
      </c>
      <c r="E6205" t="s">
        <v>25</v>
      </c>
      <c r="F6205" t="s">
        <v>210</v>
      </c>
      <c r="G6205" t="s">
        <v>211</v>
      </c>
      <c r="H6205" t="s">
        <v>191</v>
      </c>
      <c r="I6205">
        <v>518.1</v>
      </c>
      <c r="J6205" s="32">
        <v>0</v>
      </c>
      <c r="K6205" s="53">
        <f t="shared" si="387"/>
        <v>696.14</v>
      </c>
      <c r="L6205" s="7">
        <v>696.14</v>
      </c>
      <c r="M6205" s="10">
        <f t="shared" si="388"/>
        <v>74.424684689861238</v>
      </c>
    </row>
    <row r="6206" spans="1:13" ht="15.75" hidden="1" customHeight="1" x14ac:dyDescent="0.3">
      <c r="A6206" s="9">
        <v>297</v>
      </c>
      <c r="B6206" t="s">
        <v>190</v>
      </c>
      <c r="C6206" s="25">
        <v>44598</v>
      </c>
      <c r="D6206" s="26">
        <v>0.73715277777777777</v>
      </c>
      <c r="E6206" t="s">
        <v>25</v>
      </c>
      <c r="F6206" t="s">
        <v>165</v>
      </c>
      <c r="G6206" t="s">
        <v>185</v>
      </c>
      <c r="H6206" t="s">
        <v>191</v>
      </c>
      <c r="I6206">
        <v>261.27999999999997</v>
      </c>
      <c r="J6206" s="32">
        <v>0</v>
      </c>
      <c r="K6206" s="53">
        <f t="shared" si="387"/>
        <v>548.35</v>
      </c>
      <c r="L6206" s="7">
        <v>548.35</v>
      </c>
      <c r="M6206" s="10">
        <f t="shared" si="388"/>
        <v>47.648399744688604</v>
      </c>
    </row>
    <row r="6207" spans="1:13" ht="15.75" hidden="1" customHeight="1" x14ac:dyDescent="0.3">
      <c r="A6207" s="9">
        <v>298</v>
      </c>
      <c r="B6207" t="s">
        <v>190</v>
      </c>
      <c r="C6207" s="25">
        <v>44599</v>
      </c>
      <c r="D6207" s="26">
        <v>0.72030092592592598</v>
      </c>
      <c r="E6207" t="s">
        <v>25</v>
      </c>
      <c r="F6207" t="s">
        <v>340</v>
      </c>
      <c r="G6207" t="s">
        <v>337</v>
      </c>
      <c r="H6207" t="s">
        <v>191</v>
      </c>
      <c r="I6207">
        <v>235.98</v>
      </c>
      <c r="J6207" s="32">
        <v>0</v>
      </c>
      <c r="K6207" s="53">
        <f t="shared" si="387"/>
        <v>823.68</v>
      </c>
      <c r="L6207" s="7">
        <v>823.68</v>
      </c>
      <c r="M6207" s="10">
        <f t="shared" si="388"/>
        <v>28.649475524475527</v>
      </c>
    </row>
    <row r="6208" spans="1:13" ht="15.75" hidden="1" customHeight="1" x14ac:dyDescent="0.3">
      <c r="A6208" s="9">
        <v>299</v>
      </c>
      <c r="B6208" t="s">
        <v>190</v>
      </c>
      <c r="C6208" s="25">
        <v>44601</v>
      </c>
      <c r="D6208" s="26">
        <v>0.58822916666666669</v>
      </c>
      <c r="E6208" t="s">
        <v>25</v>
      </c>
      <c r="F6208" t="s">
        <v>210</v>
      </c>
      <c r="G6208" t="s">
        <v>211</v>
      </c>
      <c r="H6208" t="s">
        <v>191</v>
      </c>
      <c r="I6208">
        <v>485.84</v>
      </c>
      <c r="J6208" s="32">
        <v>0</v>
      </c>
      <c r="K6208" s="53">
        <f t="shared" si="387"/>
        <v>1318.14</v>
      </c>
      <c r="L6208" s="32">
        <v>1318.14</v>
      </c>
      <c r="M6208" s="10">
        <f t="shared" si="388"/>
        <v>36.857996874383595</v>
      </c>
    </row>
    <row r="6209" spans="1:13" ht="15.75" hidden="1" customHeight="1" x14ac:dyDescent="0.3">
      <c r="A6209" s="9">
        <v>300</v>
      </c>
      <c r="B6209" t="s">
        <v>190</v>
      </c>
      <c r="C6209" s="25">
        <v>44603</v>
      </c>
      <c r="D6209" s="26">
        <v>0.49886574074074069</v>
      </c>
      <c r="E6209" t="s">
        <v>25</v>
      </c>
      <c r="F6209" t="s">
        <v>175</v>
      </c>
      <c r="G6209" t="s">
        <v>172</v>
      </c>
      <c r="H6209" t="s">
        <v>191</v>
      </c>
      <c r="I6209">
        <v>200</v>
      </c>
      <c r="J6209" s="32">
        <v>0</v>
      </c>
      <c r="K6209" s="53">
        <f t="shared" si="387"/>
        <v>1014.54</v>
      </c>
      <c r="L6209" s="7">
        <v>1014.54</v>
      </c>
      <c r="M6209" s="10">
        <f t="shared" si="388"/>
        <v>19.71336763459302</v>
      </c>
    </row>
    <row r="6210" spans="1:13" ht="15.75" hidden="1" customHeight="1" x14ac:dyDescent="0.3">
      <c r="A6210" s="9">
        <v>301</v>
      </c>
      <c r="B6210" t="s">
        <v>190</v>
      </c>
      <c r="C6210" s="25">
        <v>44604</v>
      </c>
      <c r="D6210" s="26">
        <v>0.50553240740740735</v>
      </c>
      <c r="E6210" t="s">
        <v>25</v>
      </c>
      <c r="F6210" t="s">
        <v>210</v>
      </c>
      <c r="G6210" t="s">
        <v>211</v>
      </c>
      <c r="H6210" t="s">
        <v>191</v>
      </c>
      <c r="I6210">
        <v>521.61</v>
      </c>
      <c r="J6210" s="32">
        <v>0</v>
      </c>
      <c r="K6210" s="53">
        <f t="shared" si="387"/>
        <v>830.2</v>
      </c>
      <c r="L6210" s="7">
        <v>830.2</v>
      </c>
      <c r="M6210" s="10">
        <f t="shared" si="388"/>
        <v>62.829438689472418</v>
      </c>
    </row>
    <row r="6211" spans="1:13" ht="15.75" hidden="1" customHeight="1" x14ac:dyDescent="0.3">
      <c r="A6211" s="9">
        <v>302</v>
      </c>
      <c r="B6211" t="s">
        <v>190</v>
      </c>
      <c r="C6211" s="25">
        <v>44606</v>
      </c>
      <c r="D6211" s="26">
        <v>0.33978009259259262</v>
      </c>
      <c r="E6211" t="s">
        <v>25</v>
      </c>
      <c r="F6211" t="s">
        <v>340</v>
      </c>
      <c r="G6211" t="s">
        <v>337</v>
      </c>
      <c r="H6211" t="s">
        <v>191</v>
      </c>
      <c r="I6211">
        <v>487.17</v>
      </c>
      <c r="J6211" s="32">
        <v>0</v>
      </c>
      <c r="K6211" s="53">
        <f t="shared" si="387"/>
        <v>1321.41</v>
      </c>
      <c r="L6211" s="7">
        <v>1321.41</v>
      </c>
      <c r="M6211" s="10">
        <f t="shared" si="388"/>
        <v>36.867437055872138</v>
      </c>
    </row>
    <row r="6212" spans="1:13" ht="15.75" hidden="1" customHeight="1" x14ac:dyDescent="0.3">
      <c r="A6212" s="9">
        <v>303</v>
      </c>
      <c r="B6212" t="s">
        <v>190</v>
      </c>
      <c r="C6212" s="25">
        <v>44608</v>
      </c>
      <c r="D6212" s="26">
        <v>0.38114583333333335</v>
      </c>
      <c r="E6212" t="s">
        <v>25</v>
      </c>
      <c r="F6212" t="s">
        <v>210</v>
      </c>
      <c r="G6212" t="s">
        <v>211</v>
      </c>
      <c r="H6212" t="s">
        <v>191</v>
      </c>
      <c r="I6212">
        <v>476.98</v>
      </c>
      <c r="J6212" s="32">
        <v>0</v>
      </c>
      <c r="K6212" s="53">
        <f t="shared" si="387"/>
        <v>1377.27</v>
      </c>
      <c r="L6212" s="32">
        <v>1377.27</v>
      </c>
      <c r="M6212" s="10">
        <f t="shared" si="388"/>
        <v>34.632279799893993</v>
      </c>
    </row>
    <row r="6213" spans="1:13" ht="15.75" hidden="1" customHeight="1" x14ac:dyDescent="0.3">
      <c r="A6213" s="9">
        <v>304</v>
      </c>
      <c r="B6213" t="s">
        <v>190</v>
      </c>
      <c r="C6213" s="25">
        <v>44609</v>
      </c>
      <c r="D6213" s="26">
        <v>0.5360300925925926</v>
      </c>
      <c r="E6213" t="s">
        <v>25</v>
      </c>
      <c r="F6213" t="s">
        <v>428</v>
      </c>
      <c r="G6213" t="s">
        <v>429</v>
      </c>
      <c r="H6213" t="s">
        <v>191</v>
      </c>
      <c r="I6213">
        <v>200</v>
      </c>
      <c r="J6213" s="32">
        <v>0</v>
      </c>
      <c r="K6213" s="53">
        <f t="shared" si="387"/>
        <v>893.34</v>
      </c>
      <c r="L6213" s="7">
        <v>893.34</v>
      </c>
      <c r="M6213" s="10">
        <f t="shared" si="388"/>
        <v>22.387892627666957</v>
      </c>
    </row>
    <row r="6214" spans="1:13" ht="15.75" hidden="1" customHeight="1" x14ac:dyDescent="0.3">
      <c r="A6214" s="9">
        <v>305</v>
      </c>
      <c r="B6214" t="s">
        <v>190</v>
      </c>
      <c r="C6214" s="25">
        <v>44610</v>
      </c>
      <c r="D6214" s="26">
        <v>0.69150462962962955</v>
      </c>
      <c r="E6214" t="s">
        <v>25</v>
      </c>
      <c r="F6214" t="s">
        <v>210</v>
      </c>
      <c r="G6214" t="s">
        <v>211</v>
      </c>
      <c r="H6214" t="s">
        <v>191</v>
      </c>
      <c r="I6214">
        <v>469.48</v>
      </c>
      <c r="J6214" s="53">
        <v>0</v>
      </c>
      <c r="K6214" s="53">
        <f t="shared" si="387"/>
        <v>837.61</v>
      </c>
      <c r="L6214" s="7">
        <v>837.61</v>
      </c>
      <c r="M6214" s="10">
        <f t="shared" si="388"/>
        <v>56.049951648141736</v>
      </c>
    </row>
    <row r="6215" spans="1:13" ht="15.75" hidden="1" customHeight="1" x14ac:dyDescent="0.3">
      <c r="A6215" s="9">
        <v>306</v>
      </c>
      <c r="B6215" t="s">
        <v>190</v>
      </c>
      <c r="C6215" s="25">
        <v>44612</v>
      </c>
      <c r="D6215" s="26">
        <v>0.42664351851851851</v>
      </c>
      <c r="E6215" t="s">
        <v>25</v>
      </c>
      <c r="F6215" t="s">
        <v>210</v>
      </c>
      <c r="G6215" t="s">
        <v>211</v>
      </c>
      <c r="H6215" t="s">
        <v>191</v>
      </c>
      <c r="I6215">
        <v>387.36</v>
      </c>
      <c r="J6215" s="53">
        <v>0</v>
      </c>
      <c r="K6215" s="53">
        <f t="shared" si="387"/>
        <v>1063.17</v>
      </c>
      <c r="L6215" s="7">
        <v>1063.17</v>
      </c>
      <c r="M6215" s="10">
        <f t="shared" si="388"/>
        <v>36.434436637602644</v>
      </c>
    </row>
    <row r="6216" spans="1:13" ht="15.75" hidden="1" customHeight="1" x14ac:dyDescent="0.3">
      <c r="A6216" s="9">
        <v>307</v>
      </c>
      <c r="B6216" t="s">
        <v>190</v>
      </c>
      <c r="C6216" s="25">
        <v>44613</v>
      </c>
      <c r="D6216" s="26">
        <v>0.77081018518518529</v>
      </c>
      <c r="E6216" t="s">
        <v>25</v>
      </c>
      <c r="F6216" t="s">
        <v>175</v>
      </c>
      <c r="G6216" t="s">
        <v>172</v>
      </c>
      <c r="H6216" t="s">
        <v>191</v>
      </c>
      <c r="I6216">
        <v>317.98</v>
      </c>
      <c r="J6216" s="53">
        <v>0</v>
      </c>
      <c r="K6216" s="53">
        <f t="shared" si="387"/>
        <v>400.11</v>
      </c>
      <c r="L6216" s="7">
        <v>400.11</v>
      </c>
      <c r="M6216" s="10">
        <f t="shared" si="388"/>
        <v>79.473144885156586</v>
      </c>
    </row>
    <row r="6217" spans="1:13" ht="15.75" hidden="1" customHeight="1" x14ac:dyDescent="0.3">
      <c r="A6217" s="9">
        <v>1342</v>
      </c>
      <c r="B6217" t="s">
        <v>190</v>
      </c>
      <c r="C6217" s="25">
        <v>44623</v>
      </c>
      <c r="D6217" s="26">
        <v>0.64481481481481484</v>
      </c>
      <c r="E6217" t="s">
        <v>26</v>
      </c>
      <c r="F6217" t="s">
        <v>210</v>
      </c>
      <c r="G6217" t="s">
        <v>211</v>
      </c>
      <c r="H6217" t="s">
        <v>191</v>
      </c>
      <c r="I6217">
        <v>505.02</v>
      </c>
      <c r="J6217" s="7">
        <v>0</v>
      </c>
      <c r="K6217" s="89">
        <f t="shared" si="387"/>
        <v>1232.9000000000001</v>
      </c>
      <c r="L6217" s="34">
        <v>1232.9000000000001</v>
      </c>
      <c r="M6217" s="10">
        <f t="shared" si="388"/>
        <v>40.961959607429634</v>
      </c>
    </row>
    <row r="6218" spans="1:13" ht="15.75" hidden="1" customHeight="1" x14ac:dyDescent="0.3">
      <c r="A6218" s="9">
        <v>1343</v>
      </c>
      <c r="B6218" t="s">
        <v>190</v>
      </c>
      <c r="C6218" s="25">
        <v>44624</v>
      </c>
      <c r="D6218" s="26">
        <v>0.97986111111111107</v>
      </c>
      <c r="E6218" t="s">
        <v>26</v>
      </c>
      <c r="F6218" t="s">
        <v>210</v>
      </c>
      <c r="G6218" t="s">
        <v>211</v>
      </c>
      <c r="H6218" t="s">
        <v>191</v>
      </c>
      <c r="I6218">
        <v>390.73</v>
      </c>
      <c r="J6218" s="7">
        <v>0</v>
      </c>
      <c r="K6218" s="89">
        <f t="shared" si="387"/>
        <v>1062.96</v>
      </c>
      <c r="L6218" s="7">
        <v>1062.96</v>
      </c>
      <c r="M6218" s="10">
        <f t="shared" si="388"/>
        <v>36.75867389177391</v>
      </c>
    </row>
    <row r="6219" spans="1:13" ht="15.75" hidden="1" customHeight="1" x14ac:dyDescent="0.3">
      <c r="A6219" s="9">
        <v>1344</v>
      </c>
      <c r="B6219" t="s">
        <v>190</v>
      </c>
      <c r="C6219" s="25">
        <v>44626</v>
      </c>
      <c r="D6219" s="26">
        <v>0.45425925925925931</v>
      </c>
      <c r="E6219" t="s">
        <v>26</v>
      </c>
      <c r="F6219" t="s">
        <v>428</v>
      </c>
      <c r="G6219" t="s">
        <v>429</v>
      </c>
      <c r="H6219" t="s">
        <v>191</v>
      </c>
      <c r="I6219">
        <v>250.25</v>
      </c>
      <c r="J6219" s="7">
        <v>0</v>
      </c>
      <c r="K6219" s="89">
        <f t="shared" si="387"/>
        <v>903.94</v>
      </c>
      <c r="L6219" s="34">
        <v>903.94</v>
      </c>
      <c r="M6219" s="10">
        <f t="shared" si="388"/>
        <v>27.684359581388147</v>
      </c>
    </row>
    <row r="6220" spans="1:13" ht="15.75" hidden="1" customHeight="1" x14ac:dyDescent="0.3">
      <c r="A6220" s="9">
        <v>1345</v>
      </c>
      <c r="B6220" t="s">
        <v>190</v>
      </c>
      <c r="C6220" s="25">
        <v>44627</v>
      </c>
      <c r="D6220" s="26">
        <v>0.81054398148148143</v>
      </c>
      <c r="E6220" t="s">
        <v>26</v>
      </c>
      <c r="F6220" t="s">
        <v>210</v>
      </c>
      <c r="G6220" t="s">
        <v>211</v>
      </c>
      <c r="H6220" t="s">
        <v>191</v>
      </c>
      <c r="I6220">
        <v>428.73</v>
      </c>
      <c r="J6220" s="7">
        <v>0</v>
      </c>
      <c r="K6220" s="89">
        <f t="shared" si="387"/>
        <v>843.83</v>
      </c>
      <c r="L6220" s="31">
        <v>843.83</v>
      </c>
      <c r="M6220" s="10">
        <f t="shared" si="388"/>
        <v>50.807627128687059</v>
      </c>
    </row>
    <row r="6221" spans="1:13" ht="15.75" hidden="1" customHeight="1" x14ac:dyDescent="0.3">
      <c r="A6221" s="9">
        <v>1346</v>
      </c>
      <c r="B6221" t="s">
        <v>190</v>
      </c>
      <c r="C6221" s="25">
        <v>44629</v>
      </c>
      <c r="D6221" s="26">
        <v>0.90791666666666659</v>
      </c>
      <c r="E6221" t="s">
        <v>26</v>
      </c>
      <c r="F6221" t="s">
        <v>210</v>
      </c>
      <c r="G6221" t="s">
        <v>211</v>
      </c>
      <c r="H6221" t="s">
        <v>191</v>
      </c>
      <c r="I6221">
        <v>445.09</v>
      </c>
      <c r="J6221" s="7">
        <v>0</v>
      </c>
      <c r="K6221" s="89">
        <f t="shared" ref="K6221:K6249" si="389">+L6221-J6221</f>
        <v>1134.29</v>
      </c>
      <c r="L6221" s="7">
        <v>1134.29</v>
      </c>
      <c r="M6221" s="10">
        <f t="shared" ref="M6221:M6252" si="390">I6221/K6221*100</f>
        <v>39.239524283913283</v>
      </c>
    </row>
    <row r="6222" spans="1:13" ht="15.75" hidden="1" customHeight="1" x14ac:dyDescent="0.3">
      <c r="A6222" s="9">
        <v>1347</v>
      </c>
      <c r="B6222" t="s">
        <v>190</v>
      </c>
      <c r="C6222" s="25">
        <v>44631</v>
      </c>
      <c r="D6222" s="26">
        <v>0.48591435185185183</v>
      </c>
      <c r="E6222" t="s">
        <v>26</v>
      </c>
      <c r="F6222" t="s">
        <v>175</v>
      </c>
      <c r="G6222" t="s">
        <v>172</v>
      </c>
      <c r="H6222" t="s">
        <v>191</v>
      </c>
      <c r="I6222">
        <v>200</v>
      </c>
      <c r="J6222" s="7">
        <v>0</v>
      </c>
      <c r="K6222" s="89">
        <f t="shared" si="389"/>
        <v>1014.97</v>
      </c>
      <c r="L6222" s="7">
        <v>1014.97</v>
      </c>
      <c r="M6222" s="10">
        <f t="shared" si="390"/>
        <v>19.705015911800349</v>
      </c>
    </row>
    <row r="6223" spans="1:13" ht="15.75" hidden="1" customHeight="1" x14ac:dyDescent="0.3">
      <c r="A6223" s="9">
        <v>1348</v>
      </c>
      <c r="B6223" t="s">
        <v>190</v>
      </c>
      <c r="C6223" s="25">
        <v>44632</v>
      </c>
      <c r="D6223" s="26">
        <v>0.56533564814814818</v>
      </c>
      <c r="E6223" t="s">
        <v>26</v>
      </c>
      <c r="F6223" t="s">
        <v>210</v>
      </c>
      <c r="G6223" t="s">
        <v>211</v>
      </c>
      <c r="H6223" t="s">
        <v>191</v>
      </c>
      <c r="I6223">
        <v>493.23</v>
      </c>
      <c r="J6223" s="7">
        <v>0</v>
      </c>
      <c r="K6223" s="89">
        <f t="shared" si="389"/>
        <v>871.52</v>
      </c>
      <c r="L6223" s="34">
        <v>871.52</v>
      </c>
      <c r="M6223" s="10">
        <f t="shared" si="390"/>
        <v>56.594226179548379</v>
      </c>
    </row>
    <row r="6224" spans="1:13" ht="15.75" hidden="1" customHeight="1" x14ac:dyDescent="0.3">
      <c r="A6224" s="9">
        <v>1349</v>
      </c>
      <c r="B6224" t="s">
        <v>190</v>
      </c>
      <c r="C6224" s="25">
        <v>44633</v>
      </c>
      <c r="D6224" s="26">
        <v>0.62761574074074067</v>
      </c>
      <c r="E6224" t="s">
        <v>26</v>
      </c>
      <c r="F6224" t="s">
        <v>210</v>
      </c>
      <c r="G6224" t="s">
        <v>211</v>
      </c>
      <c r="H6224" t="s">
        <v>191</v>
      </c>
      <c r="I6224">
        <v>311.33</v>
      </c>
      <c r="J6224" s="7">
        <v>0</v>
      </c>
      <c r="K6224" s="89">
        <f t="shared" si="389"/>
        <v>884.71</v>
      </c>
      <c r="L6224" s="31">
        <v>884.71</v>
      </c>
      <c r="M6224" s="10">
        <f t="shared" si="390"/>
        <v>35.190062280295237</v>
      </c>
    </row>
    <row r="6225" spans="1:13" ht="15.75" hidden="1" customHeight="1" x14ac:dyDescent="0.3">
      <c r="A6225" s="9">
        <v>1350</v>
      </c>
      <c r="B6225" t="s">
        <v>190</v>
      </c>
      <c r="C6225" s="25">
        <v>44637</v>
      </c>
      <c r="D6225" s="26">
        <v>0.73138888888888898</v>
      </c>
      <c r="E6225" t="s">
        <v>26</v>
      </c>
      <c r="F6225" t="s">
        <v>488</v>
      </c>
      <c r="G6225" t="s">
        <v>489</v>
      </c>
      <c r="H6225" t="s">
        <v>191</v>
      </c>
      <c r="I6225">
        <v>563.30999999999995</v>
      </c>
      <c r="J6225" s="7">
        <v>0</v>
      </c>
      <c r="K6225" s="89">
        <f t="shared" si="389"/>
        <v>1536.4</v>
      </c>
      <c r="L6225" s="7">
        <v>1536.4</v>
      </c>
      <c r="M6225" s="10">
        <f t="shared" si="390"/>
        <v>36.664280135381404</v>
      </c>
    </row>
    <row r="6226" spans="1:13" ht="15.75" hidden="1" customHeight="1" x14ac:dyDescent="0.3">
      <c r="A6226" s="9">
        <v>1351</v>
      </c>
      <c r="B6226" t="s">
        <v>190</v>
      </c>
      <c r="C6226" s="25">
        <v>44638</v>
      </c>
      <c r="D6226" s="26">
        <v>0.92775462962962962</v>
      </c>
      <c r="E6226" t="s">
        <v>26</v>
      </c>
      <c r="F6226" t="s">
        <v>210</v>
      </c>
      <c r="G6226" t="s">
        <v>211</v>
      </c>
      <c r="H6226" t="s">
        <v>191</v>
      </c>
      <c r="I6226">
        <v>490.01</v>
      </c>
      <c r="J6226" s="7">
        <v>0</v>
      </c>
      <c r="K6226" s="94">
        <f t="shared" si="389"/>
        <v>1312.9</v>
      </c>
      <c r="L6226" s="7">
        <v>1312.9</v>
      </c>
      <c r="M6226" s="36">
        <f t="shared" si="390"/>
        <v>37.32272069464544</v>
      </c>
    </row>
    <row r="6227" spans="1:13" ht="15.75" hidden="1" customHeight="1" x14ac:dyDescent="0.3">
      <c r="A6227" s="9">
        <v>1352</v>
      </c>
      <c r="B6227" t="s">
        <v>190</v>
      </c>
      <c r="C6227" s="25">
        <v>44640</v>
      </c>
      <c r="D6227" s="26">
        <v>0.47009259259259256</v>
      </c>
      <c r="E6227" t="s">
        <v>26</v>
      </c>
      <c r="F6227" t="s">
        <v>428</v>
      </c>
      <c r="G6227" t="s">
        <v>429</v>
      </c>
      <c r="H6227" t="s">
        <v>191</v>
      </c>
      <c r="I6227">
        <v>341.1</v>
      </c>
      <c r="J6227" s="7">
        <v>0</v>
      </c>
      <c r="K6227" s="89">
        <f t="shared" si="389"/>
        <v>938.5</v>
      </c>
      <c r="L6227" s="34">
        <v>938.5</v>
      </c>
      <c r="M6227" s="10">
        <f t="shared" si="390"/>
        <v>36.345231752797019</v>
      </c>
    </row>
    <row r="6228" spans="1:13" ht="15.75" hidden="1" customHeight="1" x14ac:dyDescent="0.3">
      <c r="A6228" s="9">
        <v>1353</v>
      </c>
      <c r="B6228" t="s">
        <v>190</v>
      </c>
      <c r="C6228" s="25">
        <v>44642</v>
      </c>
      <c r="D6228" s="26">
        <v>0.59534722222222225</v>
      </c>
      <c r="E6228" t="s">
        <v>26</v>
      </c>
      <c r="F6228" t="s">
        <v>210</v>
      </c>
      <c r="G6228" t="s">
        <v>211</v>
      </c>
      <c r="H6228" t="s">
        <v>191</v>
      </c>
      <c r="I6228">
        <v>416.89</v>
      </c>
      <c r="J6228" s="7">
        <v>0</v>
      </c>
      <c r="K6228" s="94">
        <f t="shared" si="389"/>
        <v>1037.44</v>
      </c>
      <c r="L6228" s="7">
        <v>1037.44</v>
      </c>
      <c r="M6228" s="10">
        <f t="shared" si="390"/>
        <v>40.18449259716224</v>
      </c>
    </row>
    <row r="6229" spans="1:13" ht="15.75" hidden="1" customHeight="1" x14ac:dyDescent="0.3">
      <c r="A6229" s="9">
        <v>1354</v>
      </c>
      <c r="B6229" t="s">
        <v>190</v>
      </c>
      <c r="C6229" s="25">
        <v>44643</v>
      </c>
      <c r="D6229" s="26">
        <v>0.88763888888888898</v>
      </c>
      <c r="E6229" t="s">
        <v>26</v>
      </c>
      <c r="F6229" t="s">
        <v>210</v>
      </c>
      <c r="G6229" t="s">
        <v>211</v>
      </c>
      <c r="H6229" t="s">
        <v>191</v>
      </c>
      <c r="I6229">
        <v>393.99</v>
      </c>
      <c r="J6229" s="7">
        <v>0</v>
      </c>
      <c r="K6229" s="94">
        <f t="shared" si="389"/>
        <v>911.33</v>
      </c>
      <c r="L6229" s="34">
        <v>911.33</v>
      </c>
      <c r="M6229" s="10">
        <f t="shared" si="390"/>
        <v>43.232418553103699</v>
      </c>
    </row>
    <row r="6230" spans="1:13" ht="15.75" hidden="1" customHeight="1" x14ac:dyDescent="0.3">
      <c r="A6230" s="9">
        <v>1355</v>
      </c>
      <c r="B6230" t="s">
        <v>190</v>
      </c>
      <c r="C6230" s="25">
        <v>44646</v>
      </c>
      <c r="D6230" s="26">
        <v>0.30648148148148147</v>
      </c>
      <c r="E6230" t="s">
        <v>26</v>
      </c>
      <c r="F6230" t="s">
        <v>197</v>
      </c>
      <c r="G6230" t="s">
        <v>44</v>
      </c>
      <c r="H6230" t="s">
        <v>191</v>
      </c>
      <c r="I6230">
        <v>200</v>
      </c>
      <c r="J6230" s="7">
        <v>0</v>
      </c>
      <c r="K6230" s="94">
        <f t="shared" si="389"/>
        <v>1270.54</v>
      </c>
      <c r="L6230" s="7">
        <v>1270.54</v>
      </c>
      <c r="M6230" s="10">
        <f t="shared" si="390"/>
        <v>15.741338328584698</v>
      </c>
    </row>
    <row r="6231" spans="1:13" ht="15.75" hidden="1" customHeight="1" x14ac:dyDescent="0.3">
      <c r="A6231" s="9">
        <v>1356</v>
      </c>
      <c r="B6231" t="s">
        <v>190</v>
      </c>
      <c r="C6231" s="25">
        <v>44646</v>
      </c>
      <c r="D6231" s="26">
        <v>0.79172453703703705</v>
      </c>
      <c r="E6231" t="s">
        <v>26</v>
      </c>
      <c r="F6231" t="s">
        <v>210</v>
      </c>
      <c r="G6231" t="s">
        <v>211</v>
      </c>
      <c r="H6231" t="s">
        <v>191</v>
      </c>
      <c r="I6231">
        <v>556.02</v>
      </c>
      <c r="J6231" s="7">
        <v>0</v>
      </c>
      <c r="K6231" s="89">
        <f t="shared" si="389"/>
        <v>587.27</v>
      </c>
      <c r="L6231" s="34">
        <v>587.27</v>
      </c>
      <c r="M6231" s="10">
        <f t="shared" si="390"/>
        <v>94.678767858055068</v>
      </c>
    </row>
    <row r="6232" spans="1:13" ht="15.75" hidden="1" customHeight="1" x14ac:dyDescent="0.3">
      <c r="A6232" s="9">
        <v>1357</v>
      </c>
      <c r="B6232" t="s">
        <v>190</v>
      </c>
      <c r="C6232" s="25">
        <v>44647</v>
      </c>
      <c r="D6232" s="26">
        <v>0.91821759259259261</v>
      </c>
      <c r="E6232" t="s">
        <v>26</v>
      </c>
      <c r="F6232" t="s">
        <v>210</v>
      </c>
      <c r="G6232" t="s">
        <v>211</v>
      </c>
      <c r="H6232" t="s">
        <v>191</v>
      </c>
      <c r="I6232">
        <v>375.01</v>
      </c>
      <c r="J6232" s="7">
        <v>0</v>
      </c>
      <c r="K6232" s="89">
        <f t="shared" si="389"/>
        <v>1062.78</v>
      </c>
      <c r="L6232" s="7">
        <v>1062.78</v>
      </c>
      <c r="M6232" s="10">
        <f t="shared" si="390"/>
        <v>35.285759987956119</v>
      </c>
    </row>
    <row r="6233" spans="1:13" ht="15.75" hidden="1" customHeight="1" x14ac:dyDescent="0.3">
      <c r="A6233" s="9">
        <v>1358</v>
      </c>
      <c r="B6233" t="s">
        <v>190</v>
      </c>
      <c r="C6233" s="25">
        <v>44650</v>
      </c>
      <c r="D6233" s="26">
        <v>0.58064814814814814</v>
      </c>
      <c r="E6233" t="s">
        <v>26</v>
      </c>
      <c r="F6233" t="s">
        <v>456</v>
      </c>
      <c r="G6233" t="s">
        <v>457</v>
      </c>
      <c r="H6233" t="s">
        <v>191</v>
      </c>
      <c r="I6233">
        <v>100</v>
      </c>
      <c r="J6233" s="7">
        <v>0</v>
      </c>
      <c r="K6233" s="89">
        <f t="shared" si="389"/>
        <v>1553.22</v>
      </c>
      <c r="L6233" s="32">
        <v>1553.22</v>
      </c>
      <c r="M6233" s="10">
        <f t="shared" si="390"/>
        <v>6.438237983028805</v>
      </c>
    </row>
    <row r="6234" spans="1:13" ht="15.75" hidden="1" customHeight="1" x14ac:dyDescent="0.3">
      <c r="A6234" s="9">
        <v>1359</v>
      </c>
      <c r="B6234" t="s">
        <v>190</v>
      </c>
      <c r="C6234" s="25">
        <v>44651</v>
      </c>
      <c r="D6234" s="26">
        <v>0.49589120370370371</v>
      </c>
      <c r="E6234" t="s">
        <v>26</v>
      </c>
      <c r="F6234" t="s">
        <v>210</v>
      </c>
      <c r="G6234" t="s">
        <v>211</v>
      </c>
      <c r="H6234" t="s">
        <v>191</v>
      </c>
      <c r="I6234">
        <v>626</v>
      </c>
      <c r="J6234" s="32">
        <v>0</v>
      </c>
      <c r="K6234" s="89">
        <f t="shared" si="389"/>
        <v>427.86</v>
      </c>
      <c r="L6234" s="7">
        <v>427.86</v>
      </c>
      <c r="M6234" s="10">
        <f t="shared" si="390"/>
        <v>146.30954050390315</v>
      </c>
    </row>
    <row r="6235" spans="1:13" ht="15.75" hidden="1" customHeight="1" x14ac:dyDescent="0.3">
      <c r="A6235" s="9">
        <v>2538</v>
      </c>
      <c r="B6235" t="s">
        <v>190</v>
      </c>
      <c r="C6235" s="25">
        <v>44653</v>
      </c>
      <c r="D6235" s="26">
        <v>0.46696759259259263</v>
      </c>
      <c r="E6235" t="s">
        <v>27</v>
      </c>
      <c r="F6235" t="s">
        <v>210</v>
      </c>
      <c r="G6235" t="s">
        <v>211</v>
      </c>
      <c r="H6235" t="s">
        <v>191</v>
      </c>
      <c r="I6235" s="4">
        <v>451.55</v>
      </c>
      <c r="J6235" s="32">
        <v>0</v>
      </c>
      <c r="K6235" s="94">
        <f t="shared" si="389"/>
        <v>1121.76</v>
      </c>
      <c r="L6235" s="32">
        <v>1121.76</v>
      </c>
      <c r="M6235" s="10">
        <f t="shared" si="390"/>
        <v>40.253708458137218</v>
      </c>
    </row>
    <row r="6236" spans="1:13" ht="15.75" hidden="1" customHeight="1" x14ac:dyDescent="0.3">
      <c r="A6236" s="9">
        <v>2539</v>
      </c>
      <c r="B6236" t="s">
        <v>190</v>
      </c>
      <c r="C6236" s="25">
        <v>44664</v>
      </c>
      <c r="D6236" s="26">
        <v>0.39505787037037038</v>
      </c>
      <c r="E6236" t="s">
        <v>27</v>
      </c>
      <c r="F6236" t="s">
        <v>197</v>
      </c>
      <c r="G6236" t="s">
        <v>44</v>
      </c>
      <c r="H6236" t="s">
        <v>191</v>
      </c>
      <c r="I6236" s="4">
        <v>200</v>
      </c>
      <c r="J6236" s="32">
        <v>0</v>
      </c>
      <c r="K6236" s="89">
        <f t="shared" si="389"/>
        <v>1270</v>
      </c>
      <c r="L6236" s="7">
        <v>1270</v>
      </c>
      <c r="M6236" s="10">
        <f t="shared" si="390"/>
        <v>15.748031496062993</v>
      </c>
    </row>
    <row r="6237" spans="1:13" ht="15.75" hidden="1" customHeight="1" x14ac:dyDescent="0.3">
      <c r="A6237" s="9">
        <v>2540</v>
      </c>
      <c r="B6237" t="s">
        <v>190</v>
      </c>
      <c r="C6237" s="25">
        <v>44664</v>
      </c>
      <c r="D6237" s="26">
        <v>0.78505787037037045</v>
      </c>
      <c r="E6237" t="s">
        <v>27</v>
      </c>
      <c r="F6237" t="s">
        <v>210</v>
      </c>
      <c r="G6237" t="s">
        <v>211</v>
      </c>
      <c r="H6237" t="s">
        <v>191</v>
      </c>
      <c r="I6237" s="4">
        <v>542.08000000000004</v>
      </c>
      <c r="J6237" s="32">
        <v>0</v>
      </c>
      <c r="K6237" s="89">
        <f t="shared" si="389"/>
        <v>1905.35</v>
      </c>
      <c r="L6237" s="32">
        <v>1905.35</v>
      </c>
      <c r="M6237" s="10">
        <f t="shared" si="390"/>
        <v>28.450415934080358</v>
      </c>
    </row>
    <row r="6238" spans="1:13" ht="15.75" hidden="1" customHeight="1" x14ac:dyDescent="0.3">
      <c r="A6238" s="9">
        <v>2541</v>
      </c>
      <c r="B6238" t="s">
        <v>190</v>
      </c>
      <c r="C6238" s="25">
        <v>44666</v>
      </c>
      <c r="D6238" s="26">
        <v>0.4059490740740741</v>
      </c>
      <c r="E6238" t="s">
        <v>27</v>
      </c>
      <c r="F6238" t="s">
        <v>210</v>
      </c>
      <c r="G6238" t="s">
        <v>211</v>
      </c>
      <c r="H6238" t="s">
        <v>191</v>
      </c>
      <c r="I6238" s="4">
        <v>470.8</v>
      </c>
      <c r="J6238" s="32">
        <v>0</v>
      </c>
      <c r="K6238" s="89">
        <f t="shared" si="389"/>
        <v>587.27</v>
      </c>
      <c r="L6238" s="7">
        <v>587.27</v>
      </c>
      <c r="M6238" s="10">
        <f t="shared" si="390"/>
        <v>80.167554957685567</v>
      </c>
    </row>
    <row r="6239" spans="1:13" ht="15.75" hidden="1" customHeight="1" x14ac:dyDescent="0.3">
      <c r="A6239" s="9">
        <v>2542</v>
      </c>
      <c r="B6239" t="s">
        <v>190</v>
      </c>
      <c r="C6239" s="25">
        <v>44667</v>
      </c>
      <c r="D6239" s="26">
        <v>0.59355324074074078</v>
      </c>
      <c r="E6239" t="s">
        <v>27</v>
      </c>
      <c r="F6239" t="s">
        <v>428</v>
      </c>
      <c r="G6239" t="s">
        <v>429</v>
      </c>
      <c r="H6239" t="s">
        <v>191</v>
      </c>
      <c r="I6239" s="18">
        <v>150.01</v>
      </c>
      <c r="J6239" s="32">
        <v>0</v>
      </c>
      <c r="K6239" s="89">
        <f t="shared" si="389"/>
        <v>904.7</v>
      </c>
      <c r="L6239" s="32">
        <v>904.7</v>
      </c>
      <c r="M6239" s="10">
        <f t="shared" si="390"/>
        <v>16.581187133856528</v>
      </c>
    </row>
    <row r="6240" spans="1:13" ht="15.75" hidden="1" customHeight="1" x14ac:dyDescent="0.3">
      <c r="A6240" s="9">
        <v>2543</v>
      </c>
      <c r="B6240" t="s">
        <v>190</v>
      </c>
      <c r="C6240" s="25">
        <v>44669</v>
      </c>
      <c r="D6240" s="26">
        <v>0.92344907407407406</v>
      </c>
      <c r="E6240" t="s">
        <v>27</v>
      </c>
      <c r="F6240" t="s">
        <v>210</v>
      </c>
      <c r="G6240" t="s">
        <v>211</v>
      </c>
      <c r="H6240" t="s">
        <v>191</v>
      </c>
      <c r="I6240" s="4">
        <v>486.58</v>
      </c>
      <c r="J6240" s="32">
        <v>0</v>
      </c>
      <c r="K6240" s="88">
        <f t="shared" si="389"/>
        <v>827.85</v>
      </c>
      <c r="L6240" s="32">
        <v>827.85</v>
      </c>
      <c r="M6240" s="10">
        <f t="shared" si="390"/>
        <v>58.776348372289668</v>
      </c>
    </row>
    <row r="6241" spans="1:13" ht="15.75" hidden="1" customHeight="1" x14ac:dyDescent="0.3">
      <c r="A6241" s="9">
        <v>2544</v>
      </c>
      <c r="B6241" t="s">
        <v>190</v>
      </c>
      <c r="C6241" s="25">
        <v>44671</v>
      </c>
      <c r="D6241" s="26">
        <v>0.74564814814814817</v>
      </c>
      <c r="E6241" t="s">
        <v>27</v>
      </c>
      <c r="F6241" t="s">
        <v>210</v>
      </c>
      <c r="G6241" t="s">
        <v>211</v>
      </c>
      <c r="H6241" t="s">
        <v>191</v>
      </c>
      <c r="I6241" s="4">
        <v>430.15</v>
      </c>
      <c r="J6241" s="32">
        <v>0</v>
      </c>
      <c r="K6241" s="88">
        <f t="shared" si="389"/>
        <v>1123.8800000000001</v>
      </c>
      <c r="L6241" s="32">
        <v>1123.8800000000001</v>
      </c>
      <c r="M6241" s="10">
        <f t="shared" si="390"/>
        <v>38.273659109513467</v>
      </c>
    </row>
    <row r="6242" spans="1:13" ht="15.75" hidden="1" customHeight="1" x14ac:dyDescent="0.3">
      <c r="A6242" s="9">
        <v>2545</v>
      </c>
      <c r="B6242" t="s">
        <v>190</v>
      </c>
      <c r="C6242" s="25">
        <v>44674</v>
      </c>
      <c r="D6242" s="26">
        <v>0.32502314814814814</v>
      </c>
      <c r="E6242" t="s">
        <v>27</v>
      </c>
      <c r="F6242" t="s">
        <v>311</v>
      </c>
      <c r="G6242" t="s">
        <v>303</v>
      </c>
      <c r="H6242" t="s">
        <v>191</v>
      </c>
      <c r="I6242" s="4">
        <v>200.05</v>
      </c>
      <c r="J6242" s="32">
        <v>0</v>
      </c>
      <c r="K6242" s="88">
        <f t="shared" si="389"/>
        <v>729</v>
      </c>
      <c r="L6242" s="33">
        <v>729</v>
      </c>
      <c r="M6242" s="10">
        <f t="shared" si="390"/>
        <v>27.441700960219478</v>
      </c>
    </row>
    <row r="6243" spans="1:13" ht="15.75" hidden="1" customHeight="1" x14ac:dyDescent="0.3">
      <c r="A6243" s="9">
        <v>2546</v>
      </c>
      <c r="B6243" t="s">
        <v>190</v>
      </c>
      <c r="C6243" s="25">
        <v>44674</v>
      </c>
      <c r="D6243" s="26">
        <v>0.58745370370370364</v>
      </c>
      <c r="E6243" t="s">
        <v>27</v>
      </c>
      <c r="F6243" t="s">
        <v>210</v>
      </c>
      <c r="G6243" t="s">
        <v>211</v>
      </c>
      <c r="H6243" t="s">
        <v>191</v>
      </c>
      <c r="I6243" s="4">
        <v>504.84</v>
      </c>
      <c r="J6243" s="32">
        <v>0</v>
      </c>
      <c r="K6243" s="89">
        <f t="shared" si="389"/>
        <v>430.8</v>
      </c>
      <c r="L6243" s="32">
        <v>430.8</v>
      </c>
      <c r="M6243" s="10">
        <f t="shared" si="390"/>
        <v>117.1866295264624</v>
      </c>
    </row>
    <row r="6244" spans="1:13" ht="15.75" hidden="1" customHeight="1" x14ac:dyDescent="0.3">
      <c r="A6244" s="9">
        <v>2547</v>
      </c>
      <c r="B6244" t="s">
        <v>190</v>
      </c>
      <c r="C6244" s="25">
        <v>44675</v>
      </c>
      <c r="D6244" s="26">
        <v>0.65718750000000004</v>
      </c>
      <c r="E6244" t="s">
        <v>27</v>
      </c>
      <c r="F6244" t="s">
        <v>210</v>
      </c>
      <c r="G6244" t="s">
        <v>211</v>
      </c>
      <c r="H6244" t="s">
        <v>191</v>
      </c>
      <c r="I6244" s="4">
        <v>398.68</v>
      </c>
      <c r="J6244" s="32">
        <v>0</v>
      </c>
      <c r="K6244" s="89">
        <f t="shared" si="389"/>
        <v>1063.1300000000001</v>
      </c>
      <c r="L6244" s="32">
        <v>1063.1300000000001</v>
      </c>
      <c r="M6244" s="10">
        <f t="shared" si="390"/>
        <v>37.500587886711877</v>
      </c>
    </row>
    <row r="6245" spans="1:13" ht="15.75" hidden="1" customHeight="1" x14ac:dyDescent="0.3">
      <c r="A6245" s="9">
        <v>2548</v>
      </c>
      <c r="B6245" t="s">
        <v>190</v>
      </c>
      <c r="C6245" s="25">
        <v>44677</v>
      </c>
      <c r="D6245" s="26">
        <v>0.60256944444444438</v>
      </c>
      <c r="E6245" t="s">
        <v>27</v>
      </c>
      <c r="F6245" t="s">
        <v>311</v>
      </c>
      <c r="G6245" t="s">
        <v>303</v>
      </c>
      <c r="H6245" t="s">
        <v>191</v>
      </c>
      <c r="I6245">
        <v>200.09</v>
      </c>
      <c r="J6245" s="55">
        <v>0</v>
      </c>
      <c r="K6245" s="96">
        <f t="shared" si="389"/>
        <v>1483.71</v>
      </c>
      <c r="L6245" s="35">
        <v>1483.71</v>
      </c>
      <c r="M6245" s="10">
        <f t="shared" si="390"/>
        <v>13.485789001893899</v>
      </c>
    </row>
    <row r="6246" spans="1:13" ht="15.75" hidden="1" customHeight="1" x14ac:dyDescent="0.3">
      <c r="A6246" s="9">
        <v>2549</v>
      </c>
      <c r="B6246" t="s">
        <v>190</v>
      </c>
      <c r="C6246" s="25">
        <v>44677</v>
      </c>
      <c r="D6246" s="26">
        <v>0.86971064814814814</v>
      </c>
      <c r="E6246" t="s">
        <v>27</v>
      </c>
      <c r="F6246" t="s">
        <v>210</v>
      </c>
      <c r="G6246" t="s">
        <v>211</v>
      </c>
      <c r="H6246" t="s">
        <v>191</v>
      </c>
      <c r="I6246">
        <v>498.49</v>
      </c>
      <c r="J6246" s="32">
        <v>0</v>
      </c>
      <c r="K6246" s="89">
        <f t="shared" si="389"/>
        <v>431.55</v>
      </c>
      <c r="L6246" s="7">
        <v>431.55</v>
      </c>
      <c r="M6246" s="10">
        <f t="shared" si="390"/>
        <v>115.51152821225814</v>
      </c>
    </row>
    <row r="6247" spans="1:13" ht="15.75" hidden="1" customHeight="1" x14ac:dyDescent="0.3">
      <c r="A6247" s="9">
        <v>2550</v>
      </c>
      <c r="B6247" t="s">
        <v>190</v>
      </c>
      <c r="C6247" s="25">
        <v>44679</v>
      </c>
      <c r="D6247" s="26">
        <v>0.63430555555555557</v>
      </c>
      <c r="E6247" t="s">
        <v>27</v>
      </c>
      <c r="F6247" t="s">
        <v>165</v>
      </c>
      <c r="G6247" t="s">
        <v>185</v>
      </c>
      <c r="H6247" t="s">
        <v>191</v>
      </c>
      <c r="I6247">
        <v>439.78</v>
      </c>
      <c r="J6247" s="37">
        <v>0</v>
      </c>
      <c r="K6247" s="89">
        <f t="shared" si="389"/>
        <v>987.86</v>
      </c>
      <c r="L6247" s="34">
        <v>987.86</v>
      </c>
      <c r="M6247" s="10">
        <f t="shared" si="390"/>
        <v>44.518454031947847</v>
      </c>
    </row>
    <row r="6248" spans="1:13" ht="15.75" hidden="1" customHeight="1" x14ac:dyDescent="0.3">
      <c r="A6248" s="9">
        <v>3715</v>
      </c>
      <c r="B6248" t="s">
        <v>190</v>
      </c>
      <c r="C6248" s="25">
        <v>44683</v>
      </c>
      <c r="D6248" s="26">
        <v>0.43799768518518517</v>
      </c>
      <c r="E6248" t="s">
        <v>28</v>
      </c>
      <c r="F6248" t="s">
        <v>340</v>
      </c>
      <c r="G6248" t="s">
        <v>337</v>
      </c>
      <c r="H6248" t="s">
        <v>191</v>
      </c>
      <c r="I6248">
        <v>402.75</v>
      </c>
      <c r="J6248" s="32">
        <v>0</v>
      </c>
      <c r="K6248" s="89">
        <f t="shared" si="389"/>
        <v>1386.28</v>
      </c>
      <c r="L6248" s="7">
        <v>1386.28</v>
      </c>
      <c r="M6248" s="10">
        <f t="shared" si="390"/>
        <v>29.05257235190582</v>
      </c>
    </row>
    <row r="6249" spans="1:13" ht="15.75" hidden="1" customHeight="1" x14ac:dyDescent="0.3">
      <c r="A6249" s="9">
        <v>3753</v>
      </c>
      <c r="B6249" t="s">
        <v>190</v>
      </c>
      <c r="C6249" s="25">
        <v>44684</v>
      </c>
      <c r="D6249" s="26">
        <v>0.87372685185185184</v>
      </c>
      <c r="E6249" t="s">
        <v>28</v>
      </c>
      <c r="F6249" t="s">
        <v>210</v>
      </c>
      <c r="G6249" t="s">
        <v>211</v>
      </c>
      <c r="H6249" t="s">
        <v>191</v>
      </c>
      <c r="I6249">
        <v>456.84</v>
      </c>
      <c r="J6249" s="32">
        <v>0</v>
      </c>
      <c r="K6249" s="89">
        <f t="shared" si="389"/>
        <v>1317.86</v>
      </c>
      <c r="L6249" s="34">
        <v>1317.86</v>
      </c>
      <c r="M6249" s="10">
        <f t="shared" si="390"/>
        <v>34.665290698556753</v>
      </c>
    </row>
    <row r="6250" spans="1:13" ht="15.75" hidden="1" customHeight="1" x14ac:dyDescent="0.3">
      <c r="A6250" s="9">
        <v>4260</v>
      </c>
      <c r="B6250" t="s">
        <v>190</v>
      </c>
      <c r="C6250" s="25">
        <v>44694</v>
      </c>
      <c r="D6250" s="26">
        <v>0.83148148148148149</v>
      </c>
      <c r="E6250" t="s">
        <v>28</v>
      </c>
      <c r="F6250" t="s">
        <v>262</v>
      </c>
      <c r="G6250" t="s">
        <v>263</v>
      </c>
      <c r="H6250" t="s">
        <v>191</v>
      </c>
      <c r="I6250">
        <v>200</v>
      </c>
      <c r="J6250" s="32">
        <v>0</v>
      </c>
      <c r="K6250" s="89">
        <f>+L6250-J6379</f>
        <v>1297</v>
      </c>
      <c r="L6250" s="32">
        <v>1297</v>
      </c>
      <c r="M6250" s="10">
        <f t="shared" si="390"/>
        <v>15.420200462606015</v>
      </c>
    </row>
    <row r="6251" spans="1:13" ht="15.75" hidden="1" customHeight="1" x14ac:dyDescent="0.3">
      <c r="A6251" s="9">
        <v>4368</v>
      </c>
      <c r="B6251" t="s">
        <v>190</v>
      </c>
      <c r="C6251" s="25">
        <v>44696</v>
      </c>
      <c r="D6251" s="26">
        <v>0.33891203703703704</v>
      </c>
      <c r="E6251" t="s">
        <v>28</v>
      </c>
      <c r="F6251" t="s">
        <v>210</v>
      </c>
      <c r="G6251" t="s">
        <v>211</v>
      </c>
      <c r="H6251" t="s">
        <v>191</v>
      </c>
      <c r="I6251">
        <v>638.77</v>
      </c>
      <c r="J6251" s="32">
        <v>0</v>
      </c>
      <c r="K6251" s="89">
        <f>+L6251-J6380</f>
        <v>886</v>
      </c>
      <c r="L6251" s="37">
        <v>886</v>
      </c>
      <c r="M6251" s="10">
        <f t="shared" si="390"/>
        <v>72.0959367945824</v>
      </c>
    </row>
    <row r="6252" spans="1:13" ht="15.75" hidden="1" customHeight="1" x14ac:dyDescent="0.3">
      <c r="A6252" s="9">
        <v>4441</v>
      </c>
      <c r="B6252" t="s">
        <v>190</v>
      </c>
      <c r="C6252" s="25">
        <v>44697</v>
      </c>
      <c r="D6252" s="26">
        <v>0.39221064814814816</v>
      </c>
      <c r="E6252" t="s">
        <v>28</v>
      </c>
      <c r="F6252" t="s">
        <v>202</v>
      </c>
      <c r="G6252" t="s">
        <v>203</v>
      </c>
      <c r="H6252" t="s">
        <v>191</v>
      </c>
      <c r="I6252">
        <v>100</v>
      </c>
      <c r="J6252" s="32">
        <v>0</v>
      </c>
      <c r="K6252" s="90">
        <f>+L6252-J6381</f>
        <v>1090</v>
      </c>
      <c r="L6252" s="32">
        <v>1090</v>
      </c>
      <c r="M6252" s="10">
        <f t="shared" si="390"/>
        <v>9.1743119266055047</v>
      </c>
    </row>
    <row r="6253" spans="1:13" ht="15.75" hidden="1" customHeight="1" x14ac:dyDescent="0.3">
      <c r="A6253" s="9">
        <v>4442</v>
      </c>
      <c r="B6253" t="s">
        <v>190</v>
      </c>
      <c r="C6253" s="25">
        <v>44697</v>
      </c>
      <c r="D6253" s="26">
        <v>0.69271990740740741</v>
      </c>
      <c r="E6253" t="s">
        <v>28</v>
      </c>
      <c r="F6253" t="s">
        <v>335</v>
      </c>
      <c r="G6253" t="s">
        <v>336</v>
      </c>
      <c r="H6253" t="s">
        <v>191</v>
      </c>
      <c r="I6253">
        <v>200.01</v>
      </c>
      <c r="J6253" s="32">
        <v>0</v>
      </c>
      <c r="K6253" s="89">
        <f>+L6253-J6382</f>
        <v>465</v>
      </c>
      <c r="L6253" s="32">
        <v>465</v>
      </c>
      <c r="M6253" s="10">
        <f t="shared" ref="M6253:M6286" si="391">I6253/K6253*100</f>
        <v>43.012903225806447</v>
      </c>
    </row>
    <row r="6254" spans="1:13" ht="15.75" hidden="1" customHeight="1" x14ac:dyDescent="0.3">
      <c r="A6254" s="9">
        <v>4494</v>
      </c>
      <c r="B6254" t="s">
        <v>190</v>
      </c>
      <c r="C6254" s="25">
        <v>44698</v>
      </c>
      <c r="D6254" s="26">
        <v>0.71547453703703701</v>
      </c>
      <c r="E6254" t="s">
        <v>28</v>
      </c>
      <c r="F6254" t="s">
        <v>533</v>
      </c>
      <c r="G6254" t="s">
        <v>45</v>
      </c>
      <c r="H6254" t="s">
        <v>191</v>
      </c>
      <c r="I6254">
        <v>300</v>
      </c>
      <c r="J6254" s="32">
        <v>0</v>
      </c>
      <c r="K6254" s="89">
        <f>+L6254-J6381</f>
        <v>710</v>
      </c>
      <c r="L6254" s="32">
        <v>710</v>
      </c>
      <c r="M6254" s="10">
        <f t="shared" si="391"/>
        <v>42.25352112676056</v>
      </c>
    </row>
    <row r="6255" spans="1:13" ht="15.75" hidden="1" customHeight="1" x14ac:dyDescent="0.3">
      <c r="A6255" s="9">
        <v>4599</v>
      </c>
      <c r="B6255" t="s">
        <v>190</v>
      </c>
      <c r="C6255" s="25">
        <v>44700</v>
      </c>
      <c r="D6255" s="26">
        <v>0.41030092592592587</v>
      </c>
      <c r="E6255" t="s">
        <v>28</v>
      </c>
      <c r="F6255" t="s">
        <v>293</v>
      </c>
      <c r="G6255" t="s">
        <v>196</v>
      </c>
      <c r="H6255" t="s">
        <v>191</v>
      </c>
      <c r="I6255">
        <v>100</v>
      </c>
      <c r="J6255" s="32">
        <v>0</v>
      </c>
      <c r="K6255" s="94">
        <f t="shared" ref="K6255:K6261" si="392">+L6255-J6526</f>
        <v>939</v>
      </c>
      <c r="L6255" s="32">
        <v>939</v>
      </c>
      <c r="M6255" s="10">
        <f t="shared" si="391"/>
        <v>10.649627263045794</v>
      </c>
    </row>
    <row r="6256" spans="1:13" ht="15.75" hidden="1" customHeight="1" x14ac:dyDescent="0.3">
      <c r="A6256" s="9">
        <v>4600</v>
      </c>
      <c r="B6256" t="s">
        <v>190</v>
      </c>
      <c r="C6256" s="25">
        <v>44700</v>
      </c>
      <c r="D6256" s="26">
        <v>0.52325231481481482</v>
      </c>
      <c r="E6256" t="s">
        <v>28</v>
      </c>
      <c r="F6256" t="s">
        <v>169</v>
      </c>
      <c r="G6256" t="s">
        <v>196</v>
      </c>
      <c r="H6256" t="s">
        <v>191</v>
      </c>
      <c r="I6256">
        <v>100.07</v>
      </c>
      <c r="J6256" s="32">
        <v>0</v>
      </c>
      <c r="K6256" s="89">
        <f t="shared" si="392"/>
        <v>36</v>
      </c>
      <c r="L6256" s="37">
        <v>36</v>
      </c>
      <c r="M6256" s="10">
        <f t="shared" si="391"/>
        <v>277.97222222222217</v>
      </c>
    </row>
    <row r="6257" spans="1:19" ht="15.75" hidden="1" customHeight="1" x14ac:dyDescent="0.3">
      <c r="A6257" s="9">
        <v>4649</v>
      </c>
      <c r="B6257" t="s">
        <v>190</v>
      </c>
      <c r="C6257" s="25">
        <v>44701</v>
      </c>
      <c r="D6257" s="26">
        <v>0.72428240740740746</v>
      </c>
      <c r="E6257" t="s">
        <v>28</v>
      </c>
      <c r="F6257" t="s">
        <v>623</v>
      </c>
      <c r="G6257" t="s">
        <v>44</v>
      </c>
      <c r="H6257" t="s">
        <v>191</v>
      </c>
      <c r="I6257">
        <v>631.16</v>
      </c>
      <c r="J6257" s="32">
        <v>0</v>
      </c>
      <c r="K6257" s="88">
        <f t="shared" si="392"/>
        <v>785</v>
      </c>
      <c r="L6257" s="32">
        <v>785</v>
      </c>
      <c r="M6257" s="10">
        <f t="shared" si="391"/>
        <v>80.402547770700622</v>
      </c>
    </row>
    <row r="6258" spans="1:19" ht="15.75" hidden="1" customHeight="1" x14ac:dyDescent="0.3">
      <c r="A6258" s="9">
        <v>4702</v>
      </c>
      <c r="B6258" t="s">
        <v>190</v>
      </c>
      <c r="C6258" s="25">
        <v>44702</v>
      </c>
      <c r="D6258" s="26">
        <v>0.60854166666666665</v>
      </c>
      <c r="E6258" t="s">
        <v>28</v>
      </c>
      <c r="F6258" t="s">
        <v>210</v>
      </c>
      <c r="G6258" t="s">
        <v>211</v>
      </c>
      <c r="H6258" t="s">
        <v>191</v>
      </c>
      <c r="I6258">
        <v>250.49</v>
      </c>
      <c r="J6258" s="32">
        <v>0</v>
      </c>
      <c r="K6258" s="89">
        <f t="shared" si="392"/>
        <v>595</v>
      </c>
      <c r="L6258" s="32">
        <v>595</v>
      </c>
      <c r="M6258" s="10">
        <f t="shared" si="391"/>
        <v>42.099159663865549</v>
      </c>
    </row>
    <row r="6259" spans="1:19" ht="15.75" hidden="1" customHeight="1" x14ac:dyDescent="0.3">
      <c r="A6259" s="9">
        <v>4759</v>
      </c>
      <c r="B6259" t="s">
        <v>190</v>
      </c>
      <c r="C6259" s="25">
        <v>44703</v>
      </c>
      <c r="D6259" s="26">
        <v>0.64893518518518511</v>
      </c>
      <c r="E6259" t="s">
        <v>28</v>
      </c>
      <c r="F6259" t="s">
        <v>210</v>
      </c>
      <c r="G6259" t="s">
        <v>211</v>
      </c>
      <c r="H6259" t="s">
        <v>191</v>
      </c>
      <c r="I6259">
        <v>373.91</v>
      </c>
      <c r="J6259" s="32">
        <v>0</v>
      </c>
      <c r="K6259" s="89">
        <f t="shared" si="392"/>
        <v>1061</v>
      </c>
      <c r="L6259" s="32">
        <v>1061</v>
      </c>
      <c r="M6259" s="10">
        <f t="shared" si="391"/>
        <v>35.241281809613575</v>
      </c>
    </row>
    <row r="6260" spans="1:19" ht="15.75" hidden="1" customHeight="1" x14ac:dyDescent="0.3">
      <c r="A6260" s="9">
        <v>4867</v>
      </c>
      <c r="B6260" t="s">
        <v>190</v>
      </c>
      <c r="C6260" s="25">
        <v>44705</v>
      </c>
      <c r="D6260" s="26">
        <v>0.8397337962962963</v>
      </c>
      <c r="E6260" t="s">
        <v>28</v>
      </c>
      <c r="F6260" t="s">
        <v>623</v>
      </c>
      <c r="G6260" t="s">
        <v>44</v>
      </c>
      <c r="H6260" t="s">
        <v>191</v>
      </c>
      <c r="I6260">
        <v>437.44</v>
      </c>
      <c r="J6260" s="32">
        <v>0</v>
      </c>
      <c r="K6260" s="89">
        <f t="shared" si="392"/>
        <v>1304</v>
      </c>
      <c r="L6260" s="38">
        <v>1304</v>
      </c>
      <c r="M6260" s="10">
        <f t="shared" si="391"/>
        <v>33.54601226993865</v>
      </c>
    </row>
    <row r="6261" spans="1:19" ht="15.75" hidden="1" customHeight="1" x14ac:dyDescent="0.3">
      <c r="A6261" s="9">
        <v>4934</v>
      </c>
      <c r="B6261" t="s">
        <v>190</v>
      </c>
      <c r="C6261" s="25">
        <v>44706</v>
      </c>
      <c r="D6261" s="26">
        <v>0.58716435185185178</v>
      </c>
      <c r="E6261" t="s">
        <v>28</v>
      </c>
      <c r="F6261" t="s">
        <v>166</v>
      </c>
      <c r="G6261" t="s">
        <v>161</v>
      </c>
      <c r="H6261" t="s">
        <v>191</v>
      </c>
      <c r="I6261">
        <v>237.62</v>
      </c>
      <c r="J6261" s="32">
        <v>0</v>
      </c>
      <c r="K6261" s="89">
        <f t="shared" si="392"/>
        <v>519</v>
      </c>
      <c r="L6261" s="32">
        <v>519</v>
      </c>
      <c r="M6261" s="10">
        <f t="shared" si="391"/>
        <v>45.784200385356456</v>
      </c>
    </row>
    <row r="6262" spans="1:19" ht="15.75" hidden="1" customHeight="1" x14ac:dyDescent="0.3">
      <c r="A6262" s="9">
        <v>4976</v>
      </c>
      <c r="B6262" t="s">
        <v>190</v>
      </c>
      <c r="C6262" s="25">
        <v>44707</v>
      </c>
      <c r="D6262" s="26">
        <v>0.46755787037037039</v>
      </c>
      <c r="E6262" t="s">
        <v>28</v>
      </c>
      <c r="F6262" t="s">
        <v>635</v>
      </c>
      <c r="G6262" t="s">
        <v>185</v>
      </c>
      <c r="H6262" t="s">
        <v>191</v>
      </c>
      <c r="I6262">
        <v>280.70999999999998</v>
      </c>
      <c r="J6262" s="32">
        <v>0</v>
      </c>
      <c r="K6262" s="89">
        <f>+L6262-J6532</f>
        <v>625</v>
      </c>
      <c r="L6262" s="7">
        <v>625</v>
      </c>
      <c r="M6262" s="10">
        <f t="shared" si="391"/>
        <v>44.913599999999995</v>
      </c>
    </row>
    <row r="6263" spans="1:19" ht="15.75" hidden="1" customHeight="1" x14ac:dyDescent="0.3">
      <c r="A6263" s="9">
        <v>5015</v>
      </c>
      <c r="B6263" t="s">
        <v>190</v>
      </c>
      <c r="C6263" s="25">
        <v>44708</v>
      </c>
      <c r="D6263" s="26">
        <v>0.7788425925925927</v>
      </c>
      <c r="E6263" t="s">
        <v>28</v>
      </c>
      <c r="F6263" t="s">
        <v>655</v>
      </c>
      <c r="G6263" t="s">
        <v>170</v>
      </c>
      <c r="H6263" t="s">
        <v>191</v>
      </c>
      <c r="I6263">
        <v>100</v>
      </c>
      <c r="J6263" s="32">
        <v>0</v>
      </c>
      <c r="K6263" s="89">
        <f>+L6263-J6533</f>
        <v>1081</v>
      </c>
      <c r="L6263" s="34">
        <v>1081</v>
      </c>
      <c r="M6263" s="10">
        <f t="shared" si="391"/>
        <v>9.250693802035153</v>
      </c>
    </row>
    <row r="6264" spans="1:19" ht="15.75" hidden="1" customHeight="1" x14ac:dyDescent="0.3">
      <c r="A6264" s="9">
        <v>5016</v>
      </c>
      <c r="B6264" t="s">
        <v>190</v>
      </c>
      <c r="C6264" s="25">
        <v>44708</v>
      </c>
      <c r="D6264" s="26">
        <v>0.84069444444444441</v>
      </c>
      <c r="E6264" t="s">
        <v>28</v>
      </c>
      <c r="F6264" t="s">
        <v>656</v>
      </c>
      <c r="G6264" t="s">
        <v>495</v>
      </c>
      <c r="H6264" t="s">
        <v>191</v>
      </c>
      <c r="I6264">
        <v>100</v>
      </c>
      <c r="J6264" s="32">
        <v>0</v>
      </c>
      <c r="K6264" s="89">
        <f>+L6264-J6534</f>
        <v>76</v>
      </c>
      <c r="L6264" s="7">
        <v>76</v>
      </c>
      <c r="M6264" s="10">
        <f t="shared" si="391"/>
        <v>131.57894736842107</v>
      </c>
    </row>
    <row r="6265" spans="1:19" ht="15.75" hidden="1" customHeight="1" x14ac:dyDescent="0.3">
      <c r="A6265" s="9">
        <v>5077</v>
      </c>
      <c r="B6265" t="s">
        <v>190</v>
      </c>
      <c r="C6265" s="25">
        <v>44709</v>
      </c>
      <c r="D6265" s="26">
        <v>0.43864583333333335</v>
      </c>
      <c r="E6265" t="s">
        <v>28</v>
      </c>
      <c r="F6265" t="s">
        <v>657</v>
      </c>
      <c r="G6265" t="s">
        <v>206</v>
      </c>
      <c r="H6265" t="s">
        <v>191</v>
      </c>
      <c r="I6265">
        <v>421</v>
      </c>
      <c r="J6265" s="32">
        <v>0</v>
      </c>
      <c r="K6265" s="89">
        <f>+L6265-J6535</f>
        <v>338</v>
      </c>
      <c r="L6265" s="7">
        <v>338</v>
      </c>
      <c r="M6265" s="10">
        <f t="shared" si="391"/>
        <v>124.55621301775149</v>
      </c>
    </row>
    <row r="6266" spans="1:19" ht="15.75" hidden="1" customHeight="1" x14ac:dyDescent="0.3">
      <c r="A6266" s="9">
        <v>5130</v>
      </c>
      <c r="B6266" t="s">
        <v>190</v>
      </c>
      <c r="C6266" s="25">
        <v>44710</v>
      </c>
      <c r="D6266" s="26">
        <v>0.60600694444444447</v>
      </c>
      <c r="E6266" t="s">
        <v>28</v>
      </c>
      <c r="F6266" t="s">
        <v>632</v>
      </c>
      <c r="G6266" t="s">
        <v>161</v>
      </c>
      <c r="H6266" t="s">
        <v>191</v>
      </c>
      <c r="I6266">
        <v>352.61</v>
      </c>
      <c r="J6266" s="32">
        <v>0</v>
      </c>
      <c r="K6266" s="89">
        <f>+L6266-J6536</f>
        <v>838</v>
      </c>
      <c r="L6266" s="34">
        <v>838</v>
      </c>
      <c r="M6266" s="10">
        <f t="shared" si="391"/>
        <v>42.077565632458239</v>
      </c>
    </row>
    <row r="6267" spans="1:19" ht="15.75" hidden="1" customHeight="1" x14ac:dyDescent="0.3">
      <c r="A6267" s="9">
        <v>5185</v>
      </c>
      <c r="B6267" t="s">
        <v>190</v>
      </c>
      <c r="C6267" s="25">
        <v>44711</v>
      </c>
      <c r="D6267" s="26">
        <v>0.50531249999999994</v>
      </c>
      <c r="E6267" t="s">
        <v>28</v>
      </c>
      <c r="F6267" t="s">
        <v>635</v>
      </c>
      <c r="G6267" t="s">
        <v>185</v>
      </c>
      <c r="H6267" t="s">
        <v>191</v>
      </c>
      <c r="I6267">
        <v>291.49</v>
      </c>
      <c r="J6267" s="32">
        <v>0</v>
      </c>
      <c r="K6267" s="90">
        <f>+L6267-J6535</f>
        <v>631</v>
      </c>
      <c r="L6267" s="7">
        <v>631</v>
      </c>
      <c r="M6267" s="10">
        <f t="shared" si="391"/>
        <v>46.194928684627577</v>
      </c>
    </row>
    <row r="6268" spans="1:19" ht="15.75" hidden="1" customHeight="1" x14ac:dyDescent="0.3">
      <c r="A6268" s="9">
        <v>5270</v>
      </c>
      <c r="B6268" t="s">
        <v>190</v>
      </c>
      <c r="C6268" s="25">
        <v>44713</v>
      </c>
      <c r="D6268" s="26">
        <v>0.72621527777777783</v>
      </c>
      <c r="E6268" t="s">
        <v>29</v>
      </c>
      <c r="F6268" t="s">
        <v>635</v>
      </c>
      <c r="G6268" t="s">
        <v>185</v>
      </c>
      <c r="H6268" t="s">
        <v>191</v>
      </c>
      <c r="I6268">
        <v>210.42</v>
      </c>
      <c r="J6268" s="32">
        <v>0</v>
      </c>
      <c r="K6268" s="90">
        <f>+L6268-J6535</f>
        <v>440</v>
      </c>
      <c r="L6268" s="7">
        <v>440</v>
      </c>
      <c r="M6268" s="10">
        <f t="shared" si="391"/>
        <v>47.822727272727271</v>
      </c>
    </row>
    <row r="6269" spans="1:19" ht="15.75" hidden="1" customHeight="1" x14ac:dyDescent="0.3">
      <c r="A6269" s="9">
        <v>5324</v>
      </c>
      <c r="B6269" t="s">
        <v>190</v>
      </c>
      <c r="C6269" s="25">
        <v>44714</v>
      </c>
      <c r="D6269" s="26">
        <v>0.80954861111111109</v>
      </c>
      <c r="E6269" t="s">
        <v>29</v>
      </c>
      <c r="F6269" t="s">
        <v>655</v>
      </c>
      <c r="G6269" t="s">
        <v>170</v>
      </c>
      <c r="H6269" t="s">
        <v>191</v>
      </c>
      <c r="I6269">
        <v>100</v>
      </c>
      <c r="J6269" s="32">
        <v>0</v>
      </c>
      <c r="K6269" s="89">
        <f>+L6269-J6535</f>
        <v>1007</v>
      </c>
      <c r="L6269" s="34">
        <v>1007</v>
      </c>
      <c r="M6269" s="10">
        <f t="shared" si="391"/>
        <v>9.9304865938430975</v>
      </c>
    </row>
    <row r="6270" spans="1:19" ht="15.75" hidden="1" customHeight="1" x14ac:dyDescent="0.3">
      <c r="A6270" s="9">
        <v>5391</v>
      </c>
      <c r="B6270" t="s">
        <v>190</v>
      </c>
      <c r="C6270" s="25">
        <v>44715</v>
      </c>
      <c r="D6270" s="26">
        <v>0.29298611111111111</v>
      </c>
      <c r="E6270" t="s">
        <v>29</v>
      </c>
      <c r="F6270" t="s">
        <v>656</v>
      </c>
      <c r="G6270" t="s">
        <v>495</v>
      </c>
      <c r="H6270" t="s">
        <v>191</v>
      </c>
      <c r="I6270">
        <v>100.02</v>
      </c>
      <c r="J6270" s="32">
        <v>0</v>
      </c>
      <c r="K6270" s="89">
        <f>+L6270-J6535</f>
        <v>75</v>
      </c>
      <c r="L6270" s="7">
        <v>75</v>
      </c>
      <c r="M6270" s="10">
        <f t="shared" si="391"/>
        <v>133.35999999999999</v>
      </c>
    </row>
    <row r="6271" spans="1:19" ht="15.75" hidden="1" customHeight="1" x14ac:dyDescent="0.3">
      <c r="A6271" s="9">
        <v>5968</v>
      </c>
      <c r="B6271" t="s">
        <v>190</v>
      </c>
      <c r="C6271" s="25">
        <v>44726</v>
      </c>
      <c r="D6271" s="26">
        <v>0.74138888888888888</v>
      </c>
      <c r="E6271" t="s">
        <v>29</v>
      </c>
      <c r="F6271" t="s">
        <v>639</v>
      </c>
      <c r="G6271" t="s">
        <v>44</v>
      </c>
      <c r="H6271" t="s">
        <v>191</v>
      </c>
      <c r="I6271">
        <v>317</v>
      </c>
      <c r="J6271" s="32">
        <v>0</v>
      </c>
      <c r="K6271" s="166">
        <v>3293</v>
      </c>
      <c r="L6271" s="124">
        <v>3293</v>
      </c>
      <c r="M6271" s="10">
        <f t="shared" si="391"/>
        <v>9.6264804129972674</v>
      </c>
      <c r="N6271" s="2"/>
      <c r="O6271" s="2"/>
      <c r="P6271" s="2"/>
      <c r="Q6271" s="2"/>
      <c r="R6271" s="2"/>
      <c r="S6271" s="2"/>
    </row>
    <row r="6272" spans="1:19" ht="15.75" hidden="1" customHeight="1" x14ac:dyDescent="0.3">
      <c r="A6272" s="9">
        <v>6026</v>
      </c>
      <c r="B6272" t="s">
        <v>190</v>
      </c>
      <c r="C6272" s="25">
        <v>44727</v>
      </c>
      <c r="D6272" s="26">
        <v>0.51344907407407414</v>
      </c>
      <c r="E6272" t="s">
        <v>29</v>
      </c>
      <c r="F6272" t="s">
        <v>634</v>
      </c>
      <c r="G6272" t="s">
        <v>211</v>
      </c>
      <c r="H6272" t="s">
        <v>191</v>
      </c>
      <c r="I6272">
        <v>265.85000000000002</v>
      </c>
      <c r="J6272" s="32">
        <v>0</v>
      </c>
      <c r="K6272" s="166">
        <v>187</v>
      </c>
      <c r="L6272" s="123">
        <v>187</v>
      </c>
      <c r="M6272" s="10">
        <f t="shared" si="391"/>
        <v>142.16577540106954</v>
      </c>
    </row>
    <row r="6273" spans="1:13" ht="15.75" hidden="1" customHeight="1" x14ac:dyDescent="0.3">
      <c r="A6273" s="9">
        <v>6089</v>
      </c>
      <c r="B6273" t="s">
        <v>190</v>
      </c>
      <c r="C6273" s="25">
        <v>44728</v>
      </c>
      <c r="D6273" s="26">
        <v>0.67491898148148144</v>
      </c>
      <c r="E6273" t="s">
        <v>29</v>
      </c>
      <c r="F6273" t="s">
        <v>634</v>
      </c>
      <c r="G6273" t="s">
        <v>211</v>
      </c>
      <c r="H6273" t="s">
        <v>191</v>
      </c>
      <c r="I6273">
        <v>380.89</v>
      </c>
      <c r="J6273" s="32">
        <v>0</v>
      </c>
      <c r="K6273" s="166">
        <v>1100</v>
      </c>
      <c r="L6273" s="123">
        <v>1100</v>
      </c>
      <c r="M6273" s="10">
        <f t="shared" si="391"/>
        <v>34.626363636363635</v>
      </c>
    </row>
    <row r="6274" spans="1:13" ht="15.75" hidden="1" customHeight="1" x14ac:dyDescent="0.3">
      <c r="A6274" s="9">
        <v>6139</v>
      </c>
      <c r="B6274" t="s">
        <v>190</v>
      </c>
      <c r="C6274" s="25">
        <v>44729</v>
      </c>
      <c r="D6274" s="26">
        <v>0.59733796296296293</v>
      </c>
      <c r="E6274" t="s">
        <v>29</v>
      </c>
      <c r="F6274" t="s">
        <v>638</v>
      </c>
      <c r="G6274" t="s">
        <v>263</v>
      </c>
      <c r="H6274" t="s">
        <v>191</v>
      </c>
      <c r="I6274">
        <v>200</v>
      </c>
      <c r="J6274" s="32">
        <v>0</v>
      </c>
      <c r="K6274" s="166">
        <v>649</v>
      </c>
      <c r="L6274" s="123">
        <v>649</v>
      </c>
      <c r="M6274" s="10">
        <f t="shared" si="391"/>
        <v>30.816640986132509</v>
      </c>
    </row>
    <row r="6275" spans="1:13" ht="15.75" hidden="1" customHeight="1" x14ac:dyDescent="0.3">
      <c r="A6275" s="9">
        <v>6196</v>
      </c>
      <c r="B6275" t="s">
        <v>190</v>
      </c>
      <c r="C6275" s="25">
        <v>44730</v>
      </c>
      <c r="D6275" s="26">
        <v>0.85924768518518524</v>
      </c>
      <c r="E6275" t="s">
        <v>29</v>
      </c>
      <c r="F6275" t="s">
        <v>632</v>
      </c>
      <c r="G6275" t="s">
        <v>161</v>
      </c>
      <c r="H6275" t="s">
        <v>191</v>
      </c>
      <c r="I6275">
        <v>425.32</v>
      </c>
      <c r="J6275" s="32">
        <v>0</v>
      </c>
      <c r="K6275" s="166">
        <v>563</v>
      </c>
      <c r="L6275" s="142">
        <v>563</v>
      </c>
      <c r="M6275" s="10">
        <f t="shared" si="391"/>
        <v>75.545293072824165</v>
      </c>
    </row>
    <row r="6276" spans="1:13" ht="15.75" hidden="1" customHeight="1" x14ac:dyDescent="0.3">
      <c r="A6276" s="9">
        <v>6233</v>
      </c>
      <c r="B6276" t="s">
        <v>190</v>
      </c>
      <c r="C6276" s="25">
        <v>44731</v>
      </c>
      <c r="D6276" s="26">
        <v>0.76760416666666664</v>
      </c>
      <c r="E6276" t="s">
        <v>29</v>
      </c>
      <c r="F6276" t="s">
        <v>635</v>
      </c>
      <c r="G6276" t="s">
        <v>185</v>
      </c>
      <c r="H6276" t="s">
        <v>191</v>
      </c>
      <c r="I6276">
        <v>281.60000000000002</v>
      </c>
      <c r="J6276" s="33">
        <v>0</v>
      </c>
      <c r="K6276" s="146">
        <v>591</v>
      </c>
      <c r="L6276" s="142">
        <v>591</v>
      </c>
      <c r="M6276" s="10">
        <f t="shared" si="391"/>
        <v>47.648054145516078</v>
      </c>
    </row>
    <row r="6277" spans="1:13" ht="15.75" hidden="1" customHeight="1" x14ac:dyDescent="0.3">
      <c r="A6277" s="9">
        <v>6258</v>
      </c>
      <c r="B6277" t="s">
        <v>190</v>
      </c>
      <c r="C6277" s="25">
        <v>44732</v>
      </c>
      <c r="D6277" s="26">
        <v>0.6331944444444445</v>
      </c>
      <c r="E6277" t="s">
        <v>29</v>
      </c>
      <c r="F6277" t="s">
        <v>634</v>
      </c>
      <c r="G6277" t="s">
        <v>211</v>
      </c>
      <c r="H6277" t="s">
        <v>191</v>
      </c>
      <c r="I6277">
        <v>146.09</v>
      </c>
      <c r="J6277" s="32">
        <v>0</v>
      </c>
      <c r="K6277" s="146">
        <v>485</v>
      </c>
      <c r="L6277" s="123">
        <v>485</v>
      </c>
      <c r="M6277" s="10">
        <f t="shared" si="391"/>
        <v>30.121649484536086</v>
      </c>
    </row>
    <row r="6278" spans="1:13" ht="15.75" hidden="1" customHeight="1" x14ac:dyDescent="0.3">
      <c r="A6278" s="9">
        <v>6321</v>
      </c>
      <c r="B6278" t="s">
        <v>190</v>
      </c>
      <c r="C6278" s="25">
        <v>44734</v>
      </c>
      <c r="D6278" s="26">
        <v>0.74982638888888886</v>
      </c>
      <c r="E6278" t="s">
        <v>29</v>
      </c>
      <c r="F6278" t="s">
        <v>638</v>
      </c>
      <c r="G6278" t="s">
        <v>263</v>
      </c>
      <c r="H6278" t="s">
        <v>191</v>
      </c>
      <c r="I6278">
        <v>200</v>
      </c>
      <c r="J6278" s="37">
        <v>0</v>
      </c>
      <c r="K6278" s="144">
        <v>649</v>
      </c>
      <c r="L6278" s="124">
        <v>649</v>
      </c>
      <c r="M6278" s="10">
        <f t="shared" si="391"/>
        <v>30.816640986132509</v>
      </c>
    </row>
    <row r="6279" spans="1:13" ht="15.75" hidden="1" customHeight="1" x14ac:dyDescent="0.3">
      <c r="A6279" s="9">
        <v>6371</v>
      </c>
      <c r="B6279" t="s">
        <v>190</v>
      </c>
      <c r="C6279" s="25">
        <v>44735</v>
      </c>
      <c r="D6279" s="26">
        <v>0.43291666666666667</v>
      </c>
      <c r="E6279" t="s">
        <v>29</v>
      </c>
      <c r="F6279" t="s">
        <v>632</v>
      </c>
      <c r="G6279" t="s">
        <v>161</v>
      </c>
      <c r="H6279" t="s">
        <v>191</v>
      </c>
      <c r="I6279">
        <v>318.58999999999997</v>
      </c>
      <c r="J6279" s="32">
        <v>0</v>
      </c>
      <c r="K6279" s="141">
        <v>563</v>
      </c>
      <c r="L6279" s="123">
        <v>563</v>
      </c>
      <c r="M6279" s="10">
        <f t="shared" si="391"/>
        <v>56.587921847246889</v>
      </c>
    </row>
    <row r="6280" spans="1:13" ht="15.75" hidden="1" customHeight="1" x14ac:dyDescent="0.3">
      <c r="A6280" s="9">
        <v>6372</v>
      </c>
      <c r="B6280" t="s">
        <v>190</v>
      </c>
      <c r="C6280" s="25">
        <v>44735</v>
      </c>
      <c r="D6280" s="26">
        <v>0.84959490740740751</v>
      </c>
      <c r="E6280" t="s">
        <v>29</v>
      </c>
      <c r="F6280" t="s">
        <v>635</v>
      </c>
      <c r="G6280" t="s">
        <v>185</v>
      </c>
      <c r="H6280" t="s">
        <v>191</v>
      </c>
      <c r="I6280">
        <v>424.56</v>
      </c>
      <c r="J6280" s="37">
        <v>0</v>
      </c>
      <c r="K6280" s="176">
        <v>591</v>
      </c>
      <c r="L6280" s="123">
        <v>591</v>
      </c>
      <c r="M6280" s="10">
        <f t="shared" si="391"/>
        <v>71.83756345177666</v>
      </c>
    </row>
    <row r="6281" spans="1:13" ht="15.75" hidden="1" customHeight="1" x14ac:dyDescent="0.3">
      <c r="A6281" s="9">
        <v>6416</v>
      </c>
      <c r="B6281" t="s">
        <v>190</v>
      </c>
      <c r="C6281" s="25">
        <v>44736</v>
      </c>
      <c r="D6281" s="26">
        <v>0.43290509259259258</v>
      </c>
      <c r="E6281" t="s">
        <v>29</v>
      </c>
      <c r="F6281" t="s">
        <v>634</v>
      </c>
      <c r="G6281" t="s">
        <v>211</v>
      </c>
      <c r="H6281" t="s">
        <v>191</v>
      </c>
      <c r="I6281">
        <v>164.69</v>
      </c>
      <c r="J6281" s="32">
        <v>0</v>
      </c>
      <c r="K6281" s="146">
        <v>485</v>
      </c>
      <c r="L6281" s="142">
        <v>485</v>
      </c>
      <c r="M6281" s="10">
        <f t="shared" si="391"/>
        <v>33.956701030927832</v>
      </c>
    </row>
    <row r="6282" spans="1:13" ht="15.75" hidden="1" customHeight="1" x14ac:dyDescent="0.3">
      <c r="A6282" s="9">
        <v>6479</v>
      </c>
      <c r="B6282" t="s">
        <v>190</v>
      </c>
      <c r="C6282" s="25">
        <v>44737</v>
      </c>
      <c r="D6282" s="26">
        <v>0.63346064814814818</v>
      </c>
      <c r="E6282" t="s">
        <v>29</v>
      </c>
      <c r="F6282" t="s">
        <v>641</v>
      </c>
      <c r="G6282" t="s">
        <v>172</v>
      </c>
      <c r="H6282" t="s">
        <v>191</v>
      </c>
      <c r="I6282">
        <v>408.18</v>
      </c>
      <c r="J6282" s="32">
        <v>0</v>
      </c>
      <c r="K6282" s="146">
        <v>704</v>
      </c>
      <c r="L6282" s="123">
        <v>704</v>
      </c>
      <c r="M6282" s="10">
        <f t="shared" si="391"/>
        <v>57.98011363636364</v>
      </c>
    </row>
    <row r="6283" spans="1:13" ht="15.75" hidden="1" customHeight="1" x14ac:dyDescent="0.3">
      <c r="A6283" s="9">
        <v>6528</v>
      </c>
      <c r="B6283" t="s">
        <v>190</v>
      </c>
      <c r="C6283" s="25">
        <v>44738</v>
      </c>
      <c r="D6283" s="26">
        <v>0.51565972222222223</v>
      </c>
      <c r="E6283" t="s">
        <v>29</v>
      </c>
      <c r="F6283" t="s">
        <v>632</v>
      </c>
      <c r="G6283" t="s">
        <v>161</v>
      </c>
      <c r="H6283" t="s">
        <v>191</v>
      </c>
      <c r="I6283">
        <v>245.01</v>
      </c>
      <c r="J6283" s="32">
        <v>0</v>
      </c>
      <c r="K6283" s="146">
        <v>612</v>
      </c>
      <c r="L6283" s="124">
        <v>612</v>
      </c>
      <c r="M6283" s="10">
        <f t="shared" si="391"/>
        <v>40.034313725490193</v>
      </c>
    </row>
    <row r="6284" spans="1:13" ht="15.75" hidden="1" customHeight="1" x14ac:dyDescent="0.3">
      <c r="A6284" s="9">
        <v>6580</v>
      </c>
      <c r="B6284" t="s">
        <v>190</v>
      </c>
      <c r="C6284" s="25">
        <v>44739</v>
      </c>
      <c r="D6284" s="26">
        <v>3.1273148148148147E-2</v>
      </c>
      <c r="E6284" t="s">
        <v>29</v>
      </c>
      <c r="F6284" t="s">
        <v>635</v>
      </c>
      <c r="G6284" t="s">
        <v>185</v>
      </c>
      <c r="H6284" t="s">
        <v>191</v>
      </c>
      <c r="I6284">
        <v>294.05</v>
      </c>
      <c r="J6284" s="32">
        <v>0</v>
      </c>
      <c r="K6284" s="146">
        <v>591</v>
      </c>
      <c r="L6284" s="123">
        <v>591</v>
      </c>
      <c r="M6284" s="10">
        <f t="shared" si="391"/>
        <v>49.75465313028765</v>
      </c>
    </row>
    <row r="6285" spans="1:13" ht="15.75" hidden="1" customHeight="1" x14ac:dyDescent="0.3">
      <c r="A6285" s="9">
        <v>6581</v>
      </c>
      <c r="B6285" t="s">
        <v>190</v>
      </c>
      <c r="C6285" s="25">
        <v>44739</v>
      </c>
      <c r="D6285" s="26">
        <v>0.65836805555555555</v>
      </c>
      <c r="E6285" t="s">
        <v>29</v>
      </c>
      <c r="F6285" t="s">
        <v>634</v>
      </c>
      <c r="G6285" t="s">
        <v>211</v>
      </c>
      <c r="H6285" t="s">
        <v>191</v>
      </c>
      <c r="I6285">
        <v>136.49</v>
      </c>
      <c r="J6285" s="32">
        <v>0</v>
      </c>
      <c r="K6285" s="146">
        <v>485</v>
      </c>
      <c r="L6285" s="124">
        <v>485</v>
      </c>
      <c r="M6285" s="10">
        <f t="shared" si="391"/>
        <v>28.142268041237116</v>
      </c>
    </row>
    <row r="6286" spans="1:13" ht="15.75" hidden="1" customHeight="1" x14ac:dyDescent="0.3">
      <c r="A6286" s="9">
        <v>6704</v>
      </c>
      <c r="B6286" t="s">
        <v>190</v>
      </c>
      <c r="C6286" s="25">
        <v>44741</v>
      </c>
      <c r="D6286" s="26">
        <v>0.47386574074074073</v>
      </c>
      <c r="E6286" t="s">
        <v>29</v>
      </c>
      <c r="F6286" t="s">
        <v>639</v>
      </c>
      <c r="G6286" t="s">
        <v>44</v>
      </c>
      <c r="H6286" t="s">
        <v>191</v>
      </c>
      <c r="I6286">
        <v>411</v>
      </c>
      <c r="J6286" s="32">
        <v>0</v>
      </c>
      <c r="K6286" s="89">
        <v>617</v>
      </c>
      <c r="L6286" s="7">
        <v>617</v>
      </c>
      <c r="M6286" s="10">
        <f t="shared" si="391"/>
        <v>66.612641815235008</v>
      </c>
    </row>
    <row r="6287" spans="1:13" ht="15.75" hidden="1" customHeight="1" x14ac:dyDescent="0.3">
      <c r="A6287" s="9">
        <v>6751</v>
      </c>
      <c r="B6287" t="s">
        <v>190</v>
      </c>
      <c r="C6287" s="25">
        <v>44742</v>
      </c>
      <c r="D6287" s="26">
        <v>0.28373842592592591</v>
      </c>
      <c r="E6287" t="s">
        <v>29</v>
      </c>
      <c r="F6287" t="s">
        <v>210</v>
      </c>
      <c r="G6287" t="s">
        <v>211</v>
      </c>
      <c r="H6287" t="s">
        <v>191</v>
      </c>
      <c r="I6287">
        <v>475.92</v>
      </c>
      <c r="J6287" s="8"/>
      <c r="K6287" s="169">
        <v>10436</v>
      </c>
      <c r="L6287" s="8">
        <f>+K6287-J6287</f>
        <v>10436</v>
      </c>
      <c r="M6287" s="10">
        <f>I6287/L6287*100</f>
        <v>4.5603679570716755</v>
      </c>
    </row>
    <row r="6288" spans="1:13" ht="15.75" hidden="1" customHeight="1" x14ac:dyDescent="0.3">
      <c r="A6288" s="9">
        <v>6751</v>
      </c>
      <c r="B6288" t="s">
        <v>190</v>
      </c>
      <c r="C6288" s="25">
        <v>44742</v>
      </c>
      <c r="D6288" s="26">
        <v>0.95876157407407403</v>
      </c>
      <c r="E6288" t="s">
        <v>29</v>
      </c>
      <c r="F6288" t="s">
        <v>166</v>
      </c>
      <c r="G6288" t="s">
        <v>161</v>
      </c>
      <c r="H6288" t="s">
        <v>191</v>
      </c>
      <c r="I6288" s="148">
        <v>368.32</v>
      </c>
      <c r="J6288" s="54"/>
      <c r="K6288" s="224">
        <v>1234</v>
      </c>
      <c r="L6288" s="54">
        <f>+K6288-J6288</f>
        <v>1234</v>
      </c>
      <c r="M6288" s="131">
        <f>I6288/L6288*100</f>
        <v>29.84764991896272</v>
      </c>
    </row>
    <row r="6289" spans="1:13" ht="15.75" hidden="1" customHeight="1" x14ac:dyDescent="0.3">
      <c r="B6289" t="s">
        <v>466</v>
      </c>
      <c r="C6289" s="25">
        <v>44764</v>
      </c>
      <c r="D6289" s="26">
        <v>0.82260416666666669</v>
      </c>
      <c r="E6289" t="s">
        <v>30</v>
      </c>
      <c r="F6289" t="s">
        <v>165</v>
      </c>
      <c r="G6289" t="s">
        <v>185</v>
      </c>
      <c r="H6289" t="s">
        <v>15</v>
      </c>
      <c r="I6289" s="160">
        <v>392</v>
      </c>
      <c r="J6289" s="8"/>
      <c r="K6289" s="8"/>
      <c r="L6289" s="8"/>
      <c r="M6289" s="272"/>
    </row>
    <row r="6290" spans="1:13" ht="15.75" hidden="1" customHeight="1" x14ac:dyDescent="0.3">
      <c r="B6290" t="s">
        <v>466</v>
      </c>
      <c r="C6290" s="25">
        <v>44765</v>
      </c>
      <c r="D6290" s="26">
        <v>0.8162152777777778</v>
      </c>
      <c r="E6290" t="s">
        <v>30</v>
      </c>
      <c r="F6290" t="s">
        <v>165</v>
      </c>
      <c r="G6290" t="s">
        <v>185</v>
      </c>
      <c r="H6290" t="s">
        <v>15</v>
      </c>
      <c r="I6290" s="160">
        <v>206.62</v>
      </c>
      <c r="J6290" s="160">
        <f>207+392+433</f>
        <v>1032</v>
      </c>
      <c r="K6290" s="160">
        <v>573079</v>
      </c>
      <c r="L6290" s="162">
        <v>2243</v>
      </c>
      <c r="M6290" s="150">
        <f>+J6290/L6290*100</f>
        <v>46.009808292465451</v>
      </c>
    </row>
    <row r="6291" spans="1:13" ht="15.75" hidden="1" customHeight="1" x14ac:dyDescent="0.3">
      <c r="B6291" t="s">
        <v>466</v>
      </c>
      <c r="C6291" s="25">
        <v>44767</v>
      </c>
      <c r="D6291" s="26">
        <v>0.70486111111111116</v>
      </c>
      <c r="E6291" t="s">
        <v>30</v>
      </c>
      <c r="F6291" t="s">
        <v>202</v>
      </c>
      <c r="G6291" t="s">
        <v>203</v>
      </c>
      <c r="H6291" t="s">
        <v>15</v>
      </c>
      <c r="I6291" s="160">
        <v>349.06</v>
      </c>
      <c r="J6291" s="8"/>
      <c r="K6291" s="8"/>
      <c r="L6291" s="8"/>
      <c r="M6291" s="254"/>
    </row>
    <row r="6292" spans="1:13" ht="15.75" hidden="1" customHeight="1" x14ac:dyDescent="0.3">
      <c r="B6292" t="s">
        <v>466</v>
      </c>
      <c r="C6292" s="25">
        <v>44768</v>
      </c>
      <c r="D6292" s="26">
        <v>0.78748842592592594</v>
      </c>
      <c r="E6292" t="s">
        <v>30</v>
      </c>
      <c r="F6292" t="s">
        <v>165</v>
      </c>
      <c r="G6292" t="s">
        <v>185</v>
      </c>
      <c r="H6292" t="s">
        <v>15</v>
      </c>
      <c r="I6292" s="160">
        <v>287.26</v>
      </c>
      <c r="J6292" s="160">
        <f>287+349</f>
        <v>636</v>
      </c>
      <c r="K6292" s="160">
        <v>574738</v>
      </c>
      <c r="L6292" s="160">
        <v>1641</v>
      </c>
      <c r="M6292" s="150">
        <f>+J6292/L6292*100</f>
        <v>38.756855575868371</v>
      </c>
    </row>
    <row r="6293" spans="1:13" ht="15.75" hidden="1" customHeight="1" x14ac:dyDescent="0.3">
      <c r="B6293" t="s">
        <v>466</v>
      </c>
      <c r="C6293" s="25">
        <v>44770</v>
      </c>
      <c r="D6293" s="26">
        <v>0.85495370370370372</v>
      </c>
      <c r="E6293" t="s">
        <v>30</v>
      </c>
      <c r="F6293" t="s">
        <v>169</v>
      </c>
      <c r="G6293" t="s">
        <v>196</v>
      </c>
      <c r="H6293" t="s">
        <v>15</v>
      </c>
      <c r="I6293" s="160">
        <v>100</v>
      </c>
      <c r="J6293" s="8"/>
      <c r="K6293" s="8"/>
      <c r="L6293" s="8"/>
      <c r="M6293" s="254"/>
    </row>
    <row r="6294" spans="1:13" ht="15.75" hidden="1" customHeight="1" x14ac:dyDescent="0.3">
      <c r="B6294" t="s">
        <v>466</v>
      </c>
      <c r="C6294" s="25">
        <v>44771</v>
      </c>
      <c r="D6294" s="26">
        <v>0.7130439814814814</v>
      </c>
      <c r="E6294" t="s">
        <v>30</v>
      </c>
      <c r="F6294" t="s">
        <v>428</v>
      </c>
      <c r="G6294" t="s">
        <v>429</v>
      </c>
      <c r="H6294" t="s">
        <v>15</v>
      </c>
      <c r="I6294" s="160">
        <v>100.04</v>
      </c>
      <c r="J6294" s="307"/>
      <c r="K6294" s="307"/>
      <c r="L6294" s="307"/>
      <c r="M6294" s="254"/>
    </row>
    <row r="6295" spans="1:13" ht="15.75" hidden="1" customHeight="1" x14ac:dyDescent="0.3">
      <c r="B6295" t="s">
        <v>466</v>
      </c>
      <c r="C6295" s="25">
        <v>44771</v>
      </c>
      <c r="D6295" s="26">
        <v>0.71531250000000002</v>
      </c>
      <c r="E6295" t="s">
        <v>30</v>
      </c>
      <c r="F6295" t="s">
        <v>428</v>
      </c>
      <c r="G6295" t="s">
        <v>429</v>
      </c>
      <c r="H6295" t="s">
        <v>15</v>
      </c>
      <c r="I6295" s="160">
        <v>200.04</v>
      </c>
      <c r="J6295" s="8"/>
      <c r="K6295" s="8"/>
      <c r="L6295" s="8"/>
      <c r="M6295" s="254"/>
    </row>
    <row r="6296" spans="1:13" ht="15.75" hidden="1" customHeight="1" x14ac:dyDescent="0.3">
      <c r="B6296" t="s">
        <v>466</v>
      </c>
      <c r="C6296" s="25">
        <v>44772</v>
      </c>
      <c r="D6296" s="26">
        <v>0.63408564814814816</v>
      </c>
      <c r="E6296" t="s">
        <v>30</v>
      </c>
      <c r="F6296" t="s">
        <v>343</v>
      </c>
      <c r="G6296" t="s">
        <v>344</v>
      </c>
      <c r="H6296" t="s">
        <v>15</v>
      </c>
      <c r="I6296" s="160">
        <v>50.16</v>
      </c>
      <c r="J6296" s="8"/>
      <c r="K6296" s="8"/>
      <c r="L6296" s="8"/>
      <c r="M6296" s="254"/>
    </row>
    <row r="6297" spans="1:13" ht="15.75" hidden="1" customHeight="1" x14ac:dyDescent="0.3">
      <c r="A6297" s="9">
        <v>3185</v>
      </c>
      <c r="B6297" t="s">
        <v>570</v>
      </c>
      <c r="C6297" s="25">
        <v>44674</v>
      </c>
      <c r="D6297" s="26">
        <v>0.9643518518518519</v>
      </c>
      <c r="E6297" t="s">
        <v>27</v>
      </c>
      <c r="F6297" t="s">
        <v>210</v>
      </c>
      <c r="G6297" t="s">
        <v>211</v>
      </c>
      <c r="H6297" t="s">
        <v>250</v>
      </c>
      <c r="I6297" s="4">
        <v>386.43</v>
      </c>
      <c r="J6297" s="34">
        <v>0</v>
      </c>
      <c r="K6297" s="92">
        <f>+L6297-J6297</f>
        <v>913.44</v>
      </c>
      <c r="L6297" s="34">
        <v>913.44</v>
      </c>
      <c r="M6297" s="61">
        <f t="shared" ref="M6297:M6339" si="393">I6297/K6297*100</f>
        <v>42.304913294797686</v>
      </c>
    </row>
    <row r="6298" spans="1:13" ht="15.75" hidden="1" customHeight="1" x14ac:dyDescent="0.3">
      <c r="A6298" s="9">
        <v>3186</v>
      </c>
      <c r="B6298" t="s">
        <v>570</v>
      </c>
      <c r="C6298" s="25">
        <v>44677</v>
      </c>
      <c r="D6298" s="26">
        <v>0.77527777777777773</v>
      </c>
      <c r="E6298" t="s">
        <v>27</v>
      </c>
      <c r="F6298" t="s">
        <v>210</v>
      </c>
      <c r="G6298" t="s">
        <v>211</v>
      </c>
      <c r="H6298" t="s">
        <v>250</v>
      </c>
      <c r="I6298">
        <v>383.43</v>
      </c>
      <c r="J6298" s="7">
        <v>0</v>
      </c>
      <c r="K6298" s="89">
        <f>+L6298-J6298</f>
        <v>914.16</v>
      </c>
      <c r="L6298" s="7">
        <v>914.16</v>
      </c>
      <c r="M6298" s="10">
        <f t="shared" si="393"/>
        <v>41.943423470727225</v>
      </c>
    </row>
    <row r="6299" spans="1:13" ht="15.75" hidden="1" customHeight="1" x14ac:dyDescent="0.3">
      <c r="A6299" s="9">
        <v>3187</v>
      </c>
      <c r="B6299" t="s">
        <v>570</v>
      </c>
      <c r="C6299" s="25">
        <v>44678</v>
      </c>
      <c r="D6299" s="26">
        <v>0.82104166666666656</v>
      </c>
      <c r="E6299" t="s">
        <v>27</v>
      </c>
      <c r="F6299" t="s">
        <v>428</v>
      </c>
      <c r="G6299" t="s">
        <v>429</v>
      </c>
      <c r="H6299" t="s">
        <v>250</v>
      </c>
      <c r="I6299">
        <f>150.36+162.87</f>
        <v>313.23</v>
      </c>
      <c r="J6299" s="7">
        <v>0</v>
      </c>
      <c r="K6299" s="89">
        <f>+L6299-J6299</f>
        <v>901.88</v>
      </c>
      <c r="L6299" s="7">
        <v>901.88</v>
      </c>
      <c r="M6299" s="10">
        <f t="shared" si="393"/>
        <v>34.730784583314858</v>
      </c>
    </row>
    <row r="6300" spans="1:13" ht="15.75" hidden="1" customHeight="1" x14ac:dyDescent="0.3">
      <c r="A6300" s="9">
        <v>3735</v>
      </c>
      <c r="B6300" t="s">
        <v>570</v>
      </c>
      <c r="C6300" s="25">
        <v>44683</v>
      </c>
      <c r="D6300" s="26">
        <v>0.40740740740740744</v>
      </c>
      <c r="E6300" t="s">
        <v>28</v>
      </c>
      <c r="F6300" t="s">
        <v>210</v>
      </c>
      <c r="G6300" t="s">
        <v>211</v>
      </c>
      <c r="H6300" t="s">
        <v>250</v>
      </c>
      <c r="I6300">
        <v>147.49</v>
      </c>
      <c r="J6300" s="7">
        <v>0</v>
      </c>
      <c r="K6300" s="89">
        <f>+L6300-J6432</f>
        <v>516</v>
      </c>
      <c r="L6300" s="32">
        <v>516</v>
      </c>
      <c r="M6300" s="10">
        <f t="shared" si="393"/>
        <v>28.583333333333332</v>
      </c>
    </row>
    <row r="6301" spans="1:13" ht="15.75" hidden="1" customHeight="1" x14ac:dyDescent="0.3">
      <c r="A6301" s="9">
        <v>3818</v>
      </c>
      <c r="B6301" t="s">
        <v>570</v>
      </c>
      <c r="C6301" s="25">
        <v>44685</v>
      </c>
      <c r="D6301" s="26">
        <v>0.79872685185185188</v>
      </c>
      <c r="E6301" t="s">
        <v>28</v>
      </c>
      <c r="F6301" t="s">
        <v>166</v>
      </c>
      <c r="G6301" t="s">
        <v>161</v>
      </c>
      <c r="H6301" t="s">
        <v>250</v>
      </c>
      <c r="I6301">
        <v>158.01</v>
      </c>
      <c r="J6301" s="7">
        <v>0</v>
      </c>
      <c r="K6301" s="90">
        <f t="shared" ref="K6301:K6310" si="394">+L6301-J6430</f>
        <v>365</v>
      </c>
      <c r="L6301" s="34">
        <v>365</v>
      </c>
      <c r="M6301" s="10">
        <f t="shared" si="393"/>
        <v>43.290410958904104</v>
      </c>
    </row>
    <row r="6302" spans="1:13" ht="15.75" hidden="1" customHeight="1" x14ac:dyDescent="0.3">
      <c r="A6302" s="9">
        <v>3836</v>
      </c>
      <c r="B6302" t="s">
        <v>570</v>
      </c>
      <c r="C6302" s="25">
        <v>44685</v>
      </c>
      <c r="D6302" s="26">
        <v>0.36008101851851854</v>
      </c>
      <c r="E6302" t="s">
        <v>28</v>
      </c>
      <c r="F6302" t="s">
        <v>541</v>
      </c>
      <c r="G6302" t="s">
        <v>542</v>
      </c>
      <c r="H6302" t="s">
        <v>250</v>
      </c>
      <c r="I6302">
        <v>52.64</v>
      </c>
      <c r="J6302" s="7">
        <v>0</v>
      </c>
      <c r="K6302" s="95">
        <f t="shared" si="394"/>
        <v>178.5</v>
      </c>
      <c r="L6302" s="7">
        <v>1243.5</v>
      </c>
      <c r="M6302" s="10">
        <f t="shared" si="393"/>
        <v>29.490196078431374</v>
      </c>
    </row>
    <row r="6303" spans="1:13" ht="15.75" hidden="1" customHeight="1" x14ac:dyDescent="0.3">
      <c r="A6303" s="9">
        <v>3837</v>
      </c>
      <c r="B6303" t="s">
        <v>570</v>
      </c>
      <c r="C6303" s="25">
        <v>44685</v>
      </c>
      <c r="D6303" s="26">
        <v>0.45809027777777778</v>
      </c>
      <c r="E6303" t="s">
        <v>28</v>
      </c>
      <c r="F6303" t="s">
        <v>559</v>
      </c>
      <c r="G6303" t="s">
        <v>303</v>
      </c>
      <c r="H6303" t="s">
        <v>250</v>
      </c>
      <c r="I6303">
        <v>457.64</v>
      </c>
      <c r="J6303" s="7">
        <v>0</v>
      </c>
      <c r="K6303" s="90">
        <f t="shared" si="394"/>
        <v>106.6</v>
      </c>
      <c r="L6303" s="7">
        <v>106.6</v>
      </c>
      <c r="M6303" s="10">
        <f t="shared" si="393"/>
        <v>429.3058161350844</v>
      </c>
    </row>
    <row r="6304" spans="1:13" ht="15.75" hidden="1" customHeight="1" x14ac:dyDescent="0.3">
      <c r="A6304" s="9">
        <v>3893</v>
      </c>
      <c r="B6304" t="s">
        <v>570</v>
      </c>
      <c r="C6304" s="25">
        <v>44686</v>
      </c>
      <c r="D6304" s="26">
        <v>0.83064814814814814</v>
      </c>
      <c r="E6304" t="s">
        <v>28</v>
      </c>
      <c r="F6304" t="s">
        <v>165</v>
      </c>
      <c r="G6304" t="s">
        <v>185</v>
      </c>
      <c r="H6304" t="s">
        <v>250</v>
      </c>
      <c r="I6304">
        <v>303.04000000000002</v>
      </c>
      <c r="J6304" s="34">
        <v>0</v>
      </c>
      <c r="K6304" s="89">
        <f t="shared" si="394"/>
        <v>626.39</v>
      </c>
      <c r="L6304" s="34">
        <v>626.39</v>
      </c>
      <c r="M6304" s="10">
        <f t="shared" si="393"/>
        <v>48.378805536486858</v>
      </c>
    </row>
    <row r="6305" spans="1:13" ht="15.75" hidden="1" customHeight="1" x14ac:dyDescent="0.3">
      <c r="A6305" s="9">
        <v>3951</v>
      </c>
      <c r="B6305" t="s">
        <v>570</v>
      </c>
      <c r="C6305" s="25">
        <v>44687</v>
      </c>
      <c r="D6305" s="26">
        <v>0.42623842592592592</v>
      </c>
      <c r="E6305" t="s">
        <v>28</v>
      </c>
      <c r="F6305" t="s">
        <v>210</v>
      </c>
      <c r="G6305" t="s">
        <v>211</v>
      </c>
      <c r="H6305" t="s">
        <v>250</v>
      </c>
      <c r="I6305">
        <v>170.04</v>
      </c>
      <c r="J6305" s="34">
        <v>0</v>
      </c>
      <c r="K6305" s="89">
        <f t="shared" si="394"/>
        <v>515</v>
      </c>
      <c r="L6305" s="7">
        <v>515</v>
      </c>
      <c r="M6305" s="10">
        <f t="shared" si="393"/>
        <v>33.01747572815534</v>
      </c>
    </row>
    <row r="6306" spans="1:13" ht="15.75" hidden="1" customHeight="1" x14ac:dyDescent="0.3">
      <c r="A6306" s="9">
        <v>3993</v>
      </c>
      <c r="B6306" t="s">
        <v>570</v>
      </c>
      <c r="C6306" s="25">
        <v>44688</v>
      </c>
      <c r="D6306" s="26">
        <v>0.4667013888888889</v>
      </c>
      <c r="E6306" t="s">
        <v>28</v>
      </c>
      <c r="F6306" t="s">
        <v>428</v>
      </c>
      <c r="G6306" t="s">
        <v>429</v>
      </c>
      <c r="H6306" t="s">
        <v>250</v>
      </c>
      <c r="I6306">
        <v>100.08</v>
      </c>
      <c r="J6306" s="51">
        <v>0</v>
      </c>
      <c r="K6306" s="88">
        <f t="shared" si="394"/>
        <v>-158</v>
      </c>
      <c r="L6306" s="52">
        <v>906</v>
      </c>
      <c r="M6306" s="10">
        <f t="shared" si="393"/>
        <v>-63.341772151898738</v>
      </c>
    </row>
    <row r="6307" spans="1:13" ht="15.75" hidden="1" customHeight="1" x14ac:dyDescent="0.3">
      <c r="A6307" s="9">
        <v>4039</v>
      </c>
      <c r="B6307" t="s">
        <v>570</v>
      </c>
      <c r="C6307" s="25">
        <v>44689</v>
      </c>
      <c r="D6307" s="26">
        <v>0.40099537037037036</v>
      </c>
      <c r="E6307" t="s">
        <v>28</v>
      </c>
      <c r="F6307" t="s">
        <v>311</v>
      </c>
      <c r="G6307" t="s">
        <v>303</v>
      </c>
      <c r="H6307" t="s">
        <v>250</v>
      </c>
      <c r="I6307">
        <v>462.88</v>
      </c>
      <c r="J6307" s="7">
        <v>0</v>
      </c>
      <c r="K6307" s="90">
        <f t="shared" si="394"/>
        <v>548</v>
      </c>
      <c r="L6307" s="32">
        <v>548</v>
      </c>
      <c r="M6307" s="10">
        <f t="shared" si="393"/>
        <v>84.467153284671539</v>
      </c>
    </row>
    <row r="6308" spans="1:13" ht="15.75" hidden="1" customHeight="1" x14ac:dyDescent="0.3">
      <c r="A6308" s="9">
        <v>4043</v>
      </c>
      <c r="B6308" t="s">
        <v>570</v>
      </c>
      <c r="C6308" s="25">
        <v>44689</v>
      </c>
      <c r="D6308" s="26">
        <v>0.67107638888888888</v>
      </c>
      <c r="E6308" t="s">
        <v>28</v>
      </c>
      <c r="F6308" t="s">
        <v>166</v>
      </c>
      <c r="G6308" t="s">
        <v>161</v>
      </c>
      <c r="H6308" t="s">
        <v>250</v>
      </c>
      <c r="I6308">
        <v>171.63</v>
      </c>
      <c r="J6308" s="7">
        <v>0</v>
      </c>
      <c r="K6308" s="90">
        <f t="shared" si="394"/>
        <v>355</v>
      </c>
      <c r="L6308" s="32">
        <v>355</v>
      </c>
      <c r="M6308" s="10">
        <f t="shared" si="393"/>
        <v>48.346478873239434</v>
      </c>
    </row>
    <row r="6309" spans="1:13" ht="15.75" hidden="1" customHeight="1" x14ac:dyDescent="0.3">
      <c r="A6309" s="9">
        <v>4086</v>
      </c>
      <c r="B6309" t="s">
        <v>570</v>
      </c>
      <c r="C6309" s="25">
        <v>44690</v>
      </c>
      <c r="D6309" s="26">
        <v>0.40355324074074073</v>
      </c>
      <c r="E6309" t="s">
        <v>28</v>
      </c>
      <c r="F6309" t="s">
        <v>165</v>
      </c>
      <c r="G6309" t="s">
        <v>185</v>
      </c>
      <c r="H6309" t="s">
        <v>250</v>
      </c>
      <c r="I6309">
        <v>291.45</v>
      </c>
      <c r="J6309" s="7">
        <v>0</v>
      </c>
      <c r="K6309" s="90">
        <f t="shared" si="394"/>
        <v>626</v>
      </c>
      <c r="L6309" s="32">
        <v>626</v>
      </c>
      <c r="M6309" s="10">
        <f t="shared" si="393"/>
        <v>46.557507987220447</v>
      </c>
    </row>
    <row r="6310" spans="1:13" ht="15.75" hidden="1" customHeight="1" x14ac:dyDescent="0.3">
      <c r="A6310" s="9">
        <v>4087</v>
      </c>
      <c r="B6310" t="s">
        <v>570</v>
      </c>
      <c r="C6310" s="25">
        <v>44690</v>
      </c>
      <c r="D6310" s="26">
        <v>0.80924768518518519</v>
      </c>
      <c r="E6310" t="s">
        <v>28</v>
      </c>
      <c r="F6310" t="s">
        <v>210</v>
      </c>
      <c r="G6310" t="s">
        <v>211</v>
      </c>
      <c r="H6310" t="s">
        <v>250</v>
      </c>
      <c r="I6310">
        <v>165.01</v>
      </c>
      <c r="J6310" s="34">
        <v>0</v>
      </c>
      <c r="K6310" s="97">
        <f t="shared" si="394"/>
        <v>516</v>
      </c>
      <c r="L6310" s="32">
        <v>516</v>
      </c>
      <c r="M6310" s="10">
        <f t="shared" si="393"/>
        <v>31.978682170542633</v>
      </c>
    </row>
    <row r="6311" spans="1:13" ht="15.75" hidden="1" customHeight="1" x14ac:dyDescent="0.3">
      <c r="A6311" s="9">
        <v>4177</v>
      </c>
      <c r="B6311" t="s">
        <v>570</v>
      </c>
      <c r="C6311" s="25">
        <v>44692</v>
      </c>
      <c r="D6311" s="26">
        <v>0.45045138888888886</v>
      </c>
      <c r="E6311" t="s">
        <v>28</v>
      </c>
      <c r="F6311" t="s">
        <v>175</v>
      </c>
      <c r="G6311" t="s">
        <v>172</v>
      </c>
      <c r="H6311" t="s">
        <v>250</v>
      </c>
      <c r="I6311">
        <v>396.16</v>
      </c>
      <c r="J6311" s="7">
        <v>0</v>
      </c>
      <c r="K6311" s="90">
        <f>+L6311-J6443</f>
        <v>1098</v>
      </c>
      <c r="L6311" s="32">
        <v>1098</v>
      </c>
      <c r="M6311" s="10">
        <f t="shared" si="393"/>
        <v>36.080145719489984</v>
      </c>
    </row>
    <row r="6312" spans="1:13" ht="15.75" hidden="1" customHeight="1" x14ac:dyDescent="0.3">
      <c r="A6312" s="9">
        <v>4186</v>
      </c>
      <c r="B6312" t="s">
        <v>570</v>
      </c>
      <c r="C6312" s="25">
        <v>44692</v>
      </c>
      <c r="D6312" s="26">
        <v>0.89287037037037031</v>
      </c>
      <c r="E6312" t="s">
        <v>28</v>
      </c>
      <c r="F6312" t="s">
        <v>166</v>
      </c>
      <c r="G6312" t="s">
        <v>161</v>
      </c>
      <c r="H6312" t="s">
        <v>250</v>
      </c>
      <c r="I6312">
        <v>239.51</v>
      </c>
      <c r="J6312" s="7">
        <v>0</v>
      </c>
      <c r="K6312" s="90">
        <f>+L6312-J6444</f>
        <v>621</v>
      </c>
      <c r="L6312" s="32">
        <v>621</v>
      </c>
      <c r="M6312" s="10">
        <f t="shared" si="393"/>
        <v>38.568438003220614</v>
      </c>
    </row>
    <row r="6313" spans="1:13" ht="15.75" hidden="1" customHeight="1" x14ac:dyDescent="0.3">
      <c r="A6313" s="9">
        <v>4222</v>
      </c>
      <c r="B6313" t="s">
        <v>570</v>
      </c>
      <c r="C6313" s="25">
        <v>44693</v>
      </c>
      <c r="D6313" s="26">
        <v>0.67115740740740737</v>
      </c>
      <c r="E6313" t="s">
        <v>28</v>
      </c>
      <c r="F6313" t="s">
        <v>165</v>
      </c>
      <c r="G6313" t="s">
        <v>185</v>
      </c>
      <c r="H6313" t="s">
        <v>250</v>
      </c>
      <c r="I6313">
        <v>299.97000000000003</v>
      </c>
      <c r="J6313" s="7">
        <v>0</v>
      </c>
      <c r="K6313" s="90">
        <f>+L6313-J6445</f>
        <v>626</v>
      </c>
      <c r="L6313" s="32">
        <v>626</v>
      </c>
      <c r="M6313" s="10">
        <f t="shared" si="393"/>
        <v>47.918530351437703</v>
      </c>
    </row>
    <row r="6314" spans="1:13" ht="15.75" hidden="1" customHeight="1" x14ac:dyDescent="0.3">
      <c r="A6314" s="9">
        <v>4265</v>
      </c>
      <c r="B6314" t="s">
        <v>570</v>
      </c>
      <c r="C6314" s="25">
        <v>44694</v>
      </c>
      <c r="D6314" s="26">
        <v>0.51197916666666665</v>
      </c>
      <c r="E6314" t="s">
        <v>28</v>
      </c>
      <c r="F6314" t="s">
        <v>166</v>
      </c>
      <c r="G6314" t="s">
        <v>161</v>
      </c>
      <c r="H6314" t="s">
        <v>250</v>
      </c>
      <c r="I6314">
        <v>187.75</v>
      </c>
      <c r="J6314" s="7">
        <v>0</v>
      </c>
      <c r="K6314" s="90">
        <f>+L6314-J6587</f>
        <v>572</v>
      </c>
      <c r="L6314" s="37">
        <v>572</v>
      </c>
      <c r="M6314" s="10">
        <f t="shared" si="393"/>
        <v>32.823426573426573</v>
      </c>
    </row>
    <row r="6315" spans="1:13" ht="15.75" hidden="1" customHeight="1" x14ac:dyDescent="0.3">
      <c r="A6315" s="9">
        <v>4835</v>
      </c>
      <c r="B6315" t="s">
        <v>570</v>
      </c>
      <c r="C6315" s="25">
        <v>44704</v>
      </c>
      <c r="D6315" s="26">
        <v>0.58910879629629631</v>
      </c>
      <c r="E6315" t="s">
        <v>28</v>
      </c>
      <c r="F6315" t="s">
        <v>262</v>
      </c>
      <c r="G6315" t="s">
        <v>263</v>
      </c>
      <c r="H6315" t="s">
        <v>250</v>
      </c>
      <c r="I6315">
        <v>444</v>
      </c>
      <c r="J6315" s="7">
        <v>0</v>
      </c>
      <c r="K6315" s="90">
        <f>+L6315-J6588</f>
        <v>1110</v>
      </c>
      <c r="L6315" s="37">
        <v>1110</v>
      </c>
      <c r="M6315" s="10">
        <f t="shared" si="393"/>
        <v>40</v>
      </c>
    </row>
    <row r="6316" spans="1:13" ht="15.75" hidden="1" customHeight="1" x14ac:dyDescent="0.3">
      <c r="A6316" s="9">
        <v>4875</v>
      </c>
      <c r="B6316" t="s">
        <v>570</v>
      </c>
      <c r="C6316" s="25">
        <v>44705</v>
      </c>
      <c r="D6316" s="26">
        <v>0.95621527777777782</v>
      </c>
      <c r="E6316" t="s">
        <v>28</v>
      </c>
      <c r="F6316" t="s">
        <v>166</v>
      </c>
      <c r="G6316" t="s">
        <v>161</v>
      </c>
      <c r="H6316" t="s">
        <v>250</v>
      </c>
      <c r="I6316">
        <v>358.33</v>
      </c>
      <c r="J6316" s="51">
        <v>0</v>
      </c>
      <c r="K6316" s="88">
        <f>+L6316-J6589</f>
        <v>950</v>
      </c>
      <c r="L6316" s="52">
        <v>950</v>
      </c>
      <c r="M6316" s="10">
        <f t="shared" si="393"/>
        <v>37.718947368421055</v>
      </c>
    </row>
    <row r="6317" spans="1:13" ht="15.75" hidden="1" customHeight="1" x14ac:dyDescent="0.3">
      <c r="A6317" s="9">
        <v>4953</v>
      </c>
      <c r="B6317" t="s">
        <v>570</v>
      </c>
      <c r="C6317" s="25">
        <v>44706</v>
      </c>
      <c r="D6317" s="26">
        <v>0.73274305555555552</v>
      </c>
      <c r="E6317" t="s">
        <v>28</v>
      </c>
      <c r="F6317" t="s">
        <v>165</v>
      </c>
      <c r="G6317" t="s">
        <v>185</v>
      </c>
      <c r="H6317" t="s">
        <v>250</v>
      </c>
      <c r="I6317">
        <v>279.02999999999997</v>
      </c>
      <c r="J6317" s="7">
        <v>0</v>
      </c>
      <c r="K6317" s="89">
        <f>+L6317-J6590</f>
        <v>626</v>
      </c>
      <c r="L6317" s="32">
        <v>626</v>
      </c>
      <c r="M6317" s="10">
        <f t="shared" si="393"/>
        <v>44.573482428115014</v>
      </c>
    </row>
    <row r="6318" spans="1:13" ht="15.75" hidden="1" customHeight="1" x14ac:dyDescent="0.3">
      <c r="A6318" s="9">
        <v>4996</v>
      </c>
      <c r="B6318" t="s">
        <v>570</v>
      </c>
      <c r="C6318" s="25">
        <v>44707</v>
      </c>
      <c r="D6318" s="26">
        <v>0.80096064814814805</v>
      </c>
      <c r="E6318" t="s">
        <v>28</v>
      </c>
      <c r="F6318" t="s">
        <v>634</v>
      </c>
      <c r="G6318" t="s">
        <v>211</v>
      </c>
      <c r="H6318" t="s">
        <v>250</v>
      </c>
      <c r="I6318">
        <v>262.32</v>
      </c>
      <c r="J6318" s="7">
        <v>0</v>
      </c>
      <c r="K6318" s="89">
        <f>+L6318-J6591</f>
        <v>538</v>
      </c>
      <c r="L6318" s="31">
        <v>538</v>
      </c>
      <c r="M6318" s="10">
        <f t="shared" si="393"/>
        <v>48.758364312267652</v>
      </c>
    </row>
    <row r="6319" spans="1:13" ht="15.75" hidden="1" customHeight="1" x14ac:dyDescent="0.3">
      <c r="A6319" s="9">
        <v>5048</v>
      </c>
      <c r="B6319" t="s">
        <v>570</v>
      </c>
      <c r="C6319" s="25">
        <v>44708</v>
      </c>
      <c r="D6319" s="26">
        <v>0.90127314814814818</v>
      </c>
      <c r="E6319" t="s">
        <v>28</v>
      </c>
      <c r="F6319" t="s">
        <v>637</v>
      </c>
      <c r="G6319" t="s">
        <v>196</v>
      </c>
      <c r="H6319" t="s">
        <v>250</v>
      </c>
      <c r="I6319">
        <v>185</v>
      </c>
      <c r="J6319" s="7">
        <v>0</v>
      </c>
      <c r="K6319" s="95">
        <f>+L6319-J6591</f>
        <v>512</v>
      </c>
      <c r="L6319" s="7">
        <v>512</v>
      </c>
      <c r="M6319" s="10">
        <f t="shared" si="393"/>
        <v>36.1328125</v>
      </c>
    </row>
    <row r="6320" spans="1:13" ht="15.75" hidden="1" customHeight="1" x14ac:dyDescent="0.3">
      <c r="A6320" s="9">
        <v>5100</v>
      </c>
      <c r="B6320" t="s">
        <v>570</v>
      </c>
      <c r="C6320" s="25">
        <v>44709</v>
      </c>
      <c r="D6320" s="26">
        <v>0.4502430555555556</v>
      </c>
      <c r="E6320" t="s">
        <v>28</v>
      </c>
      <c r="F6320" t="s">
        <v>679</v>
      </c>
      <c r="G6320" t="s">
        <v>392</v>
      </c>
      <c r="H6320" t="s">
        <v>250</v>
      </c>
      <c r="I6320">
        <v>175.01</v>
      </c>
      <c r="J6320" s="7">
        <v>0</v>
      </c>
      <c r="K6320" s="90">
        <f>+L6320-J6592</f>
        <v>431</v>
      </c>
      <c r="L6320" s="7">
        <v>431</v>
      </c>
      <c r="M6320" s="10">
        <f t="shared" si="393"/>
        <v>40.60556844547564</v>
      </c>
    </row>
    <row r="6321" spans="1:19" ht="15.75" hidden="1" customHeight="1" x14ac:dyDescent="0.3">
      <c r="A6321" s="9">
        <v>5162</v>
      </c>
      <c r="B6321" t="s">
        <v>570</v>
      </c>
      <c r="C6321" s="25">
        <v>44710</v>
      </c>
      <c r="D6321" s="26">
        <v>0.71005787037037038</v>
      </c>
      <c r="E6321" t="s">
        <v>28</v>
      </c>
      <c r="F6321" t="s">
        <v>632</v>
      </c>
      <c r="G6321" t="s">
        <v>161</v>
      </c>
      <c r="H6321" t="s">
        <v>250</v>
      </c>
      <c r="I6321" s="126">
        <v>345.64</v>
      </c>
      <c r="J6321" s="7">
        <v>0</v>
      </c>
      <c r="K6321" s="90">
        <f>+L6321-J6593</f>
        <v>767</v>
      </c>
      <c r="L6321" s="7">
        <v>767</v>
      </c>
      <c r="M6321" s="10">
        <f t="shared" si="393"/>
        <v>45.063885267275097</v>
      </c>
    </row>
    <row r="6322" spans="1:19" ht="15.75" hidden="1" customHeight="1" x14ac:dyDescent="0.3">
      <c r="A6322" s="9">
        <v>5472</v>
      </c>
      <c r="B6322" t="s">
        <v>570</v>
      </c>
      <c r="C6322" s="25">
        <v>44716</v>
      </c>
      <c r="D6322" s="26">
        <v>0.77989583333333334</v>
      </c>
      <c r="E6322" t="s">
        <v>29</v>
      </c>
      <c r="F6322" t="s">
        <v>635</v>
      </c>
      <c r="G6322" t="s">
        <v>185</v>
      </c>
      <c r="H6322" t="s">
        <v>250</v>
      </c>
      <c r="I6322" s="126">
        <v>401.35</v>
      </c>
      <c r="J6322" s="7">
        <v>0</v>
      </c>
      <c r="K6322" s="90">
        <f>+L6322-J6582</f>
        <v>693</v>
      </c>
      <c r="L6322" s="7">
        <v>693</v>
      </c>
      <c r="M6322" s="10">
        <f t="shared" si="393"/>
        <v>57.914862914862923</v>
      </c>
    </row>
    <row r="6323" spans="1:19" ht="15.75" hidden="1" customHeight="1" x14ac:dyDescent="0.3">
      <c r="A6323" s="9">
        <v>5518</v>
      </c>
      <c r="B6323" t="s">
        <v>570</v>
      </c>
      <c r="C6323" s="25">
        <v>44717</v>
      </c>
      <c r="D6323" s="26">
        <v>0.59160879629629626</v>
      </c>
      <c r="E6323" t="s">
        <v>29</v>
      </c>
      <c r="F6323" t="s">
        <v>634</v>
      </c>
      <c r="G6323" t="s">
        <v>211</v>
      </c>
      <c r="H6323" t="s">
        <v>250</v>
      </c>
      <c r="I6323" s="126">
        <v>139.82</v>
      </c>
      <c r="J6323" s="7">
        <v>0</v>
      </c>
      <c r="K6323" s="90">
        <f>+L6323-J6583</f>
        <v>515</v>
      </c>
      <c r="L6323" s="34">
        <v>515</v>
      </c>
      <c r="M6323" s="10">
        <f t="shared" si="393"/>
        <v>27.149514563106798</v>
      </c>
    </row>
    <row r="6324" spans="1:19" ht="15.75" hidden="1" customHeight="1" x14ac:dyDescent="0.3">
      <c r="A6324" s="9">
        <v>5559</v>
      </c>
      <c r="B6324" t="s">
        <v>570</v>
      </c>
      <c r="C6324" s="25">
        <v>44718</v>
      </c>
      <c r="D6324" s="26">
        <v>0.25684027777777779</v>
      </c>
      <c r="E6324" t="s">
        <v>29</v>
      </c>
      <c r="F6324" t="s">
        <v>637</v>
      </c>
      <c r="G6324" t="s">
        <v>196</v>
      </c>
      <c r="H6324" t="s">
        <v>250</v>
      </c>
      <c r="I6324" s="126">
        <v>100</v>
      </c>
      <c r="J6324" s="7">
        <v>0</v>
      </c>
      <c r="K6324" s="89">
        <f>+L6324-J6577</f>
        <v>482</v>
      </c>
      <c r="L6324" s="7">
        <v>482</v>
      </c>
      <c r="M6324" s="10">
        <f t="shared" si="393"/>
        <v>20.74688796680498</v>
      </c>
    </row>
    <row r="6325" spans="1:19" ht="15.75" hidden="1" customHeight="1" x14ac:dyDescent="0.3">
      <c r="A6325" s="9">
        <v>5617</v>
      </c>
      <c r="B6325" t="s">
        <v>570</v>
      </c>
      <c r="C6325" s="25">
        <v>44719</v>
      </c>
      <c r="D6325" s="26">
        <v>0.41829861111111111</v>
      </c>
      <c r="E6325" t="s">
        <v>29</v>
      </c>
      <c r="F6325" t="s">
        <v>639</v>
      </c>
      <c r="G6325" t="s">
        <v>44</v>
      </c>
      <c r="H6325" t="s">
        <v>250</v>
      </c>
      <c r="I6325" s="126">
        <v>115.68</v>
      </c>
      <c r="J6325" s="32">
        <v>0</v>
      </c>
      <c r="K6325" s="90">
        <f>+L6325-J5884</f>
        <v>-484804</v>
      </c>
      <c r="L6325" s="34">
        <v>698</v>
      </c>
      <c r="M6325" s="10">
        <f t="shared" si="393"/>
        <v>-2.3861189264114985E-2</v>
      </c>
    </row>
    <row r="6326" spans="1:19" ht="15.75" hidden="1" customHeight="1" x14ac:dyDescent="0.3">
      <c r="A6326" s="9">
        <v>5618</v>
      </c>
      <c r="B6326" t="s">
        <v>570</v>
      </c>
      <c r="C6326" s="25">
        <v>44719</v>
      </c>
      <c r="D6326" s="26">
        <v>0.50974537037037038</v>
      </c>
      <c r="E6326" t="s">
        <v>29</v>
      </c>
      <c r="F6326" t="s">
        <v>662</v>
      </c>
      <c r="G6326" t="s">
        <v>542</v>
      </c>
      <c r="H6326" t="s">
        <v>250</v>
      </c>
      <c r="I6326" s="126">
        <v>50.04</v>
      </c>
      <c r="J6326" s="32">
        <v>0</v>
      </c>
      <c r="K6326" s="89">
        <f>+L6326-J5885</f>
        <v>-485720</v>
      </c>
      <c r="L6326" s="7">
        <v>52</v>
      </c>
      <c r="M6326" s="10">
        <f t="shared" si="393"/>
        <v>-1.0302231738450136E-2</v>
      </c>
    </row>
    <row r="6327" spans="1:19" ht="15.75" hidden="1" customHeight="1" x14ac:dyDescent="0.3">
      <c r="A6327" s="9">
        <v>5619</v>
      </c>
      <c r="B6327" t="s">
        <v>570</v>
      </c>
      <c r="C6327" s="25">
        <v>44719</v>
      </c>
      <c r="D6327" s="26">
        <v>0.88390046296296287</v>
      </c>
      <c r="E6327" t="s">
        <v>29</v>
      </c>
      <c r="F6327" t="s">
        <v>632</v>
      </c>
      <c r="G6327" t="s">
        <v>161</v>
      </c>
      <c r="H6327" t="s">
        <v>250</v>
      </c>
      <c r="I6327" s="126">
        <v>361.39</v>
      </c>
      <c r="J6327" s="7">
        <v>0</v>
      </c>
      <c r="K6327" s="89">
        <f>+L6327-J5886</f>
        <v>-486468</v>
      </c>
      <c r="L6327" s="7">
        <v>460</v>
      </c>
      <c r="M6327" s="10">
        <f t="shared" si="393"/>
        <v>-7.4288545186939323E-2</v>
      </c>
    </row>
    <row r="6328" spans="1:19" ht="15.75" hidden="1" customHeight="1" x14ac:dyDescent="0.3">
      <c r="A6328" s="9">
        <v>5673</v>
      </c>
      <c r="B6328" t="s">
        <v>570</v>
      </c>
      <c r="C6328" s="25">
        <v>44720</v>
      </c>
      <c r="D6328" s="26">
        <v>0.66484953703703698</v>
      </c>
      <c r="E6328" t="s">
        <v>29</v>
      </c>
      <c r="F6328" t="s">
        <v>635</v>
      </c>
      <c r="G6328" t="s">
        <v>185</v>
      </c>
      <c r="H6328" t="s">
        <v>250</v>
      </c>
      <c r="I6328">
        <v>305.36</v>
      </c>
      <c r="J6328" s="38">
        <v>0</v>
      </c>
      <c r="K6328" s="99">
        <f>+L6328-J5928</f>
        <v>626</v>
      </c>
      <c r="L6328" s="7">
        <v>626</v>
      </c>
      <c r="M6328" s="10">
        <f t="shared" si="393"/>
        <v>48.779552715654958</v>
      </c>
    </row>
    <row r="6329" spans="1:19" ht="15.75" hidden="1" customHeight="1" x14ac:dyDescent="0.3">
      <c r="A6329" s="9">
        <v>5727</v>
      </c>
      <c r="B6329" t="s">
        <v>570</v>
      </c>
      <c r="C6329" s="25">
        <v>44721</v>
      </c>
      <c r="D6329" s="26">
        <v>0.29829861111111111</v>
      </c>
      <c r="E6329" t="s">
        <v>29</v>
      </c>
      <c r="F6329" t="s">
        <v>634</v>
      </c>
      <c r="G6329" t="s">
        <v>211</v>
      </c>
      <c r="H6329" t="s">
        <v>250</v>
      </c>
      <c r="I6329">
        <v>152.88</v>
      </c>
      <c r="J6329" s="32">
        <v>0</v>
      </c>
      <c r="K6329" s="90">
        <f>+L6329-J5929</f>
        <v>515</v>
      </c>
      <c r="L6329" s="7">
        <v>515</v>
      </c>
      <c r="M6329" s="10">
        <f t="shared" si="393"/>
        <v>29.685436893203882</v>
      </c>
    </row>
    <row r="6330" spans="1:19" ht="15.75" hidden="1" customHeight="1" x14ac:dyDescent="0.3">
      <c r="A6330" s="9">
        <v>5827</v>
      </c>
      <c r="B6330" t="s">
        <v>570</v>
      </c>
      <c r="C6330" s="25">
        <v>44723</v>
      </c>
      <c r="D6330" s="26">
        <v>0.38496527777777773</v>
      </c>
      <c r="E6330" t="s">
        <v>29</v>
      </c>
      <c r="F6330" t="s">
        <v>639</v>
      </c>
      <c r="G6330" t="s">
        <v>44</v>
      </c>
      <c r="H6330" t="s">
        <v>250</v>
      </c>
      <c r="I6330">
        <v>384</v>
      </c>
      <c r="J6330" s="33">
        <v>0</v>
      </c>
      <c r="K6330" s="90">
        <f>+L6330-J5930</f>
        <v>1165</v>
      </c>
      <c r="L6330" s="7">
        <v>1165</v>
      </c>
      <c r="M6330" s="10">
        <f t="shared" si="393"/>
        <v>32.961373390557938</v>
      </c>
    </row>
    <row r="6331" spans="1:19" ht="15.75" hidden="1" customHeight="1" x14ac:dyDescent="0.3">
      <c r="A6331" s="9">
        <v>5828</v>
      </c>
      <c r="B6331" t="s">
        <v>570</v>
      </c>
      <c r="C6331" s="25">
        <v>44723</v>
      </c>
      <c r="D6331" s="26">
        <v>0.70258101851851851</v>
      </c>
      <c r="E6331" t="s">
        <v>29</v>
      </c>
      <c r="F6331" t="s">
        <v>632</v>
      </c>
      <c r="G6331" t="s">
        <v>161</v>
      </c>
      <c r="H6331" t="s">
        <v>250</v>
      </c>
      <c r="I6331">
        <v>429.02</v>
      </c>
      <c r="J6331" s="32">
        <v>0</v>
      </c>
      <c r="K6331" s="89">
        <f>+L6331-J5931</f>
        <v>512</v>
      </c>
      <c r="L6331" s="7">
        <v>512</v>
      </c>
      <c r="M6331" s="10">
        <f t="shared" si="393"/>
        <v>83.79296875</v>
      </c>
    </row>
    <row r="6332" spans="1:19" ht="15.75" hidden="1" customHeight="1" x14ac:dyDescent="0.3">
      <c r="A6332" s="9">
        <v>5884</v>
      </c>
      <c r="B6332" t="s">
        <v>570</v>
      </c>
      <c r="C6332" s="25">
        <v>44724</v>
      </c>
      <c r="D6332" s="26">
        <v>0.84892361111111114</v>
      </c>
      <c r="E6332" t="s">
        <v>29</v>
      </c>
      <c r="F6332" t="s">
        <v>634</v>
      </c>
      <c r="G6332" t="s">
        <v>211</v>
      </c>
      <c r="H6332" t="s">
        <v>250</v>
      </c>
      <c r="I6332">
        <v>452.77</v>
      </c>
      <c r="J6332" s="37">
        <v>0</v>
      </c>
      <c r="K6332" s="89">
        <f>+L6332-J5932</f>
        <v>1141</v>
      </c>
      <c r="L6332" s="7">
        <v>1141</v>
      </c>
      <c r="M6332" s="10">
        <f t="shared" si="393"/>
        <v>39.681858019281329</v>
      </c>
    </row>
    <row r="6333" spans="1:19" ht="15.75" hidden="1" customHeight="1" x14ac:dyDescent="0.3">
      <c r="A6333" s="9">
        <v>5945</v>
      </c>
      <c r="B6333" t="s">
        <v>570</v>
      </c>
      <c r="C6333" s="25">
        <v>44725</v>
      </c>
      <c r="D6333" s="26">
        <v>0.63280092592592596</v>
      </c>
      <c r="E6333" t="s">
        <v>29</v>
      </c>
      <c r="F6333" t="s">
        <v>637</v>
      </c>
      <c r="G6333" t="s">
        <v>196</v>
      </c>
      <c r="H6333" t="s">
        <v>250</v>
      </c>
      <c r="I6333">
        <v>183</v>
      </c>
      <c r="J6333" s="37">
        <v>0</v>
      </c>
      <c r="K6333" s="89">
        <f>+L6333-J5937</f>
        <v>491</v>
      </c>
      <c r="L6333" s="7">
        <v>491</v>
      </c>
      <c r="M6333" s="10">
        <f t="shared" si="393"/>
        <v>37.270875763747455</v>
      </c>
      <c r="N6333" s="2"/>
      <c r="O6333" s="2"/>
      <c r="P6333" s="2"/>
      <c r="Q6333" s="2"/>
      <c r="R6333" s="2"/>
      <c r="S6333" s="2"/>
    </row>
    <row r="6334" spans="1:19" ht="15.75" hidden="1" customHeight="1" x14ac:dyDescent="0.3">
      <c r="A6334" s="9">
        <v>6303</v>
      </c>
      <c r="B6334" t="s">
        <v>570</v>
      </c>
      <c r="C6334" s="25">
        <v>44733</v>
      </c>
      <c r="D6334" s="26">
        <v>0.87454861111111104</v>
      </c>
      <c r="E6334" t="s">
        <v>29</v>
      </c>
      <c r="F6334" t="s">
        <v>651</v>
      </c>
      <c r="G6334" t="s">
        <v>172</v>
      </c>
      <c r="H6334" t="s">
        <v>250</v>
      </c>
      <c r="I6334">
        <v>220.01</v>
      </c>
      <c r="J6334" s="32">
        <v>0</v>
      </c>
      <c r="K6334" s="89">
        <v>563</v>
      </c>
      <c r="L6334" s="35">
        <v>563</v>
      </c>
      <c r="M6334" s="10">
        <f t="shared" si="393"/>
        <v>39.078152753108348</v>
      </c>
    </row>
    <row r="6335" spans="1:19" ht="15.75" hidden="1" customHeight="1" x14ac:dyDescent="0.3">
      <c r="A6335" s="9">
        <v>6343</v>
      </c>
      <c r="B6335" t="s">
        <v>570</v>
      </c>
      <c r="C6335" s="25">
        <v>44734</v>
      </c>
      <c r="D6335" s="26">
        <v>0.86915509259259249</v>
      </c>
      <c r="E6335" t="s">
        <v>29</v>
      </c>
      <c r="F6335" t="s">
        <v>634</v>
      </c>
      <c r="G6335" t="s">
        <v>211</v>
      </c>
      <c r="H6335" t="s">
        <v>250</v>
      </c>
      <c r="I6335" s="148">
        <v>395.82</v>
      </c>
      <c r="J6335" s="32">
        <v>0</v>
      </c>
      <c r="K6335" s="89">
        <v>835</v>
      </c>
      <c r="L6335" s="7">
        <v>835</v>
      </c>
      <c r="M6335" s="10">
        <f t="shared" si="393"/>
        <v>47.403592814371258</v>
      </c>
    </row>
    <row r="6336" spans="1:19" ht="15.75" hidden="1" customHeight="1" x14ac:dyDescent="0.3">
      <c r="A6336" s="9">
        <v>6444</v>
      </c>
      <c r="B6336" t="s">
        <v>570</v>
      </c>
      <c r="C6336" s="25">
        <v>44736</v>
      </c>
      <c r="D6336" s="26">
        <v>0.43965277777777773</v>
      </c>
      <c r="E6336" t="s">
        <v>29</v>
      </c>
      <c r="F6336" t="s">
        <v>634</v>
      </c>
      <c r="G6336" t="s">
        <v>211</v>
      </c>
      <c r="H6336" t="s">
        <v>250</v>
      </c>
      <c r="I6336" s="148">
        <v>484.56</v>
      </c>
      <c r="J6336" s="32">
        <v>0</v>
      </c>
      <c r="K6336" s="90">
        <v>1107</v>
      </c>
      <c r="L6336" s="34">
        <v>1107</v>
      </c>
      <c r="M6336" s="10">
        <f t="shared" si="393"/>
        <v>43.772357723577237</v>
      </c>
    </row>
    <row r="6337" spans="1:13" ht="15.75" hidden="1" customHeight="1" x14ac:dyDescent="0.3">
      <c r="A6337" s="9">
        <v>6504</v>
      </c>
      <c r="B6337" t="s">
        <v>570</v>
      </c>
      <c r="C6337" s="25">
        <v>44737</v>
      </c>
      <c r="D6337" s="26">
        <v>0.43214120370370374</v>
      </c>
      <c r="E6337" t="s">
        <v>29</v>
      </c>
      <c r="F6337" t="s">
        <v>651</v>
      </c>
      <c r="G6337" t="s">
        <v>172</v>
      </c>
      <c r="H6337" t="s">
        <v>250</v>
      </c>
      <c r="I6337" s="148">
        <v>387.58</v>
      </c>
      <c r="J6337" s="32">
        <v>0</v>
      </c>
      <c r="K6337" s="89">
        <v>924</v>
      </c>
      <c r="L6337" s="7">
        <v>924</v>
      </c>
      <c r="M6337" s="10">
        <f t="shared" si="393"/>
        <v>41.945887445887443</v>
      </c>
    </row>
    <row r="6338" spans="1:13" ht="15.75" hidden="1" customHeight="1" x14ac:dyDescent="0.3">
      <c r="A6338" s="9">
        <v>6553</v>
      </c>
      <c r="B6338" t="s">
        <v>570</v>
      </c>
      <c r="C6338" s="25">
        <v>44738</v>
      </c>
      <c r="D6338" s="26">
        <v>0.53630787037037042</v>
      </c>
      <c r="E6338" t="s">
        <v>29</v>
      </c>
      <c r="F6338" t="s">
        <v>634</v>
      </c>
      <c r="G6338" t="s">
        <v>211</v>
      </c>
      <c r="H6338" t="s">
        <v>250</v>
      </c>
      <c r="I6338" s="148">
        <v>368.98</v>
      </c>
      <c r="J6338" s="32">
        <v>0</v>
      </c>
      <c r="K6338" s="89">
        <v>827</v>
      </c>
      <c r="L6338" s="7">
        <v>827</v>
      </c>
      <c r="M6338" s="10">
        <f t="shared" si="393"/>
        <v>44.616686819830711</v>
      </c>
    </row>
    <row r="6339" spans="1:13" ht="15.75" hidden="1" customHeight="1" x14ac:dyDescent="0.3">
      <c r="A6339" s="9">
        <v>6668</v>
      </c>
      <c r="B6339" t="s">
        <v>570</v>
      </c>
      <c r="C6339" s="25">
        <v>44740</v>
      </c>
      <c r="D6339" s="26">
        <v>0.47420138888888891</v>
      </c>
      <c r="E6339" t="s">
        <v>29</v>
      </c>
      <c r="F6339" t="s">
        <v>634</v>
      </c>
      <c r="G6339" t="s">
        <v>211</v>
      </c>
      <c r="H6339" t="s">
        <v>250</v>
      </c>
      <c r="I6339" s="148">
        <v>426.79</v>
      </c>
      <c r="J6339" s="33">
        <v>0</v>
      </c>
      <c r="K6339" s="96">
        <v>1066</v>
      </c>
      <c r="L6339" s="31">
        <v>1066</v>
      </c>
      <c r="M6339" s="131">
        <f t="shared" si="393"/>
        <v>40.036585365853661</v>
      </c>
    </row>
    <row r="6340" spans="1:13" ht="15.75" hidden="1" customHeight="1" x14ac:dyDescent="0.3">
      <c r="B6340" t="s">
        <v>466</v>
      </c>
      <c r="C6340" s="25">
        <v>44772</v>
      </c>
      <c r="D6340" s="26">
        <v>0.63840277777777776</v>
      </c>
      <c r="E6340" t="s">
        <v>30</v>
      </c>
      <c r="F6340" t="s">
        <v>343</v>
      </c>
      <c r="G6340" t="s">
        <v>344</v>
      </c>
      <c r="H6340" t="s">
        <v>15</v>
      </c>
      <c r="I6340" s="160">
        <v>106.33</v>
      </c>
      <c r="J6340" s="160">
        <f>106+50+400</f>
        <v>556</v>
      </c>
      <c r="K6340" s="160">
        <v>576802</v>
      </c>
      <c r="L6340" s="160">
        <v>2036</v>
      </c>
      <c r="M6340" s="150">
        <f>+J6340/L6340*100</f>
        <v>27.308447937131632</v>
      </c>
    </row>
    <row r="6341" spans="1:13" ht="15.75" hidden="1" customHeight="1" x14ac:dyDescent="0.3">
      <c r="A6341" s="9">
        <v>6751</v>
      </c>
      <c r="B6341" t="s">
        <v>382</v>
      </c>
      <c r="C6341" s="25">
        <v>44747</v>
      </c>
      <c r="D6341" s="26">
        <v>0.96098379629629627</v>
      </c>
      <c r="E6341" t="s">
        <v>30</v>
      </c>
      <c r="F6341" t="s">
        <v>210</v>
      </c>
      <c r="G6341" t="s">
        <v>211</v>
      </c>
      <c r="H6341" t="s">
        <v>305</v>
      </c>
      <c r="I6341" s="173">
        <v>394.03</v>
      </c>
      <c r="J6341" s="8"/>
      <c r="K6341" s="8">
        <v>10431</v>
      </c>
      <c r="L6341" s="24">
        <f>+K6341-J6341</f>
        <v>10431</v>
      </c>
      <c r="M6341" s="91">
        <f>I6341/L6341*100</f>
        <v>3.7774901735212341</v>
      </c>
    </row>
    <row r="6342" spans="1:13" ht="15.75" hidden="1" customHeight="1" x14ac:dyDescent="0.3">
      <c r="B6342" t="s">
        <v>288</v>
      </c>
      <c r="C6342" s="25">
        <v>44750</v>
      </c>
      <c r="D6342" s="26">
        <v>0.59403935185185186</v>
      </c>
      <c r="E6342" t="s">
        <v>30</v>
      </c>
      <c r="F6342" t="s">
        <v>775</v>
      </c>
      <c r="G6342" t="s">
        <v>263</v>
      </c>
      <c r="H6342" t="s">
        <v>305</v>
      </c>
      <c r="I6342" s="173">
        <v>200</v>
      </c>
      <c r="J6342" s="8"/>
      <c r="K6342" s="8"/>
      <c r="L6342" s="8"/>
      <c r="M6342" s="132"/>
    </row>
    <row r="6343" spans="1:13" ht="15.75" hidden="1" customHeight="1" x14ac:dyDescent="0.3">
      <c r="B6343" t="s">
        <v>288</v>
      </c>
      <c r="C6343" s="25">
        <v>44750</v>
      </c>
      <c r="D6343" s="26">
        <v>0.59403935185185186</v>
      </c>
      <c r="E6343" t="s">
        <v>30</v>
      </c>
      <c r="F6343" t="s">
        <v>262</v>
      </c>
      <c r="G6343" t="s">
        <v>263</v>
      </c>
      <c r="H6343" t="s">
        <v>305</v>
      </c>
      <c r="I6343" s="173">
        <v>200</v>
      </c>
      <c r="J6343" s="23"/>
      <c r="K6343" s="90"/>
      <c r="L6343" s="23"/>
      <c r="M6343" s="139"/>
    </row>
    <row r="6344" spans="1:13" ht="15.75" hidden="1" customHeight="1" x14ac:dyDescent="0.3">
      <c r="B6344" t="s">
        <v>288</v>
      </c>
      <c r="C6344" s="25">
        <v>44750</v>
      </c>
      <c r="D6344" s="26">
        <v>0.7286921296296297</v>
      </c>
      <c r="E6344" t="s">
        <v>30</v>
      </c>
      <c r="F6344" t="s">
        <v>311</v>
      </c>
      <c r="G6344" t="s">
        <v>303</v>
      </c>
      <c r="H6344" t="s">
        <v>305</v>
      </c>
      <c r="I6344" s="173">
        <v>289.93</v>
      </c>
      <c r="J6344" s="8"/>
      <c r="K6344" s="8"/>
      <c r="L6344" s="24"/>
      <c r="M6344" s="91"/>
    </row>
    <row r="6345" spans="1:13" ht="15.75" hidden="1" customHeight="1" x14ac:dyDescent="0.3">
      <c r="B6345" t="s">
        <v>288</v>
      </c>
      <c r="C6345" s="25">
        <v>44750</v>
      </c>
      <c r="D6345" s="26">
        <v>0.7286921296296297</v>
      </c>
      <c r="E6345" t="s">
        <v>30</v>
      </c>
      <c r="F6345" t="s">
        <v>311</v>
      </c>
      <c r="G6345" t="s">
        <v>303</v>
      </c>
      <c r="H6345" t="s">
        <v>305</v>
      </c>
      <c r="I6345" s="173">
        <v>289.93</v>
      </c>
      <c r="J6345" s="23"/>
      <c r="K6345" s="90"/>
      <c r="L6345" s="23"/>
      <c r="M6345" s="132"/>
    </row>
    <row r="6346" spans="1:13" ht="15.75" hidden="1" customHeight="1" x14ac:dyDescent="0.3">
      <c r="B6346" t="s">
        <v>288</v>
      </c>
      <c r="C6346" s="25">
        <v>44750</v>
      </c>
      <c r="D6346" s="26">
        <v>0.937962962962963</v>
      </c>
      <c r="E6346" t="s">
        <v>30</v>
      </c>
      <c r="F6346" t="s">
        <v>774</v>
      </c>
      <c r="G6346" t="s">
        <v>161</v>
      </c>
      <c r="H6346" t="s">
        <v>305</v>
      </c>
      <c r="I6346" s="159">
        <v>132.11000000000001</v>
      </c>
      <c r="J6346" s="161">
        <f>340+394+200+290+132</f>
        <v>1356</v>
      </c>
      <c r="K6346" s="161"/>
      <c r="L6346" s="161">
        <v>3638</v>
      </c>
      <c r="M6346" s="227">
        <f>+J6346/L6346*100</f>
        <v>37.273227047828478</v>
      </c>
    </row>
    <row r="6347" spans="1:13" ht="15.75" hidden="1" customHeight="1" x14ac:dyDescent="0.3">
      <c r="A6347" s="9">
        <v>6734</v>
      </c>
      <c r="B6347" t="s">
        <v>264</v>
      </c>
      <c r="C6347" s="25">
        <v>44741</v>
      </c>
      <c r="D6347" s="26">
        <v>0.84116898148148145</v>
      </c>
      <c r="E6347" t="s">
        <v>29</v>
      </c>
      <c r="F6347" t="s">
        <v>634</v>
      </c>
      <c r="G6347" t="s">
        <v>211</v>
      </c>
      <c r="H6347" t="s">
        <v>134</v>
      </c>
      <c r="I6347" s="148">
        <v>319.48</v>
      </c>
      <c r="J6347" s="150">
        <f>320+503+100+504</f>
        <v>1427</v>
      </c>
      <c r="K6347" s="156">
        <v>589</v>
      </c>
      <c r="L6347" s="153">
        <v>2976</v>
      </c>
      <c r="M6347" s="155">
        <f>+J6347/L6347*100</f>
        <v>47.950268817204304</v>
      </c>
    </row>
    <row r="6348" spans="1:13" ht="15.75" hidden="1" customHeight="1" x14ac:dyDescent="0.3">
      <c r="B6348" t="s">
        <v>186</v>
      </c>
      <c r="C6348" s="25">
        <v>44754</v>
      </c>
      <c r="D6348" s="26">
        <v>0.43846064814814811</v>
      </c>
      <c r="E6348" t="s">
        <v>30</v>
      </c>
      <c r="F6348" t="s">
        <v>210</v>
      </c>
      <c r="G6348" t="s">
        <v>211</v>
      </c>
      <c r="H6348" t="s">
        <v>305</v>
      </c>
      <c r="I6348" s="159">
        <v>432.59</v>
      </c>
      <c r="J6348" s="277"/>
      <c r="K6348" s="98"/>
      <c r="L6348" s="66"/>
      <c r="M6348" s="131" t="e">
        <f>I6348/K6348*100</f>
        <v>#DIV/0!</v>
      </c>
    </row>
    <row r="6349" spans="1:13" ht="15.75" hidden="1" customHeight="1" x14ac:dyDescent="0.3">
      <c r="B6349" t="s">
        <v>186</v>
      </c>
      <c r="C6349" s="25">
        <v>44755</v>
      </c>
      <c r="D6349" s="26">
        <v>0.64934027777777781</v>
      </c>
      <c r="E6349" t="s">
        <v>30</v>
      </c>
      <c r="F6349" t="s">
        <v>470</v>
      </c>
      <c r="G6349" t="s">
        <v>471</v>
      </c>
      <c r="H6349" t="s">
        <v>305</v>
      </c>
      <c r="I6349" s="159">
        <v>150.19999999999999</v>
      </c>
      <c r="J6349" s="23"/>
      <c r="K6349" s="90"/>
      <c r="L6349" s="23"/>
      <c r="M6349" s="91" t="e">
        <f>I6349/K6349*100</f>
        <v>#DIV/0!</v>
      </c>
    </row>
    <row r="6350" spans="1:13" ht="15.75" hidden="1" customHeight="1" x14ac:dyDescent="0.3">
      <c r="B6350" t="s">
        <v>288</v>
      </c>
      <c r="C6350" s="25">
        <v>44756</v>
      </c>
      <c r="D6350" s="26">
        <v>0.79199074074074083</v>
      </c>
      <c r="E6350" t="s">
        <v>30</v>
      </c>
      <c r="F6350" t="s">
        <v>175</v>
      </c>
      <c r="G6350" t="s">
        <v>172</v>
      </c>
      <c r="H6350" t="s">
        <v>305</v>
      </c>
      <c r="I6350" s="159">
        <v>158.63</v>
      </c>
      <c r="J6350" s="49"/>
      <c r="K6350" s="88"/>
      <c r="L6350" s="3"/>
      <c r="M6350" s="61"/>
    </row>
    <row r="6351" spans="1:13" ht="15.75" hidden="1" customHeight="1" x14ac:dyDescent="0.3">
      <c r="B6351" t="s">
        <v>264</v>
      </c>
      <c r="C6351" s="25">
        <v>44565</v>
      </c>
      <c r="D6351" s="26">
        <v>0.92495370370370367</v>
      </c>
      <c r="E6351" t="s">
        <v>24</v>
      </c>
      <c r="F6351" t="s">
        <v>210</v>
      </c>
      <c r="G6351" t="s">
        <v>211</v>
      </c>
      <c r="H6351" t="s">
        <v>134</v>
      </c>
      <c r="I6351">
        <v>383.99</v>
      </c>
      <c r="J6351" s="7">
        <v>769475</v>
      </c>
      <c r="K6351" s="51">
        <f t="shared" ref="K6351:K6382" si="395">+L6351-J6351</f>
        <v>854</v>
      </c>
      <c r="L6351" s="51">
        <v>770329</v>
      </c>
      <c r="M6351" s="10">
        <f t="shared" ref="M6351:M6382" si="396">I6351/K6351*100</f>
        <v>44.963700234192039</v>
      </c>
    </row>
    <row r="6352" spans="1:13" ht="15.75" hidden="1" customHeight="1" x14ac:dyDescent="0.3">
      <c r="B6352" t="s">
        <v>264</v>
      </c>
      <c r="C6352" s="25">
        <v>44567</v>
      </c>
      <c r="D6352" s="26">
        <v>9.780092592592593E-2</v>
      </c>
      <c r="E6352" t="s">
        <v>24</v>
      </c>
      <c r="F6352" t="s">
        <v>210</v>
      </c>
      <c r="G6352" t="s">
        <v>211</v>
      </c>
      <c r="H6352" t="s">
        <v>134</v>
      </c>
      <c r="I6352">
        <v>405.06</v>
      </c>
      <c r="J6352" s="7">
        <v>770329</v>
      </c>
      <c r="K6352" s="51">
        <f t="shared" si="395"/>
        <v>1067</v>
      </c>
      <c r="L6352" s="51">
        <v>771396</v>
      </c>
      <c r="M6352" s="10">
        <f t="shared" si="396"/>
        <v>37.962511715089036</v>
      </c>
    </row>
    <row r="6353" spans="2:13" ht="15.75" hidden="1" customHeight="1" x14ac:dyDescent="0.3">
      <c r="B6353" t="s">
        <v>264</v>
      </c>
      <c r="C6353" s="25">
        <v>44568</v>
      </c>
      <c r="D6353" s="26">
        <v>0.95476851851851852</v>
      </c>
      <c r="E6353" t="s">
        <v>24</v>
      </c>
      <c r="F6353" t="s">
        <v>205</v>
      </c>
      <c r="G6353" t="s">
        <v>206</v>
      </c>
      <c r="H6353" t="s">
        <v>134</v>
      </c>
      <c r="I6353">
        <v>380</v>
      </c>
      <c r="J6353" s="7">
        <v>771396</v>
      </c>
      <c r="K6353" s="51">
        <f t="shared" si="395"/>
        <v>1024</v>
      </c>
      <c r="L6353" s="51">
        <v>772420</v>
      </c>
      <c r="M6353" s="10">
        <f t="shared" si="396"/>
        <v>37.109375</v>
      </c>
    </row>
    <row r="6354" spans="2:13" ht="15.75" hidden="1" customHeight="1" x14ac:dyDescent="0.3">
      <c r="B6354" t="s">
        <v>264</v>
      </c>
      <c r="C6354" s="25">
        <v>44569</v>
      </c>
      <c r="D6354" s="26">
        <v>0.95247685185185194</v>
      </c>
      <c r="E6354" t="s">
        <v>24</v>
      </c>
      <c r="F6354" t="s">
        <v>210</v>
      </c>
      <c r="G6354" t="s">
        <v>211</v>
      </c>
      <c r="H6354" t="s">
        <v>134</v>
      </c>
      <c r="I6354">
        <v>299.24</v>
      </c>
      <c r="J6354" s="31">
        <v>772420</v>
      </c>
      <c r="K6354" s="51">
        <f t="shared" si="395"/>
        <v>696</v>
      </c>
      <c r="L6354" s="51">
        <v>773116</v>
      </c>
      <c r="M6354" s="131">
        <f t="shared" si="396"/>
        <v>42.994252873563219</v>
      </c>
    </row>
    <row r="6355" spans="2:13" ht="15.75" hidden="1" customHeight="1" x14ac:dyDescent="0.3">
      <c r="B6355" t="s">
        <v>264</v>
      </c>
      <c r="C6355" s="25">
        <v>44571</v>
      </c>
      <c r="D6355" s="26">
        <v>0.15150462962962963</v>
      </c>
      <c r="E6355" t="s">
        <v>24</v>
      </c>
      <c r="F6355" t="s">
        <v>210</v>
      </c>
      <c r="G6355" t="s">
        <v>211</v>
      </c>
      <c r="H6355" t="s">
        <v>134</v>
      </c>
      <c r="I6355">
        <v>403.77</v>
      </c>
      <c r="J6355" s="7">
        <v>773116</v>
      </c>
      <c r="K6355" s="7">
        <f t="shared" si="395"/>
        <v>1067</v>
      </c>
      <c r="L6355" s="7">
        <v>774183</v>
      </c>
      <c r="M6355" s="91">
        <f t="shared" si="396"/>
        <v>37.841611996251167</v>
      </c>
    </row>
    <row r="6356" spans="2:13" ht="15.75" hidden="1" customHeight="1" x14ac:dyDescent="0.3">
      <c r="B6356" t="s">
        <v>264</v>
      </c>
      <c r="C6356" s="25">
        <v>44572</v>
      </c>
      <c r="D6356" s="26">
        <v>0.64017361111111104</v>
      </c>
      <c r="E6356" t="s">
        <v>24</v>
      </c>
      <c r="F6356" t="s">
        <v>175</v>
      </c>
      <c r="G6356" t="s">
        <v>172</v>
      </c>
      <c r="H6356" t="s">
        <v>134</v>
      </c>
      <c r="I6356">
        <v>326.23</v>
      </c>
      <c r="J6356" s="7">
        <v>774183</v>
      </c>
      <c r="K6356" s="73">
        <f t="shared" si="395"/>
        <v>960</v>
      </c>
      <c r="L6356" s="7">
        <v>775143</v>
      </c>
      <c r="M6356" s="36">
        <f t="shared" si="396"/>
        <v>33.982291666666669</v>
      </c>
    </row>
    <row r="6357" spans="2:13" ht="15.75" hidden="1" customHeight="1" x14ac:dyDescent="0.3">
      <c r="B6357" t="s">
        <v>264</v>
      </c>
      <c r="C6357" s="25">
        <v>44573</v>
      </c>
      <c r="D6357" s="26">
        <v>0.90581018518518519</v>
      </c>
      <c r="E6357" t="s">
        <v>24</v>
      </c>
      <c r="F6357" t="s">
        <v>210</v>
      </c>
      <c r="G6357" t="s">
        <v>211</v>
      </c>
      <c r="H6357" t="s">
        <v>134</v>
      </c>
      <c r="I6357">
        <v>372.61</v>
      </c>
      <c r="J6357" s="7">
        <v>775143</v>
      </c>
      <c r="K6357" s="11">
        <f t="shared" si="395"/>
        <v>896</v>
      </c>
      <c r="L6357" s="34">
        <v>776039</v>
      </c>
      <c r="M6357" s="10">
        <f t="shared" si="396"/>
        <v>41.5859375</v>
      </c>
    </row>
    <row r="6358" spans="2:13" ht="15.75" hidden="1" customHeight="1" x14ac:dyDescent="0.3">
      <c r="B6358" t="s">
        <v>264</v>
      </c>
      <c r="C6358" s="25">
        <v>44575</v>
      </c>
      <c r="D6358" s="26">
        <v>6.8483796296296293E-2</v>
      </c>
      <c r="E6358" t="s">
        <v>24</v>
      </c>
      <c r="F6358" t="s">
        <v>210</v>
      </c>
      <c r="G6358" t="s">
        <v>211</v>
      </c>
      <c r="H6358" t="s">
        <v>134</v>
      </c>
      <c r="I6358">
        <v>412.49</v>
      </c>
      <c r="J6358" s="7">
        <v>776039</v>
      </c>
      <c r="K6358" s="11">
        <f t="shared" si="395"/>
        <v>1070</v>
      </c>
      <c r="L6358" s="7">
        <v>777109</v>
      </c>
      <c r="M6358" s="10">
        <f t="shared" si="396"/>
        <v>38.550467289719627</v>
      </c>
    </row>
    <row r="6359" spans="2:13" ht="15.75" hidden="1" customHeight="1" x14ac:dyDescent="0.3">
      <c r="B6359" t="s">
        <v>264</v>
      </c>
      <c r="C6359" s="25">
        <v>44576</v>
      </c>
      <c r="D6359" s="26">
        <v>0.49682870370370374</v>
      </c>
      <c r="E6359" t="s">
        <v>24</v>
      </c>
      <c r="F6359" t="s">
        <v>175</v>
      </c>
      <c r="G6359" t="s">
        <v>172</v>
      </c>
      <c r="H6359" t="s">
        <v>134</v>
      </c>
      <c r="I6359">
        <v>344.2</v>
      </c>
      <c r="J6359" s="7">
        <v>777109</v>
      </c>
      <c r="K6359" s="7">
        <f t="shared" si="395"/>
        <v>956</v>
      </c>
      <c r="L6359" s="34">
        <v>778065</v>
      </c>
      <c r="M6359" s="10">
        <f t="shared" si="396"/>
        <v>36.004184100418406</v>
      </c>
    </row>
    <row r="6360" spans="2:13" ht="15.75" hidden="1" customHeight="1" x14ac:dyDescent="0.3">
      <c r="B6360" t="s">
        <v>264</v>
      </c>
      <c r="C6360" s="25">
        <v>44577</v>
      </c>
      <c r="D6360" s="26">
        <v>0.57481481481481478</v>
      </c>
      <c r="E6360" t="s">
        <v>24</v>
      </c>
      <c r="F6360" t="s">
        <v>210</v>
      </c>
      <c r="G6360" t="s">
        <v>211</v>
      </c>
      <c r="H6360" t="s">
        <v>134</v>
      </c>
      <c r="I6360">
        <v>371.41</v>
      </c>
      <c r="J6360" s="34">
        <v>778065</v>
      </c>
      <c r="K6360" s="34">
        <f t="shared" si="395"/>
        <v>837</v>
      </c>
      <c r="L6360" s="7">
        <v>778902</v>
      </c>
      <c r="M6360" s="10">
        <f t="shared" si="396"/>
        <v>44.373954599761056</v>
      </c>
    </row>
    <row r="6361" spans="2:13" ht="15.75" hidden="1" customHeight="1" x14ac:dyDescent="0.3">
      <c r="B6361" t="s">
        <v>264</v>
      </c>
      <c r="C6361" s="25">
        <v>44578</v>
      </c>
      <c r="D6361" s="26">
        <v>0.59078703703703705</v>
      </c>
      <c r="E6361" t="s">
        <v>24</v>
      </c>
      <c r="F6361" t="s">
        <v>210</v>
      </c>
      <c r="G6361" t="s">
        <v>211</v>
      </c>
      <c r="H6361" t="s">
        <v>134</v>
      </c>
      <c r="I6361">
        <v>425.23</v>
      </c>
      <c r="J6361" s="7">
        <v>778902</v>
      </c>
      <c r="K6361" s="7">
        <f t="shared" si="395"/>
        <v>1068</v>
      </c>
      <c r="L6361" s="34">
        <v>779970</v>
      </c>
      <c r="M6361" s="10">
        <f t="shared" si="396"/>
        <v>39.815543071161052</v>
      </c>
    </row>
    <row r="6362" spans="2:13" ht="15.75" hidden="1" customHeight="1" x14ac:dyDescent="0.3">
      <c r="B6362" t="s">
        <v>264</v>
      </c>
      <c r="C6362" s="25">
        <v>44579</v>
      </c>
      <c r="D6362" s="26">
        <v>0.72281249999999997</v>
      </c>
      <c r="E6362" t="s">
        <v>24</v>
      </c>
      <c r="F6362" t="s">
        <v>171</v>
      </c>
      <c r="G6362" t="s">
        <v>172</v>
      </c>
      <c r="H6362" t="s">
        <v>134</v>
      </c>
      <c r="I6362">
        <v>381.61</v>
      </c>
      <c r="J6362" s="7">
        <v>779970</v>
      </c>
      <c r="K6362" s="7">
        <f t="shared" si="395"/>
        <v>984</v>
      </c>
      <c r="L6362" s="34">
        <v>780954</v>
      </c>
      <c r="M6362" s="10">
        <f t="shared" si="396"/>
        <v>38.78150406504065</v>
      </c>
    </row>
    <row r="6363" spans="2:13" ht="15.75" hidden="1" customHeight="1" x14ac:dyDescent="0.3">
      <c r="B6363" t="s">
        <v>264</v>
      </c>
      <c r="C6363" s="25">
        <v>44584</v>
      </c>
      <c r="D6363" s="26">
        <v>0.55035879629629625</v>
      </c>
      <c r="E6363" t="s">
        <v>24</v>
      </c>
      <c r="F6363" t="s">
        <v>210</v>
      </c>
      <c r="G6363" t="s">
        <v>211</v>
      </c>
      <c r="H6363" t="s">
        <v>134</v>
      </c>
      <c r="I6363">
        <v>374.26</v>
      </c>
      <c r="J6363" s="7">
        <v>780954</v>
      </c>
      <c r="K6363" s="7">
        <f t="shared" si="395"/>
        <v>883</v>
      </c>
      <c r="L6363" s="7">
        <v>781837</v>
      </c>
      <c r="M6363" s="10">
        <f t="shared" si="396"/>
        <v>42.38505096262741</v>
      </c>
    </row>
    <row r="6364" spans="2:13" ht="15.75" hidden="1" customHeight="1" x14ac:dyDescent="0.3">
      <c r="B6364" t="s">
        <v>264</v>
      </c>
      <c r="C6364" s="25">
        <v>44585</v>
      </c>
      <c r="D6364" s="26">
        <v>0.96751157407407407</v>
      </c>
      <c r="E6364" t="s">
        <v>24</v>
      </c>
      <c r="F6364" t="s">
        <v>210</v>
      </c>
      <c r="G6364" t="s">
        <v>211</v>
      </c>
      <c r="H6364" t="s">
        <v>134</v>
      </c>
      <c r="I6364">
        <v>385.37</v>
      </c>
      <c r="J6364" s="7">
        <v>781837</v>
      </c>
      <c r="K6364" s="7">
        <f t="shared" si="395"/>
        <v>1066</v>
      </c>
      <c r="L6364" s="34">
        <v>782903</v>
      </c>
      <c r="M6364" s="10">
        <f t="shared" si="396"/>
        <v>36.151031894934334</v>
      </c>
    </row>
    <row r="6365" spans="2:13" ht="15.75" hidden="1" customHeight="1" x14ac:dyDescent="0.3">
      <c r="B6365" t="s">
        <v>264</v>
      </c>
      <c r="C6365" s="25">
        <v>44587</v>
      </c>
      <c r="D6365" s="26">
        <v>0.35773148148148143</v>
      </c>
      <c r="E6365" t="s">
        <v>24</v>
      </c>
      <c r="F6365" t="s">
        <v>175</v>
      </c>
      <c r="G6365" t="s">
        <v>172</v>
      </c>
      <c r="H6365" t="s">
        <v>134</v>
      </c>
      <c r="I6365">
        <v>334.19</v>
      </c>
      <c r="J6365" s="7">
        <v>782903</v>
      </c>
      <c r="K6365" s="7">
        <f t="shared" si="395"/>
        <v>974</v>
      </c>
      <c r="L6365" s="7">
        <v>783877</v>
      </c>
      <c r="M6365" s="10">
        <f t="shared" si="396"/>
        <v>34.311088295687888</v>
      </c>
    </row>
    <row r="6366" spans="2:13" ht="15.75" hidden="1" customHeight="1" x14ac:dyDescent="0.3">
      <c r="B6366" t="s">
        <v>264</v>
      </c>
      <c r="C6366" s="25">
        <v>44588</v>
      </c>
      <c r="D6366" s="26">
        <v>0.39393518518518517</v>
      </c>
      <c r="E6366" t="s">
        <v>24</v>
      </c>
      <c r="F6366" t="s">
        <v>210</v>
      </c>
      <c r="G6366" t="s">
        <v>211</v>
      </c>
      <c r="H6366" t="s">
        <v>134</v>
      </c>
      <c r="I6366">
        <v>351.57</v>
      </c>
      <c r="J6366" s="7">
        <v>783877</v>
      </c>
      <c r="K6366" s="7">
        <f t="shared" si="395"/>
        <v>834</v>
      </c>
      <c r="L6366" s="34">
        <v>784711</v>
      </c>
      <c r="M6366" s="10">
        <f t="shared" si="396"/>
        <v>42.154676258992808</v>
      </c>
    </row>
    <row r="6367" spans="2:13" ht="15.75" hidden="1" customHeight="1" x14ac:dyDescent="0.3">
      <c r="B6367" t="s">
        <v>264</v>
      </c>
      <c r="C6367" s="25">
        <v>44589</v>
      </c>
      <c r="D6367" s="26">
        <v>0.45739583333333328</v>
      </c>
      <c r="E6367" t="s">
        <v>24</v>
      </c>
      <c r="F6367" t="s">
        <v>210</v>
      </c>
      <c r="G6367" t="s">
        <v>211</v>
      </c>
      <c r="H6367" t="s">
        <v>134</v>
      </c>
      <c r="I6367">
        <v>429.85</v>
      </c>
      <c r="J6367" s="7">
        <v>784711</v>
      </c>
      <c r="K6367" s="7">
        <f t="shared" si="395"/>
        <v>1068</v>
      </c>
      <c r="L6367" s="7">
        <v>785779</v>
      </c>
      <c r="M6367" s="10">
        <f t="shared" si="396"/>
        <v>40.248127340823977</v>
      </c>
    </row>
    <row r="6368" spans="2:13" ht="15.75" hidden="1" customHeight="1" x14ac:dyDescent="0.3">
      <c r="B6368" t="s">
        <v>264</v>
      </c>
      <c r="C6368" s="25">
        <v>44590</v>
      </c>
      <c r="D6368" s="26">
        <v>0.71386574074074083</v>
      </c>
      <c r="E6368" t="s">
        <v>24</v>
      </c>
      <c r="F6368" t="s">
        <v>175</v>
      </c>
      <c r="G6368" t="s">
        <v>172</v>
      </c>
      <c r="H6368" t="s">
        <v>134</v>
      </c>
      <c r="I6368">
        <v>408.87</v>
      </c>
      <c r="J6368" s="7">
        <v>785779</v>
      </c>
      <c r="K6368" s="7">
        <f t="shared" si="395"/>
        <v>1056</v>
      </c>
      <c r="L6368" s="7">
        <v>786835</v>
      </c>
      <c r="M6368" s="10">
        <f t="shared" si="396"/>
        <v>38.71875</v>
      </c>
    </row>
    <row r="6369" spans="1:13" ht="15.75" hidden="1" customHeight="1" x14ac:dyDescent="0.3">
      <c r="B6369" t="s">
        <v>264</v>
      </c>
      <c r="C6369" s="25">
        <v>44592</v>
      </c>
      <c r="D6369" s="26">
        <v>0.52098379629629632</v>
      </c>
      <c r="E6369" t="s">
        <v>24</v>
      </c>
      <c r="F6369" t="s">
        <v>210</v>
      </c>
      <c r="G6369" t="s">
        <v>211</v>
      </c>
      <c r="H6369" t="s">
        <v>134</v>
      </c>
      <c r="I6369">
        <v>358.69</v>
      </c>
      <c r="J6369" s="7">
        <v>786835</v>
      </c>
      <c r="K6369" s="7">
        <f t="shared" si="395"/>
        <v>837</v>
      </c>
      <c r="L6369" s="7">
        <v>787672</v>
      </c>
      <c r="M6369" s="10">
        <f t="shared" si="396"/>
        <v>42.854241338112303</v>
      </c>
    </row>
    <row r="6370" spans="1:13" ht="15.75" hidden="1" customHeight="1" x14ac:dyDescent="0.3">
      <c r="A6370" s="9">
        <v>883</v>
      </c>
      <c r="B6370" t="s">
        <v>264</v>
      </c>
      <c r="C6370" s="25">
        <v>44593</v>
      </c>
      <c r="D6370" s="26">
        <v>0.64798611111111104</v>
      </c>
      <c r="E6370" t="s">
        <v>25</v>
      </c>
      <c r="F6370" t="s">
        <v>210</v>
      </c>
      <c r="G6370" t="s">
        <v>211</v>
      </c>
      <c r="H6370" t="s">
        <v>134</v>
      </c>
      <c r="I6370">
        <v>391.84</v>
      </c>
      <c r="J6370" s="7">
        <v>787672</v>
      </c>
      <c r="K6370" s="7">
        <f t="shared" si="395"/>
        <v>1069</v>
      </c>
      <c r="L6370" s="31">
        <v>788741</v>
      </c>
      <c r="M6370" s="10">
        <f t="shared" si="396"/>
        <v>36.654817586529461</v>
      </c>
    </row>
    <row r="6371" spans="1:13" ht="15.75" hidden="1" customHeight="1" x14ac:dyDescent="0.3">
      <c r="A6371" s="9">
        <v>884</v>
      </c>
      <c r="B6371" t="s">
        <v>264</v>
      </c>
      <c r="C6371" s="25">
        <v>44595</v>
      </c>
      <c r="D6371" s="26">
        <v>0.48684027777777777</v>
      </c>
      <c r="E6371" t="s">
        <v>25</v>
      </c>
      <c r="F6371" t="s">
        <v>175</v>
      </c>
      <c r="G6371" t="s">
        <v>172</v>
      </c>
      <c r="H6371" t="s">
        <v>134</v>
      </c>
      <c r="I6371">
        <v>340.39</v>
      </c>
      <c r="J6371" s="7">
        <v>788741</v>
      </c>
      <c r="K6371" s="39">
        <f t="shared" si="395"/>
        <v>914</v>
      </c>
      <c r="L6371" s="7">
        <v>789655</v>
      </c>
      <c r="M6371" s="10">
        <f t="shared" si="396"/>
        <v>37.241794310722099</v>
      </c>
    </row>
    <row r="6372" spans="1:13" ht="15.75" hidden="1" customHeight="1" x14ac:dyDescent="0.3">
      <c r="A6372" s="9">
        <v>885</v>
      </c>
      <c r="B6372" t="s">
        <v>264</v>
      </c>
      <c r="C6372" s="25">
        <v>44601</v>
      </c>
      <c r="D6372" s="26">
        <v>0.51518518518518519</v>
      </c>
      <c r="E6372" t="s">
        <v>25</v>
      </c>
      <c r="F6372" t="s">
        <v>210</v>
      </c>
      <c r="G6372" t="s">
        <v>211</v>
      </c>
      <c r="H6372" t="s">
        <v>134</v>
      </c>
      <c r="I6372">
        <v>373.82</v>
      </c>
      <c r="J6372" s="7">
        <v>789655</v>
      </c>
      <c r="K6372" s="7">
        <f t="shared" si="395"/>
        <v>897</v>
      </c>
      <c r="L6372" s="33">
        <v>790552</v>
      </c>
      <c r="M6372" s="10">
        <f t="shared" si="396"/>
        <v>41.674470457079153</v>
      </c>
    </row>
    <row r="6373" spans="1:13" ht="15.75" hidden="1" customHeight="1" x14ac:dyDescent="0.3">
      <c r="A6373" s="9">
        <v>886</v>
      </c>
      <c r="B6373" t="s">
        <v>264</v>
      </c>
      <c r="C6373" s="25">
        <v>44602</v>
      </c>
      <c r="D6373" s="26">
        <v>0.64857638888888891</v>
      </c>
      <c r="E6373" t="s">
        <v>25</v>
      </c>
      <c r="F6373" t="s">
        <v>210</v>
      </c>
      <c r="G6373" t="s">
        <v>211</v>
      </c>
      <c r="H6373" t="s">
        <v>134</v>
      </c>
      <c r="I6373">
        <v>401.01</v>
      </c>
      <c r="J6373" s="32">
        <v>790552</v>
      </c>
      <c r="K6373" s="32">
        <f t="shared" si="395"/>
        <v>1070</v>
      </c>
      <c r="L6373" s="32">
        <v>791622</v>
      </c>
      <c r="M6373" s="10">
        <f t="shared" si="396"/>
        <v>37.477570093457942</v>
      </c>
    </row>
    <row r="6374" spans="1:13" ht="15.75" hidden="1" customHeight="1" x14ac:dyDescent="0.3">
      <c r="A6374" s="9">
        <v>887</v>
      </c>
      <c r="B6374" t="s">
        <v>264</v>
      </c>
      <c r="C6374" s="25">
        <v>44604</v>
      </c>
      <c r="D6374" s="26">
        <v>8.2106481481481489E-2</v>
      </c>
      <c r="E6374" t="s">
        <v>25</v>
      </c>
      <c r="F6374" t="s">
        <v>175</v>
      </c>
      <c r="G6374" t="s">
        <v>172</v>
      </c>
      <c r="H6374" t="s">
        <v>134</v>
      </c>
      <c r="I6374">
        <v>376.27</v>
      </c>
      <c r="J6374" s="32">
        <v>791622</v>
      </c>
      <c r="K6374" s="32">
        <f t="shared" si="395"/>
        <v>922</v>
      </c>
      <c r="L6374" s="37">
        <v>792544</v>
      </c>
      <c r="M6374" s="10">
        <f t="shared" si="396"/>
        <v>40.810195227765725</v>
      </c>
    </row>
    <row r="6375" spans="1:13" ht="15.75" hidden="1" customHeight="1" x14ac:dyDescent="0.3">
      <c r="A6375" s="9">
        <v>888</v>
      </c>
      <c r="B6375" t="s">
        <v>264</v>
      </c>
      <c r="C6375" s="25">
        <v>44605</v>
      </c>
      <c r="D6375" s="26">
        <v>0.44693287037037038</v>
      </c>
      <c r="E6375" t="s">
        <v>25</v>
      </c>
      <c r="F6375" t="s">
        <v>210</v>
      </c>
      <c r="G6375" t="s">
        <v>211</v>
      </c>
      <c r="H6375" t="s">
        <v>134</v>
      </c>
      <c r="I6375">
        <v>367.65</v>
      </c>
      <c r="J6375" s="32">
        <v>792544</v>
      </c>
      <c r="K6375" s="32">
        <f t="shared" si="395"/>
        <v>832</v>
      </c>
      <c r="L6375" s="32">
        <v>793376</v>
      </c>
      <c r="M6375" s="10">
        <f t="shared" si="396"/>
        <v>44.18870192307692</v>
      </c>
    </row>
    <row r="6376" spans="1:13" ht="15.75" hidden="1" customHeight="1" x14ac:dyDescent="0.3">
      <c r="A6376" s="9">
        <v>889</v>
      </c>
      <c r="B6376" t="s">
        <v>264</v>
      </c>
      <c r="C6376" s="25">
        <v>44606</v>
      </c>
      <c r="D6376" s="26">
        <v>0.60420138888888886</v>
      </c>
      <c r="E6376" t="s">
        <v>25</v>
      </c>
      <c r="F6376" t="s">
        <v>210</v>
      </c>
      <c r="G6376" t="s">
        <v>211</v>
      </c>
      <c r="H6376" t="s">
        <v>134</v>
      </c>
      <c r="I6376">
        <v>405</v>
      </c>
      <c r="J6376" s="32">
        <v>793376</v>
      </c>
      <c r="K6376" s="32">
        <f t="shared" si="395"/>
        <v>1071</v>
      </c>
      <c r="L6376" s="32">
        <v>794447</v>
      </c>
      <c r="M6376" s="10">
        <f t="shared" si="396"/>
        <v>37.815126050420169</v>
      </c>
    </row>
    <row r="6377" spans="1:13" ht="15.75" hidden="1" customHeight="1" x14ac:dyDescent="0.3">
      <c r="A6377" s="9">
        <v>890</v>
      </c>
      <c r="B6377" t="s">
        <v>264</v>
      </c>
      <c r="C6377" s="25">
        <v>44608</v>
      </c>
      <c r="D6377" s="26">
        <v>0.71458333333333324</v>
      </c>
      <c r="E6377" t="s">
        <v>25</v>
      </c>
      <c r="F6377" t="s">
        <v>175</v>
      </c>
      <c r="G6377" t="s">
        <v>172</v>
      </c>
      <c r="H6377" t="s">
        <v>134</v>
      </c>
      <c r="I6377">
        <v>338.17</v>
      </c>
      <c r="J6377" s="32">
        <v>0</v>
      </c>
      <c r="K6377" s="32">
        <f t="shared" si="395"/>
        <v>945.85</v>
      </c>
      <c r="L6377" s="32">
        <v>945.85</v>
      </c>
      <c r="M6377" s="10">
        <f t="shared" si="396"/>
        <v>35.753026378389805</v>
      </c>
    </row>
    <row r="6378" spans="1:13" ht="15.75" hidden="1" customHeight="1" x14ac:dyDescent="0.3">
      <c r="A6378" s="9">
        <v>891</v>
      </c>
      <c r="B6378" t="s">
        <v>264</v>
      </c>
      <c r="C6378" s="25">
        <v>44609</v>
      </c>
      <c r="D6378" s="26">
        <v>0.96229166666666666</v>
      </c>
      <c r="E6378" t="s">
        <v>25</v>
      </c>
      <c r="F6378" t="s">
        <v>210</v>
      </c>
      <c r="G6378" t="s">
        <v>211</v>
      </c>
      <c r="H6378" t="s">
        <v>134</v>
      </c>
      <c r="I6378">
        <v>342.15</v>
      </c>
      <c r="J6378" s="32">
        <v>0</v>
      </c>
      <c r="K6378" s="32">
        <f t="shared" si="395"/>
        <v>829.16</v>
      </c>
      <c r="L6378" s="32">
        <v>829.16</v>
      </c>
      <c r="M6378" s="10">
        <f t="shared" si="396"/>
        <v>41.264653384147806</v>
      </c>
    </row>
    <row r="6379" spans="1:13" ht="15.75" hidden="1" customHeight="1" x14ac:dyDescent="0.3">
      <c r="A6379" s="9">
        <v>892</v>
      </c>
      <c r="B6379" t="s">
        <v>264</v>
      </c>
      <c r="C6379" s="25">
        <v>44611</v>
      </c>
      <c r="D6379" s="26">
        <v>6.9722222222222227E-2</v>
      </c>
      <c r="E6379" t="s">
        <v>25</v>
      </c>
      <c r="F6379" t="s">
        <v>210</v>
      </c>
      <c r="G6379" t="s">
        <v>211</v>
      </c>
      <c r="H6379" t="s">
        <v>134</v>
      </c>
      <c r="I6379">
        <v>422.21</v>
      </c>
      <c r="J6379" s="32">
        <v>0</v>
      </c>
      <c r="K6379" s="32">
        <f t="shared" si="395"/>
        <v>1063.23</v>
      </c>
      <c r="L6379" s="32">
        <v>1063.23</v>
      </c>
      <c r="M6379" s="10">
        <f t="shared" si="396"/>
        <v>39.710128570488038</v>
      </c>
    </row>
    <row r="6380" spans="1:13" ht="15.75" hidden="1" customHeight="1" x14ac:dyDescent="0.3">
      <c r="A6380" s="9">
        <v>893</v>
      </c>
      <c r="B6380" t="s">
        <v>264</v>
      </c>
      <c r="C6380" s="25">
        <v>44612</v>
      </c>
      <c r="D6380" s="26">
        <v>0.53409722222222222</v>
      </c>
      <c r="E6380" t="s">
        <v>25</v>
      </c>
      <c r="F6380" t="s">
        <v>175</v>
      </c>
      <c r="G6380" t="s">
        <v>172</v>
      </c>
      <c r="H6380" t="s">
        <v>134</v>
      </c>
      <c r="I6380">
        <v>368.94</v>
      </c>
      <c r="J6380" s="32">
        <v>0</v>
      </c>
      <c r="K6380" s="53">
        <f t="shared" si="395"/>
        <v>1037.94</v>
      </c>
      <c r="L6380" s="37">
        <v>1037.94</v>
      </c>
      <c r="M6380" s="10">
        <f t="shared" si="396"/>
        <v>35.545407248973923</v>
      </c>
    </row>
    <row r="6381" spans="1:13" ht="15.75" hidden="1" customHeight="1" x14ac:dyDescent="0.3">
      <c r="A6381" s="9">
        <v>2038</v>
      </c>
      <c r="B6381" t="s">
        <v>264</v>
      </c>
      <c r="C6381" s="25">
        <v>44623</v>
      </c>
      <c r="D6381" s="26">
        <v>0.48508101851851854</v>
      </c>
      <c r="E6381" t="s">
        <v>26</v>
      </c>
      <c r="F6381" t="s">
        <v>210</v>
      </c>
      <c r="G6381" t="s">
        <v>211</v>
      </c>
      <c r="H6381" t="s">
        <v>134</v>
      </c>
      <c r="I6381">
        <v>521.48</v>
      </c>
      <c r="J6381" s="33">
        <v>0</v>
      </c>
      <c r="K6381" s="89">
        <f t="shared" si="395"/>
        <v>1267.5</v>
      </c>
      <c r="L6381" s="32">
        <v>1267.5</v>
      </c>
      <c r="M6381" s="10">
        <f t="shared" si="396"/>
        <v>41.142406311637082</v>
      </c>
    </row>
    <row r="6382" spans="1:13" ht="15.75" hidden="1" customHeight="1" x14ac:dyDescent="0.3">
      <c r="A6382" s="9">
        <v>2039</v>
      </c>
      <c r="B6382" t="s">
        <v>264</v>
      </c>
      <c r="C6382" s="25">
        <v>44624</v>
      </c>
      <c r="D6382" s="26">
        <v>0.97861111111111121</v>
      </c>
      <c r="E6382" t="s">
        <v>26</v>
      </c>
      <c r="F6382" t="s">
        <v>210</v>
      </c>
      <c r="G6382" t="s">
        <v>211</v>
      </c>
      <c r="H6382" t="s">
        <v>134</v>
      </c>
      <c r="I6382">
        <v>402.18</v>
      </c>
      <c r="J6382" s="32">
        <v>0</v>
      </c>
      <c r="K6382" s="90">
        <f t="shared" si="395"/>
        <v>1064.51</v>
      </c>
      <c r="L6382" s="37">
        <v>1064.51</v>
      </c>
      <c r="M6382" s="10">
        <f t="shared" si="396"/>
        <v>37.780762980150499</v>
      </c>
    </row>
    <row r="6383" spans="1:13" ht="15.75" hidden="1" customHeight="1" x14ac:dyDescent="0.3">
      <c r="A6383" s="9">
        <v>2040</v>
      </c>
      <c r="B6383" t="s">
        <v>264</v>
      </c>
      <c r="C6383" s="25">
        <v>44629</v>
      </c>
      <c r="D6383" s="26">
        <v>0.39178240740740744</v>
      </c>
      <c r="E6383" t="s">
        <v>26</v>
      </c>
      <c r="F6383" t="s">
        <v>175</v>
      </c>
      <c r="G6383" t="s">
        <v>172</v>
      </c>
      <c r="H6383" t="s">
        <v>134</v>
      </c>
      <c r="I6383">
        <v>332.23</v>
      </c>
      <c r="J6383" s="33">
        <v>0</v>
      </c>
      <c r="K6383" s="90">
        <f t="shared" ref="K6383:K6410" si="397">+L6383-J6383</f>
        <v>914.11</v>
      </c>
      <c r="L6383" s="32">
        <v>914.11</v>
      </c>
      <c r="M6383" s="10">
        <f t="shared" ref="M6383:M6414" si="398">I6383/K6383*100</f>
        <v>36.344641235737498</v>
      </c>
    </row>
    <row r="6384" spans="1:13" ht="15.75" hidden="1" customHeight="1" x14ac:dyDescent="0.3">
      <c r="A6384" s="9">
        <v>2041</v>
      </c>
      <c r="B6384" t="s">
        <v>264</v>
      </c>
      <c r="C6384" s="25">
        <v>44631</v>
      </c>
      <c r="D6384" s="26">
        <v>0.56878472222222221</v>
      </c>
      <c r="E6384" t="s">
        <v>26</v>
      </c>
      <c r="F6384" t="s">
        <v>210</v>
      </c>
      <c r="G6384" t="s">
        <v>211</v>
      </c>
      <c r="H6384" t="s">
        <v>134</v>
      </c>
      <c r="I6384">
        <v>406.99</v>
      </c>
      <c r="J6384" s="32">
        <v>0</v>
      </c>
      <c r="K6384" s="89">
        <f t="shared" si="397"/>
        <v>877.84</v>
      </c>
      <c r="L6384" s="32">
        <v>877.84</v>
      </c>
      <c r="M6384" s="10">
        <f t="shared" si="398"/>
        <v>46.362662899845077</v>
      </c>
    </row>
    <row r="6385" spans="1:13" ht="15.75" hidden="1" customHeight="1" x14ac:dyDescent="0.3">
      <c r="A6385" s="9">
        <v>2042</v>
      </c>
      <c r="B6385" t="s">
        <v>264</v>
      </c>
      <c r="C6385" s="25">
        <v>44633</v>
      </c>
      <c r="D6385" s="26">
        <v>0.61608796296296298</v>
      </c>
      <c r="E6385" t="s">
        <v>26</v>
      </c>
      <c r="F6385" t="s">
        <v>210</v>
      </c>
      <c r="G6385" t="s">
        <v>211</v>
      </c>
      <c r="H6385" t="s">
        <v>134</v>
      </c>
      <c r="I6385">
        <v>357.49</v>
      </c>
      <c r="J6385" s="37">
        <v>0</v>
      </c>
      <c r="K6385" s="89">
        <f t="shared" si="397"/>
        <v>894.96</v>
      </c>
      <c r="L6385" s="32">
        <v>894.96</v>
      </c>
      <c r="M6385" s="10">
        <f t="shared" si="398"/>
        <v>39.944802002324124</v>
      </c>
    </row>
    <row r="6386" spans="1:13" ht="15.75" hidden="1" customHeight="1" x14ac:dyDescent="0.3">
      <c r="A6386" s="9">
        <v>2043</v>
      </c>
      <c r="B6386" t="s">
        <v>264</v>
      </c>
      <c r="C6386" s="25">
        <v>44635</v>
      </c>
      <c r="D6386" s="26">
        <v>0.98064814814814805</v>
      </c>
      <c r="E6386" t="s">
        <v>26</v>
      </c>
      <c r="F6386" t="s">
        <v>175</v>
      </c>
      <c r="G6386" t="s">
        <v>172</v>
      </c>
      <c r="H6386" t="s">
        <v>134</v>
      </c>
      <c r="I6386">
        <v>445.83</v>
      </c>
      <c r="J6386" s="37">
        <v>0</v>
      </c>
      <c r="K6386" s="89">
        <f t="shared" si="397"/>
        <v>1194.3800000000001</v>
      </c>
      <c r="L6386" s="32">
        <v>1194.3800000000001</v>
      </c>
      <c r="M6386" s="10">
        <f t="shared" si="398"/>
        <v>37.327316264505427</v>
      </c>
    </row>
    <row r="6387" spans="1:13" ht="15.75" hidden="1" customHeight="1" x14ac:dyDescent="0.3">
      <c r="A6387" s="9">
        <v>2044</v>
      </c>
      <c r="B6387" t="s">
        <v>264</v>
      </c>
      <c r="C6387" s="25">
        <v>44636</v>
      </c>
      <c r="D6387" s="26">
        <v>0.86949074074074073</v>
      </c>
      <c r="E6387" t="s">
        <v>26</v>
      </c>
      <c r="F6387" t="s">
        <v>210</v>
      </c>
      <c r="G6387" t="s">
        <v>211</v>
      </c>
      <c r="H6387" t="s">
        <v>134</v>
      </c>
      <c r="I6387">
        <v>317.73</v>
      </c>
      <c r="J6387" s="37">
        <v>0</v>
      </c>
      <c r="K6387" s="89">
        <f t="shared" si="397"/>
        <v>695.64</v>
      </c>
      <c r="L6387" s="32">
        <v>695.64</v>
      </c>
      <c r="M6387" s="10">
        <f t="shared" si="398"/>
        <v>45.674486803519066</v>
      </c>
    </row>
    <row r="6388" spans="1:13" ht="15.75" hidden="1" customHeight="1" x14ac:dyDescent="0.3">
      <c r="A6388" s="9">
        <v>2045</v>
      </c>
      <c r="B6388" t="s">
        <v>264</v>
      </c>
      <c r="C6388" s="25">
        <v>44637</v>
      </c>
      <c r="D6388" s="26">
        <v>0.98731481481481476</v>
      </c>
      <c r="E6388" t="s">
        <v>26</v>
      </c>
      <c r="F6388" t="s">
        <v>210</v>
      </c>
      <c r="G6388" t="s">
        <v>211</v>
      </c>
      <c r="H6388" t="s">
        <v>134</v>
      </c>
      <c r="I6388">
        <v>410.48</v>
      </c>
      <c r="J6388" s="32">
        <v>0</v>
      </c>
      <c r="K6388" s="89">
        <f t="shared" si="397"/>
        <v>1062.8499999999999</v>
      </c>
      <c r="L6388" s="32">
        <v>1062.8499999999999</v>
      </c>
      <c r="M6388" s="10">
        <f t="shared" si="398"/>
        <v>38.62068965517242</v>
      </c>
    </row>
    <row r="6389" spans="1:13" ht="15.75" hidden="1" customHeight="1" x14ac:dyDescent="0.3">
      <c r="A6389" s="9">
        <v>2046</v>
      </c>
      <c r="B6389" t="s">
        <v>264</v>
      </c>
      <c r="C6389" s="25">
        <v>44639</v>
      </c>
      <c r="D6389" s="26">
        <v>0.43721064814814814</v>
      </c>
      <c r="E6389" t="s">
        <v>26</v>
      </c>
      <c r="F6389" t="s">
        <v>175</v>
      </c>
      <c r="G6389" t="s">
        <v>172</v>
      </c>
      <c r="H6389" t="s">
        <v>134</v>
      </c>
      <c r="I6389">
        <v>341.59</v>
      </c>
      <c r="J6389" s="32">
        <v>0</v>
      </c>
      <c r="K6389" s="89">
        <f t="shared" si="397"/>
        <v>965.87</v>
      </c>
      <c r="L6389" s="32">
        <v>965.87</v>
      </c>
      <c r="M6389" s="10">
        <f t="shared" si="398"/>
        <v>35.366043049271639</v>
      </c>
    </row>
    <row r="6390" spans="1:13" ht="15.75" hidden="1" customHeight="1" x14ac:dyDescent="0.3">
      <c r="A6390" s="9">
        <v>2047</v>
      </c>
      <c r="B6390" t="s">
        <v>264</v>
      </c>
      <c r="C6390" s="25">
        <v>44644</v>
      </c>
      <c r="D6390" s="26">
        <v>0.57806712962962969</v>
      </c>
      <c r="E6390" t="s">
        <v>26</v>
      </c>
      <c r="F6390" t="s">
        <v>210</v>
      </c>
      <c r="G6390" t="s">
        <v>211</v>
      </c>
      <c r="H6390" t="s">
        <v>134</v>
      </c>
      <c r="I6390">
        <v>412.44</v>
      </c>
      <c r="J6390" s="32">
        <v>0</v>
      </c>
      <c r="K6390" s="89">
        <f t="shared" si="397"/>
        <v>811.73</v>
      </c>
      <c r="L6390" s="32">
        <v>811.73</v>
      </c>
      <c r="M6390" s="10">
        <f t="shared" si="398"/>
        <v>50.80999839848225</v>
      </c>
    </row>
    <row r="6391" spans="1:13" ht="15.75" hidden="1" customHeight="1" x14ac:dyDescent="0.3">
      <c r="A6391" s="9">
        <v>2048</v>
      </c>
      <c r="B6391" t="s">
        <v>264</v>
      </c>
      <c r="C6391" s="25">
        <v>44645</v>
      </c>
      <c r="D6391" s="26">
        <v>0.84064814814814814</v>
      </c>
      <c r="E6391" t="s">
        <v>26</v>
      </c>
      <c r="F6391" t="s">
        <v>210</v>
      </c>
      <c r="G6391" t="s">
        <v>211</v>
      </c>
      <c r="H6391" t="s">
        <v>134</v>
      </c>
      <c r="I6391">
        <f>1.42+440.58</f>
        <v>442</v>
      </c>
      <c r="J6391" s="32">
        <v>0</v>
      </c>
      <c r="K6391" s="90">
        <f t="shared" si="397"/>
        <v>1063.8699999999999</v>
      </c>
      <c r="L6391" s="37">
        <v>1063.8699999999999</v>
      </c>
      <c r="M6391" s="10">
        <f t="shared" si="398"/>
        <v>41.546429544963203</v>
      </c>
    </row>
    <row r="6392" spans="1:13" ht="15.75" hidden="1" customHeight="1" x14ac:dyDescent="0.3">
      <c r="A6392" s="9">
        <v>2049</v>
      </c>
      <c r="B6392" t="s">
        <v>264</v>
      </c>
      <c r="C6392" s="25">
        <v>44647</v>
      </c>
      <c r="D6392" s="26">
        <v>0.45276620370370368</v>
      </c>
      <c r="E6392" t="s">
        <v>26</v>
      </c>
      <c r="F6392" t="s">
        <v>175</v>
      </c>
      <c r="G6392" t="s">
        <v>172</v>
      </c>
      <c r="H6392" t="s">
        <v>134</v>
      </c>
      <c r="I6392">
        <v>167.55</v>
      </c>
      <c r="J6392" s="32">
        <v>0</v>
      </c>
      <c r="K6392" s="90">
        <f t="shared" si="397"/>
        <v>1050.3499999999999</v>
      </c>
      <c r="L6392" s="33">
        <v>1050.3499999999999</v>
      </c>
      <c r="M6392" s="10">
        <f t="shared" si="398"/>
        <v>15.951825581948878</v>
      </c>
    </row>
    <row r="6393" spans="1:13" ht="15.75" hidden="1" customHeight="1" x14ac:dyDescent="0.3">
      <c r="A6393" s="9">
        <v>2050</v>
      </c>
      <c r="B6393" t="s">
        <v>264</v>
      </c>
      <c r="C6393" s="25">
        <v>44648</v>
      </c>
      <c r="D6393" s="26">
        <v>0.65060185185185182</v>
      </c>
      <c r="E6393" t="s">
        <v>26</v>
      </c>
      <c r="F6393" t="s">
        <v>391</v>
      </c>
      <c r="G6393" t="s">
        <v>392</v>
      </c>
      <c r="H6393" t="s">
        <v>134</v>
      </c>
      <c r="I6393">
        <v>277.01</v>
      </c>
      <c r="J6393" s="32">
        <v>0</v>
      </c>
      <c r="K6393" s="99">
        <f t="shared" si="397"/>
        <v>158.83000000000001</v>
      </c>
      <c r="L6393" s="32">
        <v>158.83000000000001</v>
      </c>
      <c r="M6393" s="10">
        <f t="shared" si="398"/>
        <v>174.40659824970092</v>
      </c>
    </row>
    <row r="6394" spans="1:13" ht="15.75" hidden="1" customHeight="1" x14ac:dyDescent="0.3">
      <c r="A6394" s="9">
        <v>2051</v>
      </c>
      <c r="B6394" t="s">
        <v>264</v>
      </c>
      <c r="C6394" s="25">
        <v>44649</v>
      </c>
      <c r="D6394" s="26">
        <v>0.44101851851851853</v>
      </c>
      <c r="E6394" t="s">
        <v>26</v>
      </c>
      <c r="F6394" t="s">
        <v>166</v>
      </c>
      <c r="G6394" t="s">
        <v>161</v>
      </c>
      <c r="H6394" t="s">
        <v>134</v>
      </c>
      <c r="I6394">
        <v>255.82</v>
      </c>
      <c r="J6394" s="32">
        <v>0</v>
      </c>
      <c r="K6394" s="90">
        <f t="shared" si="397"/>
        <v>606.44000000000005</v>
      </c>
      <c r="L6394" s="67">
        <v>606.44000000000005</v>
      </c>
      <c r="M6394" s="10">
        <f t="shared" si="398"/>
        <v>42.183892883055201</v>
      </c>
    </row>
    <row r="6395" spans="1:13" ht="15.75" hidden="1" customHeight="1" x14ac:dyDescent="0.3">
      <c r="A6395" s="9">
        <v>2052</v>
      </c>
      <c r="B6395" t="s">
        <v>264</v>
      </c>
      <c r="C6395" s="25">
        <v>44651</v>
      </c>
      <c r="D6395" s="26">
        <v>0.50758101851851845</v>
      </c>
      <c r="E6395" t="s">
        <v>26</v>
      </c>
      <c r="F6395" t="s">
        <v>210</v>
      </c>
      <c r="G6395" t="s">
        <v>211</v>
      </c>
      <c r="H6395" t="s">
        <v>134</v>
      </c>
      <c r="I6395">
        <v>537.11</v>
      </c>
      <c r="J6395" s="32">
        <v>0</v>
      </c>
      <c r="K6395" s="90">
        <f t="shared" si="397"/>
        <v>1180</v>
      </c>
      <c r="L6395" s="53">
        <v>1180</v>
      </c>
      <c r="M6395" s="10">
        <f t="shared" si="398"/>
        <v>45.517796610169491</v>
      </c>
    </row>
    <row r="6396" spans="1:13" ht="15.75" hidden="1" customHeight="1" x14ac:dyDescent="0.3">
      <c r="A6396" s="9">
        <v>3320</v>
      </c>
      <c r="B6396" t="s">
        <v>264</v>
      </c>
      <c r="C6396" s="25">
        <v>44656</v>
      </c>
      <c r="D6396" s="26">
        <v>0.61725694444444446</v>
      </c>
      <c r="E6396" t="s">
        <v>27</v>
      </c>
      <c r="F6396" t="s">
        <v>175</v>
      </c>
      <c r="G6396" t="s">
        <v>172</v>
      </c>
      <c r="H6396" t="s">
        <v>134</v>
      </c>
      <c r="I6396" s="4">
        <v>442.63</v>
      </c>
      <c r="J6396" s="32">
        <v>0</v>
      </c>
      <c r="K6396" s="92">
        <f t="shared" si="397"/>
        <v>1217.52</v>
      </c>
      <c r="L6396" s="32">
        <v>1217.52</v>
      </c>
      <c r="M6396" s="10">
        <f t="shared" si="398"/>
        <v>36.35504960904133</v>
      </c>
    </row>
    <row r="6397" spans="1:13" ht="15.75" hidden="1" customHeight="1" x14ac:dyDescent="0.3">
      <c r="A6397" s="9">
        <v>3321</v>
      </c>
      <c r="B6397" t="s">
        <v>264</v>
      </c>
      <c r="C6397" s="25">
        <v>44657</v>
      </c>
      <c r="D6397" s="26">
        <v>0.74515046296296295</v>
      </c>
      <c r="E6397" t="s">
        <v>27</v>
      </c>
      <c r="F6397" t="s">
        <v>366</v>
      </c>
      <c r="G6397" t="s">
        <v>367</v>
      </c>
      <c r="H6397" t="s">
        <v>134</v>
      </c>
      <c r="I6397" s="4">
        <v>306</v>
      </c>
      <c r="J6397" s="32">
        <v>0</v>
      </c>
      <c r="K6397" s="89">
        <f t="shared" si="397"/>
        <v>634.54</v>
      </c>
      <c r="L6397" s="32">
        <v>634.54</v>
      </c>
      <c r="M6397" s="10">
        <f t="shared" si="398"/>
        <v>48.223910234185396</v>
      </c>
    </row>
    <row r="6398" spans="1:13" ht="15.75" hidden="1" customHeight="1" x14ac:dyDescent="0.3">
      <c r="A6398" s="9">
        <v>3322</v>
      </c>
      <c r="B6398" t="s">
        <v>264</v>
      </c>
      <c r="C6398" s="25">
        <v>44659</v>
      </c>
      <c r="D6398" s="26">
        <v>8.3020833333333335E-2</v>
      </c>
      <c r="E6398" t="s">
        <v>27</v>
      </c>
      <c r="F6398" t="s">
        <v>210</v>
      </c>
      <c r="G6398" t="s">
        <v>211</v>
      </c>
      <c r="H6398" t="s">
        <v>134</v>
      </c>
      <c r="I6398" s="4">
        <v>431.91</v>
      </c>
      <c r="J6398" s="32">
        <v>0</v>
      </c>
      <c r="K6398" s="89">
        <f t="shared" si="397"/>
        <v>1263.6600000000001</v>
      </c>
      <c r="L6398" s="37">
        <v>1263.6600000000001</v>
      </c>
      <c r="M6398" s="10">
        <f t="shared" si="398"/>
        <v>34.179288732728743</v>
      </c>
    </row>
    <row r="6399" spans="1:13" ht="15.75" hidden="1" customHeight="1" x14ac:dyDescent="0.3">
      <c r="A6399" s="9">
        <v>3323</v>
      </c>
      <c r="B6399" t="s">
        <v>264</v>
      </c>
      <c r="C6399" s="25">
        <v>44660</v>
      </c>
      <c r="D6399" s="26">
        <v>0.56921296296296298</v>
      </c>
      <c r="E6399" t="s">
        <v>27</v>
      </c>
      <c r="F6399" t="s">
        <v>428</v>
      </c>
      <c r="G6399" t="s">
        <v>429</v>
      </c>
      <c r="H6399" t="s">
        <v>134</v>
      </c>
      <c r="I6399" s="4">
        <v>335</v>
      </c>
      <c r="J6399" s="32">
        <v>0</v>
      </c>
      <c r="K6399" s="89">
        <f t="shared" si="397"/>
        <v>928.15</v>
      </c>
      <c r="L6399" s="32">
        <v>928.15</v>
      </c>
      <c r="M6399" s="10">
        <f t="shared" si="398"/>
        <v>36.093303884070465</v>
      </c>
    </row>
    <row r="6400" spans="1:13" ht="15.75" hidden="1" customHeight="1" x14ac:dyDescent="0.3">
      <c r="A6400" s="9">
        <v>3324</v>
      </c>
      <c r="B6400" t="s">
        <v>264</v>
      </c>
      <c r="C6400" s="25">
        <v>44661</v>
      </c>
      <c r="D6400" s="26">
        <v>0.7351967592592592</v>
      </c>
      <c r="E6400" t="s">
        <v>27</v>
      </c>
      <c r="F6400" t="s">
        <v>166</v>
      </c>
      <c r="G6400" t="s">
        <v>161</v>
      </c>
      <c r="H6400" t="s">
        <v>134</v>
      </c>
      <c r="I6400" s="4">
        <v>343.07</v>
      </c>
      <c r="J6400" s="32">
        <v>0</v>
      </c>
      <c r="K6400" s="89">
        <f t="shared" si="397"/>
        <v>901.69</v>
      </c>
      <c r="L6400" s="33">
        <v>901.69</v>
      </c>
      <c r="M6400" s="10">
        <f t="shared" si="398"/>
        <v>38.047444243587037</v>
      </c>
    </row>
    <row r="6401" spans="1:13" ht="15.75" hidden="1" customHeight="1" x14ac:dyDescent="0.3">
      <c r="A6401" s="9">
        <v>3325</v>
      </c>
      <c r="B6401" t="s">
        <v>264</v>
      </c>
      <c r="C6401" s="25">
        <v>44663</v>
      </c>
      <c r="D6401" s="26">
        <v>0.84223379629629624</v>
      </c>
      <c r="E6401" t="s">
        <v>27</v>
      </c>
      <c r="F6401" t="s">
        <v>210</v>
      </c>
      <c r="G6401" t="s">
        <v>211</v>
      </c>
      <c r="H6401" t="s">
        <v>134</v>
      </c>
      <c r="I6401" s="4">
        <v>534.29</v>
      </c>
      <c r="J6401" s="32">
        <v>0</v>
      </c>
      <c r="K6401" s="89">
        <f t="shared" si="397"/>
        <v>1198.5999999999999</v>
      </c>
      <c r="L6401" s="32">
        <v>1198.5999999999999</v>
      </c>
      <c r="M6401" s="10">
        <f t="shared" si="398"/>
        <v>44.576172200901055</v>
      </c>
    </row>
    <row r="6402" spans="1:13" ht="15.75" hidden="1" customHeight="1" x14ac:dyDescent="0.3">
      <c r="A6402" s="9">
        <v>3326</v>
      </c>
      <c r="B6402" t="s">
        <v>264</v>
      </c>
      <c r="C6402" s="25">
        <v>44664</v>
      </c>
      <c r="D6402" s="26">
        <v>0.85239583333333335</v>
      </c>
      <c r="E6402" t="s">
        <v>27</v>
      </c>
      <c r="F6402" t="s">
        <v>169</v>
      </c>
      <c r="G6402" t="s">
        <v>170</v>
      </c>
      <c r="H6402" t="s">
        <v>134</v>
      </c>
      <c r="I6402" s="4">
        <v>100</v>
      </c>
      <c r="J6402" s="32">
        <v>0</v>
      </c>
      <c r="K6402" s="89">
        <f t="shared" si="397"/>
        <v>560.24</v>
      </c>
      <c r="L6402" s="33">
        <v>560.24</v>
      </c>
      <c r="M6402" s="10">
        <f t="shared" si="398"/>
        <v>17.849493074396687</v>
      </c>
    </row>
    <row r="6403" spans="1:13" ht="15.75" hidden="1" customHeight="1" x14ac:dyDescent="0.3">
      <c r="A6403" s="9">
        <v>3327</v>
      </c>
      <c r="B6403" t="s">
        <v>264</v>
      </c>
      <c r="C6403" s="25">
        <v>44665</v>
      </c>
      <c r="D6403" s="26">
        <v>0.60675925925925933</v>
      </c>
      <c r="E6403" t="s">
        <v>27</v>
      </c>
      <c r="F6403" t="s">
        <v>175</v>
      </c>
      <c r="G6403" t="s">
        <v>172</v>
      </c>
      <c r="H6403" t="s">
        <v>134</v>
      </c>
      <c r="I6403" s="4">
        <v>251</v>
      </c>
      <c r="J6403" s="32">
        <v>0</v>
      </c>
      <c r="K6403" s="90">
        <f t="shared" si="397"/>
        <v>412.7</v>
      </c>
      <c r="L6403" s="32">
        <v>412.7</v>
      </c>
      <c r="M6403" s="36">
        <f t="shared" si="398"/>
        <v>60.81899685001212</v>
      </c>
    </row>
    <row r="6404" spans="1:13" ht="15.75" hidden="1" customHeight="1" x14ac:dyDescent="0.3">
      <c r="A6404" s="9">
        <v>3328</v>
      </c>
      <c r="B6404" t="s">
        <v>264</v>
      </c>
      <c r="C6404" s="25">
        <v>44671</v>
      </c>
      <c r="D6404" s="26">
        <v>0.52462962962962967</v>
      </c>
      <c r="E6404" t="s">
        <v>27</v>
      </c>
      <c r="F6404" t="s">
        <v>210</v>
      </c>
      <c r="G6404" t="s">
        <v>211</v>
      </c>
      <c r="H6404" t="s">
        <v>134</v>
      </c>
      <c r="I6404" s="4">
        <v>400.02</v>
      </c>
      <c r="J6404" s="32">
        <v>0</v>
      </c>
      <c r="K6404" s="92">
        <f t="shared" si="397"/>
        <v>919.81</v>
      </c>
      <c r="L6404" s="37">
        <v>919.81</v>
      </c>
      <c r="M6404" s="10">
        <f t="shared" si="398"/>
        <v>43.489416292495193</v>
      </c>
    </row>
    <row r="6405" spans="1:13" ht="15.75" hidden="1" customHeight="1" x14ac:dyDescent="0.3">
      <c r="A6405" s="9">
        <v>3329</v>
      </c>
      <c r="B6405" t="s">
        <v>264</v>
      </c>
      <c r="C6405" s="25">
        <v>44672</v>
      </c>
      <c r="D6405" s="26">
        <v>0.48918981481481483</v>
      </c>
      <c r="E6405" t="s">
        <v>27</v>
      </c>
      <c r="F6405" t="s">
        <v>210</v>
      </c>
      <c r="G6405" t="s">
        <v>211</v>
      </c>
      <c r="H6405" t="s">
        <v>134</v>
      </c>
      <c r="I6405" s="4">
        <v>348.32</v>
      </c>
      <c r="J6405" s="32">
        <v>0</v>
      </c>
      <c r="K6405" s="90">
        <f t="shared" si="397"/>
        <v>886</v>
      </c>
      <c r="L6405" s="37">
        <v>886</v>
      </c>
      <c r="M6405" s="10">
        <f t="shared" si="398"/>
        <v>39.313769751693002</v>
      </c>
    </row>
    <row r="6406" spans="1:13" ht="15.75" hidden="1" customHeight="1" x14ac:dyDescent="0.3">
      <c r="A6406" s="9">
        <v>3330</v>
      </c>
      <c r="B6406" t="s">
        <v>264</v>
      </c>
      <c r="C6406" s="25">
        <v>44673</v>
      </c>
      <c r="D6406" s="26">
        <v>0.56077546296296299</v>
      </c>
      <c r="E6406" t="s">
        <v>27</v>
      </c>
      <c r="F6406" t="s">
        <v>391</v>
      </c>
      <c r="G6406" t="s">
        <v>392</v>
      </c>
      <c r="H6406" t="s">
        <v>134</v>
      </c>
      <c r="I6406" s="4">
        <v>309.5</v>
      </c>
      <c r="J6406" s="32">
        <v>0</v>
      </c>
      <c r="K6406" s="90">
        <f t="shared" si="397"/>
        <v>891.75</v>
      </c>
      <c r="L6406" s="32">
        <v>891.75</v>
      </c>
      <c r="M6406" s="10">
        <f t="shared" si="398"/>
        <v>34.707036725539666</v>
      </c>
    </row>
    <row r="6407" spans="1:13" ht="15.75" hidden="1" customHeight="1" x14ac:dyDescent="0.3">
      <c r="A6407" s="9">
        <v>3331</v>
      </c>
      <c r="B6407" t="s">
        <v>264</v>
      </c>
      <c r="C6407" s="25">
        <v>44675</v>
      </c>
      <c r="D6407" s="26">
        <v>4.5717592592592589E-3</v>
      </c>
      <c r="E6407" t="s">
        <v>27</v>
      </c>
      <c r="F6407" t="s">
        <v>210</v>
      </c>
      <c r="G6407" t="s">
        <v>211</v>
      </c>
      <c r="H6407" t="s">
        <v>134</v>
      </c>
      <c r="I6407" s="4">
        <v>386.71</v>
      </c>
      <c r="J6407" s="32">
        <v>0</v>
      </c>
      <c r="K6407" s="89">
        <f t="shared" si="397"/>
        <v>851.41</v>
      </c>
      <c r="L6407" s="32">
        <v>851.41</v>
      </c>
      <c r="M6407" s="10">
        <f t="shared" si="398"/>
        <v>45.419950435160501</v>
      </c>
    </row>
    <row r="6408" spans="1:13" ht="15.75" hidden="1" customHeight="1" x14ac:dyDescent="0.3">
      <c r="A6408" s="9">
        <v>3332</v>
      </c>
      <c r="B6408" t="s">
        <v>264</v>
      </c>
      <c r="C6408" s="25">
        <v>44676</v>
      </c>
      <c r="D6408" s="26">
        <v>0.65366898148148145</v>
      </c>
      <c r="E6408" t="s">
        <v>27</v>
      </c>
      <c r="F6408" t="s">
        <v>210</v>
      </c>
      <c r="G6408" t="s">
        <v>211</v>
      </c>
      <c r="H6408" t="s">
        <v>134</v>
      </c>
      <c r="I6408">
        <v>412.61</v>
      </c>
      <c r="J6408" s="32">
        <v>0</v>
      </c>
      <c r="K6408" s="89">
        <f t="shared" si="397"/>
        <v>1064.79</v>
      </c>
      <c r="L6408" s="7">
        <v>1064.79</v>
      </c>
      <c r="M6408" s="10">
        <f t="shared" si="398"/>
        <v>38.750363921524432</v>
      </c>
    </row>
    <row r="6409" spans="1:13" ht="15.75" hidden="1" customHeight="1" x14ac:dyDescent="0.3">
      <c r="A6409" s="9">
        <v>3333</v>
      </c>
      <c r="B6409" t="s">
        <v>264</v>
      </c>
      <c r="C6409" s="25">
        <v>44677</v>
      </c>
      <c r="D6409" s="26">
        <v>0.72682870370370367</v>
      </c>
      <c r="E6409" t="s">
        <v>27</v>
      </c>
      <c r="F6409" t="s">
        <v>536</v>
      </c>
      <c r="G6409" t="s">
        <v>415</v>
      </c>
      <c r="H6409" t="s">
        <v>134</v>
      </c>
      <c r="I6409">
        <v>348.76</v>
      </c>
      <c r="J6409" s="32">
        <v>0</v>
      </c>
      <c r="K6409" s="89">
        <f t="shared" si="397"/>
        <v>955.18</v>
      </c>
      <c r="L6409" s="7">
        <v>955.18</v>
      </c>
      <c r="M6409" s="10">
        <f t="shared" si="398"/>
        <v>36.512489792499842</v>
      </c>
    </row>
    <row r="6410" spans="1:13" ht="15.75" hidden="1" customHeight="1" x14ac:dyDescent="0.3">
      <c r="A6410" s="9">
        <v>3334</v>
      </c>
      <c r="B6410" t="s">
        <v>264</v>
      </c>
      <c r="C6410" s="25">
        <v>44678</v>
      </c>
      <c r="D6410" s="26">
        <v>0.89714120370370365</v>
      </c>
      <c r="E6410" t="s">
        <v>27</v>
      </c>
      <c r="F6410" t="s">
        <v>166</v>
      </c>
      <c r="G6410" t="s">
        <v>161</v>
      </c>
      <c r="H6410" t="s">
        <v>134</v>
      </c>
      <c r="I6410">
        <v>354.18</v>
      </c>
      <c r="J6410" s="32">
        <v>0</v>
      </c>
      <c r="K6410" s="89">
        <f t="shared" si="397"/>
        <v>865.23</v>
      </c>
      <c r="L6410" s="34">
        <v>865.23</v>
      </c>
      <c r="M6410" s="10">
        <f t="shared" si="398"/>
        <v>40.93478034742207</v>
      </c>
    </row>
    <row r="6411" spans="1:13" ht="15.75" hidden="1" customHeight="1" x14ac:dyDescent="0.3">
      <c r="A6411" s="9">
        <v>3880</v>
      </c>
      <c r="B6411" t="s">
        <v>264</v>
      </c>
      <c r="C6411" s="25">
        <v>44686</v>
      </c>
      <c r="D6411" s="26">
        <v>0.51561342592592596</v>
      </c>
      <c r="E6411" t="s">
        <v>28</v>
      </c>
      <c r="F6411" t="s">
        <v>166</v>
      </c>
      <c r="G6411" t="s">
        <v>161</v>
      </c>
      <c r="H6411" t="s">
        <v>134</v>
      </c>
      <c r="I6411">
        <v>369.15</v>
      </c>
      <c r="J6411" s="32">
        <v>0</v>
      </c>
      <c r="K6411" s="89">
        <f>+L6411-J6543</f>
        <v>846.85</v>
      </c>
      <c r="L6411" s="32">
        <v>846.85</v>
      </c>
      <c r="M6411" s="10">
        <f t="shared" si="398"/>
        <v>43.590954714530319</v>
      </c>
    </row>
    <row r="6412" spans="1:13" ht="15.75" hidden="1" customHeight="1" x14ac:dyDescent="0.3">
      <c r="A6412" s="9">
        <v>3954</v>
      </c>
      <c r="B6412" t="s">
        <v>264</v>
      </c>
      <c r="C6412" s="25">
        <v>44687</v>
      </c>
      <c r="D6412" s="26">
        <v>0.51989583333333333</v>
      </c>
      <c r="E6412" t="s">
        <v>28</v>
      </c>
      <c r="F6412" t="s">
        <v>210</v>
      </c>
      <c r="G6412" t="s">
        <v>211</v>
      </c>
      <c r="H6412" t="s">
        <v>134</v>
      </c>
      <c r="I6412">
        <v>370</v>
      </c>
      <c r="J6412" s="32">
        <v>0</v>
      </c>
      <c r="K6412" s="95">
        <f>+L6412-J6542</f>
        <v>960</v>
      </c>
      <c r="L6412" s="32">
        <v>960</v>
      </c>
      <c r="M6412" s="10">
        <f t="shared" si="398"/>
        <v>38.541666666666671</v>
      </c>
    </row>
    <row r="6413" spans="1:13" ht="15.75" hidden="1" customHeight="1" x14ac:dyDescent="0.3">
      <c r="A6413" s="9">
        <v>4000</v>
      </c>
      <c r="B6413" t="s">
        <v>264</v>
      </c>
      <c r="C6413" s="25">
        <v>44688</v>
      </c>
      <c r="D6413" s="26">
        <v>0.54768518518518516</v>
      </c>
      <c r="E6413" t="s">
        <v>28</v>
      </c>
      <c r="F6413" t="s">
        <v>536</v>
      </c>
      <c r="G6413" t="s">
        <v>415</v>
      </c>
      <c r="H6413" t="s">
        <v>134</v>
      </c>
      <c r="I6413">
        <v>326.66000000000003</v>
      </c>
      <c r="J6413" s="32">
        <v>0</v>
      </c>
      <c r="K6413" s="90">
        <f>+L6413-J6543</f>
        <v>951</v>
      </c>
      <c r="L6413" s="32">
        <v>951</v>
      </c>
      <c r="M6413" s="10">
        <f t="shared" si="398"/>
        <v>34.349106203995795</v>
      </c>
    </row>
    <row r="6414" spans="1:13" ht="15.75" hidden="1" customHeight="1" x14ac:dyDescent="0.3">
      <c r="A6414" s="9">
        <v>4045</v>
      </c>
      <c r="B6414" t="s">
        <v>264</v>
      </c>
      <c r="C6414" s="25">
        <v>44689</v>
      </c>
      <c r="D6414" s="26">
        <v>0.80197916666666658</v>
      </c>
      <c r="E6414" t="s">
        <v>28</v>
      </c>
      <c r="F6414" t="s">
        <v>166</v>
      </c>
      <c r="G6414" t="s">
        <v>161</v>
      </c>
      <c r="H6414" t="s">
        <v>134</v>
      </c>
      <c r="I6414">
        <v>361.11</v>
      </c>
      <c r="J6414" s="32">
        <v>0</v>
      </c>
      <c r="K6414" s="89">
        <f>+L6414-J6544</f>
        <v>865</v>
      </c>
      <c r="L6414" s="32">
        <v>865</v>
      </c>
      <c r="M6414" s="10">
        <f t="shared" si="398"/>
        <v>41.746820809248561</v>
      </c>
    </row>
    <row r="6415" spans="1:13" ht="15.75" hidden="1" customHeight="1" x14ac:dyDescent="0.3">
      <c r="A6415" s="9">
        <v>4092</v>
      </c>
      <c r="B6415" t="s">
        <v>264</v>
      </c>
      <c r="C6415" s="25">
        <v>44690</v>
      </c>
      <c r="D6415" s="26">
        <v>0.70893518518518517</v>
      </c>
      <c r="E6415" t="s">
        <v>28</v>
      </c>
      <c r="F6415" t="s">
        <v>165</v>
      </c>
      <c r="G6415" t="s">
        <v>185</v>
      </c>
      <c r="H6415" t="s">
        <v>134</v>
      </c>
      <c r="I6415">
        <v>290.02</v>
      </c>
      <c r="J6415" s="32">
        <v>0</v>
      </c>
      <c r="K6415" s="89">
        <f>+L6415-J6545</f>
        <v>629</v>
      </c>
      <c r="L6415" s="32">
        <v>629</v>
      </c>
      <c r="M6415" s="10">
        <f t="shared" ref="M6415:M6429" si="399">I6415/K6415*100</f>
        <v>46.108108108108105</v>
      </c>
    </row>
    <row r="6416" spans="1:13" ht="15.75" hidden="1" customHeight="1" x14ac:dyDescent="0.3">
      <c r="A6416" s="9">
        <v>4136</v>
      </c>
      <c r="B6416" t="s">
        <v>264</v>
      </c>
      <c r="C6416" s="25">
        <v>44691</v>
      </c>
      <c r="D6416" s="26">
        <v>0.83837962962962964</v>
      </c>
      <c r="E6416" t="s">
        <v>28</v>
      </c>
      <c r="F6416" t="s">
        <v>202</v>
      </c>
      <c r="G6416" t="s">
        <v>203</v>
      </c>
      <c r="H6416" t="s">
        <v>134</v>
      </c>
      <c r="I6416">
        <f>100+100.15</f>
        <v>200.15</v>
      </c>
      <c r="J6416" s="32">
        <v>0</v>
      </c>
      <c r="K6416" s="89">
        <f>+L6416-J6548</f>
        <v>1057</v>
      </c>
      <c r="L6416" s="52">
        <v>1057</v>
      </c>
      <c r="M6416" s="10">
        <f t="shared" si="399"/>
        <v>18.9356669820246</v>
      </c>
    </row>
    <row r="6417" spans="1:13" ht="15.75" hidden="1" customHeight="1" x14ac:dyDescent="0.3">
      <c r="A6417" s="9">
        <v>4247</v>
      </c>
      <c r="B6417" t="s">
        <v>264</v>
      </c>
      <c r="C6417" s="25">
        <v>44693</v>
      </c>
      <c r="D6417" s="26">
        <v>0.78524305555555562</v>
      </c>
      <c r="E6417" t="s">
        <v>28</v>
      </c>
      <c r="F6417" t="s">
        <v>166</v>
      </c>
      <c r="G6417" t="s">
        <v>161</v>
      </c>
      <c r="H6417" t="s">
        <v>134</v>
      </c>
      <c r="I6417">
        <v>534.80999999999995</v>
      </c>
      <c r="J6417" s="32">
        <v>0</v>
      </c>
      <c r="K6417" s="89">
        <f>+L6417-J6550</f>
        <v>1168</v>
      </c>
      <c r="L6417" s="32">
        <v>1168</v>
      </c>
      <c r="M6417" s="10">
        <f t="shared" si="399"/>
        <v>45.788527397260268</v>
      </c>
    </row>
    <row r="6418" spans="1:13" ht="15.75" hidden="1" customHeight="1" x14ac:dyDescent="0.3">
      <c r="A6418" s="9">
        <v>4345</v>
      </c>
      <c r="B6418" t="s">
        <v>264</v>
      </c>
      <c r="C6418" s="25">
        <v>44695</v>
      </c>
      <c r="D6418" s="26">
        <v>0.38846064814814812</v>
      </c>
      <c r="E6418" t="s">
        <v>28</v>
      </c>
      <c r="F6418" t="s">
        <v>262</v>
      </c>
      <c r="G6418" t="s">
        <v>263</v>
      </c>
      <c r="H6418" t="s">
        <v>134</v>
      </c>
      <c r="I6418">
        <v>298.02999999999997</v>
      </c>
      <c r="J6418" s="52">
        <v>0</v>
      </c>
      <c r="K6418" s="96">
        <f>+L6418-J6689</f>
        <v>799</v>
      </c>
      <c r="L6418" s="52">
        <v>799</v>
      </c>
      <c r="M6418" s="10">
        <f t="shared" si="399"/>
        <v>37.300375469336664</v>
      </c>
    </row>
    <row r="6419" spans="1:13" ht="15.75" hidden="1" customHeight="1" x14ac:dyDescent="0.3">
      <c r="A6419" s="9">
        <v>4738</v>
      </c>
      <c r="B6419" t="s">
        <v>264</v>
      </c>
      <c r="C6419" s="25">
        <v>44702</v>
      </c>
      <c r="D6419" s="26">
        <v>0.73157407407407404</v>
      </c>
      <c r="E6419" t="s">
        <v>28</v>
      </c>
      <c r="F6419" t="s">
        <v>197</v>
      </c>
      <c r="G6419" t="s">
        <v>44</v>
      </c>
      <c r="H6419" t="s">
        <v>134</v>
      </c>
      <c r="I6419">
        <f>88.92+118.11</f>
        <v>207.03</v>
      </c>
      <c r="J6419" s="32">
        <v>0</v>
      </c>
      <c r="K6419" s="90">
        <f>+L6419-J6673</f>
        <v>533</v>
      </c>
      <c r="L6419" s="32">
        <v>533</v>
      </c>
      <c r="M6419" s="10">
        <f t="shared" si="399"/>
        <v>38.842401500938081</v>
      </c>
    </row>
    <row r="6420" spans="1:13" ht="15.75" hidden="1" customHeight="1" x14ac:dyDescent="0.3">
      <c r="A6420" s="9">
        <v>4798</v>
      </c>
      <c r="B6420" t="s">
        <v>264</v>
      </c>
      <c r="C6420" s="25">
        <v>44703</v>
      </c>
      <c r="D6420" s="26">
        <v>0.52692129629629625</v>
      </c>
      <c r="E6420" t="s">
        <v>28</v>
      </c>
      <c r="F6420" t="s">
        <v>166</v>
      </c>
      <c r="G6420" t="s">
        <v>161</v>
      </c>
      <c r="H6420" t="s">
        <v>134</v>
      </c>
      <c r="I6420">
        <v>261.73</v>
      </c>
      <c r="J6420" s="32">
        <v>0</v>
      </c>
      <c r="K6420" s="94">
        <f>+L6420-J6674</f>
        <v>511</v>
      </c>
      <c r="L6420" s="32">
        <v>511</v>
      </c>
      <c r="M6420" s="10">
        <f t="shared" si="399"/>
        <v>51.219178082191789</v>
      </c>
    </row>
    <row r="6421" spans="1:13" ht="15.75" hidden="1" customHeight="1" x14ac:dyDescent="0.3">
      <c r="A6421" s="9">
        <v>4840</v>
      </c>
      <c r="B6421" t="s">
        <v>264</v>
      </c>
      <c r="C6421" s="25">
        <v>44704</v>
      </c>
      <c r="D6421" s="26">
        <v>0.99210648148148151</v>
      </c>
      <c r="E6421" t="s">
        <v>28</v>
      </c>
      <c r="F6421" t="s">
        <v>210</v>
      </c>
      <c r="G6421" t="s">
        <v>211</v>
      </c>
      <c r="H6421" t="s">
        <v>134</v>
      </c>
      <c r="I6421">
        <v>440.15</v>
      </c>
      <c r="J6421" s="32">
        <v>0</v>
      </c>
      <c r="K6421" s="89">
        <f>+L6421-J6675</f>
        <v>1111</v>
      </c>
      <c r="L6421" s="38">
        <v>1111</v>
      </c>
      <c r="M6421" s="10">
        <f t="shared" si="399"/>
        <v>39.617461746174612</v>
      </c>
    </row>
    <row r="6422" spans="1:13" ht="15.75" hidden="1" customHeight="1" x14ac:dyDescent="0.3">
      <c r="A6422" s="9">
        <v>4957</v>
      </c>
      <c r="B6422" t="s">
        <v>264</v>
      </c>
      <c r="C6422" s="25">
        <v>44706</v>
      </c>
      <c r="D6422" s="26">
        <v>0.52238425925925924</v>
      </c>
      <c r="E6422" t="s">
        <v>28</v>
      </c>
      <c r="F6422" t="s">
        <v>586</v>
      </c>
      <c r="G6422" t="s">
        <v>521</v>
      </c>
      <c r="H6422" t="s">
        <v>134</v>
      </c>
      <c r="I6422">
        <v>333.1</v>
      </c>
      <c r="J6422" s="32">
        <v>0</v>
      </c>
      <c r="K6422" s="90">
        <f>+L6422-J6676</f>
        <v>904</v>
      </c>
      <c r="L6422" s="32">
        <v>904</v>
      </c>
      <c r="M6422" s="10">
        <f t="shared" si="399"/>
        <v>36.847345132743364</v>
      </c>
    </row>
    <row r="6423" spans="1:13" ht="15.75" hidden="1" customHeight="1" x14ac:dyDescent="0.3">
      <c r="A6423" s="9">
        <v>5056</v>
      </c>
      <c r="B6423" t="s">
        <v>264</v>
      </c>
      <c r="C6423" s="25">
        <v>44708</v>
      </c>
      <c r="D6423" s="26">
        <v>1.4201388888888888E-2</v>
      </c>
      <c r="E6423" t="s">
        <v>28</v>
      </c>
      <c r="F6423" t="s">
        <v>632</v>
      </c>
      <c r="G6423" t="s">
        <v>161</v>
      </c>
      <c r="H6423" t="s">
        <v>134</v>
      </c>
      <c r="I6423">
        <v>317.13</v>
      </c>
      <c r="J6423" s="32">
        <v>0</v>
      </c>
      <c r="K6423" s="90">
        <f>+L6423-J6653</f>
        <v>791</v>
      </c>
      <c r="L6423" s="7">
        <v>791</v>
      </c>
      <c r="M6423" s="10">
        <f t="shared" si="399"/>
        <v>40.092288242730724</v>
      </c>
    </row>
    <row r="6424" spans="1:13" ht="15.75" hidden="1" customHeight="1" x14ac:dyDescent="0.3">
      <c r="A6424" s="9">
        <v>5476</v>
      </c>
      <c r="B6424" t="s">
        <v>264</v>
      </c>
      <c r="C6424" s="25">
        <v>44716</v>
      </c>
      <c r="D6424" s="26">
        <v>0.7740393518518518</v>
      </c>
      <c r="E6424" t="s">
        <v>29</v>
      </c>
      <c r="F6424" t="s">
        <v>634</v>
      </c>
      <c r="G6424" t="s">
        <v>211</v>
      </c>
      <c r="H6424" t="s">
        <v>134</v>
      </c>
      <c r="I6424">
        <v>501.67</v>
      </c>
      <c r="J6424" s="32">
        <v>0</v>
      </c>
      <c r="K6424" s="89">
        <f>+L6424-J6645</f>
        <v>1232</v>
      </c>
      <c r="L6424" s="34">
        <v>1232</v>
      </c>
      <c r="M6424" s="10">
        <f t="shared" si="399"/>
        <v>40.719967532467535</v>
      </c>
    </row>
    <row r="6425" spans="1:13" ht="15.75" hidden="1" customHeight="1" x14ac:dyDescent="0.3">
      <c r="A6425" s="9">
        <v>5562</v>
      </c>
      <c r="B6425" t="s">
        <v>264</v>
      </c>
      <c r="C6425" s="25">
        <v>44718</v>
      </c>
      <c r="D6425" s="26">
        <v>0.51075231481481487</v>
      </c>
      <c r="E6425" t="s">
        <v>29</v>
      </c>
      <c r="F6425" t="s">
        <v>715</v>
      </c>
      <c r="G6425" t="s">
        <v>521</v>
      </c>
      <c r="H6425" t="s">
        <v>134</v>
      </c>
      <c r="I6425">
        <v>329</v>
      </c>
      <c r="J6425" s="32">
        <v>0</v>
      </c>
      <c r="K6425" s="90">
        <f>+L6425-J5987</f>
        <v>886</v>
      </c>
      <c r="L6425" s="7">
        <v>886</v>
      </c>
      <c r="M6425" s="10">
        <f t="shared" si="399"/>
        <v>37.133182844243798</v>
      </c>
    </row>
    <row r="6426" spans="1:13" ht="15.75" hidden="1" customHeight="1" x14ac:dyDescent="0.3">
      <c r="A6426" s="9">
        <v>6063</v>
      </c>
      <c r="B6426" t="s">
        <v>264</v>
      </c>
      <c r="C6426" s="25">
        <v>44727</v>
      </c>
      <c r="D6426" s="26">
        <v>0.80491898148148155</v>
      </c>
      <c r="E6426" t="s">
        <v>29</v>
      </c>
      <c r="F6426" t="s">
        <v>632</v>
      </c>
      <c r="G6426" t="s">
        <v>161</v>
      </c>
      <c r="H6426" t="s">
        <v>134</v>
      </c>
      <c r="I6426">
        <v>382.4</v>
      </c>
      <c r="J6426" s="32">
        <v>0</v>
      </c>
      <c r="K6426" s="90">
        <v>996</v>
      </c>
      <c r="L6426" s="7">
        <v>996</v>
      </c>
      <c r="M6426" s="10">
        <f t="shared" si="399"/>
        <v>38.393574297188756</v>
      </c>
    </row>
    <row r="6427" spans="1:13" ht="15.75" hidden="1" customHeight="1" x14ac:dyDescent="0.3">
      <c r="A6427" s="9">
        <v>6351</v>
      </c>
      <c r="B6427" t="s">
        <v>264</v>
      </c>
      <c r="C6427" s="25">
        <v>44734</v>
      </c>
      <c r="D6427" s="26">
        <v>0.81813657407407403</v>
      </c>
      <c r="E6427" t="s">
        <v>29</v>
      </c>
      <c r="F6427" t="s">
        <v>634</v>
      </c>
      <c r="G6427" t="s">
        <v>211</v>
      </c>
      <c r="H6427" t="s">
        <v>134</v>
      </c>
      <c r="I6427" s="148">
        <v>504.37</v>
      </c>
      <c r="J6427" s="32">
        <v>0</v>
      </c>
      <c r="K6427" s="90">
        <v>1205</v>
      </c>
      <c r="L6427" s="7">
        <v>1205</v>
      </c>
      <c r="M6427" s="10">
        <f t="shared" si="399"/>
        <v>41.856431535269714</v>
      </c>
    </row>
    <row r="6428" spans="1:13" ht="15.75" hidden="1" customHeight="1" x14ac:dyDescent="0.3">
      <c r="A6428" s="9">
        <v>6453</v>
      </c>
      <c r="B6428" t="s">
        <v>264</v>
      </c>
      <c r="C6428" s="25">
        <v>44736</v>
      </c>
      <c r="D6428" s="26">
        <v>0.57260416666666669</v>
      </c>
      <c r="E6428" t="s">
        <v>29</v>
      </c>
      <c r="F6428" t="s">
        <v>759</v>
      </c>
      <c r="G6428" t="s">
        <v>521</v>
      </c>
      <c r="H6428" t="s">
        <v>134</v>
      </c>
      <c r="I6428" s="148">
        <v>100</v>
      </c>
      <c r="J6428" s="37">
        <v>0</v>
      </c>
      <c r="K6428" s="97">
        <v>886</v>
      </c>
      <c r="L6428" s="7">
        <v>886</v>
      </c>
      <c r="M6428" s="10">
        <f t="shared" si="399"/>
        <v>11.286681715575622</v>
      </c>
    </row>
    <row r="6429" spans="1:13" ht="15.75" hidden="1" customHeight="1" x14ac:dyDescent="0.3">
      <c r="A6429" s="9">
        <v>6733</v>
      </c>
      <c r="B6429" t="s">
        <v>264</v>
      </c>
      <c r="C6429" s="25">
        <v>44741</v>
      </c>
      <c r="D6429" s="26">
        <v>4.6018518518518514E-2</v>
      </c>
      <c r="E6429" t="s">
        <v>29</v>
      </c>
      <c r="F6429" t="s">
        <v>639</v>
      </c>
      <c r="G6429" t="s">
        <v>44</v>
      </c>
      <c r="H6429" t="s">
        <v>134</v>
      </c>
      <c r="I6429" s="148">
        <v>503</v>
      </c>
      <c r="J6429" s="37">
        <v>0</v>
      </c>
      <c r="K6429" s="97">
        <v>290</v>
      </c>
      <c r="L6429" s="7">
        <v>290</v>
      </c>
      <c r="M6429" s="10">
        <f t="shared" si="399"/>
        <v>173.44827586206895</v>
      </c>
    </row>
    <row r="6430" spans="1:13" ht="15.75" hidden="1" customHeight="1" x14ac:dyDescent="0.3">
      <c r="A6430" s="9">
        <v>6751</v>
      </c>
      <c r="B6430" t="s">
        <v>264</v>
      </c>
      <c r="C6430" s="25">
        <v>44742</v>
      </c>
      <c r="D6430" s="26">
        <v>0.99226851851851849</v>
      </c>
      <c r="E6430" t="s">
        <v>29</v>
      </c>
      <c r="F6430" t="s">
        <v>166</v>
      </c>
      <c r="G6430" t="s">
        <v>161</v>
      </c>
      <c r="H6430" t="s">
        <v>134</v>
      </c>
      <c r="I6430" s="148">
        <v>388.86</v>
      </c>
      <c r="J6430" s="54"/>
      <c r="K6430" s="54">
        <v>846042</v>
      </c>
      <c r="L6430" s="45">
        <f>+K6430-J6430</f>
        <v>846042</v>
      </c>
      <c r="M6430" s="131">
        <f>I6430/L6430*100</f>
        <v>4.5962257192905316E-2</v>
      </c>
    </row>
    <row r="6431" spans="1:13" ht="15.75" hidden="1" customHeight="1" x14ac:dyDescent="0.3">
      <c r="B6431" t="s">
        <v>288</v>
      </c>
      <c r="C6431" s="25">
        <v>44757</v>
      </c>
      <c r="D6431" s="26">
        <v>0.86031250000000004</v>
      </c>
      <c r="E6431" t="s">
        <v>30</v>
      </c>
      <c r="F6431" t="s">
        <v>774</v>
      </c>
      <c r="G6431" t="s">
        <v>161</v>
      </c>
      <c r="H6431" t="s">
        <v>305</v>
      </c>
      <c r="I6431" s="173">
        <v>324.97000000000003</v>
      </c>
      <c r="J6431" s="231">
        <f>325+158+150+432</f>
        <v>1065</v>
      </c>
      <c r="K6431" s="151"/>
      <c r="L6431" s="151">
        <v>2680</v>
      </c>
      <c r="M6431" s="150">
        <f>+J6431/L6431*100</f>
        <v>39.738805970149258</v>
      </c>
    </row>
    <row r="6432" spans="1:13" ht="15.75" hidden="1" customHeight="1" x14ac:dyDescent="0.3">
      <c r="B6432" t="s">
        <v>288</v>
      </c>
      <c r="C6432" s="25">
        <v>44760</v>
      </c>
      <c r="D6432" s="26">
        <v>0.87304398148148143</v>
      </c>
      <c r="E6432" t="s">
        <v>30</v>
      </c>
      <c r="F6432" t="s">
        <v>210</v>
      </c>
      <c r="G6432" t="s">
        <v>211</v>
      </c>
      <c r="H6432" t="s">
        <v>305</v>
      </c>
      <c r="I6432" s="160">
        <v>436.87</v>
      </c>
      <c r="J6432" s="8"/>
      <c r="K6432" s="8"/>
      <c r="L6432" s="8"/>
      <c r="M6432" s="254"/>
    </row>
    <row r="6433" spans="1:13" ht="15.75" hidden="1" customHeight="1" x14ac:dyDescent="0.3">
      <c r="B6433" t="s">
        <v>288</v>
      </c>
      <c r="C6433" s="25">
        <v>44761</v>
      </c>
      <c r="D6433" s="26">
        <v>0.79226851851851843</v>
      </c>
      <c r="E6433" t="s">
        <v>30</v>
      </c>
      <c r="F6433" t="s">
        <v>262</v>
      </c>
      <c r="G6433" t="s">
        <v>263</v>
      </c>
      <c r="H6433" t="s">
        <v>305</v>
      </c>
      <c r="I6433" s="160">
        <v>200</v>
      </c>
      <c r="J6433" s="8"/>
      <c r="K6433" s="8"/>
      <c r="L6433" s="8"/>
      <c r="M6433" s="254"/>
    </row>
    <row r="6434" spans="1:13" ht="15.75" hidden="1" customHeight="1" x14ac:dyDescent="0.3">
      <c r="B6434" t="s">
        <v>288</v>
      </c>
      <c r="C6434" s="25">
        <v>44762</v>
      </c>
      <c r="D6434" s="26">
        <v>0.2131828703703704</v>
      </c>
      <c r="E6434" t="s">
        <v>30</v>
      </c>
      <c r="F6434" t="s">
        <v>262</v>
      </c>
      <c r="G6434" t="s">
        <v>263</v>
      </c>
      <c r="H6434" t="s">
        <v>305</v>
      </c>
      <c r="I6434" s="160">
        <v>94.01</v>
      </c>
      <c r="J6434" s="8"/>
      <c r="K6434" s="8"/>
      <c r="L6434" s="8"/>
      <c r="M6434" s="254"/>
    </row>
    <row r="6435" spans="1:13" ht="15.75" hidden="1" customHeight="1" x14ac:dyDescent="0.3">
      <c r="B6435" t="s">
        <v>288</v>
      </c>
      <c r="C6435" s="25">
        <v>44763</v>
      </c>
      <c r="D6435" s="26">
        <v>0.31532407407407409</v>
      </c>
      <c r="E6435" t="s">
        <v>30</v>
      </c>
      <c r="F6435" t="s">
        <v>166</v>
      </c>
      <c r="G6435" t="s">
        <v>161</v>
      </c>
      <c r="H6435" t="s">
        <v>305</v>
      </c>
      <c r="I6435" s="160">
        <v>333.33</v>
      </c>
      <c r="J6435" s="160">
        <f>333+94+200+437</f>
        <v>1064</v>
      </c>
      <c r="K6435" s="160">
        <v>1234</v>
      </c>
      <c r="L6435" s="160">
        <f>+K6435-J6435</f>
        <v>170</v>
      </c>
      <c r="M6435" s="254" t="str">
        <f>+G6825</f>
        <v>MERCEDES</v>
      </c>
    </row>
    <row r="6436" spans="1:13" ht="15.75" hidden="1" customHeight="1" x14ac:dyDescent="0.3">
      <c r="B6436" t="s">
        <v>288</v>
      </c>
      <c r="C6436" s="25">
        <v>44764</v>
      </c>
      <c r="D6436" s="26">
        <v>0.72630787037037037</v>
      </c>
      <c r="E6436" t="s">
        <v>30</v>
      </c>
      <c r="F6436" t="s">
        <v>210</v>
      </c>
      <c r="G6436" t="s">
        <v>211</v>
      </c>
      <c r="H6436" t="s">
        <v>305</v>
      </c>
      <c r="I6436" s="160">
        <v>426.01</v>
      </c>
      <c r="J6436" s="8"/>
      <c r="K6436" s="8"/>
      <c r="L6436" s="8"/>
      <c r="M6436" s="254"/>
    </row>
    <row r="6437" spans="1:13" ht="15.75" hidden="1" customHeight="1" x14ac:dyDescent="0.3">
      <c r="A6437" s="9">
        <v>27</v>
      </c>
      <c r="B6437" t="s">
        <v>318</v>
      </c>
      <c r="C6437" s="25">
        <v>44567</v>
      </c>
      <c r="D6437" s="26">
        <v>0.71185185185185185</v>
      </c>
      <c r="E6437" t="s">
        <v>24</v>
      </c>
      <c r="F6437" t="s">
        <v>175</v>
      </c>
      <c r="G6437" t="s">
        <v>172</v>
      </c>
      <c r="H6437" t="s">
        <v>135</v>
      </c>
      <c r="I6437">
        <v>405.1</v>
      </c>
      <c r="J6437" s="34">
        <v>0</v>
      </c>
      <c r="K6437" s="40">
        <f t="shared" ref="K6437:K6468" si="400">+L6437-J6437</f>
        <v>1029.75</v>
      </c>
      <c r="L6437" s="34">
        <v>1029.75</v>
      </c>
      <c r="M6437" s="61">
        <f t="shared" ref="M6437:M6468" si="401">I6437/K6437*100</f>
        <v>39.339645545035204</v>
      </c>
    </row>
    <row r="6438" spans="1:13" ht="15.75" hidden="1" customHeight="1" x14ac:dyDescent="0.3">
      <c r="A6438" s="9">
        <v>28</v>
      </c>
      <c r="B6438" t="s">
        <v>318</v>
      </c>
      <c r="C6438" s="25">
        <v>44568</v>
      </c>
      <c r="D6438" s="26">
        <v>0.84487268518518521</v>
      </c>
      <c r="E6438" t="s">
        <v>24</v>
      </c>
      <c r="F6438" t="s">
        <v>205</v>
      </c>
      <c r="G6438" t="s">
        <v>206</v>
      </c>
      <c r="H6438" t="s">
        <v>135</v>
      </c>
      <c r="I6438">
        <v>193.01</v>
      </c>
      <c r="J6438" s="7">
        <v>0</v>
      </c>
      <c r="K6438" s="7">
        <f t="shared" si="400"/>
        <v>500.44</v>
      </c>
      <c r="L6438" s="34">
        <v>500.44</v>
      </c>
      <c r="M6438" s="10">
        <f t="shared" si="401"/>
        <v>38.568060107105744</v>
      </c>
    </row>
    <row r="6439" spans="1:13" ht="15.75" hidden="1" customHeight="1" x14ac:dyDescent="0.3">
      <c r="A6439" s="9">
        <v>29</v>
      </c>
      <c r="B6439" t="s">
        <v>318</v>
      </c>
      <c r="C6439" s="25">
        <v>44569</v>
      </c>
      <c r="D6439" s="26">
        <v>0.81035879629629637</v>
      </c>
      <c r="E6439" t="s">
        <v>24</v>
      </c>
      <c r="F6439" t="s">
        <v>210</v>
      </c>
      <c r="G6439" t="s">
        <v>211</v>
      </c>
      <c r="H6439" t="s">
        <v>135</v>
      </c>
      <c r="I6439">
        <v>287.45999999999998</v>
      </c>
      <c r="J6439" s="7">
        <v>0</v>
      </c>
      <c r="K6439" s="7">
        <f t="shared" si="400"/>
        <v>692.67</v>
      </c>
      <c r="L6439" s="7">
        <v>692.67</v>
      </c>
      <c r="M6439" s="10">
        <f t="shared" si="401"/>
        <v>41.500281519338209</v>
      </c>
    </row>
    <row r="6440" spans="1:13" ht="15.75" hidden="1" customHeight="1" x14ac:dyDescent="0.3">
      <c r="A6440" s="9">
        <v>30</v>
      </c>
      <c r="B6440" t="s">
        <v>318</v>
      </c>
      <c r="C6440" s="25">
        <v>44570</v>
      </c>
      <c r="D6440" s="26">
        <v>0.54273148148148154</v>
      </c>
      <c r="E6440" t="s">
        <v>24</v>
      </c>
      <c r="F6440" t="s">
        <v>165</v>
      </c>
      <c r="G6440" t="s">
        <v>185</v>
      </c>
      <c r="H6440" t="s">
        <v>135</v>
      </c>
      <c r="I6440">
        <v>244.02</v>
      </c>
      <c r="J6440" s="7">
        <v>0</v>
      </c>
      <c r="K6440" s="7">
        <f t="shared" si="400"/>
        <v>550.20000000000005</v>
      </c>
      <c r="L6440" s="35">
        <v>550.20000000000005</v>
      </c>
      <c r="M6440" s="10">
        <f t="shared" si="401"/>
        <v>44.351145038167935</v>
      </c>
    </row>
    <row r="6441" spans="1:13" ht="15.75" hidden="1" customHeight="1" x14ac:dyDescent="0.3">
      <c r="A6441" s="9">
        <v>31</v>
      </c>
      <c r="B6441" t="s">
        <v>318</v>
      </c>
      <c r="C6441" s="25">
        <v>44571</v>
      </c>
      <c r="D6441" s="26">
        <v>0.33431712962962962</v>
      </c>
      <c r="E6441" t="s">
        <v>24</v>
      </c>
      <c r="F6441" t="s">
        <v>202</v>
      </c>
      <c r="G6441" t="s">
        <v>203</v>
      </c>
      <c r="H6441" t="s">
        <v>135</v>
      </c>
      <c r="I6441">
        <v>150</v>
      </c>
      <c r="J6441" s="39">
        <v>0</v>
      </c>
      <c r="K6441" s="7">
        <f t="shared" si="400"/>
        <v>542.87</v>
      </c>
      <c r="L6441" s="11">
        <v>542.87</v>
      </c>
      <c r="M6441" s="10">
        <f t="shared" si="401"/>
        <v>27.630924530734795</v>
      </c>
    </row>
    <row r="6442" spans="1:13" ht="15.75" hidden="1" customHeight="1" x14ac:dyDescent="0.3">
      <c r="A6442" s="9">
        <v>32</v>
      </c>
      <c r="B6442" t="s">
        <v>318</v>
      </c>
      <c r="C6442" s="25">
        <v>44571</v>
      </c>
      <c r="D6442" s="26">
        <v>0.93185185185185182</v>
      </c>
      <c r="E6442" t="s">
        <v>24</v>
      </c>
      <c r="F6442" t="s">
        <v>202</v>
      </c>
      <c r="G6442" t="s">
        <v>203</v>
      </c>
      <c r="H6442" t="s">
        <v>135</v>
      </c>
      <c r="I6442">
        <v>168.62</v>
      </c>
      <c r="J6442" s="7">
        <v>0</v>
      </c>
      <c r="K6442" s="34">
        <f t="shared" si="400"/>
        <v>510.67</v>
      </c>
      <c r="L6442" s="34">
        <v>510.67</v>
      </c>
      <c r="M6442" s="10">
        <f t="shared" si="401"/>
        <v>33.019366714316483</v>
      </c>
    </row>
    <row r="6443" spans="1:13" ht="15.75" hidden="1" customHeight="1" x14ac:dyDescent="0.3">
      <c r="A6443" s="9">
        <v>33</v>
      </c>
      <c r="B6443" t="s">
        <v>318</v>
      </c>
      <c r="C6443" s="25">
        <v>44572</v>
      </c>
      <c r="D6443" s="26">
        <v>0.96244212962962961</v>
      </c>
      <c r="E6443" t="s">
        <v>24</v>
      </c>
      <c r="F6443" t="s">
        <v>165</v>
      </c>
      <c r="G6443" t="s">
        <v>185</v>
      </c>
      <c r="H6443" t="s">
        <v>135</v>
      </c>
      <c r="I6443">
        <v>260.45999999999998</v>
      </c>
      <c r="J6443" s="7">
        <v>0</v>
      </c>
      <c r="K6443" s="7">
        <f t="shared" si="400"/>
        <v>576.22</v>
      </c>
      <c r="L6443" s="7">
        <v>576.22</v>
      </c>
      <c r="M6443" s="10">
        <f t="shared" si="401"/>
        <v>45.201485543715933</v>
      </c>
    </row>
    <row r="6444" spans="1:13" ht="15.75" hidden="1" customHeight="1" x14ac:dyDescent="0.3">
      <c r="A6444" s="9">
        <v>34</v>
      </c>
      <c r="B6444" t="s">
        <v>318</v>
      </c>
      <c r="C6444" s="25">
        <v>44573</v>
      </c>
      <c r="D6444" s="26">
        <v>0.54640046296296296</v>
      </c>
      <c r="E6444" t="s">
        <v>24</v>
      </c>
      <c r="F6444" t="s">
        <v>210</v>
      </c>
      <c r="G6444" t="s">
        <v>211</v>
      </c>
      <c r="H6444" t="s">
        <v>135</v>
      </c>
      <c r="I6444">
        <v>155.05000000000001</v>
      </c>
      <c r="J6444" s="7">
        <v>0</v>
      </c>
      <c r="K6444" s="7">
        <f t="shared" si="400"/>
        <v>514.9</v>
      </c>
      <c r="L6444" s="7">
        <v>514.9</v>
      </c>
      <c r="M6444" s="10">
        <f t="shared" si="401"/>
        <v>30.112643231695479</v>
      </c>
    </row>
    <row r="6445" spans="1:13" ht="15.75" hidden="1" customHeight="1" x14ac:dyDescent="0.3">
      <c r="A6445" s="9">
        <v>35</v>
      </c>
      <c r="B6445" t="s">
        <v>318</v>
      </c>
      <c r="C6445" s="25">
        <v>44575</v>
      </c>
      <c r="D6445" s="26">
        <v>0.87709490740740748</v>
      </c>
      <c r="E6445" t="s">
        <v>24</v>
      </c>
      <c r="F6445" t="s">
        <v>175</v>
      </c>
      <c r="G6445" t="s">
        <v>172</v>
      </c>
      <c r="H6445" t="s">
        <v>135</v>
      </c>
      <c r="I6445">
        <v>341.15</v>
      </c>
      <c r="J6445" s="7">
        <v>0</v>
      </c>
      <c r="K6445" s="7">
        <f t="shared" si="400"/>
        <v>982.83</v>
      </c>
      <c r="L6445" s="7">
        <v>982.83</v>
      </c>
      <c r="M6445" s="10">
        <f t="shared" si="401"/>
        <v>34.710987658089394</v>
      </c>
    </row>
    <row r="6446" spans="1:13" ht="15.75" hidden="1" customHeight="1" x14ac:dyDescent="0.3">
      <c r="A6446" s="9">
        <v>36</v>
      </c>
      <c r="B6446" t="s">
        <v>318</v>
      </c>
      <c r="C6446" s="25">
        <v>44577</v>
      </c>
      <c r="D6446" s="26">
        <v>0.52894675925925927</v>
      </c>
      <c r="E6446" t="s">
        <v>24</v>
      </c>
      <c r="F6446" t="s">
        <v>210</v>
      </c>
      <c r="G6446" t="s">
        <v>211</v>
      </c>
      <c r="H6446" t="s">
        <v>135</v>
      </c>
      <c r="I6446">
        <v>397.77</v>
      </c>
      <c r="J6446" s="7">
        <v>0</v>
      </c>
      <c r="K6446" s="7">
        <f t="shared" si="400"/>
        <v>826.76</v>
      </c>
      <c r="L6446" s="7">
        <v>826.76</v>
      </c>
      <c r="M6446" s="10">
        <f t="shared" si="401"/>
        <v>48.111906720209006</v>
      </c>
    </row>
    <row r="6447" spans="1:13" ht="15.75" hidden="1" customHeight="1" x14ac:dyDescent="0.3">
      <c r="A6447" s="9">
        <v>37</v>
      </c>
      <c r="B6447" t="s">
        <v>318</v>
      </c>
      <c r="C6447" s="25">
        <v>44578</v>
      </c>
      <c r="D6447" s="26">
        <v>0.31237268518518518</v>
      </c>
      <c r="E6447" t="s">
        <v>24</v>
      </c>
      <c r="F6447" t="s">
        <v>165</v>
      </c>
      <c r="G6447" t="s">
        <v>185</v>
      </c>
      <c r="H6447" t="s">
        <v>135</v>
      </c>
      <c r="I6447">
        <v>254.83</v>
      </c>
      <c r="J6447" s="7">
        <v>0</v>
      </c>
      <c r="K6447" s="7">
        <f t="shared" si="400"/>
        <v>549.49</v>
      </c>
      <c r="L6447" s="7">
        <v>549.49</v>
      </c>
      <c r="M6447" s="10">
        <f t="shared" si="401"/>
        <v>46.37573022257002</v>
      </c>
    </row>
    <row r="6448" spans="1:13" ht="15.75" hidden="1" customHeight="1" x14ac:dyDescent="0.3">
      <c r="A6448" s="9">
        <v>38</v>
      </c>
      <c r="B6448" t="s">
        <v>318</v>
      </c>
      <c r="C6448" s="25">
        <v>44579</v>
      </c>
      <c r="D6448" s="26">
        <v>0.3525578703703704</v>
      </c>
      <c r="E6448" t="s">
        <v>24</v>
      </c>
      <c r="F6448" t="s">
        <v>210</v>
      </c>
      <c r="G6448" t="s">
        <v>211</v>
      </c>
      <c r="H6448" t="s">
        <v>135</v>
      </c>
      <c r="I6448">
        <v>252.57</v>
      </c>
      <c r="J6448" s="7">
        <v>0</v>
      </c>
      <c r="K6448" s="11">
        <f t="shared" si="400"/>
        <v>574.21</v>
      </c>
      <c r="L6448" s="35">
        <v>574.21</v>
      </c>
      <c r="M6448" s="10">
        <f t="shared" si="401"/>
        <v>43.985649849358246</v>
      </c>
    </row>
    <row r="6449" spans="1:13" ht="15.75" hidden="1" customHeight="1" x14ac:dyDescent="0.3">
      <c r="A6449" s="9">
        <v>39</v>
      </c>
      <c r="B6449" t="s">
        <v>318</v>
      </c>
      <c r="C6449" s="25">
        <v>44580</v>
      </c>
      <c r="D6449" s="26">
        <v>0.67964120370370373</v>
      </c>
      <c r="E6449" t="s">
        <v>24</v>
      </c>
      <c r="F6449" t="s">
        <v>175</v>
      </c>
      <c r="G6449" t="s">
        <v>172</v>
      </c>
      <c r="H6449" t="s">
        <v>135</v>
      </c>
      <c r="I6449">
        <v>384.49</v>
      </c>
      <c r="J6449" s="7">
        <v>0</v>
      </c>
      <c r="K6449" s="11">
        <f t="shared" si="400"/>
        <v>976.14</v>
      </c>
      <c r="L6449" s="7">
        <v>976.14</v>
      </c>
      <c r="M6449" s="10">
        <f t="shared" si="401"/>
        <v>39.388817177863835</v>
      </c>
    </row>
    <row r="6450" spans="1:13" ht="15.75" hidden="1" customHeight="1" x14ac:dyDescent="0.3">
      <c r="A6450" s="9">
        <v>40</v>
      </c>
      <c r="B6450" t="s">
        <v>318</v>
      </c>
      <c r="C6450" s="25">
        <v>44582</v>
      </c>
      <c r="D6450" s="26">
        <v>0.60733796296296294</v>
      </c>
      <c r="E6450" t="s">
        <v>24</v>
      </c>
      <c r="F6450" t="s">
        <v>210</v>
      </c>
      <c r="G6450" t="s">
        <v>211</v>
      </c>
      <c r="H6450" t="s">
        <v>135</v>
      </c>
      <c r="I6450">
        <v>350.64</v>
      </c>
      <c r="J6450" s="31">
        <v>0</v>
      </c>
      <c r="K6450" s="11">
        <f t="shared" si="400"/>
        <v>841.58</v>
      </c>
      <c r="L6450" s="7">
        <v>841.58</v>
      </c>
      <c r="M6450" s="10">
        <f t="shared" si="401"/>
        <v>41.664488224530047</v>
      </c>
    </row>
    <row r="6451" spans="1:13" ht="15.75" hidden="1" customHeight="1" x14ac:dyDescent="0.3">
      <c r="A6451" s="9">
        <v>41</v>
      </c>
      <c r="B6451" t="s">
        <v>318</v>
      </c>
      <c r="C6451" s="25">
        <v>44583</v>
      </c>
      <c r="D6451" s="26">
        <v>0.91799768518518521</v>
      </c>
      <c r="E6451" t="s">
        <v>24</v>
      </c>
      <c r="F6451" t="s">
        <v>210</v>
      </c>
      <c r="G6451" t="s">
        <v>211</v>
      </c>
      <c r="H6451" t="s">
        <v>135</v>
      </c>
      <c r="I6451">
        <v>372.91</v>
      </c>
      <c r="J6451" s="7">
        <v>0</v>
      </c>
      <c r="K6451" s="11">
        <f t="shared" si="400"/>
        <v>1063.1500000000001</v>
      </c>
      <c r="L6451" s="7">
        <v>1063.1500000000001</v>
      </c>
      <c r="M6451" s="10">
        <f t="shared" si="401"/>
        <v>35.075953534308425</v>
      </c>
    </row>
    <row r="6452" spans="1:13" ht="15.75" hidden="1" customHeight="1" x14ac:dyDescent="0.3">
      <c r="A6452" s="9">
        <v>42</v>
      </c>
      <c r="B6452" t="s">
        <v>318</v>
      </c>
      <c r="C6452" s="25">
        <v>44585</v>
      </c>
      <c r="D6452" s="26">
        <v>0.69851851851851843</v>
      </c>
      <c r="E6452" t="s">
        <v>24</v>
      </c>
      <c r="F6452" t="s">
        <v>175</v>
      </c>
      <c r="G6452" t="s">
        <v>172</v>
      </c>
      <c r="H6452" t="s">
        <v>135</v>
      </c>
      <c r="I6452">
        <v>319</v>
      </c>
      <c r="J6452" s="7">
        <v>0</v>
      </c>
      <c r="K6452" s="11">
        <f t="shared" si="400"/>
        <v>975.97</v>
      </c>
      <c r="L6452" s="34">
        <v>975.97</v>
      </c>
      <c r="M6452" s="10">
        <f t="shared" si="401"/>
        <v>32.685430904638466</v>
      </c>
    </row>
    <row r="6453" spans="1:13" ht="15.75" hidden="1" customHeight="1" x14ac:dyDescent="0.3">
      <c r="A6453" s="9">
        <v>1142</v>
      </c>
      <c r="B6453" t="s">
        <v>318</v>
      </c>
      <c r="C6453" s="25">
        <v>44600</v>
      </c>
      <c r="D6453" s="26">
        <v>0.74049768518518511</v>
      </c>
      <c r="E6453" t="s">
        <v>25</v>
      </c>
      <c r="F6453" t="s">
        <v>210</v>
      </c>
      <c r="G6453" t="s">
        <v>211</v>
      </c>
      <c r="H6453" t="s">
        <v>135</v>
      </c>
      <c r="I6453">
        <v>367.94</v>
      </c>
      <c r="J6453" s="7">
        <v>0</v>
      </c>
      <c r="K6453" s="11">
        <f t="shared" si="400"/>
        <v>861.13</v>
      </c>
      <c r="L6453" s="7">
        <v>861.13</v>
      </c>
      <c r="M6453" s="10">
        <f t="shared" si="401"/>
        <v>42.727578878914912</v>
      </c>
    </row>
    <row r="6454" spans="1:13" ht="15.75" hidden="1" customHeight="1" x14ac:dyDescent="0.3">
      <c r="A6454" s="9">
        <v>1143</v>
      </c>
      <c r="B6454" t="s">
        <v>318</v>
      </c>
      <c r="C6454" s="25">
        <v>44601</v>
      </c>
      <c r="D6454" s="26">
        <v>0.4767939814814815</v>
      </c>
      <c r="E6454" t="s">
        <v>25</v>
      </c>
      <c r="F6454" t="s">
        <v>165</v>
      </c>
      <c r="G6454" t="s">
        <v>185</v>
      </c>
      <c r="H6454" t="s">
        <v>135</v>
      </c>
      <c r="I6454">
        <v>240.65</v>
      </c>
      <c r="J6454" s="7">
        <v>0</v>
      </c>
      <c r="K6454" s="7">
        <f t="shared" si="400"/>
        <v>549.37</v>
      </c>
      <c r="L6454" s="7">
        <v>549.37</v>
      </c>
      <c r="M6454" s="10">
        <f t="shared" si="401"/>
        <v>43.804721772211806</v>
      </c>
    </row>
    <row r="6455" spans="1:13" ht="15.75" hidden="1" customHeight="1" x14ac:dyDescent="0.3">
      <c r="A6455" s="9">
        <v>1144</v>
      </c>
      <c r="B6455" t="s">
        <v>318</v>
      </c>
      <c r="C6455" s="25">
        <v>44602</v>
      </c>
      <c r="D6455" s="26">
        <v>0.88953703703703713</v>
      </c>
      <c r="E6455" t="s">
        <v>25</v>
      </c>
      <c r="F6455" t="s">
        <v>210</v>
      </c>
      <c r="G6455" t="s">
        <v>211</v>
      </c>
      <c r="H6455" t="s">
        <v>135</v>
      </c>
      <c r="I6455">
        <v>230.2</v>
      </c>
      <c r="J6455" s="7">
        <v>0</v>
      </c>
      <c r="K6455" s="7">
        <f t="shared" si="400"/>
        <v>574.99</v>
      </c>
      <c r="L6455" s="32">
        <v>574.99</v>
      </c>
      <c r="M6455" s="10">
        <f t="shared" si="401"/>
        <v>40.035478877893524</v>
      </c>
    </row>
    <row r="6456" spans="1:13" ht="15.75" hidden="1" customHeight="1" x14ac:dyDescent="0.3">
      <c r="A6456" s="9">
        <v>1145</v>
      </c>
      <c r="B6456" t="s">
        <v>318</v>
      </c>
      <c r="C6456" s="25">
        <v>44604</v>
      </c>
      <c r="D6456" s="26">
        <v>0.53209490740740739</v>
      </c>
      <c r="E6456" t="s">
        <v>25</v>
      </c>
      <c r="F6456" t="s">
        <v>175</v>
      </c>
      <c r="G6456" t="s">
        <v>172</v>
      </c>
      <c r="H6456" t="s">
        <v>135</v>
      </c>
      <c r="I6456">
        <v>384.74</v>
      </c>
      <c r="J6456" s="7">
        <v>0</v>
      </c>
      <c r="K6456" s="7">
        <f t="shared" si="400"/>
        <v>990.43</v>
      </c>
      <c r="L6456" s="7">
        <v>990.43</v>
      </c>
      <c r="M6456" s="10">
        <f t="shared" si="401"/>
        <v>38.845753864483108</v>
      </c>
    </row>
    <row r="6457" spans="1:13" ht="15.75" hidden="1" customHeight="1" x14ac:dyDescent="0.3">
      <c r="A6457" s="9">
        <v>1146</v>
      </c>
      <c r="B6457" t="s">
        <v>318</v>
      </c>
      <c r="C6457" s="25">
        <v>44605</v>
      </c>
      <c r="D6457" s="26">
        <v>0.64495370370370375</v>
      </c>
      <c r="E6457" t="s">
        <v>25</v>
      </c>
      <c r="F6457" t="s">
        <v>210</v>
      </c>
      <c r="G6457" t="s">
        <v>211</v>
      </c>
      <c r="H6457" t="s">
        <v>135</v>
      </c>
      <c r="I6457">
        <v>348</v>
      </c>
      <c r="J6457" s="34">
        <v>0</v>
      </c>
      <c r="K6457" s="11">
        <f t="shared" si="400"/>
        <v>833.53</v>
      </c>
      <c r="L6457" s="7">
        <v>833.53</v>
      </c>
      <c r="M6457" s="10">
        <f t="shared" si="401"/>
        <v>41.750146965316191</v>
      </c>
    </row>
    <row r="6458" spans="1:13" ht="15.75" hidden="1" customHeight="1" x14ac:dyDescent="0.3">
      <c r="A6458" s="9">
        <v>1147</v>
      </c>
      <c r="B6458" t="s">
        <v>318</v>
      </c>
      <c r="C6458" s="25">
        <v>44606</v>
      </c>
      <c r="D6458" s="26">
        <v>0.89856481481481476</v>
      </c>
      <c r="E6458" t="s">
        <v>25</v>
      </c>
      <c r="F6458" t="s">
        <v>210</v>
      </c>
      <c r="G6458" t="s">
        <v>211</v>
      </c>
      <c r="H6458" t="s">
        <v>135</v>
      </c>
      <c r="I6458">
        <v>382.94</v>
      </c>
      <c r="J6458" s="34">
        <v>0</v>
      </c>
      <c r="K6458" s="11">
        <f t="shared" si="400"/>
        <v>1066.4000000000001</v>
      </c>
      <c r="L6458" s="32">
        <v>1066.4000000000001</v>
      </c>
      <c r="M6458" s="10">
        <f t="shared" si="401"/>
        <v>35.90960240060015</v>
      </c>
    </row>
    <row r="6459" spans="1:13" ht="15.75" hidden="1" customHeight="1" x14ac:dyDescent="0.3">
      <c r="A6459" s="9">
        <v>1148</v>
      </c>
      <c r="B6459" t="s">
        <v>318</v>
      </c>
      <c r="C6459" s="25">
        <v>44608</v>
      </c>
      <c r="D6459" s="26">
        <v>0.62415509259259261</v>
      </c>
      <c r="E6459" t="s">
        <v>25</v>
      </c>
      <c r="F6459" t="s">
        <v>175</v>
      </c>
      <c r="G6459" t="s">
        <v>172</v>
      </c>
      <c r="H6459" t="s">
        <v>135</v>
      </c>
      <c r="I6459">
        <v>346.63</v>
      </c>
      <c r="J6459" s="34">
        <v>0</v>
      </c>
      <c r="K6459" s="7">
        <f t="shared" si="400"/>
        <v>969.18</v>
      </c>
      <c r="L6459" s="7">
        <v>969.18</v>
      </c>
      <c r="M6459" s="10">
        <f t="shared" si="401"/>
        <v>35.765286118161747</v>
      </c>
    </row>
    <row r="6460" spans="1:13" ht="15.75" hidden="1" customHeight="1" x14ac:dyDescent="0.3">
      <c r="A6460" s="9">
        <v>1149</v>
      </c>
      <c r="B6460" t="s">
        <v>318</v>
      </c>
      <c r="C6460" s="25">
        <v>44609</v>
      </c>
      <c r="D6460" s="26">
        <v>0.71535879629629628</v>
      </c>
      <c r="E6460" t="s">
        <v>25</v>
      </c>
      <c r="F6460" t="s">
        <v>210</v>
      </c>
      <c r="G6460" t="s">
        <v>211</v>
      </c>
      <c r="H6460" t="s">
        <v>135</v>
      </c>
      <c r="I6460">
        <v>352.67</v>
      </c>
      <c r="J6460" s="31">
        <v>0</v>
      </c>
      <c r="K6460" s="7">
        <f t="shared" si="400"/>
        <v>832.36</v>
      </c>
      <c r="L6460" s="34">
        <v>832.36</v>
      </c>
      <c r="M6460" s="10">
        <f t="shared" si="401"/>
        <v>42.369888029218131</v>
      </c>
    </row>
    <row r="6461" spans="1:13" ht="15.75" hidden="1" customHeight="1" x14ac:dyDescent="0.3">
      <c r="A6461" s="9">
        <v>1150</v>
      </c>
      <c r="B6461" t="s">
        <v>318</v>
      </c>
      <c r="C6461" s="25">
        <v>44610</v>
      </c>
      <c r="D6461" s="26">
        <v>0.8903240740740741</v>
      </c>
      <c r="E6461" t="s">
        <v>25</v>
      </c>
      <c r="F6461" t="s">
        <v>210</v>
      </c>
      <c r="G6461" t="s">
        <v>211</v>
      </c>
      <c r="H6461" t="s">
        <v>135</v>
      </c>
      <c r="I6461">
        <v>390.05</v>
      </c>
      <c r="J6461" s="31">
        <v>0</v>
      </c>
      <c r="K6461" s="7">
        <f t="shared" si="400"/>
        <v>1064.43</v>
      </c>
      <c r="L6461" s="7">
        <v>1064.43</v>
      </c>
      <c r="M6461" s="10">
        <f t="shared" si="401"/>
        <v>36.644025440846271</v>
      </c>
    </row>
    <row r="6462" spans="1:13" ht="15.75" hidden="1" customHeight="1" x14ac:dyDescent="0.3">
      <c r="A6462" s="9">
        <v>1151</v>
      </c>
      <c r="B6462" t="s">
        <v>318</v>
      </c>
      <c r="C6462" s="25">
        <v>44611</v>
      </c>
      <c r="D6462" s="26">
        <v>0.78546296296296303</v>
      </c>
      <c r="E6462" t="s">
        <v>25</v>
      </c>
      <c r="F6462" t="s">
        <v>175</v>
      </c>
      <c r="G6462" t="s">
        <v>172</v>
      </c>
      <c r="H6462" t="s">
        <v>135</v>
      </c>
      <c r="I6462">
        <v>336.1</v>
      </c>
      <c r="J6462" s="31">
        <v>0</v>
      </c>
      <c r="K6462" s="7">
        <f t="shared" si="400"/>
        <v>920.97</v>
      </c>
      <c r="L6462" s="7">
        <v>920.97</v>
      </c>
      <c r="M6462" s="10">
        <f t="shared" si="401"/>
        <v>36.494131187769419</v>
      </c>
    </row>
    <row r="6463" spans="1:13" ht="15.75" hidden="1" customHeight="1" x14ac:dyDescent="0.3">
      <c r="A6463" s="9">
        <v>1152</v>
      </c>
      <c r="B6463" t="s">
        <v>318</v>
      </c>
      <c r="C6463" s="25">
        <v>44612</v>
      </c>
      <c r="D6463" s="26">
        <v>0.71042824074074085</v>
      </c>
      <c r="E6463" t="s">
        <v>25</v>
      </c>
      <c r="F6463" t="s">
        <v>210</v>
      </c>
      <c r="G6463" t="s">
        <v>211</v>
      </c>
      <c r="H6463" t="s">
        <v>135</v>
      </c>
      <c r="I6463">
        <v>352.78</v>
      </c>
      <c r="J6463" s="7">
        <v>0</v>
      </c>
      <c r="K6463" s="11">
        <f t="shared" si="400"/>
        <v>834.78</v>
      </c>
      <c r="L6463" s="37">
        <v>834.78</v>
      </c>
      <c r="M6463" s="10">
        <f t="shared" si="401"/>
        <v>42.260236229904883</v>
      </c>
    </row>
    <row r="6464" spans="1:13" ht="15.75" hidden="1" customHeight="1" x14ac:dyDescent="0.3">
      <c r="A6464" s="9">
        <v>1153</v>
      </c>
      <c r="B6464" t="s">
        <v>318</v>
      </c>
      <c r="C6464" s="25">
        <v>44614</v>
      </c>
      <c r="D6464" s="26">
        <v>0.24894675925925927</v>
      </c>
      <c r="E6464" t="s">
        <v>25</v>
      </c>
      <c r="F6464" t="s">
        <v>210</v>
      </c>
      <c r="G6464" t="s">
        <v>211</v>
      </c>
      <c r="H6464" t="s">
        <v>135</v>
      </c>
      <c r="I6464">
        <v>446.25</v>
      </c>
      <c r="J6464" s="7">
        <v>0</v>
      </c>
      <c r="K6464" s="7">
        <f t="shared" si="400"/>
        <v>1069.4100000000001</v>
      </c>
      <c r="L6464" s="7">
        <v>1069.4100000000001</v>
      </c>
      <c r="M6464" s="10">
        <f t="shared" si="401"/>
        <v>41.728616713888968</v>
      </c>
    </row>
    <row r="6465" spans="1:13" ht="15.75" hidden="1" customHeight="1" x14ac:dyDescent="0.3">
      <c r="A6465" s="9">
        <v>1154</v>
      </c>
      <c r="B6465" t="s">
        <v>318</v>
      </c>
      <c r="C6465" s="25">
        <v>44616</v>
      </c>
      <c r="D6465" s="26">
        <v>0.1047337962962963</v>
      </c>
      <c r="E6465" t="s">
        <v>25</v>
      </c>
      <c r="F6465" t="s">
        <v>175</v>
      </c>
      <c r="G6465" t="s">
        <v>172</v>
      </c>
      <c r="H6465" t="s">
        <v>135</v>
      </c>
      <c r="I6465">
        <v>406.09</v>
      </c>
      <c r="J6465" s="34">
        <v>0</v>
      </c>
      <c r="K6465" s="30">
        <f t="shared" si="400"/>
        <v>1090.5899999999999</v>
      </c>
      <c r="L6465" s="34">
        <v>1090.5899999999999</v>
      </c>
      <c r="M6465" s="10">
        <f t="shared" si="401"/>
        <v>37.235808140547775</v>
      </c>
    </row>
    <row r="6466" spans="1:13" ht="15.75" hidden="1" customHeight="1" x14ac:dyDescent="0.3">
      <c r="A6466" s="9">
        <v>1155</v>
      </c>
      <c r="B6466" t="s">
        <v>318</v>
      </c>
      <c r="C6466" s="25">
        <v>44616</v>
      </c>
      <c r="D6466" s="26">
        <v>0.8397337962962963</v>
      </c>
      <c r="E6466" t="s">
        <v>25</v>
      </c>
      <c r="F6466" t="s">
        <v>210</v>
      </c>
      <c r="G6466" t="s">
        <v>211</v>
      </c>
      <c r="H6466" t="s">
        <v>135</v>
      </c>
      <c r="I6466">
        <v>200.61</v>
      </c>
      <c r="J6466" s="34">
        <v>0</v>
      </c>
      <c r="K6466" s="11">
        <f t="shared" si="400"/>
        <v>697.29</v>
      </c>
      <c r="L6466" s="7">
        <v>697.29</v>
      </c>
      <c r="M6466" s="10">
        <f t="shared" si="401"/>
        <v>28.769952243686276</v>
      </c>
    </row>
    <row r="6467" spans="1:13" ht="15.75" hidden="1" customHeight="1" x14ac:dyDescent="0.3">
      <c r="A6467" s="9">
        <v>1156</v>
      </c>
      <c r="B6467" t="s">
        <v>318</v>
      </c>
      <c r="C6467" s="25">
        <v>44617</v>
      </c>
      <c r="D6467" s="26">
        <v>0.58349537037037036</v>
      </c>
      <c r="E6467" t="s">
        <v>25</v>
      </c>
      <c r="F6467" t="s">
        <v>165</v>
      </c>
      <c r="G6467" t="s">
        <v>185</v>
      </c>
      <c r="H6467" t="s">
        <v>135</v>
      </c>
      <c r="I6467">
        <v>370.08</v>
      </c>
      <c r="J6467" s="34">
        <v>0</v>
      </c>
      <c r="K6467" s="11">
        <f t="shared" si="400"/>
        <v>550.16999999999996</v>
      </c>
      <c r="L6467" s="7">
        <v>550.16999999999996</v>
      </c>
      <c r="M6467" s="10">
        <f t="shared" si="401"/>
        <v>67.26648126942581</v>
      </c>
    </row>
    <row r="6468" spans="1:13" ht="15.75" hidden="1" customHeight="1" x14ac:dyDescent="0.3">
      <c r="A6468" s="9">
        <v>1157</v>
      </c>
      <c r="B6468" t="s">
        <v>318</v>
      </c>
      <c r="C6468" s="25">
        <v>44617</v>
      </c>
      <c r="D6468" s="26">
        <v>0.92317129629629635</v>
      </c>
      <c r="E6468" t="s">
        <v>25</v>
      </c>
      <c r="F6468" t="s">
        <v>210</v>
      </c>
      <c r="G6468" t="s">
        <v>211</v>
      </c>
      <c r="H6468" t="s">
        <v>135</v>
      </c>
      <c r="I6468">
        <v>142.04</v>
      </c>
      <c r="J6468" s="34">
        <v>0</v>
      </c>
      <c r="K6468" s="11">
        <f t="shared" si="400"/>
        <v>514.59</v>
      </c>
      <c r="L6468" s="34">
        <v>514.59</v>
      </c>
      <c r="M6468" s="10">
        <f t="shared" si="401"/>
        <v>27.602557375774882</v>
      </c>
    </row>
    <row r="6469" spans="1:13" ht="15.75" hidden="1" customHeight="1" x14ac:dyDescent="0.3">
      <c r="A6469" s="9">
        <v>1158</v>
      </c>
      <c r="B6469" t="s">
        <v>318</v>
      </c>
      <c r="C6469" s="25">
        <v>44620</v>
      </c>
      <c r="D6469" s="26">
        <v>0.50184027777777784</v>
      </c>
      <c r="E6469" t="s">
        <v>25</v>
      </c>
      <c r="F6469" t="s">
        <v>175</v>
      </c>
      <c r="G6469" t="s">
        <v>172</v>
      </c>
      <c r="H6469" t="s">
        <v>135</v>
      </c>
      <c r="I6469">
        <v>410.33</v>
      </c>
      <c r="J6469" s="7">
        <v>0</v>
      </c>
      <c r="K6469" s="11">
        <f t="shared" ref="K6469:K6487" si="402">+L6469-J6469</f>
        <v>1058.21</v>
      </c>
      <c r="L6469" s="7">
        <v>1058.21</v>
      </c>
      <c r="M6469" s="10">
        <f t="shared" ref="M6469:M6503" si="403">I6469/K6469*100</f>
        <v>38.775857344005438</v>
      </c>
    </row>
    <row r="6470" spans="1:13" ht="15.75" hidden="1" customHeight="1" x14ac:dyDescent="0.3">
      <c r="A6470" s="9">
        <v>2338</v>
      </c>
      <c r="B6470" t="s">
        <v>318</v>
      </c>
      <c r="C6470" s="25">
        <v>44621</v>
      </c>
      <c r="D6470" s="26">
        <v>0.25722222222222224</v>
      </c>
      <c r="E6470" t="s">
        <v>26</v>
      </c>
      <c r="F6470" t="s">
        <v>210</v>
      </c>
      <c r="G6470" t="s">
        <v>211</v>
      </c>
      <c r="H6470" t="s">
        <v>135</v>
      </c>
      <c r="I6470">
        <v>315.47000000000003</v>
      </c>
      <c r="J6470" s="7">
        <v>0</v>
      </c>
      <c r="K6470" s="89">
        <f t="shared" si="402"/>
        <v>1211</v>
      </c>
      <c r="L6470" s="7">
        <v>1211</v>
      </c>
      <c r="M6470" s="10">
        <f t="shared" si="403"/>
        <v>26.050371593724197</v>
      </c>
    </row>
    <row r="6471" spans="1:13" ht="15.75" hidden="1" customHeight="1" x14ac:dyDescent="0.3">
      <c r="A6471" s="9">
        <v>2339</v>
      </c>
      <c r="B6471" t="s">
        <v>318</v>
      </c>
      <c r="C6471" s="25">
        <v>44622</v>
      </c>
      <c r="D6471" s="26">
        <v>0.25930555555555557</v>
      </c>
      <c r="E6471" t="s">
        <v>26</v>
      </c>
      <c r="F6471" t="s">
        <v>210</v>
      </c>
      <c r="G6471" t="s">
        <v>211</v>
      </c>
      <c r="H6471" t="s">
        <v>135</v>
      </c>
      <c r="I6471">
        <v>404.83</v>
      </c>
      <c r="J6471" s="7">
        <v>0</v>
      </c>
      <c r="K6471" s="89">
        <f t="shared" si="402"/>
        <v>1064.1600000000001</v>
      </c>
      <c r="L6471" s="7">
        <v>1064.1600000000001</v>
      </c>
      <c r="M6471" s="10">
        <f t="shared" si="403"/>
        <v>38.042211697489094</v>
      </c>
    </row>
    <row r="6472" spans="1:13" ht="15.75" hidden="1" customHeight="1" x14ac:dyDescent="0.3">
      <c r="A6472" s="9">
        <v>2340</v>
      </c>
      <c r="B6472" t="s">
        <v>318</v>
      </c>
      <c r="C6472" s="25">
        <v>44623</v>
      </c>
      <c r="D6472" s="26">
        <v>0.48810185185185184</v>
      </c>
      <c r="E6472" t="s">
        <v>26</v>
      </c>
      <c r="F6472" t="s">
        <v>175</v>
      </c>
      <c r="G6472" t="s">
        <v>172</v>
      </c>
      <c r="H6472" t="s">
        <v>135</v>
      </c>
      <c r="I6472">
        <v>342.46</v>
      </c>
      <c r="J6472" s="7">
        <v>0</v>
      </c>
      <c r="K6472" s="89">
        <f t="shared" si="402"/>
        <v>979.62</v>
      </c>
      <c r="L6472" s="7">
        <v>979.62</v>
      </c>
      <c r="M6472" s="10">
        <f t="shared" si="403"/>
        <v>34.958453277801596</v>
      </c>
    </row>
    <row r="6473" spans="1:13" ht="15.75" hidden="1" customHeight="1" x14ac:dyDescent="0.3">
      <c r="A6473" s="9">
        <v>2341</v>
      </c>
      <c r="B6473" t="s">
        <v>318</v>
      </c>
      <c r="C6473" s="25">
        <v>44633</v>
      </c>
      <c r="D6473" s="26">
        <v>0.52874999999999994</v>
      </c>
      <c r="E6473" t="s">
        <v>26</v>
      </c>
      <c r="F6473" t="s">
        <v>210</v>
      </c>
      <c r="G6473" t="s">
        <v>211</v>
      </c>
      <c r="H6473" t="s">
        <v>135</v>
      </c>
      <c r="I6473">
        <v>381.99</v>
      </c>
      <c r="J6473" s="7">
        <v>0</v>
      </c>
      <c r="K6473" s="89">
        <f t="shared" si="402"/>
        <v>897.69</v>
      </c>
      <c r="L6473" s="7">
        <v>897.69</v>
      </c>
      <c r="M6473" s="10">
        <f t="shared" si="403"/>
        <v>42.5525515489757</v>
      </c>
    </row>
    <row r="6474" spans="1:13" ht="15.75" hidden="1" customHeight="1" x14ac:dyDescent="0.3">
      <c r="A6474" s="9">
        <v>2342</v>
      </c>
      <c r="B6474" t="s">
        <v>318</v>
      </c>
      <c r="C6474" s="25">
        <v>44634</v>
      </c>
      <c r="D6474" s="26">
        <v>0.38832175925925921</v>
      </c>
      <c r="E6474" t="s">
        <v>26</v>
      </c>
      <c r="F6474" t="s">
        <v>210</v>
      </c>
      <c r="G6474" t="s">
        <v>211</v>
      </c>
      <c r="H6474" t="s">
        <v>135</v>
      </c>
      <c r="I6474">
        <v>317.39</v>
      </c>
      <c r="J6474" s="7">
        <v>0</v>
      </c>
      <c r="K6474" s="89">
        <f t="shared" si="402"/>
        <v>890.56</v>
      </c>
      <c r="L6474" s="7">
        <v>890.56</v>
      </c>
      <c r="M6474" s="10">
        <f t="shared" si="403"/>
        <v>35.639372978799855</v>
      </c>
    </row>
    <row r="6475" spans="1:13" ht="15.75" hidden="1" customHeight="1" x14ac:dyDescent="0.3">
      <c r="A6475" s="9">
        <v>2343</v>
      </c>
      <c r="B6475" t="s">
        <v>318</v>
      </c>
      <c r="C6475" s="25">
        <v>44636</v>
      </c>
      <c r="D6475" s="26">
        <v>0.54799768518518521</v>
      </c>
      <c r="E6475" t="s">
        <v>26</v>
      </c>
      <c r="F6475" t="s">
        <v>197</v>
      </c>
      <c r="G6475" t="s">
        <v>44</v>
      </c>
      <c r="H6475" t="s">
        <v>135</v>
      </c>
      <c r="I6475">
        <v>300.01</v>
      </c>
      <c r="J6475" s="7">
        <v>0</v>
      </c>
      <c r="K6475" s="89">
        <f t="shared" si="402"/>
        <v>1195.79</v>
      </c>
      <c r="L6475" s="7">
        <v>1195.79</v>
      </c>
      <c r="M6475" s="10">
        <f t="shared" si="403"/>
        <v>25.088853393990583</v>
      </c>
    </row>
    <row r="6476" spans="1:13" ht="15.75" hidden="1" customHeight="1" x14ac:dyDescent="0.3">
      <c r="A6476" s="9">
        <v>2344</v>
      </c>
      <c r="B6476" t="s">
        <v>318</v>
      </c>
      <c r="C6476" s="25">
        <v>44636</v>
      </c>
      <c r="D6476" s="26">
        <v>0.89550925925925917</v>
      </c>
      <c r="E6476" t="s">
        <v>26</v>
      </c>
      <c r="F6476" t="s">
        <v>166</v>
      </c>
      <c r="G6476" t="s">
        <v>161</v>
      </c>
      <c r="H6476" t="s">
        <v>135</v>
      </c>
      <c r="I6476">
        <v>317.48</v>
      </c>
      <c r="J6476" s="7">
        <v>0</v>
      </c>
      <c r="K6476" s="89">
        <f t="shared" si="402"/>
        <v>512.1</v>
      </c>
      <c r="L6476" s="33">
        <v>512.1</v>
      </c>
      <c r="M6476" s="10">
        <f t="shared" si="403"/>
        <v>61.995703964069513</v>
      </c>
    </row>
    <row r="6477" spans="1:13" ht="15.75" hidden="1" customHeight="1" x14ac:dyDescent="0.3">
      <c r="A6477" s="9">
        <v>2345</v>
      </c>
      <c r="B6477" t="s">
        <v>318</v>
      </c>
      <c r="C6477" s="25">
        <v>44638</v>
      </c>
      <c r="D6477" s="26">
        <v>0.34430555555555559</v>
      </c>
      <c r="E6477" t="s">
        <v>26</v>
      </c>
      <c r="F6477" t="s">
        <v>166</v>
      </c>
      <c r="G6477" t="s">
        <v>161</v>
      </c>
      <c r="H6477" t="s">
        <v>135</v>
      </c>
      <c r="I6477">
        <v>200</v>
      </c>
      <c r="J6477" s="76">
        <v>0</v>
      </c>
      <c r="K6477" s="90">
        <f t="shared" si="402"/>
        <v>1221.94</v>
      </c>
      <c r="L6477" s="7">
        <v>1221.94</v>
      </c>
      <c r="M6477" s="10">
        <f t="shared" si="403"/>
        <v>16.367415748727431</v>
      </c>
    </row>
    <row r="6478" spans="1:13" ht="15.75" hidden="1" customHeight="1" x14ac:dyDescent="0.3">
      <c r="A6478" s="9">
        <v>2346</v>
      </c>
      <c r="B6478" t="s">
        <v>318</v>
      </c>
      <c r="C6478" s="25">
        <v>44638</v>
      </c>
      <c r="D6478" s="26">
        <v>0.8415393518518518</v>
      </c>
      <c r="E6478" t="s">
        <v>26</v>
      </c>
      <c r="F6478" t="s">
        <v>169</v>
      </c>
      <c r="G6478" t="s">
        <v>196</v>
      </c>
      <c r="H6478" t="s">
        <v>135</v>
      </c>
      <c r="I6478">
        <v>200</v>
      </c>
      <c r="J6478" s="7">
        <v>0</v>
      </c>
      <c r="K6478" s="90">
        <f t="shared" si="402"/>
        <v>407.52</v>
      </c>
      <c r="L6478" s="51">
        <v>407.52</v>
      </c>
      <c r="M6478" s="10">
        <f t="shared" si="403"/>
        <v>49.077345897133881</v>
      </c>
    </row>
    <row r="6479" spans="1:13" ht="15.75" hidden="1" customHeight="1" x14ac:dyDescent="0.3">
      <c r="A6479" s="9">
        <v>2347</v>
      </c>
      <c r="B6479" t="s">
        <v>318</v>
      </c>
      <c r="C6479" s="25">
        <v>44639</v>
      </c>
      <c r="D6479" s="26">
        <v>0.27108796296296295</v>
      </c>
      <c r="E6479" t="s">
        <v>26</v>
      </c>
      <c r="F6479" t="s">
        <v>274</v>
      </c>
      <c r="G6479" t="s">
        <v>495</v>
      </c>
      <c r="H6479" t="s">
        <v>135</v>
      </c>
      <c r="I6479">
        <v>100.93</v>
      </c>
      <c r="J6479" s="7">
        <v>0</v>
      </c>
      <c r="K6479" s="90">
        <f t="shared" si="402"/>
        <v>88.8</v>
      </c>
      <c r="L6479" s="7">
        <v>88.8</v>
      </c>
      <c r="M6479" s="10">
        <f t="shared" si="403"/>
        <v>113.65990990990993</v>
      </c>
    </row>
    <row r="6480" spans="1:13" ht="15.75" hidden="1" customHeight="1" x14ac:dyDescent="0.3">
      <c r="A6480" s="9">
        <v>2348</v>
      </c>
      <c r="B6480" t="s">
        <v>318</v>
      </c>
      <c r="C6480" s="25">
        <v>44642</v>
      </c>
      <c r="D6480" s="26">
        <v>0.77437500000000004</v>
      </c>
      <c r="E6480" t="s">
        <v>26</v>
      </c>
      <c r="F6480" t="s">
        <v>197</v>
      </c>
      <c r="G6480" t="s">
        <v>44</v>
      </c>
      <c r="H6480" t="s">
        <v>135</v>
      </c>
      <c r="I6480">
        <v>381.92</v>
      </c>
      <c r="J6480" s="7">
        <v>0</v>
      </c>
      <c r="K6480" s="90">
        <f t="shared" si="402"/>
        <v>677.25</v>
      </c>
      <c r="L6480" s="7">
        <v>677.25</v>
      </c>
      <c r="M6480" s="10">
        <f t="shared" si="403"/>
        <v>56.39276485788114</v>
      </c>
    </row>
    <row r="6481" spans="1:13" ht="15.75" hidden="1" customHeight="1" x14ac:dyDescent="0.3">
      <c r="A6481" s="9">
        <v>2349</v>
      </c>
      <c r="B6481" t="s">
        <v>318</v>
      </c>
      <c r="C6481" s="25">
        <v>44643</v>
      </c>
      <c r="D6481" s="26">
        <v>0.51953703703703702</v>
      </c>
      <c r="E6481" t="s">
        <v>26</v>
      </c>
      <c r="F6481" t="s">
        <v>166</v>
      </c>
      <c r="G6481" t="s">
        <v>161</v>
      </c>
      <c r="H6481" t="s">
        <v>135</v>
      </c>
      <c r="I6481">
        <v>201.76</v>
      </c>
      <c r="J6481" s="7">
        <v>0</v>
      </c>
      <c r="K6481" s="99">
        <f t="shared" si="402"/>
        <v>513.29</v>
      </c>
      <c r="L6481" s="31">
        <v>513.29</v>
      </c>
      <c r="M6481" s="10">
        <f t="shared" si="403"/>
        <v>39.307214245358374</v>
      </c>
    </row>
    <row r="6482" spans="1:13" ht="15.75" hidden="1" customHeight="1" x14ac:dyDescent="0.3">
      <c r="A6482" s="9">
        <v>2350</v>
      </c>
      <c r="B6482" t="s">
        <v>318</v>
      </c>
      <c r="C6482" s="25">
        <v>44644</v>
      </c>
      <c r="D6482" s="26">
        <v>3.7650462962962962E-2</v>
      </c>
      <c r="E6482" t="s">
        <v>26</v>
      </c>
      <c r="F6482" t="s">
        <v>165</v>
      </c>
      <c r="G6482" t="s">
        <v>185</v>
      </c>
      <c r="H6482" t="s">
        <v>135</v>
      </c>
      <c r="I6482">
        <v>324.43</v>
      </c>
      <c r="J6482" s="7">
        <v>0</v>
      </c>
      <c r="K6482" s="95">
        <f t="shared" si="402"/>
        <v>633.69000000000005</v>
      </c>
      <c r="L6482" s="7">
        <v>633.69000000000005</v>
      </c>
      <c r="M6482" s="10">
        <f t="shared" si="403"/>
        <v>51.196957502879961</v>
      </c>
    </row>
    <row r="6483" spans="1:13" ht="15.75" hidden="1" customHeight="1" x14ac:dyDescent="0.3">
      <c r="A6483" s="9">
        <v>2351</v>
      </c>
      <c r="B6483" t="s">
        <v>318</v>
      </c>
      <c r="C6483" s="25">
        <v>44644</v>
      </c>
      <c r="D6483" s="26">
        <v>0.80982638888888892</v>
      </c>
      <c r="E6483" t="s">
        <v>26</v>
      </c>
      <c r="F6483" t="s">
        <v>166</v>
      </c>
      <c r="G6483" t="s">
        <v>161</v>
      </c>
      <c r="H6483" t="s">
        <v>135</v>
      </c>
      <c r="I6483">
        <v>171.29</v>
      </c>
      <c r="J6483" s="34">
        <v>0</v>
      </c>
      <c r="K6483" s="92">
        <f t="shared" si="402"/>
        <v>591.54999999999995</v>
      </c>
      <c r="L6483" s="34">
        <v>591.54999999999995</v>
      </c>
      <c r="M6483" s="10">
        <f t="shared" si="403"/>
        <v>28.95613219508072</v>
      </c>
    </row>
    <row r="6484" spans="1:13" ht="15.75" hidden="1" customHeight="1" x14ac:dyDescent="0.3">
      <c r="A6484" s="9">
        <v>2352</v>
      </c>
      <c r="B6484" t="s">
        <v>318</v>
      </c>
      <c r="C6484" s="25">
        <v>44648</v>
      </c>
      <c r="D6484" s="26">
        <v>0.49701388888888887</v>
      </c>
      <c r="E6484" t="s">
        <v>26</v>
      </c>
      <c r="F6484" t="s">
        <v>197</v>
      </c>
      <c r="G6484" t="s">
        <v>44</v>
      </c>
      <c r="H6484" t="s">
        <v>135</v>
      </c>
      <c r="I6484">
        <v>301.16000000000003</v>
      </c>
      <c r="J6484" s="34">
        <v>0</v>
      </c>
      <c r="K6484" s="89">
        <f t="shared" si="402"/>
        <v>590</v>
      </c>
      <c r="L6484" s="32">
        <v>590</v>
      </c>
      <c r="M6484" s="10">
        <f t="shared" si="403"/>
        <v>51.044067796610172</v>
      </c>
    </row>
    <row r="6485" spans="1:13" ht="15.75" hidden="1" customHeight="1" x14ac:dyDescent="0.3">
      <c r="A6485" s="9">
        <v>2353</v>
      </c>
      <c r="B6485" t="s">
        <v>318</v>
      </c>
      <c r="C6485" s="25">
        <v>44649</v>
      </c>
      <c r="D6485" s="26">
        <v>3.079861111111111E-2</v>
      </c>
      <c r="E6485" t="s">
        <v>26</v>
      </c>
      <c r="F6485" t="s">
        <v>166</v>
      </c>
      <c r="G6485" t="s">
        <v>161</v>
      </c>
      <c r="H6485" t="s">
        <v>135</v>
      </c>
      <c r="I6485">
        <v>383.18</v>
      </c>
      <c r="J6485" s="34">
        <v>0</v>
      </c>
      <c r="K6485" s="89">
        <f t="shared" si="402"/>
        <v>527.55999999999995</v>
      </c>
      <c r="L6485" s="7">
        <v>527.55999999999995</v>
      </c>
      <c r="M6485" s="10">
        <f t="shared" si="403"/>
        <v>72.632496777617717</v>
      </c>
    </row>
    <row r="6486" spans="1:13" ht="15.75" hidden="1" customHeight="1" x14ac:dyDescent="0.3">
      <c r="A6486" s="9">
        <v>2354</v>
      </c>
      <c r="B6486" t="s">
        <v>318</v>
      </c>
      <c r="C6486" s="25">
        <v>44649</v>
      </c>
      <c r="D6486" s="26">
        <v>0.86615740740740732</v>
      </c>
      <c r="E6486" t="s">
        <v>26</v>
      </c>
      <c r="F6486" t="s">
        <v>165</v>
      </c>
      <c r="G6486" t="s">
        <v>185</v>
      </c>
      <c r="H6486" t="s">
        <v>135</v>
      </c>
      <c r="I6486">
        <v>330.53</v>
      </c>
      <c r="J6486" s="34">
        <v>0</v>
      </c>
      <c r="K6486" s="89">
        <f t="shared" si="402"/>
        <v>627.97</v>
      </c>
      <c r="L6486" s="7">
        <v>627.97</v>
      </c>
      <c r="M6486" s="10">
        <f t="shared" si="403"/>
        <v>52.634680000636969</v>
      </c>
    </row>
    <row r="6487" spans="1:13" ht="15.75" hidden="1" customHeight="1" x14ac:dyDescent="0.3">
      <c r="A6487" s="9">
        <v>3597</v>
      </c>
      <c r="B6487" t="s">
        <v>318</v>
      </c>
      <c r="C6487" s="25">
        <v>44652</v>
      </c>
      <c r="D6487" s="26">
        <v>0.25172453703703707</v>
      </c>
      <c r="E6487" t="s">
        <v>27</v>
      </c>
      <c r="F6487" t="s">
        <v>210</v>
      </c>
      <c r="G6487" t="s">
        <v>211</v>
      </c>
      <c r="H6487" t="s">
        <v>135</v>
      </c>
      <c r="I6487" s="4">
        <v>216.04</v>
      </c>
      <c r="J6487" s="7">
        <v>0</v>
      </c>
      <c r="K6487" s="89">
        <f t="shared" si="402"/>
        <v>607.17999999999995</v>
      </c>
      <c r="L6487" s="7">
        <v>607.17999999999995</v>
      </c>
      <c r="M6487" s="10">
        <f t="shared" si="403"/>
        <v>35.580882110741463</v>
      </c>
    </row>
    <row r="6488" spans="1:13" ht="15.75" hidden="1" customHeight="1" x14ac:dyDescent="0.3">
      <c r="B6488" t="s">
        <v>301</v>
      </c>
      <c r="C6488" s="25">
        <v>44566</v>
      </c>
      <c r="D6488" s="26">
        <v>0.62581018518518516</v>
      </c>
      <c r="E6488" t="s">
        <v>24</v>
      </c>
      <c r="F6488" t="s">
        <v>210</v>
      </c>
      <c r="G6488" t="s">
        <v>211</v>
      </c>
      <c r="H6488" t="s">
        <v>302</v>
      </c>
      <c r="I6488">
        <v>370.46</v>
      </c>
      <c r="J6488" s="7">
        <v>689073</v>
      </c>
      <c r="K6488" s="11"/>
      <c r="L6488" s="7">
        <v>690016</v>
      </c>
      <c r="M6488" s="10" t="e">
        <f t="shared" si="403"/>
        <v>#DIV/0!</v>
      </c>
    </row>
    <row r="6489" spans="1:13" ht="15.75" hidden="1" customHeight="1" x14ac:dyDescent="0.3">
      <c r="B6489" t="s">
        <v>301</v>
      </c>
      <c r="C6489" s="25">
        <v>44568</v>
      </c>
      <c r="D6489" s="26">
        <v>0.5646296296296297</v>
      </c>
      <c r="E6489" t="s">
        <v>24</v>
      </c>
      <c r="F6489" t="s">
        <v>210</v>
      </c>
      <c r="G6489" t="s">
        <v>211</v>
      </c>
      <c r="H6489" t="s">
        <v>302</v>
      </c>
      <c r="I6489">
        <v>363.05</v>
      </c>
      <c r="J6489" s="7">
        <v>690016</v>
      </c>
      <c r="K6489" s="11"/>
      <c r="L6489" s="35">
        <v>691106</v>
      </c>
      <c r="M6489" s="10" t="e">
        <f t="shared" si="403"/>
        <v>#DIV/0!</v>
      </c>
    </row>
    <row r="6490" spans="1:13" ht="15.75" hidden="1" customHeight="1" x14ac:dyDescent="0.3">
      <c r="B6490" t="s">
        <v>301</v>
      </c>
      <c r="C6490" s="25">
        <v>44571</v>
      </c>
      <c r="D6490" s="26">
        <v>0.27561342592592591</v>
      </c>
      <c r="E6490" t="s">
        <v>24</v>
      </c>
      <c r="F6490" t="s">
        <v>175</v>
      </c>
      <c r="G6490" t="s">
        <v>172</v>
      </c>
      <c r="H6490" t="s">
        <v>302</v>
      </c>
      <c r="I6490">
        <v>351.41</v>
      </c>
      <c r="J6490" s="7">
        <v>691106</v>
      </c>
      <c r="K6490" s="11"/>
      <c r="L6490" s="7">
        <v>692189</v>
      </c>
      <c r="M6490" s="10" t="e">
        <f t="shared" si="403"/>
        <v>#DIV/0!</v>
      </c>
    </row>
    <row r="6491" spans="1:13" ht="15.75" hidden="1" customHeight="1" x14ac:dyDescent="0.3">
      <c r="B6491" t="s">
        <v>301</v>
      </c>
      <c r="C6491" s="25">
        <v>44572</v>
      </c>
      <c r="D6491" s="26">
        <v>0.36319444444444443</v>
      </c>
      <c r="E6491" t="s">
        <v>24</v>
      </c>
      <c r="F6491" t="s">
        <v>171</v>
      </c>
      <c r="G6491" t="s">
        <v>172</v>
      </c>
      <c r="H6491" t="s">
        <v>302</v>
      </c>
      <c r="I6491">
        <v>174.35</v>
      </c>
      <c r="J6491" s="7">
        <v>692189</v>
      </c>
      <c r="K6491" s="28"/>
      <c r="L6491" s="7">
        <v>692752</v>
      </c>
      <c r="M6491" s="10" t="e">
        <f t="shared" si="403"/>
        <v>#DIV/0!</v>
      </c>
    </row>
    <row r="6492" spans="1:13" ht="15.75" hidden="1" customHeight="1" x14ac:dyDescent="0.3">
      <c r="B6492" t="s">
        <v>301</v>
      </c>
      <c r="C6492" s="25">
        <v>44573</v>
      </c>
      <c r="D6492" s="26">
        <v>0.50972222222222219</v>
      </c>
      <c r="E6492" t="s">
        <v>24</v>
      </c>
      <c r="F6492" t="s">
        <v>210</v>
      </c>
      <c r="G6492" t="s">
        <v>211</v>
      </c>
      <c r="H6492" t="s">
        <v>302</v>
      </c>
      <c r="I6492">
        <v>298.77999999999997</v>
      </c>
      <c r="J6492" s="7">
        <v>692752</v>
      </c>
      <c r="K6492" s="7"/>
      <c r="L6492" s="7">
        <v>693524</v>
      </c>
      <c r="M6492" s="10" t="e">
        <f t="shared" si="403"/>
        <v>#DIV/0!</v>
      </c>
    </row>
    <row r="6493" spans="1:13" ht="15.75" hidden="1" customHeight="1" x14ac:dyDescent="0.3">
      <c r="B6493" t="s">
        <v>301</v>
      </c>
      <c r="C6493" s="25">
        <v>44575</v>
      </c>
      <c r="D6493" s="26">
        <v>0.40274305555555556</v>
      </c>
      <c r="E6493" t="s">
        <v>24</v>
      </c>
      <c r="F6493" t="s">
        <v>210</v>
      </c>
      <c r="G6493" t="s">
        <v>211</v>
      </c>
      <c r="H6493" t="s">
        <v>302</v>
      </c>
      <c r="I6493">
        <v>386.72</v>
      </c>
      <c r="J6493" s="7">
        <v>693524</v>
      </c>
      <c r="K6493" s="30"/>
      <c r="L6493" s="34">
        <v>694652</v>
      </c>
      <c r="M6493" s="10" t="e">
        <f t="shared" si="403"/>
        <v>#DIV/0!</v>
      </c>
    </row>
    <row r="6494" spans="1:13" ht="15.75" hidden="1" customHeight="1" x14ac:dyDescent="0.3">
      <c r="B6494" t="s">
        <v>301</v>
      </c>
      <c r="C6494" s="25">
        <v>44576</v>
      </c>
      <c r="D6494" s="26">
        <v>0.48495370370370372</v>
      </c>
      <c r="E6494" t="s">
        <v>24</v>
      </c>
      <c r="F6494" t="s">
        <v>175</v>
      </c>
      <c r="G6494" t="s">
        <v>172</v>
      </c>
      <c r="H6494" t="s">
        <v>302</v>
      </c>
      <c r="I6494">
        <v>283.29000000000002</v>
      </c>
      <c r="J6494" s="7">
        <v>0</v>
      </c>
      <c r="K6494" s="11"/>
      <c r="L6494" s="31">
        <v>922.79</v>
      </c>
      <c r="M6494" s="10" t="e">
        <f t="shared" si="403"/>
        <v>#DIV/0!</v>
      </c>
    </row>
    <row r="6495" spans="1:13" ht="15.75" hidden="1" customHeight="1" x14ac:dyDescent="0.3">
      <c r="B6495" t="s">
        <v>301</v>
      </c>
      <c r="C6495" s="25">
        <v>44580</v>
      </c>
      <c r="D6495" s="26">
        <v>0.93109953703703707</v>
      </c>
      <c r="E6495" t="s">
        <v>24</v>
      </c>
      <c r="F6495" t="s">
        <v>210</v>
      </c>
      <c r="G6495" t="s">
        <v>211</v>
      </c>
      <c r="H6495" t="s">
        <v>302</v>
      </c>
      <c r="I6495">
        <v>325.18</v>
      </c>
      <c r="J6495" s="7">
        <v>0</v>
      </c>
      <c r="K6495" s="7"/>
      <c r="L6495" s="7">
        <v>851.44</v>
      </c>
      <c r="M6495" s="10" t="e">
        <f t="shared" si="403"/>
        <v>#DIV/0!</v>
      </c>
    </row>
    <row r="6496" spans="1:13" ht="15.75" hidden="1" customHeight="1" x14ac:dyDescent="0.3">
      <c r="B6496" t="s">
        <v>301</v>
      </c>
      <c r="C6496" s="25">
        <v>44582</v>
      </c>
      <c r="D6496" s="26">
        <v>0.76612268518518523</v>
      </c>
      <c r="E6496" t="s">
        <v>24</v>
      </c>
      <c r="F6496" t="s">
        <v>210</v>
      </c>
      <c r="G6496" t="s">
        <v>211</v>
      </c>
      <c r="H6496" t="s">
        <v>302</v>
      </c>
      <c r="I6496">
        <v>386.73</v>
      </c>
      <c r="J6496" s="7">
        <v>0</v>
      </c>
      <c r="K6496" s="30"/>
      <c r="L6496" s="34">
        <v>1065.1600000000001</v>
      </c>
      <c r="M6496" s="10" t="e">
        <f t="shared" si="403"/>
        <v>#DIV/0!</v>
      </c>
    </row>
    <row r="6497" spans="1:13" ht="15.75" hidden="1" customHeight="1" x14ac:dyDescent="0.3">
      <c r="B6497" t="s">
        <v>301</v>
      </c>
      <c r="C6497" s="25">
        <v>44584</v>
      </c>
      <c r="D6497" s="26">
        <v>0.35748842592592589</v>
      </c>
      <c r="E6497" t="s">
        <v>24</v>
      </c>
      <c r="F6497" t="s">
        <v>171</v>
      </c>
      <c r="G6497" t="s">
        <v>172</v>
      </c>
      <c r="H6497" t="s">
        <v>302</v>
      </c>
      <c r="I6497">
        <v>383.44</v>
      </c>
      <c r="J6497" s="7">
        <v>697563</v>
      </c>
      <c r="K6497" s="7"/>
      <c r="L6497" s="34">
        <v>698650</v>
      </c>
      <c r="M6497" s="10" t="e">
        <f t="shared" si="403"/>
        <v>#DIV/0!</v>
      </c>
    </row>
    <row r="6498" spans="1:13" ht="15.75" hidden="1" customHeight="1" x14ac:dyDescent="0.3">
      <c r="B6498" t="s">
        <v>301</v>
      </c>
      <c r="C6498" s="25">
        <v>44584</v>
      </c>
      <c r="D6498" s="26">
        <v>0.84293981481481473</v>
      </c>
      <c r="E6498" t="s">
        <v>24</v>
      </c>
      <c r="F6498" t="s">
        <v>210</v>
      </c>
      <c r="G6498" t="s">
        <v>211</v>
      </c>
      <c r="H6498" t="s">
        <v>302</v>
      </c>
      <c r="I6498">
        <v>276.68</v>
      </c>
      <c r="J6498" s="7">
        <v>698650</v>
      </c>
      <c r="K6498" s="7"/>
      <c r="L6498" s="7">
        <v>699363</v>
      </c>
      <c r="M6498" s="10" t="e">
        <f t="shared" si="403"/>
        <v>#DIV/0!</v>
      </c>
    </row>
    <row r="6499" spans="1:13" ht="15.75" hidden="1" customHeight="1" x14ac:dyDescent="0.3">
      <c r="B6499" t="s">
        <v>301</v>
      </c>
      <c r="C6499" s="25">
        <v>44587</v>
      </c>
      <c r="D6499" s="26">
        <v>0.3812962962962963</v>
      </c>
      <c r="E6499" t="s">
        <v>24</v>
      </c>
      <c r="F6499" t="s">
        <v>210</v>
      </c>
      <c r="G6499" t="s">
        <v>211</v>
      </c>
      <c r="H6499" t="s">
        <v>302</v>
      </c>
      <c r="I6499">
        <v>453.13</v>
      </c>
      <c r="J6499" s="7">
        <v>699363</v>
      </c>
      <c r="K6499" s="11"/>
      <c r="L6499" s="32">
        <v>700516</v>
      </c>
      <c r="M6499" s="10" t="e">
        <f t="shared" si="403"/>
        <v>#DIV/0!</v>
      </c>
    </row>
    <row r="6500" spans="1:13" ht="15.75" hidden="1" customHeight="1" x14ac:dyDescent="0.3">
      <c r="B6500" t="s">
        <v>301</v>
      </c>
      <c r="C6500" s="25">
        <v>44589</v>
      </c>
      <c r="D6500" s="26">
        <v>0.34391203703703704</v>
      </c>
      <c r="E6500" t="s">
        <v>24</v>
      </c>
      <c r="F6500" t="s">
        <v>331</v>
      </c>
      <c r="G6500" t="s">
        <v>277</v>
      </c>
      <c r="H6500" t="s">
        <v>302</v>
      </c>
      <c r="I6500">
        <v>468.14</v>
      </c>
      <c r="J6500" s="7">
        <v>700516</v>
      </c>
      <c r="K6500" s="11"/>
      <c r="L6500" s="7">
        <v>701781</v>
      </c>
      <c r="M6500" s="10" t="e">
        <f t="shared" si="403"/>
        <v>#DIV/0!</v>
      </c>
    </row>
    <row r="6501" spans="1:13" ht="15.75" hidden="1" customHeight="1" x14ac:dyDescent="0.3">
      <c r="B6501" t="s">
        <v>301</v>
      </c>
      <c r="C6501" s="25">
        <v>44589</v>
      </c>
      <c r="D6501" s="26">
        <v>0.82957175925925919</v>
      </c>
      <c r="E6501" t="s">
        <v>24</v>
      </c>
      <c r="F6501" t="s">
        <v>175</v>
      </c>
      <c r="G6501" t="s">
        <v>172</v>
      </c>
      <c r="H6501" t="s">
        <v>302</v>
      </c>
      <c r="I6501">
        <v>172.62</v>
      </c>
      <c r="J6501" s="7">
        <v>701781</v>
      </c>
      <c r="K6501" s="11"/>
      <c r="L6501" s="7">
        <v>702319</v>
      </c>
      <c r="M6501" s="10" t="e">
        <f t="shared" si="403"/>
        <v>#DIV/0!</v>
      </c>
    </row>
    <row r="6502" spans="1:13" ht="15.75" hidden="1" customHeight="1" x14ac:dyDescent="0.3">
      <c r="A6502" s="9">
        <v>194</v>
      </c>
      <c r="B6502" t="s">
        <v>301</v>
      </c>
      <c r="C6502" s="25">
        <v>44594</v>
      </c>
      <c r="D6502" s="26">
        <v>0.95950231481481485</v>
      </c>
      <c r="E6502" t="s">
        <v>25</v>
      </c>
      <c r="F6502" t="s">
        <v>210</v>
      </c>
      <c r="G6502" t="s">
        <v>211</v>
      </c>
      <c r="H6502" t="s">
        <v>302</v>
      </c>
      <c r="I6502">
        <v>336.54</v>
      </c>
      <c r="J6502" s="32">
        <v>702319</v>
      </c>
      <c r="K6502" s="53">
        <f>+L6502-J6502</f>
        <v>878</v>
      </c>
      <c r="L6502" s="7">
        <v>703197</v>
      </c>
      <c r="M6502" s="10">
        <f t="shared" si="403"/>
        <v>38.330296127562647</v>
      </c>
    </row>
    <row r="6503" spans="1:13" ht="15.75" hidden="1" customHeight="1" x14ac:dyDescent="0.3">
      <c r="A6503" s="9">
        <v>195</v>
      </c>
      <c r="B6503" t="s">
        <v>301</v>
      </c>
      <c r="C6503" s="25">
        <v>44596</v>
      </c>
      <c r="D6503" s="26">
        <v>0.52853009259259254</v>
      </c>
      <c r="E6503" t="s">
        <v>25</v>
      </c>
      <c r="F6503" t="s">
        <v>210</v>
      </c>
      <c r="G6503" t="s">
        <v>211</v>
      </c>
      <c r="H6503" t="s">
        <v>302</v>
      </c>
      <c r="I6503">
        <v>377.83</v>
      </c>
      <c r="J6503" s="32">
        <v>703197</v>
      </c>
      <c r="K6503" s="53">
        <f>+L6503-J6503</f>
        <v>1091</v>
      </c>
      <c r="L6503" s="7">
        <v>704288</v>
      </c>
      <c r="M6503" s="10">
        <f t="shared" si="403"/>
        <v>34.631530705774516</v>
      </c>
    </row>
    <row r="6504" spans="1:13" ht="15.75" hidden="1" customHeight="1" x14ac:dyDescent="0.3">
      <c r="A6504" s="9">
        <v>6751</v>
      </c>
      <c r="B6504" t="s">
        <v>215</v>
      </c>
      <c r="C6504" s="25">
        <v>44742</v>
      </c>
      <c r="D6504" s="26">
        <v>0.88792824074074073</v>
      </c>
      <c r="E6504" t="s">
        <v>29</v>
      </c>
      <c r="F6504" t="s">
        <v>343</v>
      </c>
      <c r="G6504" t="s">
        <v>344</v>
      </c>
      <c r="H6504" t="s">
        <v>540</v>
      </c>
      <c r="I6504" s="148">
        <v>184.02</v>
      </c>
      <c r="J6504" s="164">
        <f>184+100+179+354+164+150</f>
        <v>1131</v>
      </c>
      <c r="K6504" s="177">
        <v>1235</v>
      </c>
      <c r="L6504" s="164">
        <v>3028</v>
      </c>
      <c r="M6504" s="229">
        <f>+J6504/L6504*100</f>
        <v>37.351387054161158</v>
      </c>
    </row>
    <row r="6505" spans="1:13" ht="15.75" hidden="1" customHeight="1" x14ac:dyDescent="0.3">
      <c r="B6505" t="s">
        <v>288</v>
      </c>
      <c r="C6505" s="25">
        <v>44765</v>
      </c>
      <c r="D6505" s="26">
        <v>0.26841435185185186</v>
      </c>
      <c r="E6505" t="s">
        <v>30</v>
      </c>
      <c r="F6505" t="s">
        <v>262</v>
      </c>
      <c r="G6505" t="s">
        <v>263</v>
      </c>
      <c r="H6505" t="s">
        <v>305</v>
      </c>
      <c r="I6505" s="160">
        <v>194.73</v>
      </c>
      <c r="J6505" s="8"/>
      <c r="K6505" s="8"/>
      <c r="L6505" s="8"/>
      <c r="M6505" s="254"/>
    </row>
    <row r="6506" spans="1:13" ht="15.75" hidden="1" customHeight="1" x14ac:dyDescent="0.3">
      <c r="B6506" t="s">
        <v>288</v>
      </c>
      <c r="C6506" s="25">
        <v>44766</v>
      </c>
      <c r="D6506" s="26">
        <v>0.32373842592592594</v>
      </c>
      <c r="E6506" t="s">
        <v>30</v>
      </c>
      <c r="F6506" t="s">
        <v>166</v>
      </c>
      <c r="G6506" t="s">
        <v>161</v>
      </c>
      <c r="H6506" t="s">
        <v>305</v>
      </c>
      <c r="I6506" s="160">
        <v>305.49</v>
      </c>
      <c r="J6506" s="8"/>
      <c r="K6506" s="8"/>
      <c r="L6506" s="8"/>
      <c r="M6506" s="254"/>
    </row>
    <row r="6507" spans="1:13" ht="15.75" hidden="1" customHeight="1" x14ac:dyDescent="0.3">
      <c r="B6507" t="s">
        <v>288</v>
      </c>
      <c r="C6507" s="25">
        <v>44768</v>
      </c>
      <c r="D6507" s="26">
        <v>0.3250925925925926</v>
      </c>
      <c r="E6507" t="s">
        <v>30</v>
      </c>
      <c r="F6507" t="s">
        <v>210</v>
      </c>
      <c r="G6507" t="s">
        <v>211</v>
      </c>
      <c r="H6507" t="s">
        <v>305</v>
      </c>
      <c r="I6507" s="160">
        <v>372.11</v>
      </c>
      <c r="J6507" s="160">
        <f>426+195+305+372</f>
        <v>1298</v>
      </c>
      <c r="K6507" s="160">
        <v>2028</v>
      </c>
      <c r="L6507" s="160">
        <v>3542</v>
      </c>
      <c r="M6507" s="150">
        <f>+J6507/L6507*100</f>
        <v>36.645962732919259</v>
      </c>
    </row>
    <row r="6508" spans="1:13" ht="15.75" hidden="1" customHeight="1" x14ac:dyDescent="0.3">
      <c r="B6508" t="s">
        <v>288</v>
      </c>
      <c r="C6508" s="25">
        <v>44768</v>
      </c>
      <c r="D6508" s="26">
        <v>0.82833333333333325</v>
      </c>
      <c r="E6508" t="s">
        <v>30</v>
      </c>
      <c r="F6508" t="s">
        <v>169</v>
      </c>
      <c r="G6508" t="s">
        <v>196</v>
      </c>
      <c r="H6508" t="s">
        <v>305</v>
      </c>
      <c r="I6508" s="8">
        <v>147.63</v>
      </c>
      <c r="J6508" s="8"/>
      <c r="K6508" s="8"/>
      <c r="L6508" s="8"/>
      <c r="M6508" s="254"/>
    </row>
    <row r="6509" spans="1:13" ht="15.75" hidden="1" customHeight="1" x14ac:dyDescent="0.3">
      <c r="B6509" t="s">
        <v>215</v>
      </c>
      <c r="C6509" s="25">
        <v>44569</v>
      </c>
      <c r="D6509" s="26">
        <v>0.40315972222222224</v>
      </c>
      <c r="E6509" t="s">
        <v>24</v>
      </c>
      <c r="F6509" t="s">
        <v>205</v>
      </c>
      <c r="G6509" t="s">
        <v>206</v>
      </c>
      <c r="H6509" t="s">
        <v>216</v>
      </c>
      <c r="I6509">
        <v>383.65</v>
      </c>
      <c r="J6509" s="34">
        <v>0</v>
      </c>
      <c r="K6509" s="40">
        <f t="shared" ref="K6509:K6540" si="404">+L6509-J6509</f>
        <v>985.22</v>
      </c>
      <c r="L6509" s="34">
        <v>985.22</v>
      </c>
      <c r="M6509" s="61">
        <f t="shared" ref="M6509:M6540" si="405">I6509/K6509*100</f>
        <v>38.940541198920037</v>
      </c>
    </row>
    <row r="6510" spans="1:13" ht="15.75" hidden="1" customHeight="1" x14ac:dyDescent="0.3">
      <c r="B6510" t="s">
        <v>215</v>
      </c>
      <c r="C6510" s="25">
        <v>44570</v>
      </c>
      <c r="D6510" s="26">
        <v>0.58936342592592594</v>
      </c>
      <c r="E6510" t="s">
        <v>24</v>
      </c>
      <c r="F6510" t="s">
        <v>210</v>
      </c>
      <c r="G6510" t="s">
        <v>211</v>
      </c>
      <c r="H6510" t="s">
        <v>216</v>
      </c>
      <c r="I6510">
        <v>302.87</v>
      </c>
      <c r="J6510" s="7">
        <v>0</v>
      </c>
      <c r="K6510" s="39">
        <f t="shared" si="404"/>
        <v>737.84</v>
      </c>
      <c r="L6510" s="7">
        <v>737.84</v>
      </c>
      <c r="M6510" s="10">
        <f t="shared" si="405"/>
        <v>41.048194730564887</v>
      </c>
    </row>
    <row r="6511" spans="1:13" ht="15.75" hidden="1" customHeight="1" x14ac:dyDescent="0.3">
      <c r="B6511" t="s">
        <v>215</v>
      </c>
      <c r="C6511" s="25">
        <v>44573</v>
      </c>
      <c r="D6511" s="26">
        <v>1.03125E-2</v>
      </c>
      <c r="E6511" t="s">
        <v>24</v>
      </c>
      <c r="F6511" t="s">
        <v>210</v>
      </c>
      <c r="G6511" t="s">
        <v>211</v>
      </c>
      <c r="H6511" t="s">
        <v>216</v>
      </c>
      <c r="I6511">
        <v>448.97</v>
      </c>
      <c r="J6511" s="7">
        <v>0</v>
      </c>
      <c r="K6511" s="39">
        <f t="shared" si="404"/>
        <v>1125.3800000000001</v>
      </c>
      <c r="L6511" s="7">
        <v>1125.3800000000001</v>
      </c>
      <c r="M6511" s="10">
        <f t="shared" si="405"/>
        <v>39.894968810535111</v>
      </c>
    </row>
    <row r="6512" spans="1:13" ht="15.75" hidden="1" customHeight="1" x14ac:dyDescent="0.3">
      <c r="B6512" t="s">
        <v>215</v>
      </c>
      <c r="C6512" s="25">
        <v>44574</v>
      </c>
      <c r="D6512" s="26">
        <v>0.48357638888888888</v>
      </c>
      <c r="E6512" t="s">
        <v>24</v>
      </c>
      <c r="F6512" t="s">
        <v>175</v>
      </c>
      <c r="G6512" t="s">
        <v>172</v>
      </c>
      <c r="H6512" t="s">
        <v>216</v>
      </c>
      <c r="I6512">
        <v>200</v>
      </c>
      <c r="J6512" s="7">
        <v>0</v>
      </c>
      <c r="K6512" s="39">
        <f t="shared" si="404"/>
        <v>878.19</v>
      </c>
      <c r="L6512" s="7">
        <v>878.19</v>
      </c>
      <c r="M6512" s="10">
        <f t="shared" si="405"/>
        <v>22.774114940958107</v>
      </c>
    </row>
    <row r="6513" spans="1:13" ht="15.75" hidden="1" customHeight="1" x14ac:dyDescent="0.3">
      <c r="B6513" t="s">
        <v>215</v>
      </c>
      <c r="C6513" s="25">
        <v>44575</v>
      </c>
      <c r="D6513" s="26">
        <v>0.50679398148148147</v>
      </c>
      <c r="E6513" t="s">
        <v>24</v>
      </c>
      <c r="F6513" t="s">
        <v>210</v>
      </c>
      <c r="G6513" t="s">
        <v>211</v>
      </c>
      <c r="H6513" t="s">
        <v>216</v>
      </c>
      <c r="I6513">
        <v>459.87</v>
      </c>
      <c r="J6513" s="7">
        <v>0</v>
      </c>
      <c r="K6513" s="39">
        <f t="shared" si="404"/>
        <v>831.84</v>
      </c>
      <c r="L6513" s="7">
        <v>831.84</v>
      </c>
      <c r="M6513" s="10">
        <f t="shared" si="405"/>
        <v>55.283467974610502</v>
      </c>
    </row>
    <row r="6514" spans="1:13" ht="15.75" hidden="1" customHeight="1" x14ac:dyDescent="0.3">
      <c r="B6514" t="s">
        <v>215</v>
      </c>
      <c r="C6514" s="25">
        <v>44577</v>
      </c>
      <c r="D6514" s="26">
        <v>0.50449074074074074</v>
      </c>
      <c r="E6514" t="s">
        <v>24</v>
      </c>
      <c r="F6514" t="s">
        <v>210</v>
      </c>
      <c r="G6514" t="s">
        <v>211</v>
      </c>
      <c r="H6514" t="s">
        <v>216</v>
      </c>
      <c r="I6514">
        <v>405.06</v>
      </c>
      <c r="J6514" s="11">
        <v>0</v>
      </c>
      <c r="K6514" s="11">
        <f t="shared" si="404"/>
        <v>916.46</v>
      </c>
      <c r="L6514" s="7">
        <v>916.46</v>
      </c>
      <c r="M6514" s="10">
        <f t="shared" si="405"/>
        <v>44.198328350391726</v>
      </c>
    </row>
    <row r="6515" spans="1:13" ht="15.75" hidden="1" customHeight="1" x14ac:dyDescent="0.3">
      <c r="B6515" t="s">
        <v>215</v>
      </c>
      <c r="C6515" s="25">
        <v>44578</v>
      </c>
      <c r="D6515" s="26">
        <v>0.67487268518518517</v>
      </c>
      <c r="E6515" t="s">
        <v>24</v>
      </c>
      <c r="F6515" t="s">
        <v>175</v>
      </c>
      <c r="G6515" t="s">
        <v>172</v>
      </c>
      <c r="H6515" t="s">
        <v>216</v>
      </c>
      <c r="I6515">
        <v>200</v>
      </c>
      <c r="J6515" s="11">
        <v>0</v>
      </c>
      <c r="K6515" s="11">
        <f t="shared" si="404"/>
        <v>1064.7</v>
      </c>
      <c r="L6515" s="7">
        <v>1064.7</v>
      </c>
      <c r="M6515" s="10">
        <f t="shared" si="405"/>
        <v>18.784634169249554</v>
      </c>
    </row>
    <row r="6516" spans="1:13" ht="15.75" hidden="1" customHeight="1" x14ac:dyDescent="0.3">
      <c r="B6516" t="s">
        <v>215</v>
      </c>
      <c r="C6516" s="25">
        <v>44579</v>
      </c>
      <c r="D6516" s="26">
        <v>0.87625000000000008</v>
      </c>
      <c r="E6516" t="s">
        <v>24</v>
      </c>
      <c r="F6516" t="s">
        <v>210</v>
      </c>
      <c r="G6516" t="s">
        <v>211</v>
      </c>
      <c r="H6516" t="s">
        <v>216</v>
      </c>
      <c r="I6516">
        <v>516.21</v>
      </c>
      <c r="J6516" s="7">
        <v>0</v>
      </c>
      <c r="K6516" s="7">
        <f t="shared" si="404"/>
        <v>831.3</v>
      </c>
      <c r="L6516" s="7">
        <v>831.3</v>
      </c>
      <c r="M6516" s="10">
        <f t="shared" si="405"/>
        <v>62.096715987008309</v>
      </c>
    </row>
    <row r="6517" spans="1:13" ht="15.75" hidden="1" customHeight="1" x14ac:dyDescent="0.3">
      <c r="B6517" t="s">
        <v>215</v>
      </c>
      <c r="C6517" s="25">
        <v>44581</v>
      </c>
      <c r="D6517" s="26">
        <v>0.68866898148148159</v>
      </c>
      <c r="E6517" t="s">
        <v>24</v>
      </c>
      <c r="F6517" t="s">
        <v>202</v>
      </c>
      <c r="G6517" t="s">
        <v>203</v>
      </c>
      <c r="H6517" t="s">
        <v>216</v>
      </c>
      <c r="I6517">
        <v>150</v>
      </c>
      <c r="J6517" s="34">
        <v>0</v>
      </c>
      <c r="K6517" s="34">
        <f t="shared" si="404"/>
        <v>1603.86</v>
      </c>
      <c r="L6517" s="34">
        <v>1603.86</v>
      </c>
      <c r="M6517" s="10">
        <f t="shared" si="405"/>
        <v>9.3524372451460867</v>
      </c>
    </row>
    <row r="6518" spans="1:13" ht="15.75" hidden="1" customHeight="1" x14ac:dyDescent="0.3">
      <c r="B6518" t="s">
        <v>215</v>
      </c>
      <c r="C6518" s="25">
        <v>44582</v>
      </c>
      <c r="D6518" s="26">
        <v>0.73641203703703706</v>
      </c>
      <c r="E6518" t="s">
        <v>24</v>
      </c>
      <c r="F6518" t="s">
        <v>165</v>
      </c>
      <c r="G6518" t="s">
        <v>185</v>
      </c>
      <c r="H6518" t="s">
        <v>216</v>
      </c>
      <c r="I6518">
        <v>620.66</v>
      </c>
      <c r="J6518" s="7">
        <v>0</v>
      </c>
      <c r="K6518" s="7">
        <f t="shared" si="404"/>
        <v>575.89</v>
      </c>
      <c r="L6518" s="7">
        <v>575.89</v>
      </c>
      <c r="M6518" s="10">
        <f t="shared" si="405"/>
        <v>107.7740540728264</v>
      </c>
    </row>
    <row r="6519" spans="1:13" ht="15.75" hidden="1" customHeight="1" x14ac:dyDescent="0.3">
      <c r="B6519" t="s">
        <v>215</v>
      </c>
      <c r="C6519" s="25">
        <v>44585</v>
      </c>
      <c r="D6519" s="26">
        <v>0.55233796296296289</v>
      </c>
      <c r="E6519" t="s">
        <v>24</v>
      </c>
      <c r="F6519" t="s">
        <v>175</v>
      </c>
      <c r="G6519" t="s">
        <v>172</v>
      </c>
      <c r="H6519" t="s">
        <v>216</v>
      </c>
      <c r="I6519">
        <v>330.46</v>
      </c>
      <c r="J6519" s="7">
        <v>0</v>
      </c>
      <c r="K6519" s="7">
        <f t="shared" si="404"/>
        <v>1427.2</v>
      </c>
      <c r="L6519" s="7">
        <v>1427.2</v>
      </c>
      <c r="M6519" s="10">
        <f t="shared" si="405"/>
        <v>23.154428251121072</v>
      </c>
    </row>
    <row r="6520" spans="1:13" ht="15.75" hidden="1" customHeight="1" x14ac:dyDescent="0.3">
      <c r="B6520" t="s">
        <v>215</v>
      </c>
      <c r="C6520" s="25">
        <v>44586</v>
      </c>
      <c r="D6520" s="26">
        <v>0.88420138888888899</v>
      </c>
      <c r="E6520" t="s">
        <v>24</v>
      </c>
      <c r="F6520" t="s">
        <v>210</v>
      </c>
      <c r="G6520" t="s">
        <v>211</v>
      </c>
      <c r="H6520" t="s">
        <v>216</v>
      </c>
      <c r="I6520">
        <v>489.34</v>
      </c>
      <c r="J6520" s="7">
        <v>0</v>
      </c>
      <c r="K6520" s="7">
        <f t="shared" si="404"/>
        <v>830.92</v>
      </c>
      <c r="L6520" s="34">
        <v>830.92</v>
      </c>
      <c r="M6520" s="10">
        <f t="shared" si="405"/>
        <v>58.891349347710978</v>
      </c>
    </row>
    <row r="6521" spans="1:13" ht="15.75" hidden="1" customHeight="1" x14ac:dyDescent="0.3">
      <c r="B6521" t="s">
        <v>215</v>
      </c>
      <c r="C6521" s="25">
        <v>44587</v>
      </c>
      <c r="D6521" s="26">
        <v>0.96409722222222216</v>
      </c>
      <c r="E6521" t="s">
        <v>24</v>
      </c>
      <c r="F6521" t="s">
        <v>210</v>
      </c>
      <c r="G6521" t="s">
        <v>211</v>
      </c>
      <c r="H6521" t="s">
        <v>216</v>
      </c>
      <c r="I6521">
        <v>400.21</v>
      </c>
      <c r="J6521" s="7">
        <v>0</v>
      </c>
      <c r="K6521" s="39">
        <f t="shared" si="404"/>
        <v>1063.72</v>
      </c>
      <c r="L6521" s="7">
        <v>1063.72</v>
      </c>
      <c r="M6521" s="10">
        <f t="shared" si="405"/>
        <v>37.62362275786861</v>
      </c>
    </row>
    <row r="6522" spans="1:13" ht="15.75" hidden="1" customHeight="1" x14ac:dyDescent="0.3">
      <c r="B6522" t="s">
        <v>215</v>
      </c>
      <c r="C6522" s="25">
        <v>44589</v>
      </c>
      <c r="D6522" s="26">
        <v>4.809027777777778E-2</v>
      </c>
      <c r="E6522" t="s">
        <v>24</v>
      </c>
      <c r="F6522" t="s">
        <v>175</v>
      </c>
      <c r="G6522" t="s">
        <v>172</v>
      </c>
      <c r="H6522" t="s">
        <v>216</v>
      </c>
      <c r="I6522">
        <v>200</v>
      </c>
      <c r="J6522" s="7">
        <v>0</v>
      </c>
      <c r="K6522" s="11">
        <f t="shared" si="404"/>
        <v>908.69</v>
      </c>
      <c r="L6522" s="34">
        <v>908.69</v>
      </c>
      <c r="M6522" s="10">
        <f t="shared" si="405"/>
        <v>22.009706280469686</v>
      </c>
    </row>
    <row r="6523" spans="1:13" ht="15.75" hidden="1" customHeight="1" x14ac:dyDescent="0.3">
      <c r="B6523" t="s">
        <v>215</v>
      </c>
      <c r="C6523" s="25">
        <v>44590</v>
      </c>
      <c r="D6523" s="26">
        <v>0.38403935185185184</v>
      </c>
      <c r="E6523" t="s">
        <v>24</v>
      </c>
      <c r="F6523" t="s">
        <v>210</v>
      </c>
      <c r="G6523" t="s">
        <v>211</v>
      </c>
      <c r="H6523" t="s">
        <v>216</v>
      </c>
      <c r="I6523">
        <v>451.3</v>
      </c>
      <c r="J6523" s="7">
        <v>0</v>
      </c>
      <c r="K6523" s="11">
        <f t="shared" si="404"/>
        <v>832.77</v>
      </c>
      <c r="L6523" s="7">
        <v>832.77</v>
      </c>
      <c r="M6523" s="10">
        <f t="shared" si="405"/>
        <v>54.192634220733218</v>
      </c>
    </row>
    <row r="6524" spans="1:13" ht="15.75" hidden="1" customHeight="1" x14ac:dyDescent="0.3">
      <c r="B6524" t="s">
        <v>215</v>
      </c>
      <c r="C6524" s="25">
        <v>44591</v>
      </c>
      <c r="D6524" s="26">
        <v>0.47983796296296299</v>
      </c>
      <c r="E6524" t="s">
        <v>24</v>
      </c>
      <c r="F6524" t="s">
        <v>210</v>
      </c>
      <c r="G6524" t="s">
        <v>211</v>
      </c>
      <c r="H6524" t="s">
        <v>216</v>
      </c>
      <c r="I6524">
        <v>373.2</v>
      </c>
      <c r="J6524" s="7">
        <v>0</v>
      </c>
      <c r="K6524" s="51">
        <f t="shared" si="404"/>
        <v>1063.46</v>
      </c>
      <c r="L6524" s="51">
        <v>1063.46</v>
      </c>
      <c r="M6524" s="10">
        <f t="shared" si="405"/>
        <v>35.092998326218186</v>
      </c>
    </row>
    <row r="6525" spans="1:13" ht="15.75" hidden="1" customHeight="1" x14ac:dyDescent="0.3">
      <c r="B6525" t="s">
        <v>215</v>
      </c>
      <c r="C6525" s="25">
        <v>44592</v>
      </c>
      <c r="D6525" s="26">
        <v>0.56537037037037041</v>
      </c>
      <c r="E6525" t="s">
        <v>24</v>
      </c>
      <c r="F6525" t="s">
        <v>175</v>
      </c>
      <c r="G6525" t="s">
        <v>172</v>
      </c>
      <c r="H6525" t="s">
        <v>216</v>
      </c>
      <c r="I6525">
        <v>313.5</v>
      </c>
      <c r="J6525" s="7">
        <v>0</v>
      </c>
      <c r="K6525" s="51">
        <f t="shared" si="404"/>
        <v>908.76</v>
      </c>
      <c r="L6525" s="51">
        <v>908.76</v>
      </c>
      <c r="M6525" s="10">
        <f t="shared" si="405"/>
        <v>34.497557110788328</v>
      </c>
    </row>
    <row r="6526" spans="1:13" ht="15.75" hidden="1" customHeight="1" x14ac:dyDescent="0.3">
      <c r="A6526" s="9">
        <v>532</v>
      </c>
      <c r="B6526" t="s">
        <v>215</v>
      </c>
      <c r="C6526" s="25">
        <v>44600</v>
      </c>
      <c r="D6526" s="26">
        <v>0.51938657407407407</v>
      </c>
      <c r="E6526" t="s">
        <v>25</v>
      </c>
      <c r="F6526" t="s">
        <v>210</v>
      </c>
      <c r="G6526" t="s">
        <v>211</v>
      </c>
      <c r="H6526" t="s">
        <v>216</v>
      </c>
      <c r="I6526">
        <v>357.37</v>
      </c>
      <c r="J6526" s="7">
        <v>0</v>
      </c>
      <c r="K6526" s="51">
        <f t="shared" si="404"/>
        <v>851.69</v>
      </c>
      <c r="L6526" s="51">
        <v>851.69</v>
      </c>
      <c r="M6526" s="10">
        <f t="shared" si="405"/>
        <v>41.96010285432493</v>
      </c>
    </row>
    <row r="6527" spans="1:13" ht="15.75" hidden="1" customHeight="1" x14ac:dyDescent="0.3">
      <c r="A6527" s="9">
        <v>533</v>
      </c>
      <c r="B6527" t="s">
        <v>215</v>
      </c>
      <c r="C6527" s="25">
        <v>44602</v>
      </c>
      <c r="D6527" s="26">
        <v>5.4039351851851852E-2</v>
      </c>
      <c r="E6527" t="s">
        <v>25</v>
      </c>
      <c r="F6527" t="s">
        <v>210</v>
      </c>
      <c r="G6527" t="s">
        <v>211</v>
      </c>
      <c r="H6527" t="s">
        <v>216</v>
      </c>
      <c r="I6527">
        <v>432.03</v>
      </c>
      <c r="J6527" s="7">
        <v>0</v>
      </c>
      <c r="K6527" s="51">
        <f t="shared" si="404"/>
        <v>1123.1500000000001</v>
      </c>
      <c r="L6527" s="51">
        <v>1123.1500000000001</v>
      </c>
      <c r="M6527" s="10">
        <f t="shared" si="405"/>
        <v>38.465921737969097</v>
      </c>
    </row>
    <row r="6528" spans="1:13" ht="15.75" hidden="1" customHeight="1" x14ac:dyDescent="0.3">
      <c r="A6528" s="9">
        <v>534</v>
      </c>
      <c r="B6528" t="s">
        <v>215</v>
      </c>
      <c r="C6528" s="25">
        <v>44603</v>
      </c>
      <c r="D6528" s="26">
        <v>0.49267361111111113</v>
      </c>
      <c r="E6528" t="s">
        <v>25</v>
      </c>
      <c r="F6528" t="s">
        <v>175</v>
      </c>
      <c r="G6528" t="s">
        <v>172</v>
      </c>
      <c r="H6528" t="s">
        <v>216</v>
      </c>
      <c r="I6528">
        <v>200</v>
      </c>
      <c r="J6528" s="7">
        <v>0</v>
      </c>
      <c r="K6528" s="11">
        <f t="shared" si="404"/>
        <v>1015.63</v>
      </c>
      <c r="L6528" s="32">
        <v>1015.63</v>
      </c>
      <c r="M6528" s="10">
        <f t="shared" si="405"/>
        <v>19.692210746039404</v>
      </c>
    </row>
    <row r="6529" spans="1:13" ht="15.75" hidden="1" customHeight="1" x14ac:dyDescent="0.3">
      <c r="A6529" s="9">
        <v>535</v>
      </c>
      <c r="B6529" t="s">
        <v>215</v>
      </c>
      <c r="C6529" s="25">
        <v>44604</v>
      </c>
      <c r="D6529" s="26">
        <v>0.51667824074074076</v>
      </c>
      <c r="E6529" t="s">
        <v>25</v>
      </c>
      <c r="F6529" t="s">
        <v>210</v>
      </c>
      <c r="G6529" t="s">
        <v>211</v>
      </c>
      <c r="H6529" t="s">
        <v>216</v>
      </c>
      <c r="I6529">
        <v>530.02</v>
      </c>
      <c r="J6529" s="7">
        <v>0</v>
      </c>
      <c r="K6529" s="11">
        <f t="shared" si="404"/>
        <v>831.35</v>
      </c>
      <c r="L6529" s="32">
        <v>831.35</v>
      </c>
      <c r="M6529" s="10">
        <f t="shared" si="405"/>
        <v>63.754134840921381</v>
      </c>
    </row>
    <row r="6530" spans="1:13" ht="15.75" hidden="1" customHeight="1" x14ac:dyDescent="0.3">
      <c r="A6530" s="9">
        <v>536</v>
      </c>
      <c r="B6530" t="s">
        <v>215</v>
      </c>
      <c r="C6530" s="25">
        <v>44605</v>
      </c>
      <c r="D6530" s="26">
        <v>0.66146990740740741</v>
      </c>
      <c r="E6530" t="s">
        <v>25</v>
      </c>
      <c r="F6530" t="s">
        <v>210</v>
      </c>
      <c r="G6530" t="s">
        <v>211</v>
      </c>
      <c r="H6530" t="s">
        <v>216</v>
      </c>
      <c r="I6530">
        <v>401.47</v>
      </c>
      <c r="J6530" s="7">
        <v>0</v>
      </c>
      <c r="K6530" s="11">
        <f t="shared" si="404"/>
        <v>1063.27</v>
      </c>
      <c r="L6530" s="32">
        <v>1063.27</v>
      </c>
      <c r="M6530" s="10">
        <f t="shared" si="405"/>
        <v>37.758048285007575</v>
      </c>
    </row>
    <row r="6531" spans="1:13" ht="15.75" hidden="1" customHeight="1" x14ac:dyDescent="0.3">
      <c r="A6531" s="9">
        <v>537</v>
      </c>
      <c r="B6531" t="s">
        <v>215</v>
      </c>
      <c r="C6531" s="25">
        <v>44607</v>
      </c>
      <c r="D6531" s="26">
        <v>3.8310185185185183E-3</v>
      </c>
      <c r="E6531" t="s">
        <v>25</v>
      </c>
      <c r="F6531" t="s">
        <v>311</v>
      </c>
      <c r="G6531" t="s">
        <v>303</v>
      </c>
      <c r="H6531" t="s">
        <v>216</v>
      </c>
      <c r="I6531">
        <v>214.73</v>
      </c>
      <c r="J6531" s="7">
        <v>0</v>
      </c>
      <c r="K6531" s="51">
        <f t="shared" si="404"/>
        <v>1307.42</v>
      </c>
      <c r="L6531" s="52">
        <v>1307.42</v>
      </c>
      <c r="M6531" s="10">
        <f t="shared" si="405"/>
        <v>16.423949457710606</v>
      </c>
    </row>
    <row r="6532" spans="1:13" ht="15.75" hidden="1" customHeight="1" x14ac:dyDescent="0.3">
      <c r="A6532" s="9">
        <v>538</v>
      </c>
      <c r="B6532" t="s">
        <v>215</v>
      </c>
      <c r="C6532" s="25">
        <v>44607</v>
      </c>
      <c r="D6532" s="26">
        <v>0.71268518518518509</v>
      </c>
      <c r="E6532" t="s">
        <v>25</v>
      </c>
      <c r="F6532" t="s">
        <v>210</v>
      </c>
      <c r="G6532" t="s">
        <v>211</v>
      </c>
      <c r="H6532" t="s">
        <v>216</v>
      </c>
      <c r="I6532">
        <v>458.45</v>
      </c>
      <c r="J6532" s="52">
        <v>0</v>
      </c>
      <c r="K6532" s="52">
        <f t="shared" si="404"/>
        <v>431.32</v>
      </c>
      <c r="L6532" s="52">
        <v>431.32</v>
      </c>
      <c r="M6532" s="10">
        <f t="shared" si="405"/>
        <v>106.28999350830011</v>
      </c>
    </row>
    <row r="6533" spans="1:13" ht="15.75" hidden="1" customHeight="1" x14ac:dyDescent="0.3">
      <c r="A6533" s="9">
        <v>539</v>
      </c>
      <c r="B6533" t="s">
        <v>215</v>
      </c>
      <c r="C6533" s="25">
        <v>44609</v>
      </c>
      <c r="D6533" s="26">
        <v>0.25399305555555557</v>
      </c>
      <c r="E6533" t="s">
        <v>25</v>
      </c>
      <c r="F6533" t="s">
        <v>210</v>
      </c>
      <c r="G6533" t="s">
        <v>211</v>
      </c>
      <c r="H6533" t="s">
        <v>216</v>
      </c>
      <c r="I6533">
        <v>437.49</v>
      </c>
      <c r="J6533" s="32">
        <v>0</v>
      </c>
      <c r="K6533" s="53">
        <f t="shared" si="404"/>
        <v>1121.4100000000001</v>
      </c>
      <c r="L6533" s="52">
        <v>1121.4100000000001</v>
      </c>
      <c r="M6533" s="10">
        <f t="shared" si="405"/>
        <v>39.012493200524339</v>
      </c>
    </row>
    <row r="6534" spans="1:13" ht="15.75" hidden="1" customHeight="1" x14ac:dyDescent="0.3">
      <c r="A6534" s="9">
        <v>540</v>
      </c>
      <c r="B6534" t="s">
        <v>215</v>
      </c>
      <c r="C6534" s="25">
        <v>44610</v>
      </c>
      <c r="D6534" s="26">
        <v>0.74298611111111112</v>
      </c>
      <c r="E6534" t="s">
        <v>25</v>
      </c>
      <c r="F6534" t="s">
        <v>175</v>
      </c>
      <c r="G6534" t="s">
        <v>172</v>
      </c>
      <c r="H6534" t="s">
        <v>216</v>
      </c>
      <c r="I6534">
        <v>200</v>
      </c>
      <c r="J6534" s="32">
        <v>0</v>
      </c>
      <c r="K6534" s="53">
        <f t="shared" si="404"/>
        <v>914.56</v>
      </c>
      <c r="L6534" s="32">
        <v>914.56</v>
      </c>
      <c r="M6534" s="10">
        <f t="shared" si="405"/>
        <v>21.868439468159554</v>
      </c>
    </row>
    <row r="6535" spans="1:13" ht="15.75" hidden="1" customHeight="1" x14ac:dyDescent="0.3">
      <c r="A6535" s="9">
        <v>541</v>
      </c>
      <c r="B6535" t="s">
        <v>215</v>
      </c>
      <c r="C6535" s="25">
        <v>44611</v>
      </c>
      <c r="D6535" s="26">
        <v>0.68817129629629636</v>
      </c>
      <c r="E6535" t="s">
        <v>25</v>
      </c>
      <c r="F6535" t="s">
        <v>210</v>
      </c>
      <c r="G6535" t="s">
        <v>211</v>
      </c>
      <c r="H6535" t="s">
        <v>216</v>
      </c>
      <c r="I6535">
        <v>473.65</v>
      </c>
      <c r="J6535" s="32">
        <v>0</v>
      </c>
      <c r="K6535" s="53">
        <f t="shared" si="404"/>
        <v>827.97</v>
      </c>
      <c r="L6535" s="32">
        <v>827.97</v>
      </c>
      <c r="M6535" s="10">
        <f t="shared" si="405"/>
        <v>57.206178967836998</v>
      </c>
    </row>
    <row r="6536" spans="1:13" ht="15.75" hidden="1" customHeight="1" x14ac:dyDescent="0.3">
      <c r="A6536" s="9">
        <v>542</v>
      </c>
      <c r="B6536" t="s">
        <v>215</v>
      </c>
      <c r="C6536" s="25">
        <v>44612</v>
      </c>
      <c r="D6536" s="26">
        <v>0.68361111111111106</v>
      </c>
      <c r="E6536" t="s">
        <v>25</v>
      </c>
      <c r="F6536" t="s">
        <v>210</v>
      </c>
      <c r="G6536" t="s">
        <v>211</v>
      </c>
      <c r="H6536" t="s">
        <v>216</v>
      </c>
      <c r="I6536">
        <v>402.17</v>
      </c>
      <c r="J6536" s="32">
        <v>0</v>
      </c>
      <c r="K6536" s="53">
        <f t="shared" si="404"/>
        <v>1062.3</v>
      </c>
      <c r="L6536" s="32">
        <v>1062.3</v>
      </c>
      <c r="M6536" s="10">
        <f t="shared" si="405"/>
        <v>37.858420408547495</v>
      </c>
    </row>
    <row r="6537" spans="1:13" ht="15.75" hidden="1" customHeight="1" x14ac:dyDescent="0.3">
      <c r="A6537" s="9">
        <v>543</v>
      </c>
      <c r="B6537" t="s">
        <v>215</v>
      </c>
      <c r="C6537" s="25">
        <v>44614</v>
      </c>
      <c r="D6537" s="26">
        <v>9.2453703703703705E-2</v>
      </c>
      <c r="E6537" t="s">
        <v>25</v>
      </c>
      <c r="F6537" t="s">
        <v>311</v>
      </c>
      <c r="G6537" t="s">
        <v>303</v>
      </c>
      <c r="H6537" t="s">
        <v>216</v>
      </c>
      <c r="I6537">
        <v>300</v>
      </c>
      <c r="J6537" s="32">
        <v>0</v>
      </c>
      <c r="K6537" s="53">
        <f t="shared" si="404"/>
        <v>1305.3699999999999</v>
      </c>
      <c r="L6537" s="37">
        <v>1305.3699999999999</v>
      </c>
      <c r="M6537" s="10">
        <f t="shared" si="405"/>
        <v>22.981989780675214</v>
      </c>
    </row>
    <row r="6538" spans="1:13" ht="15.75" hidden="1" customHeight="1" x14ac:dyDescent="0.3">
      <c r="A6538" s="9">
        <v>544</v>
      </c>
      <c r="B6538" t="s">
        <v>215</v>
      </c>
      <c r="C6538" s="25">
        <v>44614</v>
      </c>
      <c r="D6538" s="26">
        <v>0.66365740740740742</v>
      </c>
      <c r="E6538" t="s">
        <v>25</v>
      </c>
      <c r="F6538" t="s">
        <v>210</v>
      </c>
      <c r="G6538" t="s">
        <v>211</v>
      </c>
      <c r="H6538" t="s">
        <v>216</v>
      </c>
      <c r="I6538">
        <v>381.46</v>
      </c>
      <c r="J6538" s="32">
        <v>0</v>
      </c>
      <c r="K6538" s="53">
        <f t="shared" si="404"/>
        <v>431.26</v>
      </c>
      <c r="L6538" s="32">
        <v>431.26</v>
      </c>
      <c r="M6538" s="10">
        <f t="shared" si="405"/>
        <v>88.452441682511704</v>
      </c>
    </row>
    <row r="6539" spans="1:13" ht="15.75" hidden="1" customHeight="1" x14ac:dyDescent="0.3">
      <c r="A6539" s="9">
        <v>545</v>
      </c>
      <c r="B6539" t="s">
        <v>215</v>
      </c>
      <c r="C6539" s="25">
        <v>44615</v>
      </c>
      <c r="D6539" s="26">
        <v>0.82947916666666666</v>
      </c>
      <c r="E6539" t="s">
        <v>25</v>
      </c>
      <c r="F6539" t="s">
        <v>210</v>
      </c>
      <c r="G6539" t="s">
        <v>211</v>
      </c>
      <c r="H6539" t="s">
        <v>216</v>
      </c>
      <c r="I6539">
        <v>447.03</v>
      </c>
      <c r="J6539" s="32">
        <v>0</v>
      </c>
      <c r="K6539" s="53">
        <f t="shared" si="404"/>
        <v>1063.6600000000001</v>
      </c>
      <c r="L6539" s="32">
        <v>1063.6600000000001</v>
      </c>
      <c r="M6539" s="10">
        <f t="shared" si="405"/>
        <v>42.027527593403903</v>
      </c>
    </row>
    <row r="6540" spans="1:13" ht="15.75" hidden="1" customHeight="1" x14ac:dyDescent="0.3">
      <c r="A6540" s="9">
        <v>546</v>
      </c>
      <c r="B6540" t="s">
        <v>215</v>
      </c>
      <c r="C6540" s="25">
        <v>44617</v>
      </c>
      <c r="D6540" s="26">
        <v>0.47443287037037035</v>
      </c>
      <c r="E6540" t="s">
        <v>25</v>
      </c>
      <c r="F6540" t="s">
        <v>175</v>
      </c>
      <c r="G6540" t="s">
        <v>172</v>
      </c>
      <c r="H6540" t="s">
        <v>216</v>
      </c>
      <c r="I6540">
        <v>200</v>
      </c>
      <c r="J6540" s="32">
        <v>0</v>
      </c>
      <c r="K6540" s="53">
        <f t="shared" si="404"/>
        <v>949.76</v>
      </c>
      <c r="L6540" s="32">
        <v>949.76</v>
      </c>
      <c r="M6540" s="10">
        <f t="shared" si="405"/>
        <v>21.057951482479783</v>
      </c>
    </row>
    <row r="6541" spans="1:13" ht="15.75" hidden="1" customHeight="1" x14ac:dyDescent="0.3">
      <c r="A6541" s="9">
        <v>547</v>
      </c>
      <c r="B6541" t="s">
        <v>215</v>
      </c>
      <c r="C6541" s="25">
        <v>44618</v>
      </c>
      <c r="D6541" s="26">
        <v>0.89628472222222222</v>
      </c>
      <c r="E6541" t="s">
        <v>25</v>
      </c>
      <c r="F6541" t="s">
        <v>210</v>
      </c>
      <c r="G6541" t="s">
        <v>211</v>
      </c>
      <c r="H6541" t="s">
        <v>216</v>
      </c>
      <c r="I6541">
        <v>478.7</v>
      </c>
      <c r="J6541" s="32">
        <v>0</v>
      </c>
      <c r="K6541" s="32">
        <f t="shared" ref="K6541:K6571" si="406">+L6541-J6541</f>
        <v>848.1</v>
      </c>
      <c r="L6541" s="32">
        <v>848.1</v>
      </c>
      <c r="M6541" s="10">
        <f t="shared" ref="M6541:M6572" si="407">I6541/K6541*100</f>
        <v>56.443815587784449</v>
      </c>
    </row>
    <row r="6542" spans="1:13" ht="15.75" hidden="1" customHeight="1" x14ac:dyDescent="0.3">
      <c r="A6542" s="9">
        <v>548</v>
      </c>
      <c r="B6542" t="s">
        <v>215</v>
      </c>
      <c r="C6542" s="25">
        <v>44620</v>
      </c>
      <c r="D6542" s="26">
        <v>0.60850694444444442</v>
      </c>
      <c r="E6542" t="s">
        <v>25</v>
      </c>
      <c r="F6542" t="s">
        <v>340</v>
      </c>
      <c r="G6542" t="s">
        <v>337</v>
      </c>
      <c r="H6542" t="s">
        <v>216</v>
      </c>
      <c r="I6542">
        <v>521.34</v>
      </c>
      <c r="J6542" s="32">
        <v>0</v>
      </c>
      <c r="K6542" s="32">
        <f t="shared" si="406"/>
        <v>1392.5</v>
      </c>
      <c r="L6542" s="32">
        <v>1392.5</v>
      </c>
      <c r="M6542" s="10">
        <f t="shared" si="407"/>
        <v>37.439138240574508</v>
      </c>
    </row>
    <row r="6543" spans="1:13" ht="15.75" hidden="1" customHeight="1" x14ac:dyDescent="0.3">
      <c r="A6543" s="9">
        <v>1577</v>
      </c>
      <c r="B6543" t="s">
        <v>215</v>
      </c>
      <c r="C6543" s="25">
        <v>44622</v>
      </c>
      <c r="D6543" s="26">
        <v>1.375E-2</v>
      </c>
      <c r="E6543" t="s">
        <v>26</v>
      </c>
      <c r="F6543" t="s">
        <v>210</v>
      </c>
      <c r="G6543" t="s">
        <v>211</v>
      </c>
      <c r="H6543" t="s">
        <v>216</v>
      </c>
      <c r="I6543">
        <v>458.03</v>
      </c>
      <c r="J6543" s="32">
        <v>0</v>
      </c>
      <c r="K6543" s="95">
        <f t="shared" si="406"/>
        <v>1318.95</v>
      </c>
      <c r="L6543" s="32">
        <v>1318.95</v>
      </c>
      <c r="M6543" s="10">
        <f t="shared" si="407"/>
        <v>34.726866067705373</v>
      </c>
    </row>
    <row r="6544" spans="1:13" ht="15.75" hidden="1" customHeight="1" x14ac:dyDescent="0.3">
      <c r="A6544" s="9">
        <v>1578</v>
      </c>
      <c r="B6544" t="s">
        <v>215</v>
      </c>
      <c r="C6544" s="25">
        <v>44623</v>
      </c>
      <c r="D6544" s="26">
        <v>0.35797453703703702</v>
      </c>
      <c r="E6544" t="s">
        <v>26</v>
      </c>
      <c r="F6544" t="s">
        <v>175</v>
      </c>
      <c r="G6544" t="s">
        <v>172</v>
      </c>
      <c r="H6544" t="s">
        <v>216</v>
      </c>
      <c r="I6544">
        <v>338.23</v>
      </c>
      <c r="J6544" s="32">
        <v>0</v>
      </c>
      <c r="K6544" s="95">
        <f t="shared" si="406"/>
        <v>955.67</v>
      </c>
      <c r="L6544" s="7">
        <v>955.67</v>
      </c>
      <c r="M6544" s="10">
        <f t="shared" si="407"/>
        <v>35.39192399049881</v>
      </c>
    </row>
    <row r="6545" spans="1:13" ht="15.75" hidden="1" customHeight="1" x14ac:dyDescent="0.3">
      <c r="A6545" s="9">
        <v>1579</v>
      </c>
      <c r="B6545" t="s">
        <v>215</v>
      </c>
      <c r="C6545" s="25">
        <v>44632</v>
      </c>
      <c r="D6545" s="26">
        <v>0.5658333333333333</v>
      </c>
      <c r="E6545" t="s">
        <v>26</v>
      </c>
      <c r="F6545" t="s">
        <v>210</v>
      </c>
      <c r="G6545" t="s">
        <v>211</v>
      </c>
      <c r="H6545" t="s">
        <v>216</v>
      </c>
      <c r="I6545">
        <v>430.7</v>
      </c>
      <c r="J6545" s="32">
        <v>0</v>
      </c>
      <c r="K6545" s="95">
        <f t="shared" si="406"/>
        <v>981.41</v>
      </c>
      <c r="L6545" s="32">
        <v>981.41</v>
      </c>
      <c r="M6545" s="10">
        <f t="shared" si="407"/>
        <v>43.885837723275692</v>
      </c>
    </row>
    <row r="6546" spans="1:13" ht="15.75" hidden="1" customHeight="1" x14ac:dyDescent="0.3">
      <c r="A6546" s="9">
        <v>1580</v>
      </c>
      <c r="B6546" t="s">
        <v>215</v>
      </c>
      <c r="C6546" s="25">
        <v>44633</v>
      </c>
      <c r="D6546" s="26">
        <v>0.62700231481481483</v>
      </c>
      <c r="E6546" t="s">
        <v>26</v>
      </c>
      <c r="F6546" t="s">
        <v>210</v>
      </c>
      <c r="G6546" t="s">
        <v>211</v>
      </c>
      <c r="H6546" t="s">
        <v>216</v>
      </c>
      <c r="I6546">
        <v>310.89</v>
      </c>
      <c r="J6546" s="32">
        <v>0</v>
      </c>
      <c r="K6546" s="90">
        <f t="shared" si="406"/>
        <v>885.64</v>
      </c>
      <c r="L6546" s="37">
        <v>885.64</v>
      </c>
      <c r="M6546" s="10">
        <f t="shared" si="407"/>
        <v>35.103428029447628</v>
      </c>
    </row>
    <row r="6547" spans="1:13" ht="15.75" hidden="1" customHeight="1" x14ac:dyDescent="0.3">
      <c r="A6547" s="9">
        <v>1581</v>
      </c>
      <c r="B6547" t="s">
        <v>215</v>
      </c>
      <c r="C6547" s="25">
        <v>44636</v>
      </c>
      <c r="D6547" s="26">
        <v>4.9456018518518517E-2</v>
      </c>
      <c r="E6547" t="s">
        <v>26</v>
      </c>
      <c r="F6547" t="s">
        <v>311</v>
      </c>
      <c r="G6547" t="s">
        <v>303</v>
      </c>
      <c r="H6547" t="s">
        <v>216</v>
      </c>
      <c r="I6547">
        <v>200</v>
      </c>
      <c r="J6547" s="32">
        <v>0</v>
      </c>
      <c r="K6547" s="90">
        <f t="shared" si="406"/>
        <v>1363.34</v>
      </c>
      <c r="L6547" s="32">
        <v>1363.34</v>
      </c>
      <c r="M6547" s="10">
        <f t="shared" si="407"/>
        <v>14.66985491513489</v>
      </c>
    </row>
    <row r="6548" spans="1:13" ht="15.75" hidden="1" customHeight="1" x14ac:dyDescent="0.3">
      <c r="A6548" s="9">
        <v>1582</v>
      </c>
      <c r="B6548" t="s">
        <v>215</v>
      </c>
      <c r="C6548" s="25">
        <v>44636</v>
      </c>
      <c r="D6548" s="26">
        <v>0.55028935185185179</v>
      </c>
      <c r="E6548" t="s">
        <v>26</v>
      </c>
      <c r="F6548" t="s">
        <v>210</v>
      </c>
      <c r="G6548" t="s">
        <v>211</v>
      </c>
      <c r="H6548" t="s">
        <v>216</v>
      </c>
      <c r="I6548">
        <v>482.12</v>
      </c>
      <c r="J6548" s="32">
        <v>0</v>
      </c>
      <c r="K6548" s="90">
        <f t="shared" si="406"/>
        <v>430.83</v>
      </c>
      <c r="L6548" s="33">
        <v>430.83</v>
      </c>
      <c r="M6548" s="10">
        <f t="shared" si="407"/>
        <v>111.90492769769979</v>
      </c>
    </row>
    <row r="6549" spans="1:13" ht="15.75" hidden="1" customHeight="1" x14ac:dyDescent="0.3">
      <c r="A6549" s="9">
        <v>1583</v>
      </c>
      <c r="B6549" t="s">
        <v>215</v>
      </c>
      <c r="C6549" s="25">
        <v>44637</v>
      </c>
      <c r="D6549" s="26">
        <v>0.18401620370370372</v>
      </c>
      <c r="E6549" t="s">
        <v>26</v>
      </c>
      <c r="F6549" t="s">
        <v>210</v>
      </c>
      <c r="G6549" t="s">
        <v>211</v>
      </c>
      <c r="H6549" t="s">
        <v>216</v>
      </c>
      <c r="I6549">
        <v>300.83999999999997</v>
      </c>
      <c r="J6549" s="32">
        <v>0</v>
      </c>
      <c r="K6549" s="95">
        <f t="shared" si="406"/>
        <v>885.95</v>
      </c>
      <c r="L6549" s="32">
        <v>885.95</v>
      </c>
      <c r="M6549" s="10">
        <f t="shared" si="407"/>
        <v>33.95676956938879</v>
      </c>
    </row>
    <row r="6550" spans="1:13" ht="15.75" hidden="1" customHeight="1" x14ac:dyDescent="0.3">
      <c r="A6550" s="9">
        <v>1584</v>
      </c>
      <c r="B6550" t="s">
        <v>215</v>
      </c>
      <c r="C6550" s="25">
        <v>44641</v>
      </c>
      <c r="D6550" s="26">
        <v>0.66351851851851851</v>
      </c>
      <c r="E6550" t="s">
        <v>26</v>
      </c>
      <c r="F6550" t="s">
        <v>205</v>
      </c>
      <c r="G6550" t="s">
        <v>206</v>
      </c>
      <c r="H6550" t="s">
        <v>216</v>
      </c>
      <c r="I6550">
        <v>150</v>
      </c>
      <c r="J6550" s="32">
        <v>0</v>
      </c>
      <c r="K6550" s="89">
        <f t="shared" si="406"/>
        <v>1551.92</v>
      </c>
      <c r="L6550" s="32">
        <v>1551.92</v>
      </c>
      <c r="M6550" s="10">
        <f t="shared" si="407"/>
        <v>9.6654466725088906</v>
      </c>
    </row>
    <row r="6551" spans="1:13" ht="15.75" hidden="1" customHeight="1" x14ac:dyDescent="0.3">
      <c r="A6551" s="9">
        <v>1585</v>
      </c>
      <c r="B6551" t="s">
        <v>215</v>
      </c>
      <c r="C6551" s="25">
        <v>44642</v>
      </c>
      <c r="D6551" s="26">
        <v>0.79743055555555553</v>
      </c>
      <c r="E6551" t="s">
        <v>26</v>
      </c>
      <c r="F6551" t="s">
        <v>311</v>
      </c>
      <c r="G6551" t="s">
        <v>303</v>
      </c>
      <c r="H6551" t="s">
        <v>216</v>
      </c>
      <c r="I6551">
        <v>300.16000000000003</v>
      </c>
      <c r="J6551" s="32">
        <v>0</v>
      </c>
      <c r="K6551" s="94">
        <f t="shared" si="406"/>
        <v>395.8</v>
      </c>
      <c r="L6551" s="32">
        <v>395.8</v>
      </c>
      <c r="M6551" s="10">
        <f t="shared" si="407"/>
        <v>75.83628094997475</v>
      </c>
    </row>
    <row r="6552" spans="1:13" ht="15.75" hidden="1" customHeight="1" x14ac:dyDescent="0.3">
      <c r="A6552" s="9">
        <v>1586</v>
      </c>
      <c r="B6552" t="s">
        <v>215</v>
      </c>
      <c r="C6552" s="25">
        <v>44643</v>
      </c>
      <c r="D6552" s="26">
        <v>9.0509259259259248E-2</v>
      </c>
      <c r="E6552" t="s">
        <v>26</v>
      </c>
      <c r="F6552" t="s">
        <v>210</v>
      </c>
      <c r="G6552" t="s">
        <v>211</v>
      </c>
      <c r="H6552" t="s">
        <v>216</v>
      </c>
      <c r="I6552">
        <v>446.31</v>
      </c>
      <c r="J6552" s="32">
        <v>0</v>
      </c>
      <c r="K6552" s="94">
        <f t="shared" si="406"/>
        <v>430.72</v>
      </c>
      <c r="L6552" s="32">
        <v>430.72</v>
      </c>
      <c r="M6552" s="10">
        <f t="shared" si="407"/>
        <v>103.61952080237742</v>
      </c>
    </row>
    <row r="6553" spans="1:13" ht="15.75" hidden="1" customHeight="1" x14ac:dyDescent="0.3">
      <c r="A6553" s="9">
        <v>1587</v>
      </c>
      <c r="B6553" t="s">
        <v>215</v>
      </c>
      <c r="C6553" s="25">
        <v>44644</v>
      </c>
      <c r="D6553" s="26">
        <v>0.49085648148148148</v>
      </c>
      <c r="E6553" t="s">
        <v>26</v>
      </c>
      <c r="F6553" t="s">
        <v>210</v>
      </c>
      <c r="G6553" t="s">
        <v>211</v>
      </c>
      <c r="H6553" t="s">
        <v>216</v>
      </c>
      <c r="I6553">
        <v>445.33</v>
      </c>
      <c r="J6553" s="32">
        <v>0</v>
      </c>
      <c r="K6553" s="94">
        <f t="shared" si="406"/>
        <v>1116.9000000000001</v>
      </c>
      <c r="L6553" s="32">
        <v>1116.9000000000001</v>
      </c>
      <c r="M6553" s="10">
        <f t="shared" si="407"/>
        <v>39.871967051660846</v>
      </c>
    </row>
    <row r="6554" spans="1:13" ht="15.75" hidden="1" customHeight="1" x14ac:dyDescent="0.3">
      <c r="A6554" s="9">
        <v>1588</v>
      </c>
      <c r="B6554" t="s">
        <v>215</v>
      </c>
      <c r="C6554" s="25">
        <v>44647</v>
      </c>
      <c r="D6554" s="26">
        <v>0.50767361111111109</v>
      </c>
      <c r="E6554" t="s">
        <v>26</v>
      </c>
      <c r="F6554" t="s">
        <v>197</v>
      </c>
      <c r="G6554" t="s">
        <v>44</v>
      </c>
      <c r="H6554" t="s">
        <v>216</v>
      </c>
      <c r="I6554">
        <v>200.19</v>
      </c>
      <c r="J6554" s="32">
        <v>0</v>
      </c>
      <c r="K6554" s="94">
        <f t="shared" si="406"/>
        <v>1195.18</v>
      </c>
      <c r="L6554" s="32">
        <v>1195.18</v>
      </c>
      <c r="M6554" s="10">
        <f t="shared" si="407"/>
        <v>16.74977827607557</v>
      </c>
    </row>
    <row r="6555" spans="1:13" ht="15.75" hidden="1" customHeight="1" x14ac:dyDescent="0.3">
      <c r="A6555" s="9">
        <v>1589</v>
      </c>
      <c r="B6555" t="s">
        <v>215</v>
      </c>
      <c r="C6555" s="25">
        <v>44648</v>
      </c>
      <c r="D6555" s="26">
        <v>0.5541666666666667</v>
      </c>
      <c r="E6555" t="s">
        <v>26</v>
      </c>
      <c r="F6555" t="s">
        <v>210</v>
      </c>
      <c r="G6555" t="s">
        <v>211</v>
      </c>
      <c r="H6555" t="s">
        <v>216</v>
      </c>
      <c r="I6555">
        <v>520.16</v>
      </c>
      <c r="J6555" s="32">
        <v>0</v>
      </c>
      <c r="K6555" s="90">
        <f t="shared" si="406"/>
        <v>590.97</v>
      </c>
      <c r="L6555" s="32">
        <v>590.97</v>
      </c>
      <c r="M6555" s="10">
        <f t="shared" si="407"/>
        <v>88.018004298018511</v>
      </c>
    </row>
    <row r="6556" spans="1:13" ht="15.75" hidden="1" customHeight="1" x14ac:dyDescent="0.3">
      <c r="A6556" s="9">
        <v>1590</v>
      </c>
      <c r="B6556" t="s">
        <v>215</v>
      </c>
      <c r="C6556" s="25">
        <v>44649</v>
      </c>
      <c r="D6556" s="26">
        <v>0.67041666666666666</v>
      </c>
      <c r="E6556" t="s">
        <v>26</v>
      </c>
      <c r="F6556" t="s">
        <v>210</v>
      </c>
      <c r="G6556" t="s">
        <v>211</v>
      </c>
      <c r="H6556" t="s">
        <v>216</v>
      </c>
      <c r="I6556">
        <v>355.72</v>
      </c>
      <c r="J6556" s="32">
        <v>0</v>
      </c>
      <c r="K6556" s="90">
        <f t="shared" si="406"/>
        <v>1062.6600000000001</v>
      </c>
      <c r="L6556" s="32">
        <v>1062.6600000000001</v>
      </c>
      <c r="M6556" s="10">
        <f t="shared" si="407"/>
        <v>33.474488547606953</v>
      </c>
    </row>
    <row r="6557" spans="1:13" ht="15.75" hidden="1" customHeight="1" x14ac:dyDescent="0.3">
      <c r="A6557" s="9">
        <v>2781</v>
      </c>
      <c r="B6557" t="s">
        <v>215</v>
      </c>
      <c r="C6557" s="25">
        <v>44662</v>
      </c>
      <c r="D6557" s="26">
        <v>0.54386574074074068</v>
      </c>
      <c r="E6557" t="s">
        <v>27</v>
      </c>
      <c r="F6557" t="s">
        <v>175</v>
      </c>
      <c r="G6557" t="s">
        <v>172</v>
      </c>
      <c r="H6557" t="s">
        <v>216</v>
      </c>
      <c r="I6557" s="4">
        <v>198.51</v>
      </c>
      <c r="J6557" s="32">
        <v>0</v>
      </c>
      <c r="K6557" s="90">
        <f t="shared" si="406"/>
        <v>1036.56</v>
      </c>
      <c r="L6557" s="32">
        <v>1036.56</v>
      </c>
      <c r="M6557" s="10">
        <f t="shared" si="407"/>
        <v>19.150845103033109</v>
      </c>
    </row>
    <row r="6558" spans="1:13" ht="15.75" hidden="1" customHeight="1" x14ac:dyDescent="0.3">
      <c r="A6558" s="9">
        <v>2782</v>
      </c>
      <c r="B6558" t="s">
        <v>215</v>
      </c>
      <c r="C6558" s="25">
        <v>44663</v>
      </c>
      <c r="D6558" s="26">
        <v>0.57281250000000006</v>
      </c>
      <c r="E6558" t="s">
        <v>27</v>
      </c>
      <c r="F6558" t="s">
        <v>210</v>
      </c>
      <c r="G6558" t="s">
        <v>211</v>
      </c>
      <c r="H6558" t="s">
        <v>216</v>
      </c>
      <c r="I6558" s="4">
        <v>519.97</v>
      </c>
      <c r="J6558" s="32">
        <v>0</v>
      </c>
      <c r="K6558" s="90">
        <f t="shared" si="406"/>
        <v>830.33</v>
      </c>
      <c r="L6558" s="38">
        <v>830.33</v>
      </c>
      <c r="M6558" s="10">
        <f t="shared" si="407"/>
        <v>62.622090012404705</v>
      </c>
    </row>
    <row r="6559" spans="1:13" ht="15.75" hidden="1" customHeight="1" x14ac:dyDescent="0.3">
      <c r="A6559" s="9">
        <v>2783</v>
      </c>
      <c r="B6559" t="s">
        <v>215</v>
      </c>
      <c r="C6559" s="25">
        <v>44664</v>
      </c>
      <c r="D6559" s="26">
        <v>0.36510416666666662</v>
      </c>
      <c r="E6559" t="s">
        <v>27</v>
      </c>
      <c r="F6559" t="s">
        <v>165</v>
      </c>
      <c r="G6559" t="s">
        <v>185</v>
      </c>
      <c r="H6559" t="s">
        <v>216</v>
      </c>
      <c r="I6559" s="4">
        <v>263.58999999999997</v>
      </c>
      <c r="J6559" s="32">
        <v>0</v>
      </c>
      <c r="K6559" s="95">
        <f t="shared" si="406"/>
        <v>548.80999999999995</v>
      </c>
      <c r="L6559" s="32">
        <v>548.80999999999995</v>
      </c>
      <c r="M6559" s="10">
        <f t="shared" si="407"/>
        <v>48.029372642626775</v>
      </c>
    </row>
    <row r="6560" spans="1:13" ht="15.75" hidden="1" customHeight="1" x14ac:dyDescent="0.3">
      <c r="A6560" s="9">
        <v>2784</v>
      </c>
      <c r="B6560" t="s">
        <v>215</v>
      </c>
      <c r="C6560" s="25">
        <v>44666</v>
      </c>
      <c r="D6560" s="26">
        <v>0.14248842592592592</v>
      </c>
      <c r="E6560" t="s">
        <v>27</v>
      </c>
      <c r="F6560" t="s">
        <v>165</v>
      </c>
      <c r="G6560" t="s">
        <v>185</v>
      </c>
      <c r="H6560" t="s">
        <v>216</v>
      </c>
      <c r="I6560" s="4">
        <v>200</v>
      </c>
      <c r="J6560" s="32">
        <v>0</v>
      </c>
      <c r="K6560" s="95">
        <f t="shared" si="406"/>
        <v>1630.76</v>
      </c>
      <c r="L6560" s="32">
        <v>1630.76</v>
      </c>
      <c r="M6560" s="10">
        <f t="shared" si="407"/>
        <v>12.264220363511491</v>
      </c>
    </row>
    <row r="6561" spans="1:13" ht="15.75" hidden="1" customHeight="1" x14ac:dyDescent="0.3">
      <c r="A6561" s="9">
        <v>2785</v>
      </c>
      <c r="B6561" t="s">
        <v>215</v>
      </c>
      <c r="C6561" s="25">
        <v>44666</v>
      </c>
      <c r="D6561" s="26">
        <v>0.6882638888888889</v>
      </c>
      <c r="E6561" t="s">
        <v>27</v>
      </c>
      <c r="F6561" t="s">
        <v>210</v>
      </c>
      <c r="G6561" t="s">
        <v>211</v>
      </c>
      <c r="H6561" t="s">
        <v>216</v>
      </c>
      <c r="I6561" s="4">
        <v>495.38</v>
      </c>
      <c r="J6561" s="32">
        <v>0</v>
      </c>
      <c r="K6561" s="95">
        <f t="shared" si="406"/>
        <v>2145</v>
      </c>
      <c r="L6561" s="32">
        <v>2145</v>
      </c>
      <c r="M6561" s="10">
        <f t="shared" si="407"/>
        <v>23.094638694638693</v>
      </c>
    </row>
    <row r="6562" spans="1:13" ht="15.75" hidden="1" customHeight="1" x14ac:dyDescent="0.3">
      <c r="A6562" s="9">
        <v>2955</v>
      </c>
      <c r="B6562" t="s">
        <v>215</v>
      </c>
      <c r="C6562" s="25">
        <v>44670</v>
      </c>
      <c r="D6562" s="26">
        <v>0.7336111111111111</v>
      </c>
      <c r="E6562" t="s">
        <v>27</v>
      </c>
      <c r="F6562" t="s">
        <v>175</v>
      </c>
      <c r="G6562" t="s">
        <v>172</v>
      </c>
      <c r="H6562" t="s">
        <v>540</v>
      </c>
      <c r="I6562" s="4">
        <v>491.64</v>
      </c>
      <c r="J6562" s="32">
        <v>0</v>
      </c>
      <c r="K6562" s="95">
        <f t="shared" si="406"/>
        <v>1339</v>
      </c>
      <c r="L6562" s="32">
        <v>1339</v>
      </c>
      <c r="M6562" s="10">
        <f t="shared" si="407"/>
        <v>36.716952949962653</v>
      </c>
    </row>
    <row r="6563" spans="1:13" ht="15.75" hidden="1" customHeight="1" x14ac:dyDescent="0.3">
      <c r="A6563" s="9">
        <v>2956</v>
      </c>
      <c r="B6563" t="s">
        <v>215</v>
      </c>
      <c r="C6563" s="25">
        <v>44671</v>
      </c>
      <c r="D6563" s="26">
        <v>0.73649305555555555</v>
      </c>
      <c r="E6563" t="s">
        <v>27</v>
      </c>
      <c r="F6563" t="s">
        <v>210</v>
      </c>
      <c r="G6563" t="s">
        <v>211</v>
      </c>
      <c r="H6563" t="s">
        <v>540</v>
      </c>
      <c r="I6563" s="4">
        <v>345.72</v>
      </c>
      <c r="J6563" s="32">
        <v>0</v>
      </c>
      <c r="K6563" s="90">
        <f t="shared" si="406"/>
        <v>834</v>
      </c>
      <c r="L6563" s="37">
        <v>834</v>
      </c>
      <c r="M6563" s="10">
        <f t="shared" si="407"/>
        <v>41.453237410071949</v>
      </c>
    </row>
    <row r="6564" spans="1:13" ht="15.75" hidden="1" customHeight="1" x14ac:dyDescent="0.3">
      <c r="A6564" s="9">
        <v>2957</v>
      </c>
      <c r="B6564" t="s">
        <v>215</v>
      </c>
      <c r="C6564" s="25">
        <v>44672</v>
      </c>
      <c r="D6564" s="26">
        <v>0.68333333333333324</v>
      </c>
      <c r="E6564" t="s">
        <v>27</v>
      </c>
      <c r="F6564" t="s">
        <v>202</v>
      </c>
      <c r="G6564" t="s">
        <v>203</v>
      </c>
      <c r="H6564" t="s">
        <v>540</v>
      </c>
      <c r="I6564" s="4">
        <v>200</v>
      </c>
      <c r="J6564" s="32">
        <v>0</v>
      </c>
      <c r="K6564" s="90">
        <f t="shared" si="406"/>
        <v>1092.57</v>
      </c>
      <c r="L6564" s="33">
        <v>1092.57</v>
      </c>
      <c r="M6564" s="10">
        <f t="shared" si="407"/>
        <v>18.305463265511595</v>
      </c>
    </row>
    <row r="6565" spans="1:13" ht="15.75" hidden="1" customHeight="1" x14ac:dyDescent="0.3">
      <c r="A6565" s="9">
        <v>2958</v>
      </c>
      <c r="B6565" t="s">
        <v>215</v>
      </c>
      <c r="C6565" s="25">
        <v>44673</v>
      </c>
      <c r="D6565" s="26">
        <v>0.58432870370370371</v>
      </c>
      <c r="E6565" t="s">
        <v>27</v>
      </c>
      <c r="F6565" t="s">
        <v>202</v>
      </c>
      <c r="G6565" t="s">
        <v>203</v>
      </c>
      <c r="H6565" t="s">
        <v>540</v>
      </c>
      <c r="I6565" s="4">
        <v>200</v>
      </c>
      <c r="J6565" s="32">
        <v>0</v>
      </c>
      <c r="K6565" s="90">
        <f t="shared" si="406"/>
        <v>513.58000000000004</v>
      </c>
      <c r="L6565" s="32">
        <v>513.58000000000004</v>
      </c>
      <c r="M6565" s="10">
        <f t="shared" si="407"/>
        <v>38.942326414580002</v>
      </c>
    </row>
    <row r="6566" spans="1:13" ht="15.75" hidden="1" customHeight="1" x14ac:dyDescent="0.3">
      <c r="A6566" s="9">
        <v>2959</v>
      </c>
      <c r="B6566" t="s">
        <v>215</v>
      </c>
      <c r="C6566" s="25">
        <v>44674</v>
      </c>
      <c r="D6566" s="26">
        <v>9.6099537037037039E-2</v>
      </c>
      <c r="E6566" t="s">
        <v>27</v>
      </c>
      <c r="F6566" t="s">
        <v>165</v>
      </c>
      <c r="G6566" t="s">
        <v>185</v>
      </c>
      <c r="H6566" t="s">
        <v>540</v>
      </c>
      <c r="I6566" s="4">
        <v>100</v>
      </c>
      <c r="J6566" s="32">
        <v>0</v>
      </c>
      <c r="K6566" s="90">
        <f t="shared" si="406"/>
        <v>577.65</v>
      </c>
      <c r="L6566" s="37">
        <v>577.65</v>
      </c>
      <c r="M6566" s="10">
        <f t="shared" si="407"/>
        <v>17.311520817103784</v>
      </c>
    </row>
    <row r="6567" spans="1:13" ht="15.75" hidden="1" customHeight="1" x14ac:dyDescent="0.3">
      <c r="A6567" s="9">
        <v>2960</v>
      </c>
      <c r="B6567" t="s">
        <v>215</v>
      </c>
      <c r="C6567" s="25">
        <v>44674</v>
      </c>
      <c r="D6567" s="26">
        <v>0.85061342592592604</v>
      </c>
      <c r="E6567" t="s">
        <v>27</v>
      </c>
      <c r="F6567" t="s">
        <v>210</v>
      </c>
      <c r="G6567" t="s">
        <v>211</v>
      </c>
      <c r="H6567" t="s">
        <v>540</v>
      </c>
      <c r="I6567" s="4">
        <v>441.88</v>
      </c>
      <c r="J6567" s="32">
        <v>0</v>
      </c>
      <c r="K6567" s="90">
        <f t="shared" si="406"/>
        <v>1095</v>
      </c>
      <c r="L6567" s="32">
        <v>1095</v>
      </c>
      <c r="M6567" s="10">
        <f t="shared" si="407"/>
        <v>40.354337899543381</v>
      </c>
    </row>
    <row r="6568" spans="1:13" ht="15.75" hidden="1" customHeight="1" x14ac:dyDescent="0.3">
      <c r="A6568" s="9">
        <v>2961</v>
      </c>
      <c r="B6568" t="s">
        <v>215</v>
      </c>
      <c r="C6568" s="25">
        <v>44677</v>
      </c>
      <c r="D6568" s="26">
        <v>0.48756944444444444</v>
      </c>
      <c r="E6568" t="s">
        <v>27</v>
      </c>
      <c r="F6568" t="s">
        <v>428</v>
      </c>
      <c r="G6568" t="s">
        <v>429</v>
      </c>
      <c r="H6568" t="s">
        <v>540</v>
      </c>
      <c r="I6568">
        <v>200</v>
      </c>
      <c r="J6568" s="32">
        <v>0</v>
      </c>
      <c r="K6568" s="90">
        <f t="shared" si="406"/>
        <v>1547.74</v>
      </c>
      <c r="L6568" s="34">
        <v>1547.74</v>
      </c>
      <c r="M6568" s="10">
        <f t="shared" si="407"/>
        <v>12.922067013839534</v>
      </c>
    </row>
    <row r="6569" spans="1:13" ht="15.75" hidden="1" customHeight="1" x14ac:dyDescent="0.3">
      <c r="A6569" s="9">
        <v>2962</v>
      </c>
      <c r="B6569" t="s">
        <v>215</v>
      </c>
      <c r="C6569" s="25">
        <v>44678</v>
      </c>
      <c r="D6569" s="26">
        <v>0.86895833333333339</v>
      </c>
      <c r="E6569" t="s">
        <v>27</v>
      </c>
      <c r="F6569" t="s">
        <v>311</v>
      </c>
      <c r="G6569" t="s">
        <v>303</v>
      </c>
      <c r="H6569" t="s">
        <v>540</v>
      </c>
      <c r="I6569">
        <v>385.03</v>
      </c>
      <c r="J6569" s="32">
        <v>0</v>
      </c>
      <c r="K6569" s="90">
        <f t="shared" si="406"/>
        <v>597</v>
      </c>
      <c r="L6569" s="7">
        <v>597</v>
      </c>
      <c r="M6569" s="10">
        <f t="shared" si="407"/>
        <v>64.494137353433828</v>
      </c>
    </row>
    <row r="6570" spans="1:13" ht="15.75" hidden="1" customHeight="1" x14ac:dyDescent="0.3">
      <c r="A6570" s="9">
        <v>2963</v>
      </c>
      <c r="B6570" t="s">
        <v>215</v>
      </c>
      <c r="C6570" s="25">
        <v>44679</v>
      </c>
      <c r="D6570" s="26">
        <v>0.16524305555555555</v>
      </c>
      <c r="E6570" t="s">
        <v>27</v>
      </c>
      <c r="F6570" t="s">
        <v>210</v>
      </c>
      <c r="G6570" t="s">
        <v>211</v>
      </c>
      <c r="H6570" t="s">
        <v>540</v>
      </c>
      <c r="I6570">
        <v>188.26</v>
      </c>
      <c r="J6570" s="37">
        <v>0</v>
      </c>
      <c r="K6570" s="97">
        <f t="shared" si="406"/>
        <v>432</v>
      </c>
      <c r="L6570" s="34">
        <v>432</v>
      </c>
      <c r="M6570" s="10">
        <f t="shared" si="407"/>
        <v>43.578703703703702</v>
      </c>
    </row>
    <row r="6571" spans="1:13" ht="15.75" hidden="1" customHeight="1" x14ac:dyDescent="0.3">
      <c r="A6571" s="9">
        <v>2964</v>
      </c>
      <c r="B6571" t="s">
        <v>215</v>
      </c>
      <c r="C6571" s="25">
        <v>44679</v>
      </c>
      <c r="D6571" s="26">
        <v>0.84462962962962962</v>
      </c>
      <c r="E6571" t="s">
        <v>27</v>
      </c>
      <c r="F6571" t="s">
        <v>165</v>
      </c>
      <c r="G6571" t="s">
        <v>185</v>
      </c>
      <c r="H6571" t="s">
        <v>540</v>
      </c>
      <c r="I6571">
        <v>241.93</v>
      </c>
      <c r="J6571" s="32">
        <v>0</v>
      </c>
      <c r="K6571" s="90">
        <f t="shared" si="406"/>
        <v>550</v>
      </c>
      <c r="L6571" s="31">
        <v>550</v>
      </c>
      <c r="M6571" s="10">
        <f t="shared" si="407"/>
        <v>43.987272727272732</v>
      </c>
    </row>
    <row r="6572" spans="1:13" ht="15.75" hidden="1" customHeight="1" x14ac:dyDescent="0.3">
      <c r="A6572" s="9">
        <v>3727</v>
      </c>
      <c r="B6572" t="s">
        <v>215</v>
      </c>
      <c r="C6572" s="25">
        <v>44683</v>
      </c>
      <c r="D6572" s="26">
        <v>0.61782407407407403</v>
      </c>
      <c r="E6572" t="s">
        <v>28</v>
      </c>
      <c r="F6572" t="s">
        <v>428</v>
      </c>
      <c r="G6572" t="s">
        <v>429</v>
      </c>
      <c r="H6572" t="s">
        <v>540</v>
      </c>
      <c r="I6572">
        <v>150</v>
      </c>
      <c r="J6572" s="32">
        <v>0</v>
      </c>
      <c r="K6572" s="95">
        <f>+L6572-J6705</f>
        <v>945</v>
      </c>
      <c r="L6572" s="7">
        <v>945</v>
      </c>
      <c r="M6572" s="10">
        <f t="shared" si="407"/>
        <v>15.873015873015872</v>
      </c>
    </row>
    <row r="6573" spans="1:13" ht="15.75" hidden="1" customHeight="1" x14ac:dyDescent="0.3">
      <c r="A6573" s="9">
        <v>3766</v>
      </c>
      <c r="B6573" t="s">
        <v>215</v>
      </c>
      <c r="C6573" s="25">
        <v>44684</v>
      </c>
      <c r="D6573" s="26">
        <v>0.58114583333333336</v>
      </c>
      <c r="E6573" t="s">
        <v>28</v>
      </c>
      <c r="F6573" t="s">
        <v>311</v>
      </c>
      <c r="G6573" t="s">
        <v>303</v>
      </c>
      <c r="H6573" t="s">
        <v>540</v>
      </c>
      <c r="I6573">
        <v>375.68</v>
      </c>
      <c r="J6573" s="7">
        <v>0</v>
      </c>
      <c r="K6573" s="95">
        <f>+L6573-J6707</f>
        <v>554.63</v>
      </c>
      <c r="L6573" s="32">
        <v>554.63</v>
      </c>
      <c r="M6573" s="10">
        <f t="shared" ref="M6573:M6608" si="408">I6573/K6573*100</f>
        <v>67.735246921371001</v>
      </c>
    </row>
    <row r="6574" spans="1:13" ht="15.75" hidden="1" customHeight="1" x14ac:dyDescent="0.3">
      <c r="A6574" s="9">
        <v>3822</v>
      </c>
      <c r="B6574" t="s">
        <v>215</v>
      </c>
      <c r="C6574" s="25">
        <v>44685</v>
      </c>
      <c r="D6574" s="26">
        <v>0.3175</v>
      </c>
      <c r="E6574" t="s">
        <v>28</v>
      </c>
      <c r="F6574" t="s">
        <v>165</v>
      </c>
      <c r="G6574" t="s">
        <v>185</v>
      </c>
      <c r="H6574" t="s">
        <v>540</v>
      </c>
      <c r="I6574">
        <v>200</v>
      </c>
      <c r="J6574" s="7">
        <v>0</v>
      </c>
      <c r="K6574" s="95">
        <f>+L6574-J6706</f>
        <v>981.6</v>
      </c>
      <c r="L6574" s="32">
        <v>981.6</v>
      </c>
      <c r="M6574" s="10">
        <f t="shared" si="408"/>
        <v>20.374898125509372</v>
      </c>
    </row>
    <row r="6575" spans="1:13" ht="15.75" hidden="1" customHeight="1" x14ac:dyDescent="0.3">
      <c r="A6575" s="9">
        <v>3877</v>
      </c>
      <c r="B6575" t="s">
        <v>215</v>
      </c>
      <c r="C6575" s="25">
        <v>44686</v>
      </c>
      <c r="D6575" s="26">
        <v>2.56712962962963E-2</v>
      </c>
      <c r="E6575" t="s">
        <v>28</v>
      </c>
      <c r="F6575" t="s">
        <v>210</v>
      </c>
      <c r="G6575" t="s">
        <v>211</v>
      </c>
      <c r="H6575" t="s">
        <v>540</v>
      </c>
      <c r="I6575">
        <v>411.17</v>
      </c>
      <c r="J6575" s="7">
        <v>0</v>
      </c>
      <c r="K6575" s="90">
        <f>+L6575-J6707</f>
        <v>574</v>
      </c>
      <c r="L6575" s="37">
        <v>574</v>
      </c>
      <c r="M6575" s="10">
        <f t="shared" si="408"/>
        <v>71.632404181184668</v>
      </c>
    </row>
    <row r="6576" spans="1:13" ht="15.75" hidden="1" customHeight="1" x14ac:dyDescent="0.3">
      <c r="A6576" s="9">
        <v>3933</v>
      </c>
      <c r="B6576" t="s">
        <v>215</v>
      </c>
      <c r="C6576" s="25">
        <v>44687</v>
      </c>
      <c r="D6576" s="26">
        <v>0.41733796296296299</v>
      </c>
      <c r="E6576" t="s">
        <v>28</v>
      </c>
      <c r="F6576" t="s">
        <v>428</v>
      </c>
      <c r="G6576" t="s">
        <v>429</v>
      </c>
      <c r="H6576" t="s">
        <v>540</v>
      </c>
      <c r="I6576">
        <v>200</v>
      </c>
      <c r="J6576" s="7">
        <v>0</v>
      </c>
      <c r="K6576" s="90">
        <f>+L6576-J6706</f>
        <v>947</v>
      </c>
      <c r="L6576" s="32">
        <v>947</v>
      </c>
      <c r="M6576" s="36">
        <f t="shared" si="408"/>
        <v>21.119324181626187</v>
      </c>
    </row>
    <row r="6577" spans="1:13" ht="15.75" hidden="1" customHeight="1" x14ac:dyDescent="0.3">
      <c r="A6577" s="9">
        <v>3982</v>
      </c>
      <c r="B6577" t="s">
        <v>215</v>
      </c>
      <c r="C6577" s="25">
        <v>44688</v>
      </c>
      <c r="D6577" s="26">
        <v>0.15523148148148147</v>
      </c>
      <c r="E6577" t="s">
        <v>28</v>
      </c>
      <c r="F6577" t="s">
        <v>559</v>
      </c>
      <c r="G6577" t="s">
        <v>303</v>
      </c>
      <c r="H6577" t="s">
        <v>540</v>
      </c>
      <c r="I6577">
        <v>334.23</v>
      </c>
      <c r="J6577" s="7">
        <v>0</v>
      </c>
      <c r="K6577" s="90">
        <f>+L6577-J6707</f>
        <v>563</v>
      </c>
      <c r="L6577" s="32">
        <v>563</v>
      </c>
      <c r="M6577" s="36">
        <f t="shared" si="408"/>
        <v>59.36589698046182</v>
      </c>
    </row>
    <row r="6578" spans="1:13" ht="15.75" hidden="1" customHeight="1" x14ac:dyDescent="0.3">
      <c r="A6578" s="9">
        <v>4028</v>
      </c>
      <c r="B6578" t="s">
        <v>215</v>
      </c>
      <c r="C6578" s="25">
        <v>44689</v>
      </c>
      <c r="D6578" s="26">
        <v>0.11824074074074074</v>
      </c>
      <c r="E6578" t="s">
        <v>28</v>
      </c>
      <c r="F6578" t="s">
        <v>165</v>
      </c>
      <c r="G6578" t="s">
        <v>185</v>
      </c>
      <c r="H6578" t="s">
        <v>540</v>
      </c>
      <c r="I6578">
        <v>100</v>
      </c>
      <c r="J6578" s="7">
        <v>0</v>
      </c>
      <c r="K6578" s="90">
        <f>+L6578-J6708</f>
        <v>983</v>
      </c>
      <c r="L6578" s="37">
        <v>983</v>
      </c>
      <c r="M6578" s="10">
        <f t="shared" si="408"/>
        <v>10.172939979654121</v>
      </c>
    </row>
    <row r="6579" spans="1:13" ht="15.75" hidden="1" customHeight="1" x14ac:dyDescent="0.3">
      <c r="A6579" s="9">
        <v>4029</v>
      </c>
      <c r="B6579" t="s">
        <v>215</v>
      </c>
      <c r="C6579" s="25">
        <v>44689</v>
      </c>
      <c r="D6579" s="26">
        <v>0.62961805555555561</v>
      </c>
      <c r="E6579" t="s">
        <v>28</v>
      </c>
      <c r="F6579" t="s">
        <v>210</v>
      </c>
      <c r="G6579" t="s">
        <v>211</v>
      </c>
      <c r="H6579" t="s">
        <v>540</v>
      </c>
      <c r="I6579">
        <v>433.94</v>
      </c>
      <c r="J6579" s="34">
        <v>0</v>
      </c>
      <c r="K6579" s="90">
        <f>+L6579-J6709</f>
        <v>515</v>
      </c>
      <c r="L6579" s="32">
        <v>515</v>
      </c>
      <c r="M6579" s="10">
        <f t="shared" si="408"/>
        <v>84.260194174757288</v>
      </c>
    </row>
    <row r="6580" spans="1:13" ht="15.75" hidden="1" customHeight="1" x14ac:dyDescent="0.3">
      <c r="A6580" s="9">
        <v>4169</v>
      </c>
      <c r="B6580" t="s">
        <v>215</v>
      </c>
      <c r="C6580" s="25">
        <v>44692</v>
      </c>
      <c r="D6580" s="26">
        <v>0.52038194444444441</v>
      </c>
      <c r="E6580" t="s">
        <v>28</v>
      </c>
      <c r="F6580" t="s">
        <v>311</v>
      </c>
      <c r="G6580" t="s">
        <v>303</v>
      </c>
      <c r="H6580" t="s">
        <v>540</v>
      </c>
      <c r="I6580">
        <v>487.08</v>
      </c>
      <c r="J6580" s="7">
        <v>0</v>
      </c>
      <c r="K6580" s="90">
        <f>+L6580-J6713</f>
        <v>1460</v>
      </c>
      <c r="L6580" s="33">
        <v>1460</v>
      </c>
      <c r="M6580" s="10">
        <f t="shared" si="408"/>
        <v>33.361643835616441</v>
      </c>
    </row>
    <row r="6581" spans="1:13" ht="15.75" hidden="1" customHeight="1" x14ac:dyDescent="0.3">
      <c r="A6581" s="9">
        <v>4212</v>
      </c>
      <c r="B6581" t="s">
        <v>215</v>
      </c>
      <c r="C6581" s="25">
        <v>44693</v>
      </c>
      <c r="D6581" s="26">
        <v>0.60450231481481487</v>
      </c>
      <c r="E6581" t="s">
        <v>28</v>
      </c>
      <c r="F6581" t="s">
        <v>165</v>
      </c>
      <c r="G6581" t="s">
        <v>185</v>
      </c>
      <c r="H6581" t="s">
        <v>540</v>
      </c>
      <c r="I6581">
        <v>417.92</v>
      </c>
      <c r="J6581" s="39">
        <v>0</v>
      </c>
      <c r="K6581" s="90">
        <f>+L6581-J6714</f>
        <v>1024</v>
      </c>
      <c r="L6581" s="53">
        <v>1024</v>
      </c>
      <c r="M6581" s="10">
        <f t="shared" si="408"/>
        <v>40.8125</v>
      </c>
    </row>
    <row r="6582" spans="1:13" ht="15.75" hidden="1" customHeight="1" x14ac:dyDescent="0.3">
      <c r="A6582" s="9">
        <v>4276</v>
      </c>
      <c r="B6582" t="s">
        <v>215</v>
      </c>
      <c r="C6582" s="25">
        <v>44694</v>
      </c>
      <c r="D6582" s="26">
        <v>0.67175925925925928</v>
      </c>
      <c r="E6582" t="s">
        <v>28</v>
      </c>
      <c r="F6582" t="s">
        <v>202</v>
      </c>
      <c r="G6582" t="s">
        <v>203</v>
      </c>
      <c r="H6582" t="s">
        <v>540</v>
      </c>
      <c r="I6582">
        <v>100</v>
      </c>
      <c r="J6582" s="7">
        <v>0</v>
      </c>
      <c r="K6582" s="90">
        <f>+L6582-J6853</f>
        <v>1049</v>
      </c>
      <c r="L6582" s="32">
        <v>1049</v>
      </c>
      <c r="M6582" s="10">
        <f t="shared" si="408"/>
        <v>9.532888465204957</v>
      </c>
    </row>
    <row r="6583" spans="1:13" ht="15.75" hidden="1" customHeight="1" x14ac:dyDescent="0.3">
      <c r="A6583" s="9">
        <v>4321</v>
      </c>
      <c r="B6583" t="s">
        <v>215</v>
      </c>
      <c r="C6583" s="25">
        <v>44695</v>
      </c>
      <c r="D6583" s="26">
        <v>0.14092592592592593</v>
      </c>
      <c r="E6583" t="s">
        <v>28</v>
      </c>
      <c r="F6583" t="s">
        <v>165</v>
      </c>
      <c r="G6583" t="s">
        <v>185</v>
      </c>
      <c r="H6583" t="s">
        <v>540</v>
      </c>
      <c r="I6583">
        <v>150</v>
      </c>
      <c r="J6583" s="7">
        <v>0</v>
      </c>
      <c r="K6583" s="97">
        <f>+L6583-J6854</f>
        <v>575</v>
      </c>
      <c r="L6583" s="37">
        <v>575</v>
      </c>
      <c r="M6583" s="10">
        <f t="shared" si="408"/>
        <v>26.086956521739129</v>
      </c>
    </row>
    <row r="6584" spans="1:13" ht="15.75" hidden="1" customHeight="1" x14ac:dyDescent="0.3">
      <c r="A6584" s="9">
        <v>4322</v>
      </c>
      <c r="B6584" t="s">
        <v>215</v>
      </c>
      <c r="C6584" s="25">
        <v>44695</v>
      </c>
      <c r="D6584" s="26">
        <v>0.844212962962963</v>
      </c>
      <c r="E6584" t="s">
        <v>28</v>
      </c>
      <c r="F6584" t="s">
        <v>210</v>
      </c>
      <c r="G6584" t="s">
        <v>211</v>
      </c>
      <c r="H6584" t="s">
        <v>540</v>
      </c>
      <c r="I6584">
        <v>400.11</v>
      </c>
      <c r="J6584" s="7">
        <v>0</v>
      </c>
      <c r="K6584" s="90">
        <f>+L6584-J6855</f>
        <v>515</v>
      </c>
      <c r="L6584" s="32">
        <v>515</v>
      </c>
      <c r="M6584" s="10">
        <f t="shared" si="408"/>
        <v>77.691262135922329</v>
      </c>
    </row>
    <row r="6585" spans="1:13" ht="15.75" hidden="1" customHeight="1" x14ac:dyDescent="0.3">
      <c r="A6585" s="9">
        <v>4507</v>
      </c>
      <c r="B6585" t="s">
        <v>215</v>
      </c>
      <c r="C6585" s="25">
        <v>44698</v>
      </c>
      <c r="D6585" s="26">
        <v>0.49872685185185189</v>
      </c>
      <c r="E6585" t="s">
        <v>28</v>
      </c>
      <c r="F6585" t="s">
        <v>197</v>
      </c>
      <c r="G6585" t="s">
        <v>44</v>
      </c>
      <c r="H6585" t="s">
        <v>540</v>
      </c>
      <c r="I6585">
        <v>102.36</v>
      </c>
      <c r="J6585" s="7">
        <v>0</v>
      </c>
      <c r="K6585" s="89">
        <f>+L6585-J6853</f>
        <v>1351</v>
      </c>
      <c r="L6585" s="37">
        <v>1351</v>
      </c>
      <c r="M6585" s="10">
        <f t="shared" si="408"/>
        <v>7.5766099185788303</v>
      </c>
    </row>
    <row r="6586" spans="1:13" ht="15.75" hidden="1" customHeight="1" x14ac:dyDescent="0.3">
      <c r="A6586" s="9">
        <v>4508</v>
      </c>
      <c r="B6586" t="s">
        <v>215</v>
      </c>
      <c r="C6586" s="25">
        <v>44698</v>
      </c>
      <c r="D6586" s="26">
        <v>0.64156250000000004</v>
      </c>
      <c r="E6586" t="s">
        <v>28</v>
      </c>
      <c r="F6586" t="s">
        <v>559</v>
      </c>
      <c r="G6586" t="s">
        <v>303</v>
      </c>
      <c r="H6586" t="s">
        <v>540</v>
      </c>
      <c r="I6586">
        <v>445.67</v>
      </c>
      <c r="J6586" s="7">
        <v>0</v>
      </c>
      <c r="K6586" s="89">
        <f>+L6586-J6854</f>
        <v>158</v>
      </c>
      <c r="L6586" s="32">
        <v>158</v>
      </c>
      <c r="M6586" s="10">
        <f t="shared" si="408"/>
        <v>282.06962025316454</v>
      </c>
    </row>
    <row r="6587" spans="1:13" ht="15.75" hidden="1" customHeight="1" x14ac:dyDescent="0.3">
      <c r="A6587" s="9">
        <v>4553</v>
      </c>
      <c r="B6587" t="s">
        <v>215</v>
      </c>
      <c r="C6587" s="25">
        <v>44699</v>
      </c>
      <c r="D6587" s="26">
        <v>0.66743055555555564</v>
      </c>
      <c r="E6587" t="s">
        <v>28</v>
      </c>
      <c r="F6587" t="s">
        <v>165</v>
      </c>
      <c r="G6587" t="s">
        <v>185</v>
      </c>
      <c r="H6587" t="s">
        <v>540</v>
      </c>
      <c r="I6587">
        <v>414.01</v>
      </c>
      <c r="J6587" s="7">
        <v>0</v>
      </c>
      <c r="K6587" s="89">
        <f>+L6587-J6855</f>
        <v>980</v>
      </c>
      <c r="L6587" s="32">
        <v>980</v>
      </c>
      <c r="M6587" s="10">
        <f t="shared" si="408"/>
        <v>42.245918367346938</v>
      </c>
    </row>
    <row r="6588" spans="1:13" ht="15.75" hidden="1" customHeight="1" x14ac:dyDescent="0.3">
      <c r="A6588" s="9">
        <v>5039</v>
      </c>
      <c r="B6588" t="s">
        <v>215</v>
      </c>
      <c r="C6588" s="25">
        <v>44708</v>
      </c>
      <c r="D6588" s="26">
        <v>0.40527777777777779</v>
      </c>
      <c r="E6588" t="s">
        <v>28</v>
      </c>
      <c r="F6588" t="s">
        <v>673</v>
      </c>
      <c r="G6588" t="s">
        <v>172</v>
      </c>
      <c r="H6588" t="s">
        <v>540</v>
      </c>
      <c r="I6588">
        <v>464.11</v>
      </c>
      <c r="J6588" s="7">
        <v>0</v>
      </c>
      <c r="K6588" s="90">
        <f>+L6588-J6856</f>
        <v>1453</v>
      </c>
      <c r="L6588" s="34">
        <v>1453</v>
      </c>
      <c r="M6588" s="10">
        <f t="shared" si="408"/>
        <v>31.941500344115624</v>
      </c>
    </row>
    <row r="6589" spans="1:13" ht="15.75" hidden="1" customHeight="1" x14ac:dyDescent="0.3">
      <c r="A6589" s="9">
        <v>5096</v>
      </c>
      <c r="B6589" t="s">
        <v>215</v>
      </c>
      <c r="C6589" s="25">
        <v>44709</v>
      </c>
      <c r="D6589" s="26">
        <v>2.3148148148148147E-5</v>
      </c>
      <c r="E6589" t="s">
        <v>28</v>
      </c>
      <c r="F6589" t="s">
        <v>632</v>
      </c>
      <c r="G6589" t="s">
        <v>161</v>
      </c>
      <c r="H6589" t="s">
        <v>540</v>
      </c>
      <c r="I6589">
        <v>293.58</v>
      </c>
      <c r="J6589" s="7">
        <v>0</v>
      </c>
      <c r="K6589" s="90" t="e">
        <f>+L6589-#REF!</f>
        <v>#REF!</v>
      </c>
      <c r="L6589" s="7">
        <v>758</v>
      </c>
      <c r="M6589" s="10" t="e">
        <f t="shared" si="408"/>
        <v>#REF!</v>
      </c>
    </row>
    <row r="6590" spans="1:13" ht="15.75" hidden="1" customHeight="1" x14ac:dyDescent="0.3">
      <c r="A6590" s="9">
        <v>5155</v>
      </c>
      <c r="B6590" t="s">
        <v>215</v>
      </c>
      <c r="C6590" s="25">
        <v>44710</v>
      </c>
      <c r="D6590" s="26">
        <v>0.83930555555555564</v>
      </c>
      <c r="E6590" t="s">
        <v>28</v>
      </c>
      <c r="F6590" t="s">
        <v>635</v>
      </c>
      <c r="G6590" t="s">
        <v>185</v>
      </c>
      <c r="H6590" t="s">
        <v>540</v>
      </c>
      <c r="I6590">
        <v>301</v>
      </c>
      <c r="J6590" s="7">
        <v>0</v>
      </c>
      <c r="K6590" s="90" t="e">
        <f>+L6590-#REF!</f>
        <v>#REF!</v>
      </c>
      <c r="L6590" s="7">
        <v>627</v>
      </c>
      <c r="M6590" s="10" t="e">
        <f t="shared" si="408"/>
        <v>#REF!</v>
      </c>
    </row>
    <row r="6591" spans="1:13" ht="15.75" hidden="1" customHeight="1" x14ac:dyDescent="0.3">
      <c r="A6591" s="9">
        <v>5240</v>
      </c>
      <c r="B6591" t="s">
        <v>215</v>
      </c>
      <c r="C6591" s="25">
        <v>44712</v>
      </c>
      <c r="D6591" s="26">
        <v>0.47474537037037035</v>
      </c>
      <c r="E6591" t="s">
        <v>28</v>
      </c>
      <c r="F6591" t="s">
        <v>637</v>
      </c>
      <c r="G6591" t="s">
        <v>196</v>
      </c>
      <c r="H6591" t="s">
        <v>540</v>
      </c>
      <c r="I6591">
        <v>341.18</v>
      </c>
      <c r="J6591" s="7">
        <v>0</v>
      </c>
      <c r="K6591" s="94">
        <f>+L6591-J6862</f>
        <v>1042</v>
      </c>
      <c r="L6591" s="7">
        <v>1042</v>
      </c>
      <c r="M6591" s="10">
        <f t="shared" si="408"/>
        <v>32.742802303262955</v>
      </c>
    </row>
    <row r="6592" spans="1:13" ht="15.75" hidden="1" customHeight="1" x14ac:dyDescent="0.3">
      <c r="A6592" s="9">
        <v>5350</v>
      </c>
      <c r="B6592" t="s">
        <v>215</v>
      </c>
      <c r="C6592" s="25">
        <v>44714</v>
      </c>
      <c r="D6592" s="26">
        <v>0.44650462962962961</v>
      </c>
      <c r="E6592" t="s">
        <v>29</v>
      </c>
      <c r="F6592" t="s">
        <v>694</v>
      </c>
      <c r="G6592" t="s">
        <v>489</v>
      </c>
      <c r="H6592" t="s">
        <v>540</v>
      </c>
      <c r="I6592">
        <v>380.07</v>
      </c>
      <c r="J6592" s="7">
        <v>0</v>
      </c>
      <c r="K6592" s="94">
        <f>+L6592-J6862</f>
        <v>1044</v>
      </c>
      <c r="L6592" s="7">
        <v>1044</v>
      </c>
      <c r="M6592" s="10">
        <f t="shared" si="408"/>
        <v>36.405172413793103</v>
      </c>
    </row>
    <row r="6593" spans="1:13" ht="15.75" hidden="1" customHeight="1" x14ac:dyDescent="0.3">
      <c r="A6593" s="9">
        <v>5413</v>
      </c>
      <c r="B6593" t="s">
        <v>215</v>
      </c>
      <c r="C6593" s="25">
        <v>44715</v>
      </c>
      <c r="D6593" s="26">
        <v>0.37687500000000002</v>
      </c>
      <c r="E6593" t="s">
        <v>29</v>
      </c>
      <c r="F6593" t="s">
        <v>634</v>
      </c>
      <c r="G6593" t="s">
        <v>211</v>
      </c>
      <c r="H6593" t="s">
        <v>540</v>
      </c>
      <c r="I6593">
        <v>496.15</v>
      </c>
      <c r="J6593" s="7">
        <v>0</v>
      </c>
      <c r="K6593" s="90">
        <f>+L6593-J6863</f>
        <v>1315</v>
      </c>
      <c r="L6593" s="7">
        <v>1315</v>
      </c>
      <c r="M6593" s="10">
        <f t="shared" si="408"/>
        <v>37.730038022813687</v>
      </c>
    </row>
    <row r="6594" spans="1:13" ht="15.75" hidden="1" customHeight="1" x14ac:dyDescent="0.3">
      <c r="A6594" s="9">
        <v>5464</v>
      </c>
      <c r="B6594" t="s">
        <v>215</v>
      </c>
      <c r="C6594" s="25">
        <v>44716</v>
      </c>
      <c r="D6594" s="26">
        <v>0.48953703703703705</v>
      </c>
      <c r="E6594" t="s">
        <v>29</v>
      </c>
      <c r="F6594" t="s">
        <v>708</v>
      </c>
      <c r="G6594" t="s">
        <v>277</v>
      </c>
      <c r="H6594" t="s">
        <v>540</v>
      </c>
      <c r="I6594">
        <v>262.88</v>
      </c>
      <c r="J6594" s="7">
        <v>0</v>
      </c>
      <c r="K6594" s="90">
        <f>+L6594-J6864</f>
        <v>725</v>
      </c>
      <c r="L6594" s="7">
        <v>725</v>
      </c>
      <c r="M6594" s="10">
        <f t="shared" si="408"/>
        <v>36.259310344827583</v>
      </c>
    </row>
    <row r="6595" spans="1:13" ht="15.75" hidden="1" customHeight="1" x14ac:dyDescent="0.3">
      <c r="A6595" s="9">
        <v>5513</v>
      </c>
      <c r="B6595" t="s">
        <v>215</v>
      </c>
      <c r="C6595" s="25">
        <v>44717</v>
      </c>
      <c r="D6595" s="26">
        <v>0.13177083333333334</v>
      </c>
      <c r="E6595" t="s">
        <v>29</v>
      </c>
      <c r="F6595" t="s">
        <v>632</v>
      </c>
      <c r="G6595" t="s">
        <v>161</v>
      </c>
      <c r="H6595" t="s">
        <v>540</v>
      </c>
      <c r="I6595">
        <v>293.58</v>
      </c>
      <c r="J6595" s="7">
        <v>0</v>
      </c>
      <c r="K6595" s="90">
        <f>+L6595-J6865</f>
        <v>770</v>
      </c>
      <c r="L6595" s="7">
        <v>770</v>
      </c>
      <c r="M6595" s="10">
        <f t="shared" si="408"/>
        <v>38.127272727272725</v>
      </c>
    </row>
    <row r="6596" spans="1:13" ht="15.75" hidden="1" customHeight="1" x14ac:dyDescent="0.3">
      <c r="A6596" s="9">
        <v>5557</v>
      </c>
      <c r="B6596" t="s">
        <v>215</v>
      </c>
      <c r="C6596" s="25">
        <v>44718</v>
      </c>
      <c r="D6596" s="26">
        <v>0.98047453703703702</v>
      </c>
      <c r="E6596" t="s">
        <v>29</v>
      </c>
      <c r="F6596" t="s">
        <v>635</v>
      </c>
      <c r="G6596" t="s">
        <v>185</v>
      </c>
      <c r="H6596" t="s">
        <v>540</v>
      </c>
      <c r="I6596">
        <v>430</v>
      </c>
      <c r="J6596" s="7">
        <v>0</v>
      </c>
      <c r="K6596" s="90">
        <f>+L6596-J6159</f>
        <v>1046</v>
      </c>
      <c r="L6596" s="7">
        <v>1046</v>
      </c>
      <c r="M6596" s="10">
        <f t="shared" si="408"/>
        <v>41.108986615678781</v>
      </c>
    </row>
    <row r="6597" spans="1:13" ht="15.75" hidden="1" customHeight="1" x14ac:dyDescent="0.3">
      <c r="A6597" s="9">
        <v>5719</v>
      </c>
      <c r="B6597" t="s">
        <v>215</v>
      </c>
      <c r="C6597" s="25">
        <v>44721</v>
      </c>
      <c r="D6597" s="26">
        <v>0.94756944444444446</v>
      </c>
      <c r="E6597" t="s">
        <v>29</v>
      </c>
      <c r="F6597" t="s">
        <v>651</v>
      </c>
      <c r="G6597" t="s">
        <v>172</v>
      </c>
      <c r="H6597" t="s">
        <v>540</v>
      </c>
      <c r="I6597">
        <v>517.14</v>
      </c>
      <c r="J6597" s="7">
        <v>0</v>
      </c>
      <c r="K6597" s="95">
        <f>+L6597-J6161</f>
        <v>1661</v>
      </c>
      <c r="L6597" s="7">
        <v>1661</v>
      </c>
      <c r="M6597" s="10">
        <f t="shared" si="408"/>
        <v>31.134256472004818</v>
      </c>
    </row>
    <row r="6598" spans="1:13" ht="15.75" hidden="1" customHeight="1" x14ac:dyDescent="0.3">
      <c r="A6598" s="9">
        <v>5772</v>
      </c>
      <c r="B6598" t="s">
        <v>215</v>
      </c>
      <c r="C6598" s="25">
        <v>44722</v>
      </c>
      <c r="D6598" s="26">
        <v>0.86577546296296293</v>
      </c>
      <c r="E6598" t="s">
        <v>29</v>
      </c>
      <c r="F6598" t="s">
        <v>632</v>
      </c>
      <c r="G6598" t="s">
        <v>161</v>
      </c>
      <c r="H6598" t="s">
        <v>540</v>
      </c>
      <c r="I6598">
        <v>266.08</v>
      </c>
      <c r="J6598" s="7">
        <v>0</v>
      </c>
      <c r="K6598" s="90">
        <f>+L6598-J6162</f>
        <v>622</v>
      </c>
      <c r="L6598" s="34">
        <v>622</v>
      </c>
      <c r="M6598" s="10">
        <f t="shared" si="408"/>
        <v>42.778135048231505</v>
      </c>
    </row>
    <row r="6599" spans="1:13" ht="15.75" hidden="1" customHeight="1" x14ac:dyDescent="0.3">
      <c r="A6599" s="9">
        <v>5818</v>
      </c>
      <c r="B6599" t="s">
        <v>215</v>
      </c>
      <c r="C6599" s="25">
        <v>44723</v>
      </c>
      <c r="D6599" s="26">
        <v>0.93819444444444444</v>
      </c>
      <c r="E6599" t="s">
        <v>29</v>
      </c>
      <c r="F6599" t="s">
        <v>634</v>
      </c>
      <c r="G6599" t="s">
        <v>211</v>
      </c>
      <c r="H6599" t="s">
        <v>540</v>
      </c>
      <c r="I6599">
        <v>346.53</v>
      </c>
      <c r="J6599" s="7">
        <v>0</v>
      </c>
      <c r="K6599" s="90">
        <f>+L6599-J6163</f>
        <v>988</v>
      </c>
      <c r="L6599" s="7">
        <v>988</v>
      </c>
      <c r="M6599" s="10">
        <f t="shared" si="408"/>
        <v>35.073886639676111</v>
      </c>
    </row>
    <row r="6600" spans="1:13" ht="15.75" hidden="1" customHeight="1" x14ac:dyDescent="0.3">
      <c r="A6600" s="9">
        <v>5984</v>
      </c>
      <c r="B6600" t="s">
        <v>215</v>
      </c>
      <c r="C6600" s="25">
        <v>44726</v>
      </c>
      <c r="D6600" s="26">
        <v>0.18978009259259257</v>
      </c>
      <c r="E6600" t="s">
        <v>29</v>
      </c>
      <c r="F6600" t="s">
        <v>661</v>
      </c>
      <c r="G6600" t="s">
        <v>457</v>
      </c>
      <c r="H6600" t="s">
        <v>540</v>
      </c>
      <c r="I6600">
        <v>50</v>
      </c>
      <c r="J6600" s="32">
        <v>0</v>
      </c>
      <c r="K6600" s="90">
        <v>1462</v>
      </c>
      <c r="L6600" s="31">
        <v>1462</v>
      </c>
      <c r="M6600" s="10">
        <f t="shared" si="408"/>
        <v>3.4199726402188784</v>
      </c>
    </row>
    <row r="6601" spans="1:13" ht="15.75" hidden="1" customHeight="1" x14ac:dyDescent="0.3">
      <c r="A6601" s="9">
        <v>5985</v>
      </c>
      <c r="B6601" t="s">
        <v>215</v>
      </c>
      <c r="C6601" s="25">
        <v>44726</v>
      </c>
      <c r="D6601" s="26">
        <v>0.43104166666666671</v>
      </c>
      <c r="E6601" t="s">
        <v>29</v>
      </c>
      <c r="F6601" t="s">
        <v>661</v>
      </c>
      <c r="G6601" t="s">
        <v>457</v>
      </c>
      <c r="H6601" t="s">
        <v>540</v>
      </c>
      <c r="I6601">
        <v>100</v>
      </c>
      <c r="J6601" s="32">
        <v>0</v>
      </c>
      <c r="K6601" s="90">
        <v>486</v>
      </c>
      <c r="L6601" s="7">
        <v>486</v>
      </c>
      <c r="M6601" s="10">
        <f t="shared" si="408"/>
        <v>20.5761316872428</v>
      </c>
    </row>
    <row r="6602" spans="1:13" ht="15.75" hidden="1" customHeight="1" x14ac:dyDescent="0.3">
      <c r="A6602" s="9">
        <v>5986</v>
      </c>
      <c r="B6602" t="s">
        <v>215</v>
      </c>
      <c r="C6602" s="25">
        <v>44726</v>
      </c>
      <c r="D6602" s="26">
        <v>0.58327546296296295</v>
      </c>
      <c r="E6602" t="s">
        <v>29</v>
      </c>
      <c r="F6602" t="s">
        <v>632</v>
      </c>
      <c r="G6602" t="s">
        <v>161</v>
      </c>
      <c r="H6602" t="s">
        <v>540</v>
      </c>
      <c r="I6602">
        <v>469.98</v>
      </c>
      <c r="J6602" s="52">
        <v>0</v>
      </c>
      <c r="K6602" s="88">
        <v>236</v>
      </c>
      <c r="L6602" s="51">
        <v>236</v>
      </c>
      <c r="M6602" s="10">
        <f t="shared" si="408"/>
        <v>199.14406779661019</v>
      </c>
    </row>
    <row r="6603" spans="1:13" ht="15.75" hidden="1" customHeight="1" x14ac:dyDescent="0.3">
      <c r="A6603" s="9">
        <v>6048</v>
      </c>
      <c r="B6603" t="s">
        <v>215</v>
      </c>
      <c r="C6603" s="25">
        <v>44727</v>
      </c>
      <c r="D6603" s="26">
        <v>0.5640856481481481</v>
      </c>
      <c r="E6603" t="s">
        <v>29</v>
      </c>
      <c r="F6603" t="s">
        <v>634</v>
      </c>
      <c r="G6603" t="s">
        <v>211</v>
      </c>
      <c r="H6603" t="s">
        <v>540</v>
      </c>
      <c r="I6603">
        <v>400.08</v>
      </c>
      <c r="J6603" s="32">
        <v>0</v>
      </c>
      <c r="K6603" s="89">
        <v>1141</v>
      </c>
      <c r="L6603" s="11">
        <v>1141</v>
      </c>
      <c r="M6603" s="10">
        <f t="shared" si="408"/>
        <v>35.063978965819452</v>
      </c>
    </row>
    <row r="6604" spans="1:13" ht="15.75" hidden="1" customHeight="1" x14ac:dyDescent="0.3">
      <c r="A6604" s="9">
        <v>6162</v>
      </c>
      <c r="B6604" t="s">
        <v>215</v>
      </c>
      <c r="C6604" s="25">
        <v>44729</v>
      </c>
      <c r="D6604" s="26">
        <v>0.75915509259259262</v>
      </c>
      <c r="E6604" t="s">
        <v>29</v>
      </c>
      <c r="F6604" t="s">
        <v>639</v>
      </c>
      <c r="G6604" t="s">
        <v>44</v>
      </c>
      <c r="H6604" t="s">
        <v>540</v>
      </c>
      <c r="I6604">
        <v>317.85000000000002</v>
      </c>
      <c r="J6604" s="32">
        <v>0</v>
      </c>
      <c r="K6604" s="89">
        <v>1207</v>
      </c>
      <c r="L6604" s="11">
        <v>1207</v>
      </c>
      <c r="M6604" s="10">
        <f t="shared" si="408"/>
        <v>26.333885666942834</v>
      </c>
    </row>
    <row r="6605" spans="1:13" ht="15.75" hidden="1" customHeight="1" x14ac:dyDescent="0.3">
      <c r="A6605" s="9">
        <v>6212</v>
      </c>
      <c r="B6605" t="s">
        <v>215</v>
      </c>
      <c r="C6605" s="25">
        <v>44730</v>
      </c>
      <c r="D6605" s="26">
        <v>0.13184027777777776</v>
      </c>
      <c r="E6605" t="s">
        <v>29</v>
      </c>
      <c r="F6605" t="s">
        <v>634</v>
      </c>
      <c r="G6605" t="s">
        <v>211</v>
      </c>
      <c r="H6605" t="s">
        <v>540</v>
      </c>
      <c r="I6605">
        <v>349.21</v>
      </c>
      <c r="J6605" s="32">
        <v>0</v>
      </c>
      <c r="K6605" s="89">
        <v>588</v>
      </c>
      <c r="L6605" s="11">
        <v>588</v>
      </c>
      <c r="M6605" s="10">
        <f t="shared" si="408"/>
        <v>59.389455782312915</v>
      </c>
    </row>
    <row r="6606" spans="1:13" ht="15.75" hidden="1" customHeight="1" x14ac:dyDescent="0.3">
      <c r="A6606" s="9">
        <v>6213</v>
      </c>
      <c r="B6606" t="s">
        <v>215</v>
      </c>
      <c r="C6606" s="25">
        <v>44730</v>
      </c>
      <c r="D6606" s="26">
        <v>0.96144675925925915</v>
      </c>
      <c r="E6606" t="s">
        <v>29</v>
      </c>
      <c r="F6606" t="s">
        <v>635</v>
      </c>
      <c r="G6606" t="s">
        <v>185</v>
      </c>
      <c r="H6606" t="s">
        <v>540</v>
      </c>
      <c r="I6606">
        <v>231.87</v>
      </c>
      <c r="J6606" s="32">
        <v>0</v>
      </c>
      <c r="K6606" s="90">
        <v>570</v>
      </c>
      <c r="L6606" s="7">
        <v>570</v>
      </c>
      <c r="M6606" s="10">
        <f t="shared" si="408"/>
        <v>40.678947368421056</v>
      </c>
    </row>
    <row r="6607" spans="1:13" ht="15.75" hidden="1" customHeight="1" x14ac:dyDescent="0.3">
      <c r="A6607" s="9">
        <v>6266</v>
      </c>
      <c r="B6607" t="s">
        <v>215</v>
      </c>
      <c r="C6607" s="25">
        <v>44732</v>
      </c>
      <c r="D6607" s="26">
        <v>0.9205092592592593</v>
      </c>
      <c r="E6607" t="s">
        <v>29</v>
      </c>
      <c r="F6607" t="s">
        <v>634</v>
      </c>
      <c r="G6607" t="s">
        <v>211</v>
      </c>
      <c r="H6607" t="s">
        <v>540</v>
      </c>
      <c r="I6607">
        <v>241.01</v>
      </c>
      <c r="J6607" s="37">
        <v>0</v>
      </c>
      <c r="K6607" s="90">
        <v>575</v>
      </c>
      <c r="L6607" s="7">
        <v>575</v>
      </c>
      <c r="M6607" s="10">
        <f t="shared" si="408"/>
        <v>41.914782608695653</v>
      </c>
    </row>
    <row r="6608" spans="1:13" ht="15.75" hidden="1" customHeight="1" x14ac:dyDescent="0.3">
      <c r="A6608" s="9">
        <v>6339</v>
      </c>
      <c r="B6608" t="s">
        <v>215</v>
      </c>
      <c r="C6608" s="25">
        <v>44734</v>
      </c>
      <c r="D6608" s="26">
        <v>0.52179398148148148</v>
      </c>
      <c r="E6608" t="s">
        <v>29</v>
      </c>
      <c r="F6608" t="s">
        <v>651</v>
      </c>
      <c r="G6608" t="s">
        <v>172</v>
      </c>
      <c r="H6608" t="s">
        <v>540</v>
      </c>
      <c r="I6608">
        <v>320.93</v>
      </c>
      <c r="J6608" s="32">
        <v>0</v>
      </c>
      <c r="K6608" s="89">
        <v>944</v>
      </c>
      <c r="L6608" s="30">
        <v>944</v>
      </c>
      <c r="M6608" s="10">
        <f t="shared" si="408"/>
        <v>33.996822033898304</v>
      </c>
    </row>
    <row r="6609" spans="1:13" ht="15.75" hidden="1" customHeight="1" x14ac:dyDescent="0.3">
      <c r="A6609" s="9">
        <v>6751</v>
      </c>
      <c r="B6609" t="s">
        <v>215</v>
      </c>
      <c r="C6609" s="25">
        <v>44742</v>
      </c>
      <c r="D6609" s="26">
        <v>0.83107638888888891</v>
      </c>
      <c r="E6609" t="s">
        <v>29</v>
      </c>
      <c r="F6609" t="s">
        <v>197</v>
      </c>
      <c r="G6609" t="s">
        <v>44</v>
      </c>
      <c r="H6609" t="s">
        <v>540</v>
      </c>
      <c r="I6609" s="148">
        <v>99.36</v>
      </c>
      <c r="J6609" s="54"/>
      <c r="K6609" s="56">
        <v>369852</v>
      </c>
      <c r="L6609" s="54">
        <f>+K6609-J6609</f>
        <v>369852</v>
      </c>
      <c r="M6609" s="131">
        <f>I6609/L6609*100</f>
        <v>2.686479997404367E-2</v>
      </c>
    </row>
    <row r="6610" spans="1:13" ht="15.75" hidden="1" customHeight="1" x14ac:dyDescent="0.3">
      <c r="B6610" t="s">
        <v>383</v>
      </c>
      <c r="C6610" s="25">
        <v>44754</v>
      </c>
      <c r="D6610" s="26">
        <v>0.40832175925925923</v>
      </c>
      <c r="E6610" t="s">
        <v>30</v>
      </c>
      <c r="F6610" t="s">
        <v>197</v>
      </c>
      <c r="G6610" t="s">
        <v>44</v>
      </c>
      <c r="H6610" t="s">
        <v>306</v>
      </c>
      <c r="I6610" s="173">
        <v>125.34</v>
      </c>
      <c r="J6610" s="233"/>
      <c r="K6610" s="233"/>
      <c r="L6610" s="233"/>
      <c r="M6610" s="236"/>
    </row>
    <row r="6611" spans="1:13" ht="15.75" hidden="1" customHeight="1" x14ac:dyDescent="0.3">
      <c r="B6611" t="s">
        <v>383</v>
      </c>
      <c r="C6611" s="25">
        <v>44754</v>
      </c>
      <c r="D6611" s="26">
        <v>0.87863425925925931</v>
      </c>
      <c r="E6611" t="s">
        <v>30</v>
      </c>
      <c r="F6611" t="s">
        <v>210</v>
      </c>
      <c r="G6611" t="s">
        <v>211</v>
      </c>
      <c r="H6611" t="s">
        <v>306</v>
      </c>
      <c r="I6611" s="173">
        <v>284.98</v>
      </c>
      <c r="J6611" s="233"/>
      <c r="K6611" s="233"/>
      <c r="L6611" s="233"/>
      <c r="M6611" s="19"/>
    </row>
    <row r="6612" spans="1:13" ht="15.75" hidden="1" customHeight="1" x14ac:dyDescent="0.3">
      <c r="B6612" t="s">
        <v>383</v>
      </c>
      <c r="C6612" s="25">
        <v>44757</v>
      </c>
      <c r="D6612" s="26">
        <v>0.5860995370370371</v>
      </c>
      <c r="E6612" t="s">
        <v>30</v>
      </c>
      <c r="F6612" t="s">
        <v>210</v>
      </c>
      <c r="G6612" t="s">
        <v>211</v>
      </c>
      <c r="H6612" t="s">
        <v>306</v>
      </c>
      <c r="I6612" s="285">
        <v>439.18</v>
      </c>
      <c r="J6612" s="288">
        <f>439+285+125</f>
        <v>849</v>
      </c>
      <c r="K6612" s="288"/>
      <c r="L6612" s="294">
        <v>1580</v>
      </c>
      <c r="M6612" s="244"/>
    </row>
    <row r="6613" spans="1:13" ht="15.75" hidden="1" customHeight="1" x14ac:dyDescent="0.3">
      <c r="B6613" t="s">
        <v>383</v>
      </c>
      <c r="C6613" s="25">
        <v>44758</v>
      </c>
      <c r="D6613" s="26">
        <v>0.31883101851851853</v>
      </c>
      <c r="E6613" t="s">
        <v>30</v>
      </c>
      <c r="F6613" t="s">
        <v>169</v>
      </c>
      <c r="G6613" t="s">
        <v>196</v>
      </c>
      <c r="H6613" t="s">
        <v>306</v>
      </c>
      <c r="I6613" s="173">
        <v>169.39</v>
      </c>
      <c r="J6613" s="233"/>
      <c r="K6613" s="233"/>
      <c r="L6613" s="233"/>
      <c r="M6613" s="245"/>
    </row>
    <row r="6614" spans="1:13" ht="15.75" hidden="1" customHeight="1" x14ac:dyDescent="0.3">
      <c r="B6614" t="s">
        <v>383</v>
      </c>
      <c r="C6614" s="25">
        <v>44758</v>
      </c>
      <c r="D6614" s="26">
        <v>0.71567129629629633</v>
      </c>
      <c r="E6614" t="s">
        <v>30</v>
      </c>
      <c r="F6614" t="s">
        <v>175</v>
      </c>
      <c r="G6614" t="s">
        <v>172</v>
      </c>
      <c r="H6614" t="s">
        <v>306</v>
      </c>
      <c r="I6614" s="173">
        <v>228.8</v>
      </c>
      <c r="J6614" s="233"/>
      <c r="K6614" s="233"/>
      <c r="L6614" s="233"/>
      <c r="M6614" s="236"/>
    </row>
    <row r="6615" spans="1:13" ht="15.75" hidden="1" customHeight="1" x14ac:dyDescent="0.3">
      <c r="B6615" t="s">
        <v>383</v>
      </c>
      <c r="C6615" s="25">
        <v>44759</v>
      </c>
      <c r="D6615" s="26">
        <v>0.72978009259259258</v>
      </c>
      <c r="E6615" t="s">
        <v>30</v>
      </c>
      <c r="F6615" t="s">
        <v>210</v>
      </c>
      <c r="G6615" t="s">
        <v>211</v>
      </c>
      <c r="H6615" t="s">
        <v>306</v>
      </c>
      <c r="I6615" s="173">
        <v>395.9</v>
      </c>
      <c r="J6615" s="231">
        <f>396+229+169+439</f>
        <v>1233</v>
      </c>
      <c r="K6615" s="231"/>
      <c r="L6615" s="231">
        <v>1924</v>
      </c>
      <c r="M6615" s="173"/>
    </row>
    <row r="6616" spans="1:13" ht="15.75" hidden="1" customHeight="1" x14ac:dyDescent="0.3">
      <c r="B6616" t="s">
        <v>383</v>
      </c>
      <c r="C6616" s="25">
        <v>44760</v>
      </c>
      <c r="D6616" s="26">
        <v>0.70554398148148145</v>
      </c>
      <c r="E6616" t="s">
        <v>30</v>
      </c>
      <c r="F6616" t="s">
        <v>165</v>
      </c>
      <c r="G6616" t="s">
        <v>185</v>
      </c>
      <c r="H6616" t="s">
        <v>306</v>
      </c>
      <c r="I6616" s="160">
        <v>284.47000000000003</v>
      </c>
      <c r="J6616" s="8"/>
      <c r="K6616" s="8">
        <v>12345</v>
      </c>
      <c r="L6616" s="8">
        <f>+K6616-J6616</f>
        <v>12345</v>
      </c>
      <c r="M6616" s="254">
        <f>+J6616/L6616*100</f>
        <v>0</v>
      </c>
    </row>
    <row r="6617" spans="1:13" ht="15.75" hidden="1" customHeight="1" x14ac:dyDescent="0.3">
      <c r="B6617" t="s">
        <v>383</v>
      </c>
      <c r="C6617" s="25">
        <v>44761</v>
      </c>
      <c r="D6617" s="26">
        <v>0.89703703703703708</v>
      </c>
      <c r="E6617" t="s">
        <v>30</v>
      </c>
      <c r="F6617" t="s">
        <v>210</v>
      </c>
      <c r="G6617" t="s">
        <v>211</v>
      </c>
      <c r="H6617" t="s">
        <v>306</v>
      </c>
      <c r="I6617" s="160">
        <v>229.74</v>
      </c>
      <c r="J6617" s="160">
        <f>230+284</f>
        <v>514</v>
      </c>
      <c r="K6617" s="160">
        <v>120641</v>
      </c>
      <c r="L6617" s="160">
        <v>1129</v>
      </c>
      <c r="M6617" s="254">
        <f>+J6617/L6617*100</f>
        <v>45.527015057573074</v>
      </c>
    </row>
    <row r="6618" spans="1:13" ht="15.75" hidden="1" customHeight="1" x14ac:dyDescent="0.3">
      <c r="B6618" t="s">
        <v>383</v>
      </c>
      <c r="C6618" s="25">
        <v>44762</v>
      </c>
      <c r="D6618" s="26">
        <v>0.30849537037037039</v>
      </c>
      <c r="E6618" t="s">
        <v>30</v>
      </c>
      <c r="F6618" t="s">
        <v>169</v>
      </c>
      <c r="G6618" t="s">
        <v>196</v>
      </c>
      <c r="H6618" t="s">
        <v>306</v>
      </c>
      <c r="I6618" s="160">
        <v>170.9</v>
      </c>
      <c r="J6618" s="8"/>
      <c r="K6618" s="8">
        <v>98568</v>
      </c>
      <c r="L6618" s="8">
        <f>+K6618-J6618</f>
        <v>98568</v>
      </c>
      <c r="M6618" s="254">
        <f>+J6618/L6618*100</f>
        <v>0</v>
      </c>
    </row>
    <row r="6619" spans="1:13" ht="15.75" hidden="1" customHeight="1" x14ac:dyDescent="0.3">
      <c r="B6619" t="s">
        <v>383</v>
      </c>
      <c r="C6619" s="25">
        <v>44763</v>
      </c>
      <c r="D6619" s="26">
        <v>0.90393518518518512</v>
      </c>
      <c r="E6619" t="s">
        <v>30</v>
      </c>
      <c r="F6619" t="s">
        <v>197</v>
      </c>
      <c r="G6619" t="s">
        <v>44</v>
      </c>
      <c r="H6619" t="s">
        <v>306</v>
      </c>
      <c r="I6619" s="160">
        <v>99.36</v>
      </c>
      <c r="J6619" s="8"/>
      <c r="K6619" s="8">
        <v>888999</v>
      </c>
      <c r="L6619" s="8">
        <f>+K6619-J6619</f>
        <v>888999</v>
      </c>
      <c r="M6619" s="254">
        <f>+J6619/L6619*100</f>
        <v>0</v>
      </c>
    </row>
    <row r="6620" spans="1:13" ht="15.75" hidden="1" customHeight="1" x14ac:dyDescent="0.3">
      <c r="B6620" t="s">
        <v>200</v>
      </c>
      <c r="C6620" s="25">
        <v>44567</v>
      </c>
      <c r="D6620" s="26">
        <v>0.99594907407407407</v>
      </c>
      <c r="E6620" t="s">
        <v>24</v>
      </c>
      <c r="F6620" t="s">
        <v>210</v>
      </c>
      <c r="G6620" t="s">
        <v>211</v>
      </c>
      <c r="H6620" t="s">
        <v>201</v>
      </c>
      <c r="I6620">
        <v>431.44</v>
      </c>
      <c r="J6620" s="34">
        <v>0</v>
      </c>
      <c r="K6620" s="34">
        <f t="shared" ref="K6620:K6651" si="409">+L6620-J6620</f>
        <v>1258.1600000000001</v>
      </c>
      <c r="L6620" s="34">
        <v>1258.1600000000001</v>
      </c>
      <c r="M6620" s="118">
        <f t="shared" ref="M6620:M6651" si="410">I6620/K6620*100</f>
        <v>34.29134609270681</v>
      </c>
    </row>
    <row r="6621" spans="1:13" ht="15.75" hidden="1" customHeight="1" x14ac:dyDescent="0.3">
      <c r="B6621" t="s">
        <v>200</v>
      </c>
      <c r="C6621" s="25">
        <v>44568</v>
      </c>
      <c r="D6621" s="26">
        <v>0.71733796296296293</v>
      </c>
      <c r="E6621" t="s">
        <v>24</v>
      </c>
      <c r="F6621" t="s">
        <v>210</v>
      </c>
      <c r="G6621" t="s">
        <v>211</v>
      </c>
      <c r="H6621" t="s">
        <v>201</v>
      </c>
      <c r="I6621">
        <v>371.22</v>
      </c>
      <c r="J6621" s="7">
        <v>0</v>
      </c>
      <c r="K6621" s="11">
        <f t="shared" si="409"/>
        <v>1061.8499999999999</v>
      </c>
      <c r="L6621" s="30">
        <v>1061.8499999999999</v>
      </c>
      <c r="M6621" s="10">
        <f t="shared" si="410"/>
        <v>34.959740076281967</v>
      </c>
    </row>
    <row r="6622" spans="1:13" ht="15.75" hidden="1" customHeight="1" x14ac:dyDescent="0.3">
      <c r="B6622" t="s">
        <v>200</v>
      </c>
      <c r="C6622" s="25">
        <v>44571</v>
      </c>
      <c r="D6622" s="26">
        <v>0.92118055555555556</v>
      </c>
      <c r="E6622" t="s">
        <v>24</v>
      </c>
      <c r="F6622" t="s">
        <v>210</v>
      </c>
      <c r="G6622" t="s">
        <v>211</v>
      </c>
      <c r="H6622" t="s">
        <v>201</v>
      </c>
      <c r="I6622">
        <v>658.17</v>
      </c>
      <c r="J6622" s="7">
        <v>0</v>
      </c>
      <c r="K6622" s="11">
        <f t="shared" si="409"/>
        <v>1744.94</v>
      </c>
      <c r="L6622" s="28">
        <v>1744.94</v>
      </c>
      <c r="M6622" s="10">
        <f t="shared" si="410"/>
        <v>37.71877543067383</v>
      </c>
    </row>
    <row r="6623" spans="1:13" ht="15.75" hidden="1" customHeight="1" x14ac:dyDescent="0.3">
      <c r="B6623" t="s">
        <v>200</v>
      </c>
      <c r="C6623" s="25">
        <v>44572</v>
      </c>
      <c r="D6623" s="26">
        <v>0.86615740740740732</v>
      </c>
      <c r="E6623" t="s">
        <v>24</v>
      </c>
      <c r="F6623" t="s">
        <v>210</v>
      </c>
      <c r="G6623" t="s">
        <v>211</v>
      </c>
      <c r="H6623" t="s">
        <v>201</v>
      </c>
      <c r="I6623">
        <v>362.82</v>
      </c>
      <c r="J6623" s="7">
        <v>0</v>
      </c>
      <c r="K6623" s="11">
        <f t="shared" si="409"/>
        <v>1062.3900000000001</v>
      </c>
      <c r="L6623" s="7">
        <v>1062.3900000000001</v>
      </c>
      <c r="M6623" s="10">
        <f t="shared" si="410"/>
        <v>34.151300369920648</v>
      </c>
    </row>
    <row r="6624" spans="1:13" ht="15.75" hidden="1" customHeight="1" x14ac:dyDescent="0.3">
      <c r="B6624" t="s">
        <v>200</v>
      </c>
      <c r="C6624" s="25">
        <v>44575</v>
      </c>
      <c r="D6624" s="26">
        <v>0.49033564814814817</v>
      </c>
      <c r="E6624" t="s">
        <v>24</v>
      </c>
      <c r="F6624" t="s">
        <v>210</v>
      </c>
      <c r="G6624" t="s">
        <v>211</v>
      </c>
      <c r="H6624" t="s">
        <v>201</v>
      </c>
      <c r="I6624">
        <v>658.46</v>
      </c>
      <c r="J6624" s="7">
        <v>0</v>
      </c>
      <c r="K6624" s="11">
        <f t="shared" si="409"/>
        <v>1758.71</v>
      </c>
      <c r="L6624" s="7">
        <v>1758.71</v>
      </c>
      <c r="M6624" s="10">
        <f t="shared" si="410"/>
        <v>37.439941775505915</v>
      </c>
    </row>
    <row r="6625" spans="1:13" ht="15.75" hidden="1" customHeight="1" x14ac:dyDescent="0.3">
      <c r="B6625" t="s">
        <v>200</v>
      </c>
      <c r="C6625" s="25">
        <v>44576</v>
      </c>
      <c r="D6625" s="26">
        <v>0.83906249999999993</v>
      </c>
      <c r="E6625" t="s">
        <v>24</v>
      </c>
      <c r="F6625" t="s">
        <v>210</v>
      </c>
      <c r="G6625" t="s">
        <v>211</v>
      </c>
      <c r="H6625" t="s">
        <v>201</v>
      </c>
      <c r="I6625">
        <v>384.77</v>
      </c>
      <c r="J6625" s="7">
        <v>735129</v>
      </c>
      <c r="K6625" s="11">
        <f t="shared" si="409"/>
        <v>1101</v>
      </c>
      <c r="L6625" s="7">
        <v>736230</v>
      </c>
      <c r="M6625" s="10">
        <f t="shared" si="410"/>
        <v>34.947320617620342</v>
      </c>
    </row>
    <row r="6626" spans="1:13" ht="15.75" hidden="1" customHeight="1" x14ac:dyDescent="0.3">
      <c r="B6626" t="s">
        <v>200</v>
      </c>
      <c r="C6626" s="25">
        <v>44579</v>
      </c>
      <c r="D6626" s="26">
        <v>0.75599537037037035</v>
      </c>
      <c r="E6626" t="s">
        <v>24</v>
      </c>
      <c r="F6626" t="s">
        <v>210</v>
      </c>
      <c r="G6626" t="s">
        <v>211</v>
      </c>
      <c r="H6626" t="s">
        <v>201</v>
      </c>
      <c r="I6626">
        <v>680.1</v>
      </c>
      <c r="J6626" s="7">
        <v>736230</v>
      </c>
      <c r="K6626" s="11">
        <f t="shared" si="409"/>
        <v>1899</v>
      </c>
      <c r="L6626" s="11">
        <v>738129</v>
      </c>
      <c r="M6626" s="10">
        <f t="shared" si="410"/>
        <v>35.813586097946285</v>
      </c>
    </row>
    <row r="6627" spans="1:13" ht="15.75" hidden="1" customHeight="1" x14ac:dyDescent="0.3">
      <c r="B6627" t="s">
        <v>200</v>
      </c>
      <c r="C6627" s="25">
        <v>44580</v>
      </c>
      <c r="D6627" s="26">
        <v>0.85510416666666667</v>
      </c>
      <c r="E6627" t="s">
        <v>24</v>
      </c>
      <c r="F6627" t="s">
        <v>165</v>
      </c>
      <c r="G6627" t="s">
        <v>185</v>
      </c>
      <c r="H6627" t="s">
        <v>201</v>
      </c>
      <c r="I6627">
        <v>232.25</v>
      </c>
      <c r="J6627" s="7">
        <v>738129</v>
      </c>
      <c r="K6627" s="11">
        <f t="shared" si="409"/>
        <v>567</v>
      </c>
      <c r="L6627" s="31">
        <v>738696</v>
      </c>
      <c r="M6627" s="10">
        <f t="shared" si="410"/>
        <v>40.961199294532626</v>
      </c>
    </row>
    <row r="6628" spans="1:13" ht="15.75" hidden="1" customHeight="1" x14ac:dyDescent="0.3">
      <c r="B6628" t="s">
        <v>200</v>
      </c>
      <c r="C6628" s="25">
        <v>44582</v>
      </c>
      <c r="D6628" s="26">
        <v>0.56457175925925929</v>
      </c>
      <c r="E6628" t="s">
        <v>24</v>
      </c>
      <c r="F6628" t="s">
        <v>210</v>
      </c>
      <c r="G6628" t="s">
        <v>211</v>
      </c>
      <c r="H6628" t="s">
        <v>201</v>
      </c>
      <c r="I6628">
        <v>671.37</v>
      </c>
      <c r="J6628" s="7">
        <v>0</v>
      </c>
      <c r="K6628" s="11">
        <f t="shared" si="409"/>
        <v>2139.17</v>
      </c>
      <c r="L6628" s="7">
        <v>2139.17</v>
      </c>
      <c r="M6628" s="10">
        <f t="shared" si="410"/>
        <v>31.384602439263826</v>
      </c>
    </row>
    <row r="6629" spans="1:13" ht="15.75" hidden="1" customHeight="1" x14ac:dyDescent="0.3">
      <c r="B6629" t="s">
        <v>200</v>
      </c>
      <c r="C6629" s="25">
        <v>44584</v>
      </c>
      <c r="D6629" s="26">
        <v>0.87207175925925917</v>
      </c>
      <c r="E6629" t="s">
        <v>24</v>
      </c>
      <c r="F6629" t="s">
        <v>210</v>
      </c>
      <c r="G6629" t="s">
        <v>211</v>
      </c>
      <c r="H6629" t="s">
        <v>201</v>
      </c>
      <c r="I6629">
        <v>719.07</v>
      </c>
      <c r="J6629" s="7">
        <v>0</v>
      </c>
      <c r="K6629" s="11">
        <f t="shared" si="409"/>
        <v>1867.68</v>
      </c>
      <c r="L6629" s="7">
        <v>1867.68</v>
      </c>
      <c r="M6629" s="10">
        <f t="shared" si="410"/>
        <v>38.500706759187871</v>
      </c>
    </row>
    <row r="6630" spans="1:13" ht="15.75" hidden="1" customHeight="1" x14ac:dyDescent="0.3">
      <c r="B6630" t="s">
        <v>200</v>
      </c>
      <c r="C6630" s="25">
        <v>44585</v>
      </c>
      <c r="D6630" s="26">
        <v>0.85105324074074085</v>
      </c>
      <c r="E6630" t="s">
        <v>24</v>
      </c>
      <c r="F6630" t="s">
        <v>210</v>
      </c>
      <c r="G6630" t="s">
        <v>211</v>
      </c>
      <c r="H6630" t="s">
        <v>201</v>
      </c>
      <c r="I6630">
        <v>367.63</v>
      </c>
      <c r="J6630" s="7">
        <v>0</v>
      </c>
      <c r="K6630" s="11">
        <f t="shared" si="409"/>
        <v>1062.45</v>
      </c>
      <c r="L6630" s="7">
        <v>1062.45</v>
      </c>
      <c r="M6630" s="10">
        <f t="shared" si="410"/>
        <v>34.602098922302226</v>
      </c>
    </row>
    <row r="6631" spans="1:13" ht="15.75" hidden="1" customHeight="1" x14ac:dyDescent="0.3">
      <c r="B6631" t="s">
        <v>200</v>
      </c>
      <c r="C6631" s="25">
        <v>44587</v>
      </c>
      <c r="D6631" s="26">
        <v>0.99659722222222225</v>
      </c>
      <c r="E6631" t="s">
        <v>24</v>
      </c>
      <c r="F6631" t="s">
        <v>210</v>
      </c>
      <c r="G6631" t="s">
        <v>211</v>
      </c>
      <c r="H6631" t="s">
        <v>201</v>
      </c>
      <c r="I6631">
        <v>668.11</v>
      </c>
      <c r="J6631" s="7">
        <v>0</v>
      </c>
      <c r="K6631" s="73">
        <f t="shared" si="409"/>
        <v>1810.42</v>
      </c>
      <c r="L6631" s="33">
        <v>1810.42</v>
      </c>
      <c r="M6631" s="10">
        <f t="shared" si="410"/>
        <v>36.903591431822448</v>
      </c>
    </row>
    <row r="6632" spans="1:13" ht="15.75" hidden="1" customHeight="1" x14ac:dyDescent="0.3">
      <c r="B6632" t="s">
        <v>200</v>
      </c>
      <c r="C6632" s="25">
        <v>44589</v>
      </c>
      <c r="D6632" s="26">
        <v>0.30349537037037039</v>
      </c>
      <c r="E6632" t="s">
        <v>24</v>
      </c>
      <c r="F6632" t="s">
        <v>210</v>
      </c>
      <c r="G6632" t="s">
        <v>211</v>
      </c>
      <c r="H6632" t="s">
        <v>201</v>
      </c>
      <c r="I6632">
        <v>386.42</v>
      </c>
      <c r="J6632" s="7">
        <v>0</v>
      </c>
      <c r="K6632" s="11">
        <f t="shared" si="409"/>
        <v>1062.32</v>
      </c>
      <c r="L6632" s="7">
        <v>1062.32</v>
      </c>
      <c r="M6632" s="10">
        <f t="shared" si="410"/>
        <v>36.375103546953838</v>
      </c>
    </row>
    <row r="6633" spans="1:13" ht="15.75" hidden="1" customHeight="1" x14ac:dyDescent="0.3">
      <c r="B6633" t="s">
        <v>200</v>
      </c>
      <c r="C6633" s="25">
        <v>44591</v>
      </c>
      <c r="D6633" s="26">
        <v>0.44093749999999998</v>
      </c>
      <c r="E6633" t="s">
        <v>24</v>
      </c>
      <c r="F6633" t="s">
        <v>210</v>
      </c>
      <c r="G6633" t="s">
        <v>211</v>
      </c>
      <c r="H6633" t="s">
        <v>201</v>
      </c>
      <c r="I6633">
        <v>644.26</v>
      </c>
      <c r="J6633" s="7">
        <v>0</v>
      </c>
      <c r="K6633" s="7">
        <f t="shared" si="409"/>
        <v>1814.69</v>
      </c>
      <c r="L6633" s="11">
        <v>1814.69</v>
      </c>
      <c r="M6633" s="10">
        <f t="shared" si="410"/>
        <v>35.50248251767519</v>
      </c>
    </row>
    <row r="6634" spans="1:13" ht="15.75" hidden="1" customHeight="1" x14ac:dyDescent="0.3">
      <c r="B6634" t="s">
        <v>200</v>
      </c>
      <c r="C6634" s="25">
        <v>44592</v>
      </c>
      <c r="D6634" s="26">
        <v>0.75658564814814822</v>
      </c>
      <c r="E6634" t="s">
        <v>24</v>
      </c>
      <c r="F6634" t="s">
        <v>210</v>
      </c>
      <c r="G6634" t="s">
        <v>211</v>
      </c>
      <c r="H6634" t="s">
        <v>201</v>
      </c>
      <c r="I6634">
        <v>483.29</v>
      </c>
      <c r="J6634" s="7">
        <v>0</v>
      </c>
      <c r="K6634" s="30">
        <f t="shared" si="409"/>
        <v>1119.8800000000001</v>
      </c>
      <c r="L6634" s="34">
        <v>1119.8800000000001</v>
      </c>
      <c r="M6634" s="10">
        <f t="shared" si="410"/>
        <v>43.155516662499551</v>
      </c>
    </row>
    <row r="6635" spans="1:13" ht="15.75" hidden="1" customHeight="1" x14ac:dyDescent="0.3">
      <c r="A6635" s="9">
        <v>371</v>
      </c>
      <c r="B6635" t="s">
        <v>200</v>
      </c>
      <c r="C6635" s="25">
        <v>44594</v>
      </c>
      <c r="D6635" s="26">
        <v>0.74228009259259264</v>
      </c>
      <c r="E6635" t="s">
        <v>25</v>
      </c>
      <c r="F6635" t="s">
        <v>210</v>
      </c>
      <c r="G6635" t="s">
        <v>211</v>
      </c>
      <c r="H6635" t="s">
        <v>201</v>
      </c>
      <c r="I6635">
        <v>645.17999999999995</v>
      </c>
      <c r="J6635" s="7">
        <v>0</v>
      </c>
      <c r="K6635" s="11">
        <f t="shared" si="409"/>
        <v>1735.89</v>
      </c>
      <c r="L6635" s="7">
        <v>1735.89</v>
      </c>
      <c r="M6635" s="10">
        <f t="shared" si="410"/>
        <v>37.167101602060029</v>
      </c>
    </row>
    <row r="6636" spans="1:13" ht="15.75" hidden="1" customHeight="1" x14ac:dyDescent="0.3">
      <c r="A6636" s="9">
        <v>372</v>
      </c>
      <c r="B6636" t="s">
        <v>200</v>
      </c>
      <c r="C6636" s="25">
        <v>44595</v>
      </c>
      <c r="D6636" s="26">
        <v>0.97803240740740749</v>
      </c>
      <c r="E6636" t="s">
        <v>25</v>
      </c>
      <c r="F6636" t="s">
        <v>210</v>
      </c>
      <c r="G6636" t="s">
        <v>211</v>
      </c>
      <c r="H6636" t="s">
        <v>201</v>
      </c>
      <c r="I6636">
        <v>389.98</v>
      </c>
      <c r="J6636" s="34">
        <v>0</v>
      </c>
      <c r="K6636" s="11">
        <f t="shared" si="409"/>
        <v>1062.3800000000001</v>
      </c>
      <c r="L6636" s="7">
        <v>1062.3800000000001</v>
      </c>
      <c r="M6636" s="10">
        <f t="shared" si="410"/>
        <v>36.708145861179617</v>
      </c>
    </row>
    <row r="6637" spans="1:13" ht="15.75" hidden="1" customHeight="1" x14ac:dyDescent="0.3">
      <c r="A6637" s="9">
        <v>373</v>
      </c>
      <c r="B6637" t="s">
        <v>200</v>
      </c>
      <c r="C6637" s="25">
        <v>44596</v>
      </c>
      <c r="D6637" s="26">
        <v>0.77137731481481486</v>
      </c>
      <c r="E6637" t="s">
        <v>25</v>
      </c>
      <c r="F6637" t="s">
        <v>175</v>
      </c>
      <c r="G6637" t="s">
        <v>172</v>
      </c>
      <c r="H6637" t="s">
        <v>201</v>
      </c>
      <c r="I6637">
        <v>335.41</v>
      </c>
      <c r="J6637" s="34">
        <v>0</v>
      </c>
      <c r="K6637" s="11">
        <f t="shared" si="409"/>
        <v>959.15</v>
      </c>
      <c r="L6637" s="30">
        <v>959.15</v>
      </c>
      <c r="M6637" s="10">
        <f t="shared" si="410"/>
        <v>34.969504248553413</v>
      </c>
    </row>
    <row r="6638" spans="1:13" ht="15.75" hidden="1" customHeight="1" x14ac:dyDescent="0.3">
      <c r="A6638" s="9">
        <v>374</v>
      </c>
      <c r="B6638" t="s">
        <v>200</v>
      </c>
      <c r="C6638" s="25">
        <v>44604</v>
      </c>
      <c r="D6638" s="26">
        <v>0.85706018518518512</v>
      </c>
      <c r="E6638" t="s">
        <v>25</v>
      </c>
      <c r="F6638" t="s">
        <v>210</v>
      </c>
      <c r="G6638" t="s">
        <v>211</v>
      </c>
      <c r="H6638" t="s">
        <v>201</v>
      </c>
      <c r="I6638">
        <v>362.87</v>
      </c>
      <c r="J6638" s="7">
        <v>0</v>
      </c>
      <c r="K6638" s="11">
        <f t="shared" si="409"/>
        <v>849.72</v>
      </c>
      <c r="L6638" s="7">
        <v>849.72</v>
      </c>
      <c r="M6638" s="10">
        <f t="shared" si="410"/>
        <v>42.704655651273363</v>
      </c>
    </row>
    <row r="6639" spans="1:13" ht="15.75" hidden="1" customHeight="1" x14ac:dyDescent="0.3">
      <c r="A6639" s="9">
        <v>375</v>
      </c>
      <c r="B6639" t="s">
        <v>200</v>
      </c>
      <c r="C6639" s="25">
        <v>44605</v>
      </c>
      <c r="D6639" s="26">
        <v>0.70122685185185185</v>
      </c>
      <c r="E6639" t="s">
        <v>25</v>
      </c>
      <c r="F6639" t="s">
        <v>210</v>
      </c>
      <c r="G6639" t="s">
        <v>211</v>
      </c>
      <c r="H6639" t="s">
        <v>201</v>
      </c>
      <c r="I6639">
        <v>390.8</v>
      </c>
      <c r="J6639" s="7">
        <v>0</v>
      </c>
      <c r="K6639" s="11">
        <f t="shared" si="409"/>
        <v>1062.3</v>
      </c>
      <c r="L6639" s="7">
        <v>1062.3</v>
      </c>
      <c r="M6639" s="10">
        <f t="shared" si="410"/>
        <v>36.78810128965452</v>
      </c>
    </row>
    <row r="6640" spans="1:13" ht="15.75" hidden="1" customHeight="1" x14ac:dyDescent="0.3">
      <c r="A6640" s="9">
        <v>376</v>
      </c>
      <c r="B6640" t="s">
        <v>200</v>
      </c>
      <c r="C6640" s="25">
        <v>44607</v>
      </c>
      <c r="D6640" s="26">
        <v>0.77520833333333339</v>
      </c>
      <c r="E6640" t="s">
        <v>25</v>
      </c>
      <c r="F6640" t="s">
        <v>210</v>
      </c>
      <c r="G6640" t="s">
        <v>211</v>
      </c>
      <c r="H6640" t="s">
        <v>201</v>
      </c>
      <c r="I6640">
        <v>657.32</v>
      </c>
      <c r="J6640" s="7">
        <v>0</v>
      </c>
      <c r="K6640" s="11">
        <f t="shared" si="409"/>
        <v>1728.15</v>
      </c>
      <c r="L6640" s="7">
        <v>1728.15</v>
      </c>
      <c r="M6640" s="10">
        <f t="shared" si="410"/>
        <v>38.036050111390793</v>
      </c>
    </row>
    <row r="6641" spans="1:13" ht="15.75" hidden="1" customHeight="1" x14ac:dyDescent="0.3">
      <c r="A6641" s="9">
        <v>377</v>
      </c>
      <c r="B6641" t="s">
        <v>200</v>
      </c>
      <c r="C6641" s="25">
        <v>44608</v>
      </c>
      <c r="D6641" s="26">
        <v>0.95506944444444442</v>
      </c>
      <c r="E6641" t="s">
        <v>25</v>
      </c>
      <c r="F6641" t="s">
        <v>210</v>
      </c>
      <c r="G6641" t="s">
        <v>211</v>
      </c>
      <c r="H6641" t="s">
        <v>201</v>
      </c>
      <c r="I6641">
        <v>441.79</v>
      </c>
      <c r="J6641" s="7">
        <v>0</v>
      </c>
      <c r="K6641" s="7">
        <f t="shared" si="409"/>
        <v>1119.99</v>
      </c>
      <c r="L6641" s="32">
        <v>1119.99</v>
      </c>
      <c r="M6641" s="10">
        <f t="shared" si="410"/>
        <v>39.445887909713477</v>
      </c>
    </row>
    <row r="6642" spans="1:13" ht="15.75" hidden="1" customHeight="1" x14ac:dyDescent="0.3">
      <c r="A6642" s="9">
        <v>378</v>
      </c>
      <c r="B6642" t="s">
        <v>200</v>
      </c>
      <c r="C6642" s="25">
        <v>44611</v>
      </c>
      <c r="D6642" s="26">
        <v>0.62763888888888886</v>
      </c>
      <c r="E6642" t="s">
        <v>25</v>
      </c>
      <c r="F6642" t="s">
        <v>210</v>
      </c>
      <c r="G6642" t="s">
        <v>211</v>
      </c>
      <c r="H6642" t="s">
        <v>201</v>
      </c>
      <c r="I6642">
        <v>683.24</v>
      </c>
      <c r="J6642" s="7">
        <v>0</v>
      </c>
      <c r="K6642" s="7">
        <f t="shared" si="409"/>
        <v>1790.66</v>
      </c>
      <c r="L6642" s="32">
        <v>1790.66</v>
      </c>
      <c r="M6642" s="10">
        <f t="shared" si="410"/>
        <v>38.155763796588964</v>
      </c>
    </row>
    <row r="6643" spans="1:13" ht="15.75" hidden="1" customHeight="1" x14ac:dyDescent="0.3">
      <c r="A6643" s="9">
        <v>379</v>
      </c>
      <c r="B6643" t="s">
        <v>200</v>
      </c>
      <c r="C6643" s="25">
        <v>44612</v>
      </c>
      <c r="D6643" s="26">
        <v>0.16413194444444446</v>
      </c>
      <c r="E6643" t="s">
        <v>25</v>
      </c>
      <c r="F6643" t="s">
        <v>165</v>
      </c>
      <c r="G6643" t="s">
        <v>185</v>
      </c>
      <c r="H6643" t="s">
        <v>201</v>
      </c>
      <c r="I6643">
        <v>241.02</v>
      </c>
      <c r="J6643" s="7">
        <v>0</v>
      </c>
      <c r="K6643" s="28">
        <f t="shared" si="409"/>
        <v>548.36</v>
      </c>
      <c r="L6643" s="83">
        <v>548.36</v>
      </c>
      <c r="M6643" s="10">
        <f t="shared" si="410"/>
        <v>43.9528776716026</v>
      </c>
    </row>
    <row r="6644" spans="1:13" ht="15.75" hidden="1" customHeight="1" x14ac:dyDescent="0.3">
      <c r="A6644" s="9">
        <v>380</v>
      </c>
      <c r="B6644" t="s">
        <v>200</v>
      </c>
      <c r="C6644" s="25">
        <v>44614</v>
      </c>
      <c r="D6644" s="26">
        <v>0.83753472222222225</v>
      </c>
      <c r="E6644" t="s">
        <v>25</v>
      </c>
      <c r="F6644" t="s">
        <v>165</v>
      </c>
      <c r="G6644" t="s">
        <v>185</v>
      </c>
      <c r="H6644" t="s">
        <v>201</v>
      </c>
      <c r="I6644">
        <v>310.82</v>
      </c>
      <c r="J6644" s="39">
        <v>0</v>
      </c>
      <c r="K6644" s="7">
        <f t="shared" si="409"/>
        <v>1636.31</v>
      </c>
      <c r="L6644" s="34">
        <v>1636.31</v>
      </c>
      <c r="M6644" s="10">
        <f t="shared" si="410"/>
        <v>18.995178175284636</v>
      </c>
    </row>
    <row r="6645" spans="1:13" ht="15.75" hidden="1" customHeight="1" x14ac:dyDescent="0.3">
      <c r="A6645" s="9">
        <v>381</v>
      </c>
      <c r="B6645" t="s">
        <v>200</v>
      </c>
      <c r="C6645" s="25">
        <v>44615</v>
      </c>
      <c r="D6645" s="26">
        <v>0.1040625</v>
      </c>
      <c r="E6645" t="s">
        <v>25</v>
      </c>
      <c r="F6645" t="s">
        <v>210</v>
      </c>
      <c r="G6645" t="s">
        <v>211</v>
      </c>
      <c r="H6645" t="s">
        <v>201</v>
      </c>
      <c r="I6645">
        <v>451.66</v>
      </c>
      <c r="J6645" s="39">
        <v>0</v>
      </c>
      <c r="K6645" s="7">
        <f t="shared" si="409"/>
        <v>513.79</v>
      </c>
      <c r="L6645" s="7">
        <v>513.79</v>
      </c>
      <c r="M6645" s="10">
        <f t="shared" si="410"/>
        <v>87.907510850736685</v>
      </c>
    </row>
    <row r="6646" spans="1:13" ht="15.75" hidden="1" customHeight="1" x14ac:dyDescent="0.3">
      <c r="A6646" s="9">
        <v>382</v>
      </c>
      <c r="B6646" t="s">
        <v>200</v>
      </c>
      <c r="C6646" s="25">
        <v>44616</v>
      </c>
      <c r="D6646" s="26">
        <v>0.86097222222222225</v>
      </c>
      <c r="E6646" t="s">
        <v>25</v>
      </c>
      <c r="F6646" t="s">
        <v>210</v>
      </c>
      <c r="G6646" t="s">
        <v>211</v>
      </c>
      <c r="H6646" t="s">
        <v>201</v>
      </c>
      <c r="I6646">
        <v>706.97</v>
      </c>
      <c r="J6646" s="7">
        <v>0</v>
      </c>
      <c r="K6646" s="7">
        <f t="shared" si="409"/>
        <v>1777.72</v>
      </c>
      <c r="L6646" s="7">
        <v>1777.72</v>
      </c>
      <c r="M6646" s="10">
        <f t="shared" si="410"/>
        <v>39.768354971536574</v>
      </c>
    </row>
    <row r="6647" spans="1:13" ht="15.75" hidden="1" customHeight="1" x14ac:dyDescent="0.3">
      <c r="A6647" s="9">
        <v>383</v>
      </c>
      <c r="B6647" t="s">
        <v>200</v>
      </c>
      <c r="C6647" s="25">
        <v>44617</v>
      </c>
      <c r="D6647" s="26">
        <v>0.96097222222222223</v>
      </c>
      <c r="E6647" t="s">
        <v>25</v>
      </c>
      <c r="F6647" t="s">
        <v>210</v>
      </c>
      <c r="G6647" t="s">
        <v>211</v>
      </c>
      <c r="H6647" t="s">
        <v>201</v>
      </c>
      <c r="I6647">
        <v>397.28</v>
      </c>
      <c r="J6647" s="34">
        <v>0</v>
      </c>
      <c r="K6647" s="11">
        <f t="shared" si="409"/>
        <v>1062.5899999999999</v>
      </c>
      <c r="L6647" s="30">
        <v>1062.5899999999999</v>
      </c>
      <c r="M6647" s="10">
        <f t="shared" si="410"/>
        <v>37.387891849161015</v>
      </c>
    </row>
    <row r="6648" spans="1:13" ht="15.75" hidden="1" customHeight="1" x14ac:dyDescent="0.3">
      <c r="A6648" s="9">
        <v>384</v>
      </c>
      <c r="B6648" t="s">
        <v>200</v>
      </c>
      <c r="C6648" s="25">
        <v>44620</v>
      </c>
      <c r="D6648" s="26">
        <v>0.96914351851851854</v>
      </c>
      <c r="E6648" t="s">
        <v>25</v>
      </c>
      <c r="F6648" t="s">
        <v>210</v>
      </c>
      <c r="G6648" t="s">
        <v>211</v>
      </c>
      <c r="H6648" t="s">
        <v>201</v>
      </c>
      <c r="I6648">
        <v>694.45</v>
      </c>
      <c r="J6648" s="34">
        <v>0</v>
      </c>
      <c r="K6648" s="11">
        <f t="shared" si="409"/>
        <v>1793.4</v>
      </c>
      <c r="L6648" s="11">
        <v>1793.4</v>
      </c>
      <c r="M6648" s="10">
        <f t="shared" si="410"/>
        <v>38.722538195606113</v>
      </c>
    </row>
    <row r="6649" spans="1:13" ht="15.75" hidden="1" customHeight="1" x14ac:dyDescent="0.3">
      <c r="A6649" s="9">
        <v>1433</v>
      </c>
      <c r="B6649" t="s">
        <v>200</v>
      </c>
      <c r="C6649" s="25">
        <v>44622</v>
      </c>
      <c r="D6649" s="26">
        <v>0.89325231481481471</v>
      </c>
      <c r="E6649" t="s">
        <v>26</v>
      </c>
      <c r="F6649" t="s">
        <v>210</v>
      </c>
      <c r="G6649" t="s">
        <v>211</v>
      </c>
      <c r="H6649" t="s">
        <v>201</v>
      </c>
      <c r="I6649">
        <v>449.41</v>
      </c>
      <c r="J6649" s="34">
        <v>0</v>
      </c>
      <c r="K6649" s="89">
        <f t="shared" si="409"/>
        <v>1119.9000000000001</v>
      </c>
      <c r="L6649" s="53">
        <v>1119.9000000000001</v>
      </c>
      <c r="M6649" s="10">
        <f t="shared" si="410"/>
        <v>40.12947584605768</v>
      </c>
    </row>
    <row r="6650" spans="1:13" ht="15.75" hidden="1" customHeight="1" x14ac:dyDescent="0.3">
      <c r="A6650" s="9">
        <v>1434</v>
      </c>
      <c r="B6650" t="s">
        <v>200</v>
      </c>
      <c r="C6650" s="25">
        <v>44624</v>
      </c>
      <c r="D6650" s="26">
        <v>0.45347222222222222</v>
      </c>
      <c r="E6650" t="s">
        <v>26</v>
      </c>
      <c r="F6650" t="s">
        <v>175</v>
      </c>
      <c r="G6650" t="s">
        <v>172</v>
      </c>
      <c r="H6650" t="s">
        <v>201</v>
      </c>
      <c r="I6650">
        <v>332.65</v>
      </c>
      <c r="J6650" s="34">
        <v>0</v>
      </c>
      <c r="K6650" s="89">
        <f t="shared" si="409"/>
        <v>966.85</v>
      </c>
      <c r="L6650" s="7">
        <v>966.85</v>
      </c>
      <c r="M6650" s="10">
        <f t="shared" si="410"/>
        <v>34.405543776180373</v>
      </c>
    </row>
    <row r="6651" spans="1:13" ht="15.75" hidden="1" customHeight="1" x14ac:dyDescent="0.3">
      <c r="A6651" s="9">
        <v>1435</v>
      </c>
      <c r="B6651" t="s">
        <v>200</v>
      </c>
      <c r="C6651" s="25">
        <v>44632</v>
      </c>
      <c r="D6651" s="26">
        <v>0.1383912037037037</v>
      </c>
      <c r="E6651" t="s">
        <v>26</v>
      </c>
      <c r="F6651" t="s">
        <v>210</v>
      </c>
      <c r="G6651" t="s">
        <v>211</v>
      </c>
      <c r="H6651" t="s">
        <v>201</v>
      </c>
      <c r="I6651">
        <v>363.09</v>
      </c>
      <c r="J6651" s="34">
        <v>0</v>
      </c>
      <c r="K6651" s="89">
        <f t="shared" si="409"/>
        <v>883.51</v>
      </c>
      <c r="L6651" s="7">
        <v>883.51</v>
      </c>
      <c r="M6651" s="10">
        <f t="shared" si="410"/>
        <v>41.096309040078779</v>
      </c>
    </row>
    <row r="6652" spans="1:13" ht="15.75" hidden="1" customHeight="1" x14ac:dyDescent="0.3">
      <c r="A6652" s="9">
        <v>1436</v>
      </c>
      <c r="B6652" t="s">
        <v>200</v>
      </c>
      <c r="C6652" s="25">
        <v>44633</v>
      </c>
      <c r="D6652" s="26">
        <v>0.1895138888888889</v>
      </c>
      <c r="E6652" t="s">
        <v>26</v>
      </c>
      <c r="F6652" t="s">
        <v>210</v>
      </c>
      <c r="G6652" t="s">
        <v>211</v>
      </c>
      <c r="H6652" t="s">
        <v>201</v>
      </c>
      <c r="I6652">
        <v>332.13</v>
      </c>
      <c r="J6652" s="34">
        <v>0</v>
      </c>
      <c r="K6652" s="89">
        <f t="shared" ref="K6652:K6677" si="411">+L6652-J6652</f>
        <v>910.84</v>
      </c>
      <c r="L6652" s="30">
        <v>910.84</v>
      </c>
      <c r="M6652" s="10">
        <f t="shared" ref="M6652:M6683" si="412">I6652/K6652*100</f>
        <v>36.464142988889378</v>
      </c>
    </row>
    <row r="6653" spans="1:13" ht="15.75" hidden="1" customHeight="1" x14ac:dyDescent="0.3">
      <c r="A6653" s="9">
        <v>1437</v>
      </c>
      <c r="B6653" t="s">
        <v>200</v>
      </c>
      <c r="C6653" s="25">
        <v>44635</v>
      </c>
      <c r="D6653" s="26">
        <v>0.71440972222222221</v>
      </c>
      <c r="E6653" t="s">
        <v>26</v>
      </c>
      <c r="F6653" t="s">
        <v>210</v>
      </c>
      <c r="G6653" t="s">
        <v>211</v>
      </c>
      <c r="H6653" t="s">
        <v>201</v>
      </c>
      <c r="I6653">
        <v>651.99</v>
      </c>
      <c r="J6653" s="34">
        <v>0</v>
      </c>
      <c r="K6653" s="89">
        <f t="shared" si="411"/>
        <v>1839.12</v>
      </c>
      <c r="L6653" s="11">
        <v>1839.12</v>
      </c>
      <c r="M6653" s="10">
        <f t="shared" si="412"/>
        <v>35.451194049327945</v>
      </c>
    </row>
    <row r="6654" spans="1:13" ht="15.75" hidden="1" customHeight="1" x14ac:dyDescent="0.3">
      <c r="A6654" s="9">
        <v>1438</v>
      </c>
      <c r="B6654" t="s">
        <v>200</v>
      </c>
      <c r="C6654" s="25">
        <v>44636</v>
      </c>
      <c r="D6654" s="26">
        <v>0.9002662037037038</v>
      </c>
      <c r="E6654" t="s">
        <v>26</v>
      </c>
      <c r="F6654" t="s">
        <v>210</v>
      </c>
      <c r="G6654" t="s">
        <v>211</v>
      </c>
      <c r="H6654" t="s">
        <v>201</v>
      </c>
      <c r="I6654">
        <v>429.9</v>
      </c>
      <c r="J6654" s="34">
        <v>0</v>
      </c>
      <c r="K6654" s="96">
        <f t="shared" si="411"/>
        <v>1116.3800000000001</v>
      </c>
      <c r="L6654" s="11">
        <v>1116.3800000000001</v>
      </c>
      <c r="M6654" s="10">
        <f t="shared" si="412"/>
        <v>38.508393199448207</v>
      </c>
    </row>
    <row r="6655" spans="1:13" ht="15.75" hidden="1" customHeight="1" x14ac:dyDescent="0.3">
      <c r="A6655" s="9">
        <v>1439</v>
      </c>
      <c r="B6655" t="s">
        <v>200</v>
      </c>
      <c r="C6655" s="25">
        <v>44639</v>
      </c>
      <c r="D6655" s="26">
        <v>0.49627314814814816</v>
      </c>
      <c r="E6655" t="s">
        <v>26</v>
      </c>
      <c r="F6655" t="s">
        <v>197</v>
      </c>
      <c r="G6655" t="s">
        <v>44</v>
      </c>
      <c r="H6655" t="s">
        <v>201</v>
      </c>
      <c r="I6655">
        <v>150.01</v>
      </c>
      <c r="J6655" s="34">
        <v>0</v>
      </c>
      <c r="K6655" s="90">
        <f t="shared" si="411"/>
        <v>1370.16</v>
      </c>
      <c r="L6655" s="7">
        <v>1370.16</v>
      </c>
      <c r="M6655" s="10">
        <f t="shared" si="412"/>
        <v>10.948356396333274</v>
      </c>
    </row>
    <row r="6656" spans="1:13" ht="15.75" hidden="1" customHeight="1" x14ac:dyDescent="0.3">
      <c r="A6656" s="9">
        <v>1440</v>
      </c>
      <c r="B6656" t="s">
        <v>200</v>
      </c>
      <c r="C6656" s="25">
        <v>44639</v>
      </c>
      <c r="D6656" s="26">
        <v>0.87812499999999993</v>
      </c>
      <c r="E6656" t="s">
        <v>26</v>
      </c>
      <c r="F6656" t="s">
        <v>210</v>
      </c>
      <c r="G6656" t="s">
        <v>211</v>
      </c>
      <c r="H6656" t="s">
        <v>201</v>
      </c>
      <c r="I6656">
        <v>611.9</v>
      </c>
      <c r="J6656" s="34">
        <v>0</v>
      </c>
      <c r="K6656" s="90">
        <f t="shared" si="411"/>
        <v>574.78</v>
      </c>
      <c r="L6656" s="7">
        <v>574.78</v>
      </c>
      <c r="M6656" s="10">
        <f t="shared" si="412"/>
        <v>106.45812310797173</v>
      </c>
    </row>
    <row r="6657" spans="1:13" ht="15.75" hidden="1" customHeight="1" x14ac:dyDescent="0.3">
      <c r="A6657" s="9">
        <v>1441</v>
      </c>
      <c r="B6657" t="s">
        <v>200</v>
      </c>
      <c r="C6657" s="25">
        <v>44640</v>
      </c>
      <c r="D6657" s="26">
        <v>0.69789351851851855</v>
      </c>
      <c r="E6657" t="s">
        <v>26</v>
      </c>
      <c r="F6657" t="s">
        <v>165</v>
      </c>
      <c r="G6657" t="s">
        <v>185</v>
      </c>
      <c r="H6657" t="s">
        <v>201</v>
      </c>
      <c r="I6657">
        <v>220.85</v>
      </c>
      <c r="J6657" s="34">
        <v>0</v>
      </c>
      <c r="K6657" s="92">
        <f t="shared" si="411"/>
        <v>547.89</v>
      </c>
      <c r="L6657" s="29">
        <v>547.89</v>
      </c>
      <c r="M6657" s="10">
        <f t="shared" si="412"/>
        <v>40.309186150504658</v>
      </c>
    </row>
    <row r="6658" spans="1:13" ht="15.75" hidden="1" customHeight="1" x14ac:dyDescent="0.3">
      <c r="A6658" s="9">
        <v>1442</v>
      </c>
      <c r="B6658" t="s">
        <v>200</v>
      </c>
      <c r="C6658" s="25">
        <v>44642</v>
      </c>
      <c r="D6658" s="26">
        <v>0.6267476851851852</v>
      </c>
      <c r="E6658" t="s">
        <v>26</v>
      </c>
      <c r="F6658" t="s">
        <v>165</v>
      </c>
      <c r="G6658" t="s">
        <v>185</v>
      </c>
      <c r="H6658" t="s">
        <v>201</v>
      </c>
      <c r="I6658">
        <v>584.04999999999995</v>
      </c>
      <c r="J6658" s="34">
        <v>0</v>
      </c>
      <c r="K6658" s="94">
        <f t="shared" si="411"/>
        <v>1625.38</v>
      </c>
      <c r="L6658" s="7">
        <v>1625.38</v>
      </c>
      <c r="M6658" s="10">
        <f t="shared" si="412"/>
        <v>35.933135635974352</v>
      </c>
    </row>
    <row r="6659" spans="1:13" ht="15.75" hidden="1" customHeight="1" x14ac:dyDescent="0.3">
      <c r="A6659" s="9">
        <v>1443</v>
      </c>
      <c r="B6659" t="s">
        <v>200</v>
      </c>
      <c r="C6659" s="25">
        <v>44642</v>
      </c>
      <c r="D6659" s="26">
        <v>0.94071759259259258</v>
      </c>
      <c r="E6659" t="s">
        <v>26</v>
      </c>
      <c r="F6659" t="s">
        <v>210</v>
      </c>
      <c r="G6659" t="s">
        <v>211</v>
      </c>
      <c r="H6659" t="s">
        <v>201</v>
      </c>
      <c r="I6659">
        <v>136.94</v>
      </c>
      <c r="J6659" s="34">
        <v>0</v>
      </c>
      <c r="K6659" s="89">
        <f t="shared" si="411"/>
        <v>514.13</v>
      </c>
      <c r="L6659" s="30">
        <v>514.13</v>
      </c>
      <c r="M6659" s="10">
        <f t="shared" si="412"/>
        <v>26.63528679516854</v>
      </c>
    </row>
    <row r="6660" spans="1:13" ht="15" hidden="1" customHeight="1" x14ac:dyDescent="0.3">
      <c r="A6660" s="9">
        <v>1444</v>
      </c>
      <c r="B6660" t="s">
        <v>200</v>
      </c>
      <c r="C6660" s="25">
        <v>44646</v>
      </c>
      <c r="D6660" s="26">
        <v>0.8326041666666667</v>
      </c>
      <c r="E6660" t="s">
        <v>26</v>
      </c>
      <c r="F6660" t="s">
        <v>210</v>
      </c>
      <c r="G6660" t="s">
        <v>211</v>
      </c>
      <c r="H6660" t="s">
        <v>201</v>
      </c>
      <c r="I6660">
        <v>706.38</v>
      </c>
      <c r="J6660" s="34">
        <v>0</v>
      </c>
      <c r="K6660" s="89">
        <f t="shared" si="411"/>
        <v>1830.19</v>
      </c>
      <c r="L6660" s="11">
        <v>1830.19</v>
      </c>
      <c r="M6660" s="10">
        <f t="shared" si="412"/>
        <v>38.595992765778412</v>
      </c>
    </row>
    <row r="6661" spans="1:13" ht="15.75" hidden="1" customHeight="1" x14ac:dyDescent="0.3">
      <c r="A6661" s="9">
        <v>1445</v>
      </c>
      <c r="B6661" t="s">
        <v>200</v>
      </c>
      <c r="C6661" s="25">
        <v>44647</v>
      </c>
      <c r="D6661" s="26">
        <v>0.94247685185185182</v>
      </c>
      <c r="E6661" t="s">
        <v>26</v>
      </c>
      <c r="F6661" t="s">
        <v>202</v>
      </c>
      <c r="G6661" t="s">
        <v>203</v>
      </c>
      <c r="H6661" t="s">
        <v>201</v>
      </c>
      <c r="I6661">
        <v>150</v>
      </c>
      <c r="J6661" s="7">
        <v>0</v>
      </c>
      <c r="K6661" s="89">
        <f t="shared" si="411"/>
        <v>1088.1099999999999</v>
      </c>
      <c r="L6661" s="11">
        <v>1088.1099999999999</v>
      </c>
      <c r="M6661" s="10">
        <f t="shared" si="412"/>
        <v>13.785370964332651</v>
      </c>
    </row>
    <row r="6662" spans="1:13" ht="15.75" hidden="1" customHeight="1" x14ac:dyDescent="0.3">
      <c r="A6662" s="9">
        <v>1446</v>
      </c>
      <c r="B6662" t="s">
        <v>200</v>
      </c>
      <c r="C6662" s="25">
        <v>44649</v>
      </c>
      <c r="D6662" s="26">
        <v>3.2233796296296295E-2</v>
      </c>
      <c r="E6662" t="s">
        <v>26</v>
      </c>
      <c r="F6662" t="s">
        <v>165</v>
      </c>
      <c r="G6662" t="s">
        <v>185</v>
      </c>
      <c r="H6662" t="s">
        <v>201</v>
      </c>
      <c r="I6662">
        <v>628.54</v>
      </c>
      <c r="J6662" s="7">
        <v>0</v>
      </c>
      <c r="K6662" s="89">
        <f t="shared" si="411"/>
        <v>1085.5999999999999</v>
      </c>
      <c r="L6662" s="11">
        <v>1085.5999999999999</v>
      </c>
      <c r="M6662" s="10">
        <f t="shared" si="412"/>
        <v>57.897936624907885</v>
      </c>
    </row>
    <row r="6663" spans="1:13" ht="15.75" hidden="1" customHeight="1" x14ac:dyDescent="0.3">
      <c r="A6663" s="9">
        <v>1447</v>
      </c>
      <c r="B6663" t="s">
        <v>200</v>
      </c>
      <c r="C6663" s="25">
        <v>44649</v>
      </c>
      <c r="D6663" s="26">
        <v>0.62869212962962961</v>
      </c>
      <c r="E6663" t="s">
        <v>26</v>
      </c>
      <c r="F6663" t="s">
        <v>210</v>
      </c>
      <c r="G6663" t="s">
        <v>211</v>
      </c>
      <c r="H6663" t="s">
        <v>201</v>
      </c>
      <c r="I6663">
        <v>142.22</v>
      </c>
      <c r="J6663" s="7">
        <v>0</v>
      </c>
      <c r="K6663" s="89">
        <f t="shared" si="411"/>
        <v>539.63</v>
      </c>
      <c r="L6663" s="11">
        <v>539.63</v>
      </c>
      <c r="M6663" s="10">
        <f t="shared" si="412"/>
        <v>26.355095157793301</v>
      </c>
    </row>
    <row r="6664" spans="1:13" ht="15.75" hidden="1" customHeight="1" x14ac:dyDescent="0.3">
      <c r="A6664" s="9">
        <v>2627</v>
      </c>
      <c r="B6664" t="s">
        <v>200</v>
      </c>
      <c r="C6664" s="25">
        <v>44652</v>
      </c>
      <c r="D6664" s="26">
        <v>0.16631944444444444</v>
      </c>
      <c r="E6664" t="s">
        <v>27</v>
      </c>
      <c r="F6664" t="s">
        <v>210</v>
      </c>
      <c r="G6664" t="s">
        <v>211</v>
      </c>
      <c r="H6664" t="s">
        <v>201</v>
      </c>
      <c r="I6664" s="4">
        <v>691.77</v>
      </c>
      <c r="J6664" s="7">
        <v>0</v>
      </c>
      <c r="K6664" s="89">
        <f t="shared" si="411"/>
        <v>1917.51</v>
      </c>
      <c r="L6664" s="7">
        <v>1917.51</v>
      </c>
      <c r="M6664" s="10">
        <f t="shared" si="412"/>
        <v>36.07647417744888</v>
      </c>
    </row>
    <row r="6665" spans="1:13" ht="15.75" hidden="1" customHeight="1" x14ac:dyDescent="0.3">
      <c r="A6665" s="9">
        <v>2628</v>
      </c>
      <c r="B6665" t="s">
        <v>200</v>
      </c>
      <c r="C6665" s="25">
        <v>44653</v>
      </c>
      <c r="D6665" s="26">
        <v>0.4734606481481482</v>
      </c>
      <c r="E6665" t="s">
        <v>27</v>
      </c>
      <c r="F6665" t="s">
        <v>165</v>
      </c>
      <c r="G6665" t="s">
        <v>185</v>
      </c>
      <c r="H6665" t="s">
        <v>201</v>
      </c>
      <c r="I6665" s="4">
        <v>252.67</v>
      </c>
      <c r="J6665" s="7">
        <v>0</v>
      </c>
      <c r="K6665" s="89">
        <f t="shared" si="411"/>
        <v>548.47</v>
      </c>
      <c r="L6665" s="30">
        <v>548.47</v>
      </c>
      <c r="M6665" s="10">
        <f t="shared" si="412"/>
        <v>46.068153226247553</v>
      </c>
    </row>
    <row r="6666" spans="1:13" ht="15.75" hidden="1" customHeight="1" x14ac:dyDescent="0.3">
      <c r="A6666" s="9">
        <v>2629</v>
      </c>
      <c r="B6666" t="s">
        <v>200</v>
      </c>
      <c r="C6666" s="25">
        <v>44656</v>
      </c>
      <c r="D6666" s="26">
        <v>3.7384259259259263E-3</v>
      </c>
      <c r="E6666" t="s">
        <v>27</v>
      </c>
      <c r="F6666" t="s">
        <v>165</v>
      </c>
      <c r="G6666" t="s">
        <v>185</v>
      </c>
      <c r="H6666" t="s">
        <v>201</v>
      </c>
      <c r="I6666" s="4">
        <v>540</v>
      </c>
      <c r="J6666" s="7">
        <v>0</v>
      </c>
      <c r="K6666" s="89">
        <f t="shared" si="411"/>
        <v>1629.55</v>
      </c>
      <c r="L6666" s="116">
        <v>1629.55</v>
      </c>
      <c r="M6666" s="10">
        <f t="shared" si="412"/>
        <v>33.137982878708847</v>
      </c>
    </row>
    <row r="6667" spans="1:13" ht="15.75" hidden="1" customHeight="1" x14ac:dyDescent="0.3">
      <c r="A6667" s="9">
        <v>2630</v>
      </c>
      <c r="B6667" t="s">
        <v>200</v>
      </c>
      <c r="C6667" s="25">
        <v>44656</v>
      </c>
      <c r="D6667" s="26">
        <v>0.63965277777777774</v>
      </c>
      <c r="E6667" t="s">
        <v>27</v>
      </c>
      <c r="F6667" t="s">
        <v>210</v>
      </c>
      <c r="G6667" t="s">
        <v>211</v>
      </c>
      <c r="H6667" t="s">
        <v>201</v>
      </c>
      <c r="I6667" s="4">
        <v>132.57</v>
      </c>
      <c r="J6667" s="7">
        <v>0</v>
      </c>
      <c r="K6667" s="89">
        <f t="shared" si="411"/>
        <v>514.94000000000005</v>
      </c>
      <c r="L6667" s="179">
        <v>514.94000000000005</v>
      </c>
      <c r="M6667" s="10">
        <f t="shared" si="412"/>
        <v>25.744746960810964</v>
      </c>
    </row>
    <row r="6668" spans="1:13" ht="15.75" hidden="1" customHeight="1" x14ac:dyDescent="0.3">
      <c r="A6668" s="9">
        <v>2631</v>
      </c>
      <c r="B6668" t="s">
        <v>200</v>
      </c>
      <c r="C6668" s="25">
        <v>44658</v>
      </c>
      <c r="D6668" s="26">
        <v>0.77760416666666676</v>
      </c>
      <c r="E6668" t="s">
        <v>27</v>
      </c>
      <c r="F6668" t="s">
        <v>210</v>
      </c>
      <c r="G6668" t="s">
        <v>211</v>
      </c>
      <c r="H6668" t="s">
        <v>201</v>
      </c>
      <c r="I6668" s="4">
        <v>635.01</v>
      </c>
      <c r="J6668" s="7">
        <v>0</v>
      </c>
      <c r="K6668" s="90">
        <f t="shared" si="411"/>
        <v>1788.34</v>
      </c>
      <c r="L6668" s="7">
        <v>1788.34</v>
      </c>
      <c r="M6668" s="36">
        <f t="shared" si="412"/>
        <v>35.508348524329826</v>
      </c>
    </row>
    <row r="6669" spans="1:13" ht="15.75" hidden="1" customHeight="1" x14ac:dyDescent="0.3">
      <c r="A6669" s="9">
        <v>2632</v>
      </c>
      <c r="B6669" t="s">
        <v>200</v>
      </c>
      <c r="C6669" s="25">
        <v>44659</v>
      </c>
      <c r="D6669" s="26">
        <v>0.44233796296296296</v>
      </c>
      <c r="E6669" t="s">
        <v>27</v>
      </c>
      <c r="F6669" t="s">
        <v>165</v>
      </c>
      <c r="G6669" t="s">
        <v>185</v>
      </c>
      <c r="H6669" t="s">
        <v>201</v>
      </c>
      <c r="I6669" s="4">
        <v>231.79</v>
      </c>
      <c r="J6669" s="7">
        <v>0</v>
      </c>
      <c r="K6669" s="89">
        <f t="shared" si="411"/>
        <v>548.48</v>
      </c>
      <c r="L6669" s="11">
        <v>548.48</v>
      </c>
      <c r="M6669" s="10">
        <f t="shared" si="412"/>
        <v>42.260428821470242</v>
      </c>
    </row>
    <row r="6670" spans="1:13" ht="15.75" hidden="1" customHeight="1" x14ac:dyDescent="0.3">
      <c r="A6670" s="9">
        <v>2633</v>
      </c>
      <c r="B6670" t="s">
        <v>200</v>
      </c>
      <c r="C6670" s="25">
        <v>44661</v>
      </c>
      <c r="D6670" s="26">
        <v>0.41372685185185182</v>
      </c>
      <c r="E6670" t="s">
        <v>27</v>
      </c>
      <c r="F6670" t="s">
        <v>165</v>
      </c>
      <c r="G6670" t="s">
        <v>185</v>
      </c>
      <c r="H6670" t="s">
        <v>201</v>
      </c>
      <c r="I6670" s="4">
        <v>557.37</v>
      </c>
      <c r="J6670" s="7">
        <v>0</v>
      </c>
      <c r="K6670" s="89">
        <f t="shared" si="411"/>
        <v>1628.41</v>
      </c>
      <c r="L6670" s="11">
        <v>1628.41</v>
      </c>
      <c r="M6670" s="10">
        <f t="shared" si="412"/>
        <v>34.227866446410914</v>
      </c>
    </row>
    <row r="6671" spans="1:13" ht="15.75" hidden="1" customHeight="1" x14ac:dyDescent="0.3">
      <c r="A6671" s="9">
        <v>2634</v>
      </c>
      <c r="B6671" t="s">
        <v>200</v>
      </c>
      <c r="C6671" s="25">
        <v>44661</v>
      </c>
      <c r="D6671" s="26">
        <v>0.71549768518518519</v>
      </c>
      <c r="E6671" t="s">
        <v>27</v>
      </c>
      <c r="F6671" t="s">
        <v>210</v>
      </c>
      <c r="G6671" t="s">
        <v>211</v>
      </c>
      <c r="H6671" t="s">
        <v>201</v>
      </c>
      <c r="I6671" s="4">
        <v>136.25</v>
      </c>
      <c r="J6671" s="7">
        <v>0</v>
      </c>
      <c r="K6671" s="89">
        <f t="shared" si="411"/>
        <v>514.20000000000005</v>
      </c>
      <c r="L6671" s="28">
        <v>514.20000000000005</v>
      </c>
      <c r="M6671" s="10">
        <f t="shared" si="412"/>
        <v>26.497471800855692</v>
      </c>
    </row>
    <row r="6672" spans="1:13" ht="15.75" hidden="1" customHeight="1" x14ac:dyDescent="0.3">
      <c r="A6672" s="9">
        <v>2635</v>
      </c>
      <c r="B6672" t="s">
        <v>200</v>
      </c>
      <c r="C6672" s="25">
        <v>44663</v>
      </c>
      <c r="D6672" s="26">
        <v>0.79048611111111111</v>
      </c>
      <c r="E6672" t="s">
        <v>27</v>
      </c>
      <c r="F6672" t="s">
        <v>210</v>
      </c>
      <c r="G6672" t="s">
        <v>211</v>
      </c>
      <c r="H6672" t="s">
        <v>201</v>
      </c>
      <c r="I6672" s="4">
        <v>663.3</v>
      </c>
      <c r="J6672" s="34">
        <v>0</v>
      </c>
      <c r="K6672" s="89">
        <f t="shared" si="411"/>
        <v>1780.68</v>
      </c>
      <c r="L6672" s="32">
        <v>1780.68</v>
      </c>
      <c r="M6672" s="10">
        <f t="shared" si="412"/>
        <v>37.249814677538915</v>
      </c>
    </row>
    <row r="6673" spans="1:13" ht="15.75" hidden="1" customHeight="1" x14ac:dyDescent="0.3">
      <c r="A6673" s="9">
        <v>2636</v>
      </c>
      <c r="B6673" t="s">
        <v>200</v>
      </c>
      <c r="C6673" s="25">
        <v>44664</v>
      </c>
      <c r="D6673" s="26">
        <v>0.93525462962962969</v>
      </c>
      <c r="E6673" t="s">
        <v>27</v>
      </c>
      <c r="F6673" t="s">
        <v>210</v>
      </c>
      <c r="G6673" t="s">
        <v>211</v>
      </c>
      <c r="H6673" t="s">
        <v>201</v>
      </c>
      <c r="I6673" s="4">
        <v>446.07</v>
      </c>
      <c r="J6673" s="7">
        <v>0</v>
      </c>
      <c r="K6673" s="89">
        <f t="shared" si="411"/>
        <v>1111.6300000000001</v>
      </c>
      <c r="L6673" s="30">
        <v>1111.6300000000001</v>
      </c>
      <c r="M6673" s="10">
        <f t="shared" si="412"/>
        <v>40.127560429279526</v>
      </c>
    </row>
    <row r="6674" spans="1:13" ht="15.75" hidden="1" customHeight="1" x14ac:dyDescent="0.3">
      <c r="A6674" s="9">
        <v>3614</v>
      </c>
      <c r="B6674" t="s">
        <v>200</v>
      </c>
      <c r="C6674" s="25">
        <v>44666</v>
      </c>
      <c r="D6674" s="26">
        <v>0.95289351851851845</v>
      </c>
      <c r="E6674" t="s">
        <v>27</v>
      </c>
      <c r="F6674" t="s">
        <v>210</v>
      </c>
      <c r="G6674" t="s">
        <v>211</v>
      </c>
      <c r="H6674" t="s">
        <v>123</v>
      </c>
      <c r="I6674" s="4">
        <v>361.11</v>
      </c>
      <c r="J6674" s="32">
        <v>0</v>
      </c>
      <c r="K6674" s="89">
        <f t="shared" si="411"/>
        <v>846.89</v>
      </c>
      <c r="L6674" s="53">
        <v>846.89</v>
      </c>
      <c r="M6674" s="10">
        <f t="shared" si="412"/>
        <v>42.639539963867804</v>
      </c>
    </row>
    <row r="6675" spans="1:13" ht="15.75" hidden="1" customHeight="1" x14ac:dyDescent="0.3">
      <c r="A6675" s="9">
        <v>3615</v>
      </c>
      <c r="B6675" t="s">
        <v>200</v>
      </c>
      <c r="C6675" s="25">
        <v>44667</v>
      </c>
      <c r="D6675" s="26">
        <v>0.88034722222222228</v>
      </c>
      <c r="E6675" t="s">
        <v>27</v>
      </c>
      <c r="F6675" t="s">
        <v>165</v>
      </c>
      <c r="G6675" t="s">
        <v>185</v>
      </c>
      <c r="H6675" t="s">
        <v>123</v>
      </c>
      <c r="I6675" s="4">
        <v>241.03</v>
      </c>
      <c r="J6675" s="32">
        <v>0</v>
      </c>
      <c r="K6675" s="89">
        <f t="shared" si="411"/>
        <v>549.54999999999995</v>
      </c>
      <c r="L6675" s="11">
        <v>549.54999999999995</v>
      </c>
      <c r="M6675" s="10">
        <f t="shared" si="412"/>
        <v>43.859521426621782</v>
      </c>
    </row>
    <row r="6676" spans="1:13" ht="15.75" hidden="1" customHeight="1" x14ac:dyDescent="0.3">
      <c r="A6676" s="9">
        <v>3616</v>
      </c>
      <c r="B6676" t="s">
        <v>200</v>
      </c>
      <c r="C6676" s="25">
        <v>44669</v>
      </c>
      <c r="D6676" s="26">
        <v>0.810613425925926</v>
      </c>
      <c r="E6676" t="s">
        <v>27</v>
      </c>
      <c r="F6676" t="s">
        <v>210</v>
      </c>
      <c r="G6676" t="s">
        <v>211</v>
      </c>
      <c r="H6676" t="s">
        <v>123</v>
      </c>
      <c r="I6676" s="4">
        <v>241.06</v>
      </c>
      <c r="J6676" s="32">
        <v>0</v>
      </c>
      <c r="K6676" s="89">
        <f t="shared" si="411"/>
        <v>536</v>
      </c>
      <c r="L6676" s="53">
        <v>536</v>
      </c>
      <c r="M6676" s="10">
        <f t="shared" si="412"/>
        <v>44.973880597014926</v>
      </c>
    </row>
    <row r="6677" spans="1:13" ht="15.75" hidden="1" customHeight="1" x14ac:dyDescent="0.3">
      <c r="A6677" s="9">
        <v>3617</v>
      </c>
      <c r="B6677" t="s">
        <v>200</v>
      </c>
      <c r="C6677" s="25">
        <v>44671</v>
      </c>
      <c r="D6677" s="26">
        <v>0.52784722222222225</v>
      </c>
      <c r="E6677" t="s">
        <v>27</v>
      </c>
      <c r="F6677" t="s">
        <v>171</v>
      </c>
      <c r="G6677" t="s">
        <v>172</v>
      </c>
      <c r="H6677" t="s">
        <v>123</v>
      </c>
      <c r="I6677" s="4">
        <v>162.68</v>
      </c>
      <c r="J6677" s="32">
        <v>0</v>
      </c>
      <c r="K6677" s="89">
        <f t="shared" si="411"/>
        <v>963.47</v>
      </c>
      <c r="L6677" s="53">
        <v>963.47</v>
      </c>
      <c r="M6677" s="10">
        <f t="shared" si="412"/>
        <v>16.884801810123822</v>
      </c>
    </row>
    <row r="6678" spans="1:13" ht="15.75" hidden="1" customHeight="1" x14ac:dyDescent="0.3">
      <c r="A6678" s="9">
        <v>3747</v>
      </c>
      <c r="B6678" t="s">
        <v>200</v>
      </c>
      <c r="C6678" s="25">
        <v>44683</v>
      </c>
      <c r="D6678" s="26">
        <v>0.35939814814814813</v>
      </c>
      <c r="E6678" t="s">
        <v>28</v>
      </c>
      <c r="F6678" t="s">
        <v>459</v>
      </c>
      <c r="G6678" t="s">
        <v>303</v>
      </c>
      <c r="H6678" t="s">
        <v>123</v>
      </c>
      <c r="I6678">
        <v>255.27</v>
      </c>
      <c r="J6678" s="32">
        <v>0</v>
      </c>
      <c r="K6678" s="89">
        <f>+L6678-J6807</f>
        <v>709.73</v>
      </c>
      <c r="L6678" s="53">
        <v>709.73</v>
      </c>
      <c r="M6678" s="10">
        <f t="shared" si="412"/>
        <v>35.967198793907542</v>
      </c>
    </row>
    <row r="6679" spans="1:13" ht="15.75" hidden="1" customHeight="1" x14ac:dyDescent="0.3">
      <c r="A6679" s="9">
        <v>3757</v>
      </c>
      <c r="B6679" t="s">
        <v>200</v>
      </c>
      <c r="C6679" s="25">
        <v>44684</v>
      </c>
      <c r="D6679" s="26">
        <v>0.61078703703703707</v>
      </c>
      <c r="E6679" t="s">
        <v>28</v>
      </c>
      <c r="F6679" t="s">
        <v>166</v>
      </c>
      <c r="G6679" t="s">
        <v>161</v>
      </c>
      <c r="H6679" t="s">
        <v>123</v>
      </c>
      <c r="I6679">
        <v>462.2</v>
      </c>
      <c r="J6679" s="32">
        <v>0</v>
      </c>
      <c r="K6679" s="89">
        <f>+L6679-J6807</f>
        <v>1107.43</v>
      </c>
      <c r="L6679" s="32">
        <v>1107.43</v>
      </c>
      <c r="M6679" s="10">
        <f t="shared" si="412"/>
        <v>41.736272270030604</v>
      </c>
    </row>
    <row r="6680" spans="1:13" ht="15.75" hidden="1" customHeight="1" x14ac:dyDescent="0.3">
      <c r="A6680" s="9">
        <v>3855</v>
      </c>
      <c r="B6680" t="s">
        <v>200</v>
      </c>
      <c r="C6680" s="25">
        <v>44685</v>
      </c>
      <c r="D6680" s="26">
        <v>0.2847337962962963</v>
      </c>
      <c r="E6680" t="s">
        <v>28</v>
      </c>
      <c r="F6680" t="s">
        <v>165</v>
      </c>
      <c r="G6680" t="s">
        <v>185</v>
      </c>
      <c r="H6680" t="s">
        <v>123</v>
      </c>
      <c r="I6680">
        <v>274.08</v>
      </c>
      <c r="J6680" s="32">
        <v>0</v>
      </c>
      <c r="K6680" s="96">
        <f>+L6680-J6805</f>
        <v>597.79</v>
      </c>
      <c r="L6680" s="68">
        <v>597.79</v>
      </c>
      <c r="M6680" s="10">
        <f t="shared" si="412"/>
        <v>45.848876695829638</v>
      </c>
    </row>
    <row r="6681" spans="1:13" ht="15.75" hidden="1" customHeight="1" x14ac:dyDescent="0.3">
      <c r="A6681" s="9">
        <v>3856</v>
      </c>
      <c r="B6681" t="s">
        <v>200</v>
      </c>
      <c r="C6681" s="25">
        <v>44685</v>
      </c>
      <c r="D6681" s="26">
        <v>0.96107638888888891</v>
      </c>
      <c r="E6681" t="s">
        <v>28</v>
      </c>
      <c r="F6681" t="s">
        <v>210</v>
      </c>
      <c r="G6681" t="s">
        <v>211</v>
      </c>
      <c r="H6681" t="s">
        <v>123</v>
      </c>
      <c r="I6681">
        <v>228.63</v>
      </c>
      <c r="J6681" s="32">
        <v>0</v>
      </c>
      <c r="K6681" s="90">
        <f>+L6681-J6806</f>
        <v>607.86</v>
      </c>
      <c r="L6681" s="32">
        <v>607.86</v>
      </c>
      <c r="M6681" s="10">
        <f t="shared" si="412"/>
        <v>37.612279143223766</v>
      </c>
    </row>
    <row r="6682" spans="1:13" ht="15.75" hidden="1" customHeight="1" x14ac:dyDescent="0.3">
      <c r="A6682" s="9">
        <v>3963</v>
      </c>
      <c r="B6682" t="s">
        <v>200</v>
      </c>
      <c r="C6682" s="25">
        <v>44687</v>
      </c>
      <c r="D6682" s="26">
        <v>0.67787037037037035</v>
      </c>
      <c r="E6682" t="s">
        <v>28</v>
      </c>
      <c r="F6682" t="s">
        <v>175</v>
      </c>
      <c r="G6682" t="s">
        <v>172</v>
      </c>
      <c r="H6682" t="s">
        <v>123</v>
      </c>
      <c r="I6682">
        <v>363.22</v>
      </c>
      <c r="J6682" s="32">
        <v>0</v>
      </c>
      <c r="K6682" s="89">
        <f>+L6682-J6809</f>
        <v>1241</v>
      </c>
      <c r="L6682" s="33">
        <v>1241</v>
      </c>
      <c r="M6682" s="10">
        <f t="shared" si="412"/>
        <v>29.268331990330381</v>
      </c>
    </row>
    <row r="6683" spans="1:13" ht="15.75" hidden="1" customHeight="1" x14ac:dyDescent="0.3">
      <c r="A6683" s="9">
        <v>3994</v>
      </c>
      <c r="B6683" t="s">
        <v>200</v>
      </c>
      <c r="C6683" s="25">
        <v>44688</v>
      </c>
      <c r="D6683" s="26">
        <v>0.61664351851851851</v>
      </c>
      <c r="E6683" t="s">
        <v>28</v>
      </c>
      <c r="F6683" t="s">
        <v>166</v>
      </c>
      <c r="G6683" t="s">
        <v>161</v>
      </c>
      <c r="H6683" t="s">
        <v>123</v>
      </c>
      <c r="I6683">
        <v>370.26</v>
      </c>
      <c r="J6683" s="32">
        <v>0</v>
      </c>
      <c r="K6683" s="90" t="e">
        <f>+L6683-#REF!</f>
        <v>#REF!</v>
      </c>
      <c r="L6683" s="32">
        <v>614</v>
      </c>
      <c r="M6683" s="10" t="e">
        <f t="shared" si="412"/>
        <v>#REF!</v>
      </c>
    </row>
    <row r="6684" spans="1:13" ht="15.75" hidden="1" customHeight="1" x14ac:dyDescent="0.3">
      <c r="A6684" s="9">
        <v>4059</v>
      </c>
      <c r="B6684" t="s">
        <v>200</v>
      </c>
      <c r="C6684" s="25">
        <v>44689</v>
      </c>
      <c r="D6684" s="26">
        <v>0.64162037037037034</v>
      </c>
      <c r="E6684" t="s">
        <v>28</v>
      </c>
      <c r="F6684" t="s">
        <v>210</v>
      </c>
      <c r="G6684" t="s">
        <v>211</v>
      </c>
      <c r="H6684" t="s">
        <v>123</v>
      </c>
      <c r="I6684">
        <v>448.81</v>
      </c>
      <c r="J6684" s="32">
        <v>0</v>
      </c>
      <c r="K6684" s="89">
        <f>+L6684-J6810</f>
        <v>1147</v>
      </c>
      <c r="L6684" s="37">
        <v>1147</v>
      </c>
      <c r="M6684" s="10">
        <f t="shared" ref="M6684:M6715" si="413">I6684/K6684*100</f>
        <v>39.12903225806452</v>
      </c>
    </row>
    <row r="6685" spans="1:13" ht="15.75" hidden="1" customHeight="1" x14ac:dyDescent="0.3">
      <c r="A6685" s="9">
        <v>4100</v>
      </c>
      <c r="B6685" t="s">
        <v>200</v>
      </c>
      <c r="C6685" s="25">
        <v>44690</v>
      </c>
      <c r="D6685" s="26">
        <v>0.68781250000000005</v>
      </c>
      <c r="E6685" t="s">
        <v>28</v>
      </c>
      <c r="F6685" t="s">
        <v>169</v>
      </c>
      <c r="G6685" t="s">
        <v>196</v>
      </c>
      <c r="H6685" t="s">
        <v>123</v>
      </c>
      <c r="I6685">
        <v>174.76</v>
      </c>
      <c r="J6685" s="32">
        <v>0</v>
      </c>
      <c r="K6685" s="89">
        <f>+L6685-J6811</f>
        <v>512</v>
      </c>
      <c r="L6685" s="67">
        <v>512</v>
      </c>
      <c r="M6685" s="10">
        <f t="shared" si="413"/>
        <v>34.1328125</v>
      </c>
    </row>
    <row r="6686" spans="1:13" ht="15.75" hidden="1" customHeight="1" x14ac:dyDescent="0.3">
      <c r="A6686" s="9">
        <v>4189</v>
      </c>
      <c r="B6686" t="s">
        <v>200</v>
      </c>
      <c r="C6686" s="25">
        <v>44692</v>
      </c>
      <c r="D6686" s="26">
        <v>0.55128472222222225</v>
      </c>
      <c r="E6686" t="s">
        <v>28</v>
      </c>
      <c r="F6686" t="s">
        <v>166</v>
      </c>
      <c r="G6686" t="s">
        <v>161</v>
      </c>
      <c r="H6686" t="s">
        <v>123</v>
      </c>
      <c r="I6686">
        <f>68.65+411.39</f>
        <v>480.03999999999996</v>
      </c>
      <c r="J6686" s="32">
        <v>0</v>
      </c>
      <c r="K6686" s="89">
        <f t="shared" ref="K6686:K6697" si="414">+L6686-J6813</f>
        <v>1208</v>
      </c>
      <c r="L6686" s="53">
        <v>1208</v>
      </c>
      <c r="M6686" s="10">
        <f t="shared" si="413"/>
        <v>39.738410596026483</v>
      </c>
    </row>
    <row r="6687" spans="1:13" ht="15.75" hidden="1" customHeight="1" x14ac:dyDescent="0.3">
      <c r="A6687" s="9">
        <v>4242</v>
      </c>
      <c r="B6687" t="s">
        <v>200</v>
      </c>
      <c r="C6687" s="25">
        <v>44693</v>
      </c>
      <c r="D6687" s="26">
        <v>0.417025462962963</v>
      </c>
      <c r="E6687" t="s">
        <v>28</v>
      </c>
      <c r="F6687" t="s">
        <v>165</v>
      </c>
      <c r="G6687" t="s">
        <v>185</v>
      </c>
      <c r="H6687" t="s">
        <v>123</v>
      </c>
      <c r="I6687">
        <f>134.21+140.12</f>
        <v>274.33000000000004</v>
      </c>
      <c r="J6687" s="32">
        <v>0</v>
      </c>
      <c r="K6687" s="89">
        <f t="shared" si="414"/>
        <v>634</v>
      </c>
      <c r="L6687" s="53">
        <v>634</v>
      </c>
      <c r="M6687" s="10">
        <f t="shared" si="413"/>
        <v>43.269716088328082</v>
      </c>
    </row>
    <row r="6688" spans="1:13" ht="15.75" hidden="1" customHeight="1" x14ac:dyDescent="0.3">
      <c r="A6688" s="9">
        <v>4243</v>
      </c>
      <c r="B6688" t="s">
        <v>200</v>
      </c>
      <c r="C6688" s="25">
        <v>44693</v>
      </c>
      <c r="D6688" s="26">
        <v>0.98491898148148149</v>
      </c>
      <c r="E6688" t="s">
        <v>28</v>
      </c>
      <c r="F6688" t="s">
        <v>293</v>
      </c>
      <c r="G6688" t="s">
        <v>196</v>
      </c>
      <c r="H6688" t="s">
        <v>123</v>
      </c>
      <c r="I6688">
        <v>200</v>
      </c>
      <c r="J6688" s="32">
        <v>0</v>
      </c>
      <c r="K6688" s="89">
        <f t="shared" si="414"/>
        <v>970</v>
      </c>
      <c r="L6688" s="33">
        <v>970</v>
      </c>
      <c r="M6688" s="10">
        <f t="shared" si="413"/>
        <v>20.618556701030926</v>
      </c>
    </row>
    <row r="6689" spans="1:13" ht="15.75" hidden="1" customHeight="1" x14ac:dyDescent="0.3">
      <c r="A6689" s="9">
        <v>4293</v>
      </c>
      <c r="B6689" t="s">
        <v>200</v>
      </c>
      <c r="C6689" s="25">
        <v>44694</v>
      </c>
      <c r="D6689" s="26">
        <v>0.66561342592592598</v>
      </c>
      <c r="E6689" t="s">
        <v>28</v>
      </c>
      <c r="F6689" t="s">
        <v>428</v>
      </c>
      <c r="G6689" t="s">
        <v>429</v>
      </c>
      <c r="H6689" t="s">
        <v>123</v>
      </c>
      <c r="I6689">
        <v>101</v>
      </c>
      <c r="J6689" s="32">
        <v>0</v>
      </c>
      <c r="K6689" s="89">
        <f t="shared" si="414"/>
        <v>477</v>
      </c>
      <c r="L6689" s="32">
        <v>477</v>
      </c>
      <c r="M6689" s="10">
        <f t="shared" si="413"/>
        <v>21.174004192872118</v>
      </c>
    </row>
    <row r="6690" spans="1:13" ht="15.75" hidden="1" customHeight="1" x14ac:dyDescent="0.3">
      <c r="A6690" s="9">
        <v>4329</v>
      </c>
      <c r="B6690" t="s">
        <v>200</v>
      </c>
      <c r="C6690" s="25">
        <v>44695</v>
      </c>
      <c r="D6690" s="26">
        <v>0.68269675925925932</v>
      </c>
      <c r="E6690" t="s">
        <v>28</v>
      </c>
      <c r="F6690" t="s">
        <v>166</v>
      </c>
      <c r="G6690" t="s">
        <v>161</v>
      </c>
      <c r="H6690" t="s">
        <v>123</v>
      </c>
      <c r="I6690">
        <v>100</v>
      </c>
      <c r="J6690" s="32">
        <v>0</v>
      </c>
      <c r="K6690" s="89">
        <f t="shared" si="414"/>
        <v>511</v>
      </c>
      <c r="L6690" s="37">
        <v>511</v>
      </c>
      <c r="M6690" s="10">
        <f t="shared" si="413"/>
        <v>19.569471624266143</v>
      </c>
    </row>
    <row r="6691" spans="1:13" ht="15.75" hidden="1" customHeight="1" x14ac:dyDescent="0.3">
      <c r="A6691" s="9">
        <v>4359</v>
      </c>
      <c r="B6691" t="s">
        <v>200</v>
      </c>
      <c r="C6691" s="25">
        <v>44695</v>
      </c>
      <c r="D6691" s="26">
        <v>0.14070601851851852</v>
      </c>
      <c r="E6691" t="s">
        <v>28</v>
      </c>
      <c r="F6691" t="s">
        <v>197</v>
      </c>
      <c r="G6691" t="s">
        <v>44</v>
      </c>
      <c r="H6691" t="s">
        <v>123</v>
      </c>
      <c r="I6691">
        <v>100.77</v>
      </c>
      <c r="J6691" s="32">
        <v>0</v>
      </c>
      <c r="K6691" s="89">
        <f t="shared" si="414"/>
        <v>380</v>
      </c>
      <c r="L6691" s="67">
        <v>380</v>
      </c>
      <c r="M6691" s="10">
        <f t="shared" si="413"/>
        <v>26.518421052631581</v>
      </c>
    </row>
    <row r="6692" spans="1:13" ht="15.75" hidden="1" customHeight="1" x14ac:dyDescent="0.3">
      <c r="A6692" s="9">
        <v>4360</v>
      </c>
      <c r="B6692" t="s">
        <v>200</v>
      </c>
      <c r="C6692" s="25">
        <v>44695</v>
      </c>
      <c r="D6692" s="26">
        <v>0.38355324074074071</v>
      </c>
      <c r="E6692" t="s">
        <v>28</v>
      </c>
      <c r="F6692" t="s">
        <v>197</v>
      </c>
      <c r="G6692" t="s">
        <v>44</v>
      </c>
      <c r="H6692" t="s">
        <v>123</v>
      </c>
      <c r="I6692">
        <v>118.11</v>
      </c>
      <c r="J6692" s="32">
        <v>0</v>
      </c>
      <c r="K6692" s="89">
        <f t="shared" si="414"/>
        <v>192</v>
      </c>
      <c r="L6692" s="53">
        <v>192</v>
      </c>
      <c r="M6692" s="10">
        <f t="shared" si="413"/>
        <v>61.515624999999993</v>
      </c>
    </row>
    <row r="6693" spans="1:13" ht="15.75" hidden="1" customHeight="1" x14ac:dyDescent="0.3">
      <c r="A6693" s="9">
        <v>4361</v>
      </c>
      <c r="B6693" t="s">
        <v>200</v>
      </c>
      <c r="C6693" s="25">
        <v>44695</v>
      </c>
      <c r="D6693" s="26">
        <v>0.73362268518518514</v>
      </c>
      <c r="E6693" t="s">
        <v>28</v>
      </c>
      <c r="F6693" t="s">
        <v>210</v>
      </c>
      <c r="G6693" t="s">
        <v>211</v>
      </c>
      <c r="H6693" t="s">
        <v>123</v>
      </c>
      <c r="I6693">
        <v>319.89</v>
      </c>
      <c r="J6693" s="32">
        <v>0</v>
      </c>
      <c r="K6693" s="89">
        <f t="shared" si="414"/>
        <v>76</v>
      </c>
      <c r="L6693" s="32">
        <v>76</v>
      </c>
      <c r="M6693" s="10">
        <f t="shared" si="413"/>
        <v>420.90789473684208</v>
      </c>
    </row>
    <row r="6694" spans="1:13" ht="15.75" hidden="1" customHeight="1" x14ac:dyDescent="0.3">
      <c r="A6694" s="9">
        <v>4433</v>
      </c>
      <c r="B6694" t="s">
        <v>200</v>
      </c>
      <c r="C6694" s="25">
        <v>44696</v>
      </c>
      <c r="D6694" s="26">
        <v>0.47553240740740743</v>
      </c>
      <c r="E6694" t="s">
        <v>28</v>
      </c>
      <c r="F6694" t="s">
        <v>165</v>
      </c>
      <c r="G6694" t="s">
        <v>185</v>
      </c>
      <c r="H6694" t="s">
        <v>123</v>
      </c>
      <c r="I6694">
        <v>254.28</v>
      </c>
      <c r="J6694" s="32">
        <v>0</v>
      </c>
      <c r="K6694" s="89">
        <f t="shared" si="414"/>
        <v>548</v>
      </c>
      <c r="L6694" s="32">
        <v>548</v>
      </c>
      <c r="M6694" s="10">
        <f t="shared" si="413"/>
        <v>46.401459854014597</v>
      </c>
    </row>
    <row r="6695" spans="1:13" ht="15.75" hidden="1" customHeight="1" x14ac:dyDescent="0.3">
      <c r="A6695" s="9">
        <v>4434</v>
      </c>
      <c r="B6695" t="s">
        <v>200</v>
      </c>
      <c r="C6695" s="25">
        <v>44696</v>
      </c>
      <c r="D6695" s="26">
        <v>0.92013888888888884</v>
      </c>
      <c r="E6695" t="s">
        <v>28</v>
      </c>
      <c r="F6695" t="s">
        <v>210</v>
      </c>
      <c r="G6695" t="s">
        <v>211</v>
      </c>
      <c r="H6695" t="s">
        <v>123</v>
      </c>
      <c r="I6695">
        <v>156.88</v>
      </c>
      <c r="J6695" s="32">
        <v>0</v>
      </c>
      <c r="K6695" s="89">
        <f t="shared" si="414"/>
        <v>515</v>
      </c>
      <c r="L6695" s="32">
        <v>515</v>
      </c>
      <c r="M6695" s="10">
        <f t="shared" si="413"/>
        <v>30.462135922330098</v>
      </c>
    </row>
    <row r="6696" spans="1:13" ht="15.75" hidden="1" customHeight="1" x14ac:dyDescent="0.3">
      <c r="A6696" s="9">
        <v>4485</v>
      </c>
      <c r="B6696" t="s">
        <v>200</v>
      </c>
      <c r="C6696" s="25">
        <v>44697</v>
      </c>
      <c r="D6696" s="26">
        <v>0.65569444444444447</v>
      </c>
      <c r="E6696" t="s">
        <v>28</v>
      </c>
      <c r="F6696" t="s">
        <v>169</v>
      </c>
      <c r="G6696" t="s">
        <v>170</v>
      </c>
      <c r="H6696" t="s">
        <v>123</v>
      </c>
      <c r="I6696">
        <v>100</v>
      </c>
      <c r="J6696" s="32">
        <v>0</v>
      </c>
      <c r="K6696" s="89">
        <f t="shared" si="414"/>
        <v>504</v>
      </c>
      <c r="L6696" s="67">
        <v>504</v>
      </c>
      <c r="M6696" s="10">
        <f t="shared" si="413"/>
        <v>19.841269841269842</v>
      </c>
    </row>
    <row r="6697" spans="1:13" ht="15.75" hidden="1" customHeight="1" x14ac:dyDescent="0.3">
      <c r="A6697" s="9">
        <v>4486</v>
      </c>
      <c r="B6697" t="s">
        <v>200</v>
      </c>
      <c r="C6697" s="25">
        <v>44697</v>
      </c>
      <c r="D6697" s="26">
        <v>0.76643518518518527</v>
      </c>
      <c r="E6697" t="s">
        <v>28</v>
      </c>
      <c r="F6697" t="s">
        <v>274</v>
      </c>
      <c r="G6697" t="s">
        <v>495</v>
      </c>
      <c r="H6697" t="s">
        <v>123</v>
      </c>
      <c r="I6697">
        <v>50.01</v>
      </c>
      <c r="J6697" s="32">
        <v>0</v>
      </c>
      <c r="K6697" s="89">
        <f t="shared" si="414"/>
        <v>76</v>
      </c>
      <c r="L6697" s="32">
        <v>76</v>
      </c>
      <c r="M6697" s="10">
        <f t="shared" si="413"/>
        <v>65.80263157894737</v>
      </c>
    </row>
    <row r="6698" spans="1:13" ht="15.75" hidden="1" customHeight="1" x14ac:dyDescent="0.3">
      <c r="A6698" s="9">
        <v>4528</v>
      </c>
      <c r="B6698" t="s">
        <v>200</v>
      </c>
      <c r="C6698" s="25">
        <v>44698</v>
      </c>
      <c r="D6698" s="26">
        <v>0.38885416666666667</v>
      </c>
      <c r="E6698" t="s">
        <v>28</v>
      </c>
      <c r="F6698" t="s">
        <v>262</v>
      </c>
      <c r="G6698" t="s">
        <v>263</v>
      </c>
      <c r="H6698" t="s">
        <v>123</v>
      </c>
      <c r="I6698">
        <v>176.23</v>
      </c>
      <c r="J6698" s="32">
        <v>0</v>
      </c>
      <c r="K6698" s="89">
        <f t="shared" ref="K6698:K6703" si="415">+L6698-J6965</f>
        <v>276</v>
      </c>
      <c r="L6698" s="32">
        <v>276</v>
      </c>
      <c r="M6698" s="10">
        <f t="shared" si="413"/>
        <v>63.851449275362313</v>
      </c>
    </row>
    <row r="6699" spans="1:13" ht="15.75" hidden="1" customHeight="1" x14ac:dyDescent="0.3">
      <c r="A6699" s="9">
        <v>4587</v>
      </c>
      <c r="B6699" t="s">
        <v>200</v>
      </c>
      <c r="C6699" s="25">
        <v>44699</v>
      </c>
      <c r="D6699" s="26">
        <v>0.98872685185185183</v>
      </c>
      <c r="E6699" t="s">
        <v>28</v>
      </c>
      <c r="F6699" t="s">
        <v>165</v>
      </c>
      <c r="G6699" t="s">
        <v>185</v>
      </c>
      <c r="H6699" t="s">
        <v>123</v>
      </c>
      <c r="I6699">
        <v>293.82</v>
      </c>
      <c r="J6699" s="32">
        <v>0</v>
      </c>
      <c r="K6699" s="94">
        <f t="shared" si="415"/>
        <v>626</v>
      </c>
      <c r="L6699" s="32">
        <v>626</v>
      </c>
      <c r="M6699" s="10">
        <f t="shared" si="413"/>
        <v>46.936102236421725</v>
      </c>
    </row>
    <row r="6700" spans="1:13" ht="15.75" hidden="1" customHeight="1" x14ac:dyDescent="0.3">
      <c r="A6700" s="9">
        <v>4590</v>
      </c>
      <c r="B6700" t="s">
        <v>200</v>
      </c>
      <c r="C6700" s="25">
        <v>44699</v>
      </c>
      <c r="D6700" s="26">
        <v>0.1393287037037037</v>
      </c>
      <c r="E6700" t="s">
        <v>28</v>
      </c>
      <c r="F6700" t="s">
        <v>166</v>
      </c>
      <c r="G6700" t="s">
        <v>161</v>
      </c>
      <c r="H6700" t="s">
        <v>123</v>
      </c>
      <c r="I6700">
        <v>360.25</v>
      </c>
      <c r="J6700" s="32">
        <v>0</v>
      </c>
      <c r="K6700" s="89">
        <f t="shared" si="415"/>
        <v>809</v>
      </c>
      <c r="L6700" s="67">
        <v>809</v>
      </c>
      <c r="M6700" s="10">
        <f t="shared" si="413"/>
        <v>44.530284301606919</v>
      </c>
    </row>
    <row r="6701" spans="1:13" ht="15.75" hidden="1" customHeight="1" x14ac:dyDescent="0.3">
      <c r="A6701" s="9">
        <v>4639</v>
      </c>
      <c r="B6701" t="s">
        <v>200</v>
      </c>
      <c r="C6701" s="25">
        <v>44700</v>
      </c>
      <c r="D6701" s="26">
        <v>0.95806712962962959</v>
      </c>
      <c r="E6701" t="s">
        <v>28</v>
      </c>
      <c r="F6701" t="s">
        <v>210</v>
      </c>
      <c r="G6701" t="s">
        <v>211</v>
      </c>
      <c r="H6701" t="s">
        <v>123</v>
      </c>
      <c r="I6701">
        <v>224.56</v>
      </c>
      <c r="J6701" s="32">
        <v>0</v>
      </c>
      <c r="K6701" s="89">
        <f t="shared" si="415"/>
        <v>558</v>
      </c>
      <c r="L6701" s="53">
        <v>558</v>
      </c>
      <c r="M6701" s="10">
        <f t="shared" si="413"/>
        <v>40.243727598566309</v>
      </c>
    </row>
    <row r="6702" spans="1:13" ht="15.75" hidden="1" customHeight="1" x14ac:dyDescent="0.3">
      <c r="A6702" s="9">
        <v>4691</v>
      </c>
      <c r="B6702" t="s">
        <v>200</v>
      </c>
      <c r="C6702" s="25">
        <v>44701</v>
      </c>
      <c r="D6702" s="26">
        <v>0.68334490740740739</v>
      </c>
      <c r="E6702" t="s">
        <v>28</v>
      </c>
      <c r="F6702" t="s">
        <v>169</v>
      </c>
      <c r="G6702" t="s">
        <v>196</v>
      </c>
      <c r="H6702" t="s">
        <v>123</v>
      </c>
      <c r="I6702">
        <v>100</v>
      </c>
      <c r="J6702" s="32">
        <v>0</v>
      </c>
      <c r="K6702" s="89">
        <f t="shared" si="415"/>
        <v>495</v>
      </c>
      <c r="L6702" s="53">
        <v>495</v>
      </c>
      <c r="M6702" s="10">
        <f t="shared" si="413"/>
        <v>20.202020202020201</v>
      </c>
    </row>
    <row r="6703" spans="1:13" ht="15.75" hidden="1" customHeight="1" x14ac:dyDescent="0.3">
      <c r="A6703" s="9">
        <v>4752</v>
      </c>
      <c r="B6703" t="s">
        <v>200</v>
      </c>
      <c r="C6703" s="25">
        <v>44702</v>
      </c>
      <c r="D6703" s="26">
        <v>0.43739583333333337</v>
      </c>
      <c r="E6703" t="s">
        <v>28</v>
      </c>
      <c r="F6703" t="s">
        <v>171</v>
      </c>
      <c r="G6703" t="s">
        <v>172</v>
      </c>
      <c r="H6703" t="s">
        <v>123</v>
      </c>
      <c r="I6703">
        <v>224.91</v>
      </c>
      <c r="J6703" s="32">
        <v>0</v>
      </c>
      <c r="K6703" s="89">
        <f t="shared" si="415"/>
        <v>402</v>
      </c>
      <c r="L6703" s="53">
        <v>402</v>
      </c>
      <c r="M6703" s="10">
        <f t="shared" si="413"/>
        <v>55.947761194029852</v>
      </c>
    </row>
    <row r="6704" spans="1:13" ht="15.75" hidden="1" customHeight="1" x14ac:dyDescent="0.3">
      <c r="A6704" s="9">
        <v>5175</v>
      </c>
      <c r="B6704" t="s">
        <v>200</v>
      </c>
      <c r="C6704" s="25">
        <v>44710</v>
      </c>
      <c r="D6704" s="26">
        <v>0.35552083333333334</v>
      </c>
      <c r="E6704" t="s">
        <v>28</v>
      </c>
      <c r="F6704" t="s">
        <v>634</v>
      </c>
      <c r="G6704" t="s">
        <v>211</v>
      </c>
      <c r="H6704" t="s">
        <v>123</v>
      </c>
      <c r="I6704">
        <v>392.4</v>
      </c>
      <c r="J6704" s="32">
        <v>0</v>
      </c>
      <c r="K6704" s="89">
        <f>+L6704-J6970</f>
        <v>871</v>
      </c>
      <c r="L6704" s="7">
        <v>871</v>
      </c>
      <c r="M6704" s="10">
        <f t="shared" si="413"/>
        <v>45.05166475315729</v>
      </c>
    </row>
    <row r="6705" spans="1:19" ht="15.75" hidden="1" customHeight="1" x14ac:dyDescent="0.3">
      <c r="A6705" s="9">
        <v>5176</v>
      </c>
      <c r="B6705" t="s">
        <v>200</v>
      </c>
      <c r="C6705" s="25">
        <v>44710</v>
      </c>
      <c r="D6705" s="26">
        <v>0.84921296296296289</v>
      </c>
      <c r="E6705" t="s">
        <v>28</v>
      </c>
      <c r="F6705" t="s">
        <v>635</v>
      </c>
      <c r="G6705" t="s">
        <v>185</v>
      </c>
      <c r="H6705" t="s">
        <v>123</v>
      </c>
      <c r="I6705">
        <v>262</v>
      </c>
      <c r="J6705" s="32">
        <v>0</v>
      </c>
      <c r="K6705" s="90">
        <f>+L6705-J6986</f>
        <v>547</v>
      </c>
      <c r="L6705" s="11">
        <v>547</v>
      </c>
      <c r="M6705" s="10">
        <f t="shared" si="413"/>
        <v>47.897623400365632</v>
      </c>
    </row>
    <row r="6706" spans="1:19" ht="15.75" hidden="1" customHeight="1" x14ac:dyDescent="0.3">
      <c r="A6706" s="9">
        <v>5313</v>
      </c>
      <c r="B6706" t="s">
        <v>200</v>
      </c>
      <c r="C6706" s="25">
        <v>44713</v>
      </c>
      <c r="D6706" s="26">
        <v>0.63924768518518515</v>
      </c>
      <c r="E6706" t="s">
        <v>29</v>
      </c>
      <c r="F6706" t="s">
        <v>635</v>
      </c>
      <c r="G6706" t="s">
        <v>185</v>
      </c>
      <c r="H6706" t="s">
        <v>123</v>
      </c>
      <c r="I6706">
        <v>396.73</v>
      </c>
      <c r="J6706" s="32">
        <v>0</v>
      </c>
      <c r="K6706" s="90">
        <f>+L6706-J6873</f>
        <v>849</v>
      </c>
      <c r="L6706" s="7">
        <v>849</v>
      </c>
      <c r="M6706" s="10">
        <f t="shared" si="413"/>
        <v>46.729093050647826</v>
      </c>
    </row>
    <row r="6707" spans="1:19" ht="15.75" hidden="1" customHeight="1" x14ac:dyDescent="0.3">
      <c r="A6707" s="9">
        <v>5382</v>
      </c>
      <c r="B6707" t="s">
        <v>200</v>
      </c>
      <c r="C6707" s="25">
        <v>44714</v>
      </c>
      <c r="D6707" s="26">
        <v>0.80109953703703696</v>
      </c>
      <c r="E6707" t="s">
        <v>29</v>
      </c>
      <c r="F6707" t="s">
        <v>635</v>
      </c>
      <c r="G6707" t="s">
        <v>185</v>
      </c>
      <c r="H6707" t="s">
        <v>123</v>
      </c>
      <c r="I6707">
        <v>219</v>
      </c>
      <c r="J6707" s="32">
        <v>0</v>
      </c>
      <c r="K6707" s="90">
        <f>+L6707-J6874</f>
        <v>-394407</v>
      </c>
      <c r="L6707" s="7">
        <v>475</v>
      </c>
      <c r="M6707" s="10">
        <f t="shared" si="413"/>
        <v>-5.5526397858050185E-2</v>
      </c>
    </row>
    <row r="6708" spans="1:19" ht="15.75" hidden="1" customHeight="1" x14ac:dyDescent="0.3">
      <c r="A6708" s="9">
        <v>5435</v>
      </c>
      <c r="B6708" t="s">
        <v>200</v>
      </c>
      <c r="C6708" s="25">
        <v>44715</v>
      </c>
      <c r="D6708" s="26">
        <v>0.82149305555555552</v>
      </c>
      <c r="E6708" t="s">
        <v>29</v>
      </c>
      <c r="F6708" t="s">
        <v>714</v>
      </c>
      <c r="G6708" t="s">
        <v>336</v>
      </c>
      <c r="H6708" t="s">
        <v>123</v>
      </c>
      <c r="I6708">
        <v>346.59</v>
      </c>
      <c r="J6708" s="32">
        <v>0</v>
      </c>
      <c r="K6708" s="89">
        <f>+L6708-J6871</f>
        <v>972</v>
      </c>
      <c r="L6708" s="7">
        <v>972</v>
      </c>
      <c r="M6708" s="10">
        <f t="shared" si="413"/>
        <v>35.657407407407405</v>
      </c>
    </row>
    <row r="6709" spans="1:19" ht="15.75" hidden="1" customHeight="1" x14ac:dyDescent="0.3">
      <c r="A6709" s="9">
        <v>5491</v>
      </c>
      <c r="B6709" t="s">
        <v>200</v>
      </c>
      <c r="C6709" s="25">
        <v>44716</v>
      </c>
      <c r="D6709" s="26">
        <v>0.71540509259259266</v>
      </c>
      <c r="E6709" t="s">
        <v>29</v>
      </c>
      <c r="F6709" t="s">
        <v>635</v>
      </c>
      <c r="G6709" t="s">
        <v>185</v>
      </c>
      <c r="H6709" t="s">
        <v>123</v>
      </c>
      <c r="I6709">
        <v>281.27</v>
      </c>
      <c r="J6709" s="32">
        <v>0</v>
      </c>
      <c r="K6709" s="89">
        <f>+L6709-J6871</f>
        <v>620</v>
      </c>
      <c r="L6709" s="7">
        <v>620</v>
      </c>
      <c r="M6709" s="10">
        <f t="shared" si="413"/>
        <v>45.366129032258065</v>
      </c>
    </row>
    <row r="6710" spans="1:19" ht="15.75" hidden="1" customHeight="1" x14ac:dyDescent="0.3">
      <c r="A6710" s="9">
        <v>5535</v>
      </c>
      <c r="B6710" t="s">
        <v>200</v>
      </c>
      <c r="C6710" s="25">
        <v>44717</v>
      </c>
      <c r="D6710" s="26">
        <v>0.7428703703703704</v>
      </c>
      <c r="E6710" t="s">
        <v>29</v>
      </c>
      <c r="F6710" t="s">
        <v>634</v>
      </c>
      <c r="G6710" t="s">
        <v>211</v>
      </c>
      <c r="H6710" t="s">
        <v>123</v>
      </c>
      <c r="I6710">
        <v>164.56</v>
      </c>
      <c r="J6710" s="32">
        <v>0</v>
      </c>
      <c r="K6710" s="89">
        <f>+L6710-J6872</f>
        <v>615</v>
      </c>
      <c r="L6710" s="7">
        <v>615</v>
      </c>
      <c r="M6710" s="10">
        <f t="shared" si="413"/>
        <v>26.757723577235769</v>
      </c>
    </row>
    <row r="6711" spans="1:19" ht="15.75" hidden="1" customHeight="1" x14ac:dyDescent="0.3">
      <c r="A6711" s="9">
        <v>5633</v>
      </c>
      <c r="B6711" t="s">
        <v>200</v>
      </c>
      <c r="C6711" s="25">
        <v>44719</v>
      </c>
      <c r="D6711" s="26">
        <v>0.33111111111111108</v>
      </c>
      <c r="E6711" t="s">
        <v>29</v>
      </c>
      <c r="F6711" t="s">
        <v>641</v>
      </c>
      <c r="G6711" t="s">
        <v>172</v>
      </c>
      <c r="H6711" t="s">
        <v>123</v>
      </c>
      <c r="I6711">
        <v>421.19</v>
      </c>
      <c r="J6711" s="32">
        <v>0</v>
      </c>
      <c r="K6711" s="89">
        <f t="shared" ref="K6711:K6717" si="416">+L6711-J6270</f>
        <v>1098</v>
      </c>
      <c r="L6711" s="7">
        <v>1098</v>
      </c>
      <c r="M6711" s="10">
        <f t="shared" si="413"/>
        <v>38.35974499089253</v>
      </c>
    </row>
    <row r="6712" spans="1:19" ht="15.75" hidden="1" customHeight="1" x14ac:dyDescent="0.3">
      <c r="A6712" s="9">
        <v>5634</v>
      </c>
      <c r="B6712" t="s">
        <v>200</v>
      </c>
      <c r="C6712" s="25">
        <v>44719</v>
      </c>
      <c r="D6712" s="26">
        <v>0.96704861111111118</v>
      </c>
      <c r="E6712" t="s">
        <v>29</v>
      </c>
      <c r="F6712" t="s">
        <v>634</v>
      </c>
      <c r="G6712" t="s">
        <v>211</v>
      </c>
      <c r="H6712" t="s">
        <v>123</v>
      </c>
      <c r="I6712">
        <v>279.43</v>
      </c>
      <c r="J6712" s="32">
        <v>0</v>
      </c>
      <c r="K6712" s="89">
        <f t="shared" si="416"/>
        <v>690</v>
      </c>
      <c r="L6712" s="7">
        <v>690</v>
      </c>
      <c r="M6712" s="10">
        <f t="shared" si="413"/>
        <v>40.497101449275362</v>
      </c>
    </row>
    <row r="6713" spans="1:19" ht="15.75" hidden="1" customHeight="1" x14ac:dyDescent="0.3">
      <c r="A6713" s="9">
        <v>5698</v>
      </c>
      <c r="B6713" t="s">
        <v>200</v>
      </c>
      <c r="C6713" s="25">
        <v>44720</v>
      </c>
      <c r="D6713" s="26">
        <v>0.835474537037037</v>
      </c>
      <c r="E6713" t="s">
        <v>29</v>
      </c>
      <c r="F6713" t="s">
        <v>635</v>
      </c>
      <c r="G6713" t="s">
        <v>185</v>
      </c>
      <c r="H6713" t="s">
        <v>123</v>
      </c>
      <c r="I6713">
        <v>266.01</v>
      </c>
      <c r="J6713" s="32">
        <v>0</v>
      </c>
      <c r="K6713" s="89">
        <f t="shared" si="416"/>
        <v>550</v>
      </c>
      <c r="L6713" s="7">
        <v>550</v>
      </c>
      <c r="M6713" s="10">
        <f t="shared" si="413"/>
        <v>48.365454545454547</v>
      </c>
    </row>
    <row r="6714" spans="1:19" ht="15.75" hidden="1" customHeight="1" x14ac:dyDescent="0.3">
      <c r="A6714" s="9">
        <v>5746</v>
      </c>
      <c r="B6714" t="s">
        <v>200</v>
      </c>
      <c r="C6714" s="25">
        <v>44721</v>
      </c>
      <c r="D6714" s="26">
        <v>0.81431712962962965</v>
      </c>
      <c r="E6714" t="s">
        <v>29</v>
      </c>
      <c r="F6714" t="s">
        <v>634</v>
      </c>
      <c r="G6714" t="s">
        <v>211</v>
      </c>
      <c r="H6714" t="s">
        <v>123</v>
      </c>
      <c r="I6714">
        <v>235.41</v>
      </c>
      <c r="J6714" s="32">
        <v>0</v>
      </c>
      <c r="K6714" s="89">
        <f t="shared" si="416"/>
        <v>573</v>
      </c>
      <c r="L6714" s="7">
        <v>573</v>
      </c>
      <c r="M6714" s="10">
        <f t="shared" si="413"/>
        <v>41.083769633507856</v>
      </c>
    </row>
    <row r="6715" spans="1:19" ht="15.75" hidden="1" customHeight="1" x14ac:dyDescent="0.3">
      <c r="A6715" s="9">
        <v>5852</v>
      </c>
      <c r="B6715" t="s">
        <v>200</v>
      </c>
      <c r="C6715" s="25">
        <v>44723</v>
      </c>
      <c r="D6715" s="26">
        <v>0.79549768518518515</v>
      </c>
      <c r="E6715" t="s">
        <v>29</v>
      </c>
      <c r="F6715" t="s">
        <v>639</v>
      </c>
      <c r="G6715" t="s">
        <v>44</v>
      </c>
      <c r="H6715" t="s">
        <v>123</v>
      </c>
      <c r="I6715">
        <v>231</v>
      </c>
      <c r="J6715" s="32">
        <v>0</v>
      </c>
      <c r="K6715" s="90">
        <f t="shared" si="416"/>
        <v>1153</v>
      </c>
      <c r="L6715" s="7">
        <v>1153</v>
      </c>
      <c r="M6715" s="10">
        <f t="shared" si="413"/>
        <v>20.034692107545535</v>
      </c>
    </row>
    <row r="6716" spans="1:19" ht="15.75" hidden="1" customHeight="1" x14ac:dyDescent="0.3">
      <c r="A6716" s="9">
        <v>5902</v>
      </c>
      <c r="B6716" t="s">
        <v>200</v>
      </c>
      <c r="C6716" s="25">
        <v>44724</v>
      </c>
      <c r="D6716" s="26">
        <v>0.1509722222222222</v>
      </c>
      <c r="E6716" t="s">
        <v>29</v>
      </c>
      <c r="F6716" t="s">
        <v>634</v>
      </c>
      <c r="G6716" t="s">
        <v>211</v>
      </c>
      <c r="H6716" t="s">
        <v>123</v>
      </c>
      <c r="I6716">
        <v>458.26</v>
      </c>
      <c r="J6716" s="32">
        <v>0</v>
      </c>
      <c r="K6716" s="94">
        <f t="shared" si="416"/>
        <v>587</v>
      </c>
      <c r="L6716" s="7">
        <v>587</v>
      </c>
      <c r="M6716" s="10">
        <f t="shared" ref="M6716:M6733" si="417">I6716/K6716*100</f>
        <v>78.068143100511065</v>
      </c>
    </row>
    <row r="6717" spans="1:19" ht="15.75" hidden="1" customHeight="1" x14ac:dyDescent="0.3">
      <c r="A6717" s="9">
        <v>5903</v>
      </c>
      <c r="B6717" t="s">
        <v>200</v>
      </c>
      <c r="C6717" s="25">
        <v>44724</v>
      </c>
      <c r="D6717" s="26">
        <v>0.50722222222222224</v>
      </c>
      <c r="E6717" t="s">
        <v>29</v>
      </c>
      <c r="F6717" t="s">
        <v>645</v>
      </c>
      <c r="G6717" t="s">
        <v>279</v>
      </c>
      <c r="H6717" t="s">
        <v>123</v>
      </c>
      <c r="I6717">
        <v>249</v>
      </c>
      <c r="J6717" s="32">
        <v>0</v>
      </c>
      <c r="K6717" s="89">
        <f t="shared" si="416"/>
        <v>560</v>
      </c>
      <c r="L6717" s="30">
        <v>560</v>
      </c>
      <c r="M6717" s="10">
        <f t="shared" si="417"/>
        <v>44.464285714285708</v>
      </c>
    </row>
    <row r="6718" spans="1:19" ht="15.75" hidden="1" customHeight="1" x14ac:dyDescent="0.3">
      <c r="A6718" s="9">
        <v>5961</v>
      </c>
      <c r="B6718" t="s">
        <v>200</v>
      </c>
      <c r="C6718" s="25">
        <v>44725</v>
      </c>
      <c r="D6718" s="26">
        <v>0.57149305555555563</v>
      </c>
      <c r="E6718" t="s">
        <v>29</v>
      </c>
      <c r="F6718" t="s">
        <v>714</v>
      </c>
      <c r="G6718" t="s">
        <v>336</v>
      </c>
      <c r="H6718" t="s">
        <v>123</v>
      </c>
      <c r="I6718">
        <v>285.73</v>
      </c>
      <c r="J6718" s="32">
        <v>0</v>
      </c>
      <c r="K6718" s="89">
        <f>+L6718-J6278</f>
        <v>841</v>
      </c>
      <c r="L6718" s="11">
        <v>841</v>
      </c>
      <c r="M6718" s="10">
        <f t="shared" si="417"/>
        <v>33.975029726516055</v>
      </c>
      <c r="N6718" s="2"/>
      <c r="O6718" s="2"/>
      <c r="P6718" s="2"/>
      <c r="Q6718" s="2"/>
      <c r="R6718" s="2"/>
      <c r="S6718" s="2"/>
    </row>
    <row r="6719" spans="1:19" ht="15.75" hidden="1" customHeight="1" x14ac:dyDescent="0.3">
      <c r="A6719" s="9">
        <v>6018</v>
      </c>
      <c r="B6719" t="s">
        <v>200</v>
      </c>
      <c r="C6719" s="25">
        <v>44726</v>
      </c>
      <c r="D6719" s="26">
        <v>8.2569444444444445E-2</v>
      </c>
      <c r="E6719" t="s">
        <v>29</v>
      </c>
      <c r="F6719" t="s">
        <v>635</v>
      </c>
      <c r="G6719" t="s">
        <v>185</v>
      </c>
      <c r="H6719" t="s">
        <v>123</v>
      </c>
      <c r="I6719">
        <v>254.69</v>
      </c>
      <c r="J6719" s="32">
        <v>0</v>
      </c>
      <c r="K6719" s="89">
        <v>620</v>
      </c>
      <c r="L6719" s="11">
        <v>620</v>
      </c>
      <c r="M6719" s="10">
        <f t="shared" si="417"/>
        <v>41.079032258064515</v>
      </c>
    </row>
    <row r="6720" spans="1:19" ht="15.75" hidden="1" customHeight="1" x14ac:dyDescent="0.3">
      <c r="A6720" s="9">
        <v>6019</v>
      </c>
      <c r="B6720" t="s">
        <v>200</v>
      </c>
      <c r="C6720" s="25">
        <v>44726</v>
      </c>
      <c r="D6720" s="26">
        <v>0.65164351851851854</v>
      </c>
      <c r="E6720" t="s">
        <v>29</v>
      </c>
      <c r="F6720" t="s">
        <v>634</v>
      </c>
      <c r="G6720" t="s">
        <v>211</v>
      </c>
      <c r="H6720" t="s">
        <v>123</v>
      </c>
      <c r="I6720">
        <v>168.06</v>
      </c>
      <c r="J6720" s="32">
        <v>0</v>
      </c>
      <c r="K6720" s="89">
        <v>515</v>
      </c>
      <c r="L6720" s="28">
        <v>515</v>
      </c>
      <c r="M6720" s="10">
        <f t="shared" si="417"/>
        <v>32.633009708737866</v>
      </c>
    </row>
    <row r="6721" spans="1:13" ht="15.75" hidden="1" customHeight="1" x14ac:dyDescent="0.3">
      <c r="A6721" s="9">
        <v>6079</v>
      </c>
      <c r="B6721" t="s">
        <v>200</v>
      </c>
      <c r="C6721" s="25">
        <v>44727</v>
      </c>
      <c r="D6721" s="26">
        <v>0.88878472222222227</v>
      </c>
      <c r="E6721" t="s">
        <v>29</v>
      </c>
      <c r="F6721" t="s">
        <v>639</v>
      </c>
      <c r="G6721" t="s">
        <v>44</v>
      </c>
      <c r="H6721" t="s">
        <v>123</v>
      </c>
      <c r="I6721">
        <v>221</v>
      </c>
      <c r="J6721" s="32">
        <v>0</v>
      </c>
      <c r="K6721" s="89">
        <v>1196</v>
      </c>
      <c r="L6721" s="7">
        <v>1196</v>
      </c>
      <c r="M6721" s="10">
        <f t="shared" si="417"/>
        <v>18.478260869565215</v>
      </c>
    </row>
    <row r="6722" spans="1:13" ht="15.75" hidden="1" customHeight="1" x14ac:dyDescent="0.3">
      <c r="A6722" s="9">
        <v>6130</v>
      </c>
      <c r="B6722" t="s">
        <v>200</v>
      </c>
      <c r="C6722" s="25">
        <v>44728</v>
      </c>
      <c r="D6722" s="26">
        <v>0.23233796296296297</v>
      </c>
      <c r="E6722" t="s">
        <v>29</v>
      </c>
      <c r="F6722" t="s">
        <v>634</v>
      </c>
      <c r="G6722" t="s">
        <v>211</v>
      </c>
      <c r="H6722" t="s">
        <v>123</v>
      </c>
      <c r="I6722">
        <v>465</v>
      </c>
      <c r="J6722" s="32">
        <v>0</v>
      </c>
      <c r="K6722" s="90">
        <v>587</v>
      </c>
      <c r="L6722" s="7">
        <v>587</v>
      </c>
      <c r="M6722" s="10">
        <f t="shared" si="417"/>
        <v>79.216354344122649</v>
      </c>
    </row>
    <row r="6723" spans="1:13" ht="15.75" hidden="1" customHeight="1" x14ac:dyDescent="0.3">
      <c r="A6723" s="9">
        <v>6185</v>
      </c>
      <c r="B6723" t="s">
        <v>200</v>
      </c>
      <c r="C6723" s="25">
        <v>44729</v>
      </c>
      <c r="D6723" s="26">
        <v>8.4953703703703701E-3</v>
      </c>
      <c r="E6723" t="s">
        <v>29</v>
      </c>
      <c r="F6723" t="s">
        <v>635</v>
      </c>
      <c r="G6723" t="s">
        <v>185</v>
      </c>
      <c r="H6723" t="s">
        <v>123</v>
      </c>
      <c r="I6723">
        <v>278.75</v>
      </c>
      <c r="J6723" s="32">
        <v>0</v>
      </c>
      <c r="K6723" s="90">
        <v>549</v>
      </c>
      <c r="L6723" s="123">
        <v>549</v>
      </c>
      <c r="M6723" s="10">
        <f t="shared" si="417"/>
        <v>50.774134790528237</v>
      </c>
    </row>
    <row r="6724" spans="1:13" ht="15.75" hidden="1" customHeight="1" x14ac:dyDescent="0.3">
      <c r="A6724" s="9">
        <v>6186</v>
      </c>
      <c r="B6724" t="s">
        <v>200</v>
      </c>
      <c r="C6724" s="25">
        <v>44729</v>
      </c>
      <c r="D6724" s="26">
        <v>0.30918981481481483</v>
      </c>
      <c r="E6724" t="s">
        <v>29</v>
      </c>
      <c r="F6724" t="s">
        <v>634</v>
      </c>
      <c r="G6724" t="s">
        <v>211</v>
      </c>
      <c r="H6724" t="s">
        <v>123</v>
      </c>
      <c r="I6724">
        <v>157.35</v>
      </c>
      <c r="J6724" s="32">
        <v>0</v>
      </c>
      <c r="K6724" s="90">
        <v>514</v>
      </c>
      <c r="L6724" s="123">
        <v>514</v>
      </c>
      <c r="M6724" s="10">
        <f t="shared" si="417"/>
        <v>30.612840466926066</v>
      </c>
    </row>
    <row r="6725" spans="1:13" ht="15.75" hidden="1" customHeight="1" x14ac:dyDescent="0.3">
      <c r="A6725" s="9">
        <v>6187</v>
      </c>
      <c r="B6725" t="s">
        <v>200</v>
      </c>
      <c r="C6725" s="25">
        <v>44729</v>
      </c>
      <c r="D6725" s="26">
        <v>0.86773148148148149</v>
      </c>
      <c r="E6725" t="s">
        <v>29</v>
      </c>
      <c r="F6725" t="s">
        <v>680</v>
      </c>
      <c r="G6725" t="s">
        <v>402</v>
      </c>
      <c r="H6725" t="s">
        <v>123</v>
      </c>
      <c r="I6725">
        <v>200</v>
      </c>
      <c r="J6725" s="32">
        <v>0</v>
      </c>
      <c r="K6725" s="176">
        <v>659</v>
      </c>
      <c r="L6725" s="123">
        <v>659</v>
      </c>
      <c r="M6725" s="10">
        <f t="shared" si="417"/>
        <v>30.349013657056144</v>
      </c>
    </row>
    <row r="6726" spans="1:13" ht="15.75" hidden="1" customHeight="1" x14ac:dyDescent="0.3">
      <c r="A6726" s="9">
        <v>6517</v>
      </c>
      <c r="B6726" t="s">
        <v>200</v>
      </c>
      <c r="C6726" s="25">
        <v>44737</v>
      </c>
      <c r="D6726" s="26">
        <v>0.92442129629629621</v>
      </c>
      <c r="E6726" t="s">
        <v>29</v>
      </c>
      <c r="F6726" t="s">
        <v>654</v>
      </c>
      <c r="G6726" t="s">
        <v>303</v>
      </c>
      <c r="H6726" t="s">
        <v>123</v>
      </c>
      <c r="I6726">
        <v>100</v>
      </c>
      <c r="J6726" s="32">
        <v>0</v>
      </c>
      <c r="K6726" s="146">
        <v>726</v>
      </c>
      <c r="L6726" s="123">
        <v>726</v>
      </c>
      <c r="M6726" s="10">
        <f t="shared" si="417"/>
        <v>13.774104683195592</v>
      </c>
    </row>
    <row r="6727" spans="1:13" ht="15.75" hidden="1" customHeight="1" x14ac:dyDescent="0.3">
      <c r="A6727" s="9">
        <v>6572</v>
      </c>
      <c r="B6727" t="s">
        <v>200</v>
      </c>
      <c r="C6727" s="25">
        <v>44738</v>
      </c>
      <c r="D6727" s="26">
        <v>0.18020833333333333</v>
      </c>
      <c r="E6727" t="s">
        <v>29</v>
      </c>
      <c r="F6727" t="s">
        <v>634</v>
      </c>
      <c r="G6727" t="s">
        <v>211</v>
      </c>
      <c r="H6727" t="s">
        <v>123</v>
      </c>
      <c r="I6727">
        <v>417.83</v>
      </c>
      <c r="J6727" s="32">
        <v>0</v>
      </c>
      <c r="K6727" s="146">
        <v>429</v>
      </c>
      <c r="L6727" s="123">
        <v>429</v>
      </c>
      <c r="M6727" s="10">
        <f t="shared" si="417"/>
        <v>97.396270396270396</v>
      </c>
    </row>
    <row r="6728" spans="1:13" ht="15.75" hidden="1" customHeight="1" x14ac:dyDescent="0.3">
      <c r="A6728" s="9">
        <v>6573</v>
      </c>
      <c r="B6728" t="s">
        <v>200</v>
      </c>
      <c r="C6728" s="25">
        <v>44738</v>
      </c>
      <c r="D6728" s="26">
        <v>0.64422453703703708</v>
      </c>
      <c r="E6728" t="s">
        <v>29</v>
      </c>
      <c r="F6728" t="s">
        <v>635</v>
      </c>
      <c r="G6728" t="s">
        <v>185</v>
      </c>
      <c r="H6728" t="s">
        <v>123</v>
      </c>
      <c r="I6728">
        <v>256.41000000000003</v>
      </c>
      <c r="J6728" s="32">
        <v>0</v>
      </c>
      <c r="K6728" s="146">
        <v>548</v>
      </c>
      <c r="L6728" s="123">
        <v>548</v>
      </c>
      <c r="M6728" s="10">
        <f t="shared" si="417"/>
        <v>46.790145985401466</v>
      </c>
    </row>
    <row r="6729" spans="1:13" ht="15.75" hidden="1" customHeight="1" x14ac:dyDescent="0.3">
      <c r="A6729" s="9">
        <v>6624</v>
      </c>
      <c r="B6729" t="s">
        <v>200</v>
      </c>
      <c r="C6729" s="25">
        <v>44739</v>
      </c>
      <c r="D6729" s="26">
        <v>1.1921296296296298E-2</v>
      </c>
      <c r="E6729" t="s">
        <v>29</v>
      </c>
      <c r="F6729" t="s">
        <v>634</v>
      </c>
      <c r="G6729" t="s">
        <v>211</v>
      </c>
      <c r="H6729" t="s">
        <v>123</v>
      </c>
      <c r="I6729">
        <v>172.01</v>
      </c>
      <c r="J6729" s="32">
        <v>0</v>
      </c>
      <c r="K6729" s="141">
        <v>514</v>
      </c>
      <c r="L6729" s="123">
        <v>514</v>
      </c>
      <c r="M6729" s="36">
        <f t="shared" si="417"/>
        <v>33.464980544747078</v>
      </c>
    </row>
    <row r="6730" spans="1:13" ht="15.75" hidden="1" customHeight="1" x14ac:dyDescent="0.3">
      <c r="A6730" s="9">
        <v>6693</v>
      </c>
      <c r="B6730" t="s">
        <v>200</v>
      </c>
      <c r="C6730" s="25">
        <v>44740</v>
      </c>
      <c r="D6730" s="26">
        <v>0.44460648148148146</v>
      </c>
      <c r="E6730" t="s">
        <v>29</v>
      </c>
      <c r="F6730" t="s">
        <v>638</v>
      </c>
      <c r="G6730" t="s">
        <v>263</v>
      </c>
      <c r="H6730" t="s">
        <v>123</v>
      </c>
      <c r="I6730">
        <v>200</v>
      </c>
      <c r="J6730" s="32">
        <v>0</v>
      </c>
      <c r="K6730" s="90">
        <v>860</v>
      </c>
      <c r="L6730" s="7">
        <v>860</v>
      </c>
      <c r="M6730" s="36">
        <f t="shared" si="417"/>
        <v>23.255813953488371</v>
      </c>
    </row>
    <row r="6731" spans="1:13" ht="15.75" hidden="1" customHeight="1" x14ac:dyDescent="0.3">
      <c r="A6731" s="9">
        <v>6694</v>
      </c>
      <c r="B6731" t="s">
        <v>200</v>
      </c>
      <c r="C6731" s="25">
        <v>44740</v>
      </c>
      <c r="D6731" s="26">
        <v>0.94026620370370362</v>
      </c>
      <c r="E6731" t="s">
        <v>29</v>
      </c>
      <c r="F6731" t="s">
        <v>639</v>
      </c>
      <c r="G6731" t="s">
        <v>44</v>
      </c>
      <c r="H6731" t="s">
        <v>123</v>
      </c>
      <c r="I6731">
        <v>99.36</v>
      </c>
      <c r="J6731" s="32">
        <v>0</v>
      </c>
      <c r="K6731" s="89">
        <v>307</v>
      </c>
      <c r="L6731" s="11">
        <v>307</v>
      </c>
      <c r="M6731" s="10">
        <f t="shared" si="417"/>
        <v>32.364820846905538</v>
      </c>
    </row>
    <row r="6732" spans="1:13" ht="15.75" hidden="1" customHeight="1" x14ac:dyDescent="0.3">
      <c r="A6732" s="9">
        <v>6743</v>
      </c>
      <c r="B6732" t="s">
        <v>200</v>
      </c>
      <c r="C6732" s="25">
        <v>44741</v>
      </c>
      <c r="D6732" s="26">
        <v>0.29744212962962963</v>
      </c>
      <c r="E6732" t="s">
        <v>29</v>
      </c>
      <c r="F6732" t="s">
        <v>634</v>
      </c>
      <c r="G6732" t="s">
        <v>211</v>
      </c>
      <c r="H6732" t="s">
        <v>123</v>
      </c>
      <c r="I6732">
        <v>347</v>
      </c>
      <c r="J6732" s="32">
        <v>0</v>
      </c>
      <c r="K6732" s="89">
        <v>587</v>
      </c>
      <c r="L6732" s="28">
        <v>587</v>
      </c>
      <c r="M6732" s="10">
        <f t="shared" si="417"/>
        <v>59.114139693356051</v>
      </c>
    </row>
    <row r="6733" spans="1:13" ht="15.75" hidden="1" customHeight="1" x14ac:dyDescent="0.3">
      <c r="A6733" s="9">
        <v>6744</v>
      </c>
      <c r="B6733" t="s">
        <v>200</v>
      </c>
      <c r="C6733" s="25">
        <v>44741</v>
      </c>
      <c r="D6733" s="26">
        <v>0.72146990740740735</v>
      </c>
      <c r="E6733" t="s">
        <v>29</v>
      </c>
      <c r="F6733" t="s">
        <v>660</v>
      </c>
      <c r="G6733" t="s">
        <v>397</v>
      </c>
      <c r="H6733" t="s">
        <v>123</v>
      </c>
      <c r="I6733" s="148">
        <v>494</v>
      </c>
      <c r="J6733" s="32">
        <v>0</v>
      </c>
      <c r="K6733" s="89">
        <v>593</v>
      </c>
      <c r="L6733" s="7">
        <v>593</v>
      </c>
      <c r="M6733" s="10">
        <f t="shared" si="417"/>
        <v>83.305227655986513</v>
      </c>
    </row>
    <row r="6734" spans="1:13" ht="15.75" hidden="1" customHeight="1" x14ac:dyDescent="0.3">
      <c r="A6734" s="9">
        <v>6751</v>
      </c>
      <c r="B6734" t="s">
        <v>200</v>
      </c>
      <c r="C6734" s="25">
        <v>44742</v>
      </c>
      <c r="D6734" s="26">
        <v>0.75765046296296301</v>
      </c>
      <c r="E6734" t="s">
        <v>29</v>
      </c>
      <c r="F6734" t="s">
        <v>335</v>
      </c>
      <c r="G6734" t="s">
        <v>336</v>
      </c>
      <c r="H6734" t="s">
        <v>123</v>
      </c>
      <c r="I6734" s="148">
        <v>281.72000000000003</v>
      </c>
      <c r="J6734" s="54"/>
      <c r="K6734" s="56">
        <v>900000</v>
      </c>
      <c r="L6734" s="106">
        <f>+K6734-J6734</f>
        <v>900000</v>
      </c>
      <c r="M6734" s="131">
        <f>I6734/L6734*100</f>
        <v>3.1302222222222224E-2</v>
      </c>
    </row>
    <row r="6735" spans="1:13" ht="15.75" hidden="1" customHeight="1" x14ac:dyDescent="0.3">
      <c r="B6735" t="s">
        <v>383</v>
      </c>
      <c r="C6735" s="25">
        <v>44764</v>
      </c>
      <c r="D6735" s="26">
        <v>0.36390046296296297</v>
      </c>
      <c r="E6735" t="s">
        <v>30</v>
      </c>
      <c r="F6735" t="s">
        <v>197</v>
      </c>
      <c r="G6735" t="s">
        <v>44</v>
      </c>
      <c r="H6735" t="s">
        <v>306</v>
      </c>
      <c r="I6735" s="160">
        <v>134.77000000000001</v>
      </c>
      <c r="J6735" s="8"/>
      <c r="K6735" s="8">
        <v>998888</v>
      </c>
      <c r="L6735" s="8">
        <f>+K6735-J6735</f>
        <v>998888</v>
      </c>
      <c r="M6735" s="272">
        <f t="shared" ref="M6735:M6743" si="418">+J6735/L6735*100</f>
        <v>0</v>
      </c>
    </row>
    <row r="6736" spans="1:13" ht="15.75" hidden="1" customHeight="1" x14ac:dyDescent="0.3">
      <c r="B6736" t="s">
        <v>383</v>
      </c>
      <c r="C6736" s="25">
        <v>44764</v>
      </c>
      <c r="D6736" s="26">
        <v>0.36702546296296296</v>
      </c>
      <c r="E6736" t="s">
        <v>30</v>
      </c>
      <c r="F6736" t="s">
        <v>197</v>
      </c>
      <c r="G6736" t="s">
        <v>44</v>
      </c>
      <c r="H6736" t="s">
        <v>306</v>
      </c>
      <c r="I6736" s="160">
        <v>182.82</v>
      </c>
      <c r="J6736" s="8"/>
      <c r="K6736" s="8">
        <v>998888</v>
      </c>
      <c r="L6736" s="24">
        <f>+K6736-J6736</f>
        <v>998888</v>
      </c>
      <c r="M6736" s="254">
        <f t="shared" si="418"/>
        <v>0</v>
      </c>
    </row>
    <row r="6737" spans="1:13" ht="15.75" hidden="1" customHeight="1" x14ac:dyDescent="0.3">
      <c r="B6737" t="s">
        <v>383</v>
      </c>
      <c r="C6737" s="25">
        <v>44764</v>
      </c>
      <c r="D6737" s="26">
        <v>0.87479166666666675</v>
      </c>
      <c r="E6737" t="s">
        <v>30</v>
      </c>
      <c r="F6737" t="s">
        <v>210</v>
      </c>
      <c r="G6737" t="s">
        <v>211</v>
      </c>
      <c r="H6737" t="s">
        <v>306</v>
      </c>
      <c r="I6737" s="160">
        <v>250.09</v>
      </c>
      <c r="J6737" s="160">
        <f>171+99+135+183+250</f>
        <v>838</v>
      </c>
      <c r="K6737" s="160">
        <v>641</v>
      </c>
      <c r="L6737" s="160">
        <v>1957</v>
      </c>
      <c r="M6737" s="273">
        <f t="shared" si="418"/>
        <v>42.820643842616249</v>
      </c>
    </row>
    <row r="6738" spans="1:13" ht="15.75" hidden="1" customHeight="1" x14ac:dyDescent="0.3">
      <c r="B6738" t="s">
        <v>383</v>
      </c>
      <c r="C6738" s="25">
        <v>44766</v>
      </c>
      <c r="D6738" s="26">
        <v>2.3020833333333334E-2</v>
      </c>
      <c r="E6738" t="s">
        <v>30</v>
      </c>
      <c r="F6738" t="s">
        <v>165</v>
      </c>
      <c r="G6738" t="s">
        <v>185</v>
      </c>
      <c r="H6738" t="s">
        <v>306</v>
      </c>
      <c r="I6738" s="160">
        <v>254.84</v>
      </c>
      <c r="J6738" s="8"/>
      <c r="K6738" s="8">
        <v>1234</v>
      </c>
      <c r="L6738" s="24">
        <f>+K6738-J6738</f>
        <v>1234</v>
      </c>
      <c r="M6738" s="254">
        <f t="shared" si="418"/>
        <v>0</v>
      </c>
    </row>
    <row r="6739" spans="1:13" ht="15.75" hidden="1" customHeight="1" x14ac:dyDescent="0.3">
      <c r="B6739" t="s">
        <v>383</v>
      </c>
      <c r="C6739" s="25">
        <v>44766</v>
      </c>
      <c r="D6739" s="26">
        <v>0.80831018518518516</v>
      </c>
      <c r="E6739" t="s">
        <v>30</v>
      </c>
      <c r="F6739" t="s">
        <v>210</v>
      </c>
      <c r="G6739" t="s">
        <v>211</v>
      </c>
      <c r="H6739" t="s">
        <v>306</v>
      </c>
      <c r="I6739" s="160">
        <v>186.92</v>
      </c>
      <c r="J6739" s="160">
        <f>255+187</f>
        <v>442</v>
      </c>
      <c r="K6739" s="160">
        <v>10641</v>
      </c>
      <c r="L6739" s="160">
        <v>1071</v>
      </c>
      <c r="M6739" s="254">
        <f t="shared" si="418"/>
        <v>41.269841269841265</v>
      </c>
    </row>
    <row r="6740" spans="1:13" ht="15.75" hidden="1" customHeight="1" x14ac:dyDescent="0.3">
      <c r="B6740" t="s">
        <v>383</v>
      </c>
      <c r="C6740" s="25">
        <v>44767</v>
      </c>
      <c r="D6740" s="26">
        <v>0.51082175925925932</v>
      </c>
      <c r="E6740" t="s">
        <v>30</v>
      </c>
      <c r="F6740" t="s">
        <v>169</v>
      </c>
      <c r="G6740" t="s">
        <v>196</v>
      </c>
      <c r="H6740" t="s">
        <v>306</v>
      </c>
      <c r="I6740" s="161">
        <v>184.34</v>
      </c>
      <c r="J6740" s="44"/>
      <c r="K6740" s="44">
        <v>986888</v>
      </c>
      <c r="L6740" s="44">
        <f>+K6740-J6740</f>
        <v>986888</v>
      </c>
      <c r="M6740" s="273">
        <f t="shared" si="418"/>
        <v>0</v>
      </c>
    </row>
    <row r="6741" spans="1:13" ht="15.75" hidden="1" customHeight="1" x14ac:dyDescent="0.3">
      <c r="B6741" t="s">
        <v>383</v>
      </c>
      <c r="C6741" s="25">
        <v>44770</v>
      </c>
      <c r="D6741" s="26">
        <v>0.4410648148148148</v>
      </c>
      <c r="E6741" t="s">
        <v>30</v>
      </c>
      <c r="F6741" t="s">
        <v>175</v>
      </c>
      <c r="G6741" t="s">
        <v>172</v>
      </c>
      <c r="H6741" t="s">
        <v>306</v>
      </c>
      <c r="I6741" s="160">
        <v>264.64</v>
      </c>
      <c r="J6741" s="8"/>
      <c r="K6741" s="8">
        <v>12345</v>
      </c>
      <c r="L6741" s="24">
        <f>+K6741-J6741</f>
        <v>12345</v>
      </c>
      <c r="M6741" s="254">
        <f t="shared" si="418"/>
        <v>0</v>
      </c>
    </row>
    <row r="6742" spans="1:13" ht="15.75" hidden="1" customHeight="1" x14ac:dyDescent="0.3">
      <c r="B6742" t="s">
        <v>383</v>
      </c>
      <c r="C6742" s="25">
        <v>44771</v>
      </c>
      <c r="D6742" s="26">
        <v>0.62482638888888886</v>
      </c>
      <c r="E6742" t="s">
        <v>30</v>
      </c>
      <c r="F6742" t="s">
        <v>210</v>
      </c>
      <c r="G6742" t="s">
        <v>211</v>
      </c>
      <c r="H6742" t="s">
        <v>306</v>
      </c>
      <c r="I6742" s="160">
        <v>378.44</v>
      </c>
      <c r="J6742" s="160">
        <f>378+265+184</f>
        <v>827</v>
      </c>
      <c r="K6742" s="160">
        <v>10641</v>
      </c>
      <c r="L6742" s="160">
        <v>1930</v>
      </c>
      <c r="M6742" s="267">
        <f t="shared" si="418"/>
        <v>42.84974093264249</v>
      </c>
    </row>
    <row r="6743" spans="1:13" ht="15.75" hidden="1" customHeight="1" x14ac:dyDescent="0.3">
      <c r="B6743" t="s">
        <v>383</v>
      </c>
      <c r="C6743" s="25">
        <v>44773</v>
      </c>
      <c r="D6743" s="26">
        <v>0.58475694444444437</v>
      </c>
      <c r="E6743" t="s">
        <v>30</v>
      </c>
      <c r="F6743" t="s">
        <v>165</v>
      </c>
      <c r="G6743" t="s">
        <v>185</v>
      </c>
      <c r="H6743" t="s">
        <v>306</v>
      </c>
      <c r="I6743" s="8">
        <v>268.58</v>
      </c>
      <c r="J6743" s="8"/>
      <c r="K6743" s="8">
        <v>1234</v>
      </c>
      <c r="L6743" s="8">
        <f>+K6743-J6743</f>
        <v>1234</v>
      </c>
      <c r="M6743" s="254">
        <f t="shared" si="418"/>
        <v>0</v>
      </c>
    </row>
    <row r="6744" spans="1:13" ht="15.75" hidden="1" customHeight="1" x14ac:dyDescent="0.3">
      <c r="A6744" s="9">
        <v>6751</v>
      </c>
      <c r="B6744" t="s">
        <v>756</v>
      </c>
      <c r="C6744" s="25">
        <v>44743</v>
      </c>
      <c r="D6744" s="26">
        <v>0.42449074074074072</v>
      </c>
      <c r="E6744" t="s">
        <v>30</v>
      </c>
      <c r="F6744" t="s">
        <v>331</v>
      </c>
      <c r="G6744" t="s">
        <v>277</v>
      </c>
      <c r="H6744" t="s">
        <v>313</v>
      </c>
      <c r="I6744" s="160">
        <v>267.81</v>
      </c>
      <c r="J6744" s="8"/>
      <c r="K6744" s="8"/>
      <c r="L6744" s="8"/>
      <c r="M6744" s="139"/>
    </row>
    <row r="6745" spans="1:13" ht="15.75" hidden="1" customHeight="1" x14ac:dyDescent="0.3">
      <c r="A6745" s="9">
        <v>6751</v>
      </c>
      <c r="B6745" t="s">
        <v>756</v>
      </c>
      <c r="C6745" s="25">
        <v>44744</v>
      </c>
      <c r="D6745" s="26">
        <v>0.51677083333333329</v>
      </c>
      <c r="E6745" t="s">
        <v>30</v>
      </c>
      <c r="F6745" t="s">
        <v>210</v>
      </c>
      <c r="G6745" t="s">
        <v>211</v>
      </c>
      <c r="H6745" t="s">
        <v>313</v>
      </c>
      <c r="I6745" s="173">
        <v>384.29</v>
      </c>
      <c r="J6745" s="8"/>
      <c r="K6745" s="8"/>
      <c r="L6745" s="24"/>
      <c r="M6745" s="91"/>
    </row>
    <row r="6746" spans="1:13" ht="15.75" hidden="1" customHeight="1" x14ac:dyDescent="0.3">
      <c r="A6746" s="9">
        <v>6751</v>
      </c>
      <c r="B6746" t="s">
        <v>756</v>
      </c>
      <c r="C6746" s="25">
        <v>44745</v>
      </c>
      <c r="D6746" s="26">
        <v>0.48942129629629627</v>
      </c>
      <c r="E6746" t="s">
        <v>30</v>
      </c>
      <c r="F6746" t="s">
        <v>210</v>
      </c>
      <c r="G6746" t="s">
        <v>211</v>
      </c>
      <c r="H6746" t="s">
        <v>313</v>
      </c>
      <c r="I6746" s="173">
        <v>322.83</v>
      </c>
      <c r="J6746" s="8"/>
      <c r="K6746" s="8"/>
      <c r="L6746" s="8"/>
      <c r="M6746" s="132"/>
    </row>
    <row r="6747" spans="1:13" ht="15" hidden="1" customHeight="1" x14ac:dyDescent="0.3">
      <c r="A6747" s="9">
        <v>6751</v>
      </c>
      <c r="B6747" t="s">
        <v>756</v>
      </c>
      <c r="C6747" s="25">
        <v>44746</v>
      </c>
      <c r="D6747" s="26">
        <v>0.45468749999999997</v>
      </c>
      <c r="E6747" t="s">
        <v>30</v>
      </c>
      <c r="F6747" t="s">
        <v>331</v>
      </c>
      <c r="G6747" t="s">
        <v>277</v>
      </c>
      <c r="H6747" t="s">
        <v>313</v>
      </c>
      <c r="I6747" s="173">
        <v>269.20999999999998</v>
      </c>
      <c r="J6747" s="8"/>
      <c r="K6747" s="8"/>
      <c r="L6747" s="8"/>
      <c r="M6747" s="91"/>
    </row>
    <row r="6748" spans="1:13" ht="15" hidden="1" customHeight="1" x14ac:dyDescent="0.3">
      <c r="A6748" s="9">
        <v>3010</v>
      </c>
      <c r="B6748" t="s">
        <v>560</v>
      </c>
      <c r="C6748" s="25">
        <v>44674</v>
      </c>
      <c r="D6748" s="26">
        <v>0.49062500000000003</v>
      </c>
      <c r="E6748" t="s">
        <v>27</v>
      </c>
      <c r="F6748" t="s">
        <v>561</v>
      </c>
      <c r="G6748" t="s">
        <v>562</v>
      </c>
      <c r="H6748" t="s">
        <v>563</v>
      </c>
      <c r="I6748" s="4">
        <v>110.76</v>
      </c>
      <c r="J6748" s="8"/>
      <c r="K6748" s="89">
        <f>+L6748-J6748</f>
        <v>100000</v>
      </c>
      <c r="L6748" s="87">
        <v>100000</v>
      </c>
      <c r="M6748" s="10">
        <f t="shared" ref="M6748:M6757" si="419">I6748/K6748*100</f>
        <v>0.11076</v>
      </c>
    </row>
    <row r="6749" spans="1:13" ht="15" hidden="1" customHeight="1" x14ac:dyDescent="0.3">
      <c r="A6749" s="9">
        <v>3011</v>
      </c>
      <c r="B6749" t="s">
        <v>560</v>
      </c>
      <c r="C6749" s="25">
        <v>44677</v>
      </c>
      <c r="D6749" s="26">
        <v>0.32141203703703702</v>
      </c>
      <c r="E6749" t="s">
        <v>27</v>
      </c>
      <c r="F6749" t="s">
        <v>561</v>
      </c>
      <c r="G6749" t="s">
        <v>562</v>
      </c>
      <c r="H6749" t="s">
        <v>563</v>
      </c>
      <c r="I6749">
        <v>108.79</v>
      </c>
      <c r="J6749" s="8"/>
      <c r="K6749" s="89">
        <f>+L6749-J6749</f>
        <v>0</v>
      </c>
      <c r="L6749" s="11"/>
      <c r="M6749" s="10" t="e">
        <f t="shared" si="419"/>
        <v>#DIV/0!</v>
      </c>
    </row>
    <row r="6750" spans="1:13" ht="15" hidden="1" customHeight="1" x14ac:dyDescent="0.3">
      <c r="A6750" s="9">
        <v>4856</v>
      </c>
      <c r="B6750" t="s">
        <v>560</v>
      </c>
      <c r="C6750" s="25">
        <v>44704</v>
      </c>
      <c r="D6750" s="26">
        <v>0.58232638888888888</v>
      </c>
      <c r="E6750" t="s">
        <v>28</v>
      </c>
      <c r="F6750" t="s">
        <v>561</v>
      </c>
      <c r="G6750" t="s">
        <v>562</v>
      </c>
      <c r="H6750" t="s">
        <v>626</v>
      </c>
      <c r="I6750">
        <v>70.14</v>
      </c>
      <c r="J6750" s="8"/>
      <c r="K6750" s="89" t="e">
        <f>+L6750-#REF!</f>
        <v>#REF!</v>
      </c>
      <c r="L6750" s="8">
        <v>8353</v>
      </c>
      <c r="M6750" s="10" t="e">
        <f t="shared" si="419"/>
        <v>#REF!</v>
      </c>
    </row>
    <row r="6751" spans="1:13" ht="15" hidden="1" customHeight="1" x14ac:dyDescent="0.3">
      <c r="A6751" s="9">
        <v>5070</v>
      </c>
      <c r="B6751" t="s">
        <v>560</v>
      </c>
      <c r="C6751" s="25">
        <v>44708</v>
      </c>
      <c r="D6751" s="26">
        <v>0.29630787037037037</v>
      </c>
      <c r="E6751" t="s">
        <v>28</v>
      </c>
      <c r="F6751" t="s">
        <v>676</v>
      </c>
      <c r="G6751" t="s">
        <v>562</v>
      </c>
      <c r="H6751" t="s">
        <v>626</v>
      </c>
      <c r="I6751">
        <v>100</v>
      </c>
      <c r="J6751" s="32">
        <v>0</v>
      </c>
      <c r="K6751" s="89"/>
      <c r="L6751" s="7"/>
      <c r="M6751" s="10" t="e">
        <f t="shared" si="419"/>
        <v>#DIV/0!</v>
      </c>
    </row>
    <row r="6752" spans="1:13" hidden="1" x14ac:dyDescent="0.3">
      <c r="A6752" s="9">
        <v>5243</v>
      </c>
      <c r="B6752" t="s">
        <v>560</v>
      </c>
      <c r="C6752" s="25">
        <v>44712</v>
      </c>
      <c r="D6752" s="26">
        <v>0.47776620370370365</v>
      </c>
      <c r="E6752" t="s">
        <v>28</v>
      </c>
      <c r="F6752" t="s">
        <v>695</v>
      </c>
      <c r="G6752" t="s">
        <v>562</v>
      </c>
      <c r="H6752" t="s">
        <v>565</v>
      </c>
      <c r="I6752">
        <v>95.95</v>
      </c>
      <c r="J6752" s="41"/>
      <c r="K6752" s="90"/>
      <c r="L6752" s="11"/>
      <c r="M6752" s="10" t="e">
        <f t="shared" si="419"/>
        <v>#DIV/0!</v>
      </c>
    </row>
    <row r="6753" spans="1:19" hidden="1" x14ac:dyDescent="0.3">
      <c r="A6753" s="9">
        <v>5470</v>
      </c>
      <c r="B6753" t="s">
        <v>560</v>
      </c>
      <c r="C6753" s="25">
        <v>44716</v>
      </c>
      <c r="D6753" s="26">
        <v>0.43738425925925922</v>
      </c>
      <c r="E6753" t="s">
        <v>29</v>
      </c>
      <c r="F6753" t="s">
        <v>710</v>
      </c>
      <c r="G6753" t="s">
        <v>562</v>
      </c>
      <c r="H6753" t="s">
        <v>565</v>
      </c>
      <c r="I6753">
        <v>99.41</v>
      </c>
      <c r="J6753" s="195"/>
      <c r="K6753" s="138"/>
      <c r="L6753" s="178"/>
      <c r="M6753" s="10" t="e">
        <f t="shared" si="419"/>
        <v>#DIV/0!</v>
      </c>
    </row>
    <row r="6754" spans="1:19" ht="15" hidden="1" customHeight="1" x14ac:dyDescent="0.3">
      <c r="A6754" s="9">
        <v>5671</v>
      </c>
      <c r="B6754" t="s">
        <v>560</v>
      </c>
      <c r="C6754" s="25">
        <v>44720</v>
      </c>
      <c r="D6754" s="26">
        <v>0.4013194444444444</v>
      </c>
      <c r="E6754" t="s">
        <v>29</v>
      </c>
      <c r="F6754" t="s">
        <v>726</v>
      </c>
      <c r="G6754" t="s">
        <v>562</v>
      </c>
      <c r="H6754" t="s">
        <v>565</v>
      </c>
      <c r="I6754">
        <v>94.75</v>
      </c>
      <c r="J6754" s="32">
        <v>0</v>
      </c>
      <c r="K6754" s="92">
        <f>+L6754-J6354</f>
        <v>-772420</v>
      </c>
      <c r="L6754" s="7"/>
      <c r="M6754" s="10">
        <f t="shared" si="419"/>
        <v>-1.2266642500194196E-2</v>
      </c>
    </row>
    <row r="6755" spans="1:19" ht="15" hidden="1" customHeight="1" x14ac:dyDescent="0.3">
      <c r="A6755" s="9">
        <v>5724</v>
      </c>
      <c r="B6755" t="s">
        <v>560</v>
      </c>
      <c r="C6755" s="25">
        <v>44721</v>
      </c>
      <c r="D6755" s="26">
        <v>0.40121527777777777</v>
      </c>
      <c r="E6755" t="s">
        <v>29</v>
      </c>
      <c r="F6755" t="s">
        <v>735</v>
      </c>
      <c r="G6755" t="s">
        <v>736</v>
      </c>
      <c r="H6755" t="s">
        <v>565</v>
      </c>
      <c r="I6755">
        <v>80.03</v>
      </c>
      <c r="J6755" s="32">
        <v>0</v>
      </c>
      <c r="K6755" s="89"/>
      <c r="L6755" s="7"/>
      <c r="M6755" s="10" t="e">
        <f t="shared" si="419"/>
        <v>#DIV/0!</v>
      </c>
    </row>
    <row r="6756" spans="1:19" ht="15.75" hidden="1" customHeight="1" x14ac:dyDescent="0.3">
      <c r="A6756" s="9">
        <v>5943</v>
      </c>
      <c r="B6756" t="s">
        <v>560</v>
      </c>
      <c r="C6756" s="25">
        <v>44725</v>
      </c>
      <c r="D6756" s="26">
        <v>0.58761574074074074</v>
      </c>
      <c r="E6756" t="s">
        <v>29</v>
      </c>
      <c r="F6756" t="s">
        <v>664</v>
      </c>
      <c r="G6756" t="s">
        <v>388</v>
      </c>
      <c r="H6756" t="s">
        <v>565</v>
      </c>
      <c r="I6756">
        <v>106.14</v>
      </c>
      <c r="J6756" s="32">
        <v>0</v>
      </c>
      <c r="K6756" s="89"/>
      <c r="L6756" s="7"/>
      <c r="M6756" s="10" t="e">
        <f t="shared" si="419"/>
        <v>#DIV/0!</v>
      </c>
      <c r="N6756" s="2"/>
      <c r="O6756" s="2"/>
      <c r="P6756" s="2"/>
      <c r="Q6756" s="2"/>
      <c r="R6756" s="2"/>
      <c r="S6756" s="2"/>
    </row>
    <row r="6757" spans="1:19" hidden="1" x14ac:dyDescent="0.3">
      <c r="A6757" s="9">
        <v>6056</v>
      </c>
      <c r="B6757" t="s">
        <v>560</v>
      </c>
      <c r="C6757" s="25">
        <v>44727</v>
      </c>
      <c r="D6757" s="26">
        <v>0.61978009259259259</v>
      </c>
      <c r="E6757" t="s">
        <v>29</v>
      </c>
      <c r="F6757" t="s">
        <v>686</v>
      </c>
      <c r="G6757" t="s">
        <v>388</v>
      </c>
      <c r="H6757" t="s">
        <v>565</v>
      </c>
      <c r="I6757">
        <v>100</v>
      </c>
      <c r="J6757" s="32">
        <v>0</v>
      </c>
      <c r="K6757" s="89"/>
      <c r="L6757" s="7"/>
      <c r="M6757" s="10" t="e">
        <f t="shared" si="419"/>
        <v>#DIV/0!</v>
      </c>
    </row>
    <row r="6758" spans="1:19" ht="15" hidden="1" customHeight="1" x14ac:dyDescent="0.3">
      <c r="A6758" s="9">
        <v>6217</v>
      </c>
      <c r="B6758" t="s">
        <v>560</v>
      </c>
      <c r="C6758" s="25">
        <v>44730</v>
      </c>
      <c r="D6758" s="26">
        <v>0.30584490740740738</v>
      </c>
      <c r="E6758" t="s">
        <v>29</v>
      </c>
      <c r="F6758" t="s">
        <v>726</v>
      </c>
      <c r="G6758" t="s">
        <v>562</v>
      </c>
      <c r="H6758" t="s">
        <v>565</v>
      </c>
      <c r="I6758">
        <v>85.13</v>
      </c>
      <c r="J6758" s="32">
        <v>0</v>
      </c>
      <c r="K6758" s="94"/>
      <c r="L6758" s="7"/>
      <c r="M6758" s="15"/>
    </row>
    <row r="6759" spans="1:19" ht="24" hidden="1" customHeight="1" x14ac:dyDescent="0.3">
      <c r="A6759" s="9">
        <v>6341</v>
      </c>
      <c r="B6759" t="s">
        <v>560</v>
      </c>
      <c r="C6759" s="25">
        <v>44734</v>
      </c>
      <c r="D6759" s="26">
        <v>0.54114583333333333</v>
      </c>
      <c r="E6759" t="s">
        <v>29</v>
      </c>
      <c r="F6759" t="s">
        <v>675</v>
      </c>
      <c r="G6759" t="s">
        <v>227</v>
      </c>
      <c r="H6759" t="s">
        <v>565</v>
      </c>
      <c r="I6759">
        <v>83.73</v>
      </c>
      <c r="J6759" s="32">
        <v>0</v>
      </c>
      <c r="K6759" s="94"/>
      <c r="L6759" s="7"/>
      <c r="M6759" s="15"/>
    </row>
    <row r="6760" spans="1:19" ht="15.75" hidden="1" customHeight="1" x14ac:dyDescent="0.3">
      <c r="A6760" s="9">
        <v>6394</v>
      </c>
      <c r="B6760" t="s">
        <v>560</v>
      </c>
      <c r="C6760" s="25">
        <v>44735</v>
      </c>
      <c r="D6760" s="26">
        <v>0.642511574074074</v>
      </c>
      <c r="E6760" t="s">
        <v>29</v>
      </c>
      <c r="F6760" t="s">
        <v>675</v>
      </c>
      <c r="G6760" t="s">
        <v>227</v>
      </c>
      <c r="H6760" t="s">
        <v>565</v>
      </c>
      <c r="I6760">
        <v>107.85</v>
      </c>
      <c r="J6760" s="7"/>
      <c r="K6760" s="94"/>
      <c r="L6760" s="7"/>
      <c r="M6760" s="15"/>
    </row>
    <row r="6761" spans="1:19" ht="12.75" hidden="1" customHeight="1" x14ac:dyDescent="0.3">
      <c r="A6761" s="9">
        <v>6605</v>
      </c>
      <c r="B6761" t="s">
        <v>560</v>
      </c>
      <c r="C6761" s="25">
        <v>44739</v>
      </c>
      <c r="D6761" s="26">
        <v>0.35375000000000001</v>
      </c>
      <c r="E6761" t="s">
        <v>29</v>
      </c>
      <c r="F6761" t="s">
        <v>698</v>
      </c>
      <c r="G6761" t="s">
        <v>388</v>
      </c>
      <c r="H6761" t="s">
        <v>565</v>
      </c>
      <c r="I6761">
        <v>93.65</v>
      </c>
      <c r="J6761" s="33">
        <v>0</v>
      </c>
      <c r="K6761" s="96"/>
      <c r="L6761" s="66"/>
      <c r="M6761" s="131" t="e">
        <f>I6761/K6761*100</f>
        <v>#DIV/0!</v>
      </c>
    </row>
    <row r="6762" spans="1:19" hidden="1" x14ac:dyDescent="0.3">
      <c r="A6762" s="9">
        <v>6751</v>
      </c>
      <c r="B6762" t="s">
        <v>756</v>
      </c>
      <c r="C6762" s="25">
        <v>44747</v>
      </c>
      <c r="D6762" s="26">
        <v>0.57413194444444449</v>
      </c>
      <c r="E6762" t="s">
        <v>30</v>
      </c>
      <c r="F6762" t="s">
        <v>210</v>
      </c>
      <c r="G6762" t="s">
        <v>211</v>
      </c>
      <c r="H6762" t="s">
        <v>313</v>
      </c>
      <c r="I6762" s="173">
        <v>352.41</v>
      </c>
      <c r="J6762" s="160">
        <f>352+270+322+385+268+379</f>
        <v>1976</v>
      </c>
      <c r="K6762" s="160">
        <v>5252</v>
      </c>
      <c r="L6762" s="162">
        <v>5242</v>
      </c>
      <c r="M6762" s="149">
        <f>+J6762/L6762*100</f>
        <v>37.695536054940867</v>
      </c>
    </row>
    <row r="6763" spans="1:19" ht="3.75" hidden="1" customHeight="1" x14ac:dyDescent="0.3">
      <c r="A6763" s="9">
        <v>6751</v>
      </c>
      <c r="B6763" t="s">
        <v>756</v>
      </c>
      <c r="C6763" s="25">
        <v>44748</v>
      </c>
      <c r="D6763" s="26">
        <v>0.77375000000000005</v>
      </c>
      <c r="E6763" t="s">
        <v>30</v>
      </c>
      <c r="F6763" t="s">
        <v>210</v>
      </c>
      <c r="G6763" t="s">
        <v>211</v>
      </c>
      <c r="H6763" t="s">
        <v>313</v>
      </c>
      <c r="I6763" s="159">
        <v>390.39</v>
      </c>
      <c r="J6763" s="8"/>
      <c r="K6763" s="169">
        <v>5252</v>
      </c>
      <c r="L6763" s="8">
        <f>+K6763-J6763</f>
        <v>5252</v>
      </c>
      <c r="M6763" s="61">
        <f t="shared" ref="M6763:M6773" si="420">I6763/K6763*100</f>
        <v>7.4331683168316829</v>
      </c>
    </row>
    <row r="6764" spans="1:19" hidden="1" x14ac:dyDescent="0.3">
      <c r="A6764" s="9">
        <v>5581</v>
      </c>
      <c r="B6764" t="s">
        <v>716</v>
      </c>
      <c r="C6764" s="25">
        <v>44719</v>
      </c>
      <c r="D6764" s="26">
        <v>0.50648148148148142</v>
      </c>
      <c r="E6764" t="s">
        <v>29</v>
      </c>
      <c r="F6764" t="s">
        <v>651</v>
      </c>
      <c r="G6764" t="s">
        <v>172</v>
      </c>
      <c r="H6764" t="s">
        <v>199</v>
      </c>
      <c r="I6764">
        <v>394.55</v>
      </c>
      <c r="J6764" s="32">
        <v>0</v>
      </c>
      <c r="K6764" s="89">
        <f>+L6764-J7443</f>
        <v>551</v>
      </c>
      <c r="L6764" s="7">
        <v>551</v>
      </c>
      <c r="M6764" s="10">
        <f t="shared" si="420"/>
        <v>71.606170598911064</v>
      </c>
    </row>
    <row r="6765" spans="1:19" hidden="1" x14ac:dyDescent="0.3">
      <c r="A6765" s="9">
        <v>5582</v>
      </c>
      <c r="B6765" t="s">
        <v>716</v>
      </c>
      <c r="C6765" s="25">
        <v>44719</v>
      </c>
      <c r="D6765" s="26">
        <v>0.97657407407407415</v>
      </c>
      <c r="E6765" t="s">
        <v>29</v>
      </c>
      <c r="F6765" t="s">
        <v>632</v>
      </c>
      <c r="G6765" t="s">
        <v>161</v>
      </c>
      <c r="H6765" t="s">
        <v>199</v>
      </c>
      <c r="I6765">
        <v>212.16</v>
      </c>
      <c r="J6765" s="32">
        <v>0</v>
      </c>
      <c r="K6765" s="90">
        <f>+L6765-J6324</f>
        <v>619</v>
      </c>
      <c r="L6765" s="11">
        <v>619</v>
      </c>
      <c r="M6765" s="10">
        <f t="shared" si="420"/>
        <v>34.274636510500805</v>
      </c>
    </row>
    <row r="6766" spans="1:19" hidden="1" x14ac:dyDescent="0.3">
      <c r="A6766" s="9">
        <v>5712</v>
      </c>
      <c r="B6766" t="s">
        <v>716</v>
      </c>
      <c r="C6766" s="25">
        <v>44721</v>
      </c>
      <c r="D6766" s="26">
        <v>0.81377314814814816</v>
      </c>
      <c r="E6766" t="s">
        <v>29</v>
      </c>
      <c r="F6766" t="s">
        <v>634</v>
      </c>
      <c r="G6766" t="s">
        <v>211</v>
      </c>
      <c r="H6766" t="s">
        <v>199</v>
      </c>
      <c r="I6766">
        <v>400.43</v>
      </c>
      <c r="J6766" s="32">
        <v>0</v>
      </c>
      <c r="K6766" s="92">
        <f>+L6766-J6326</f>
        <v>995</v>
      </c>
      <c r="L6766" s="34">
        <v>995</v>
      </c>
      <c r="M6766" s="10">
        <f t="shared" si="420"/>
        <v>40.244221105527636</v>
      </c>
    </row>
    <row r="6767" spans="1:19" hidden="1" x14ac:dyDescent="0.3">
      <c r="A6767" s="9">
        <v>5802</v>
      </c>
      <c r="B6767" t="s">
        <v>716</v>
      </c>
      <c r="C6767" s="25">
        <v>44723</v>
      </c>
      <c r="D6767" s="26">
        <v>0.44774305555555555</v>
      </c>
      <c r="E6767" t="s">
        <v>29</v>
      </c>
      <c r="F6767" t="s">
        <v>651</v>
      </c>
      <c r="G6767" t="s">
        <v>172</v>
      </c>
      <c r="H6767" t="s">
        <v>199</v>
      </c>
      <c r="I6767">
        <v>323.88</v>
      </c>
      <c r="J6767" s="32">
        <v>0</v>
      </c>
      <c r="K6767" s="90">
        <f>+L6767-J6327</f>
        <v>1050</v>
      </c>
      <c r="L6767" s="11">
        <v>1050</v>
      </c>
      <c r="M6767" s="10">
        <f t="shared" si="420"/>
        <v>30.845714285714287</v>
      </c>
    </row>
    <row r="6768" spans="1:19" hidden="1" x14ac:dyDescent="0.3">
      <c r="A6768" s="9">
        <v>5865</v>
      </c>
      <c r="B6768" t="s">
        <v>716</v>
      </c>
      <c r="C6768" s="25">
        <v>44724</v>
      </c>
      <c r="D6768" s="26">
        <v>0.26289351851851855</v>
      </c>
      <c r="E6768" t="s">
        <v>29</v>
      </c>
      <c r="F6768" t="s">
        <v>632</v>
      </c>
      <c r="G6768" t="s">
        <v>161</v>
      </c>
      <c r="H6768" t="s">
        <v>199</v>
      </c>
      <c r="I6768" s="126">
        <v>230.00200000000001</v>
      </c>
      <c r="J6768" s="32">
        <v>0</v>
      </c>
      <c r="K6768" s="90">
        <f>+L6768-J6328</f>
        <v>621</v>
      </c>
      <c r="L6768" s="11">
        <v>621</v>
      </c>
      <c r="M6768" s="10">
        <f t="shared" si="420"/>
        <v>37.03735909822867</v>
      </c>
    </row>
    <row r="6769" spans="1:19" hidden="1" x14ac:dyDescent="0.3">
      <c r="A6769" s="9">
        <v>5866</v>
      </c>
      <c r="B6769" t="s">
        <v>716</v>
      </c>
      <c r="C6769" s="25">
        <v>44724</v>
      </c>
      <c r="D6769" s="26">
        <v>0.94388888888888889</v>
      </c>
      <c r="E6769" t="s">
        <v>29</v>
      </c>
      <c r="F6769" t="s">
        <v>634</v>
      </c>
      <c r="G6769" t="s">
        <v>211</v>
      </c>
      <c r="H6769" t="s">
        <v>199</v>
      </c>
      <c r="I6769" s="126">
        <v>363.99</v>
      </c>
      <c r="J6769" s="37">
        <v>0</v>
      </c>
      <c r="K6769" s="92">
        <f>+L6769-J6329</f>
        <v>994</v>
      </c>
      <c r="L6769" s="34">
        <v>994</v>
      </c>
      <c r="M6769" s="10">
        <f t="shared" si="420"/>
        <v>36.618712273641854</v>
      </c>
    </row>
    <row r="6770" spans="1:19" hidden="1" x14ac:dyDescent="0.3">
      <c r="A6770" s="9">
        <v>5921</v>
      </c>
      <c r="B6770" t="s">
        <v>716</v>
      </c>
      <c r="C6770" s="25">
        <v>44725</v>
      </c>
      <c r="D6770" s="26">
        <v>0.93813657407407414</v>
      </c>
      <c r="E6770" t="s">
        <v>29</v>
      </c>
      <c r="F6770" t="s">
        <v>680</v>
      </c>
      <c r="G6770" t="s">
        <v>402</v>
      </c>
      <c r="H6770" t="s">
        <v>199</v>
      </c>
      <c r="I6770" s="126">
        <v>230.83</v>
      </c>
      <c r="J6770" s="37">
        <v>0</v>
      </c>
      <c r="K6770" s="89">
        <v>730</v>
      </c>
      <c r="L6770" s="7">
        <v>730</v>
      </c>
      <c r="M6770" s="10">
        <f t="shared" si="420"/>
        <v>31.62054794520548</v>
      </c>
      <c r="N6770" s="2"/>
      <c r="O6770" s="2"/>
      <c r="P6770" s="2"/>
      <c r="Q6770" s="2"/>
      <c r="R6770" s="2"/>
      <c r="S6770" s="2"/>
    </row>
    <row r="6771" spans="1:19" hidden="1" x14ac:dyDescent="0.3">
      <c r="A6771" s="9">
        <v>6030</v>
      </c>
      <c r="B6771" t="s">
        <v>716</v>
      </c>
      <c r="C6771" s="25">
        <v>44727</v>
      </c>
      <c r="D6771" s="26">
        <v>0.75666666666666671</v>
      </c>
      <c r="E6771" t="s">
        <v>29</v>
      </c>
      <c r="F6771" t="s">
        <v>634</v>
      </c>
      <c r="G6771" t="s">
        <v>211</v>
      </c>
      <c r="H6771" t="s">
        <v>199</v>
      </c>
      <c r="I6771" s="126">
        <v>429.18</v>
      </c>
      <c r="J6771" s="37">
        <v>0</v>
      </c>
      <c r="K6771" s="89">
        <v>1148</v>
      </c>
      <c r="L6771" s="31">
        <v>1148</v>
      </c>
      <c r="M6771" s="10">
        <f t="shared" si="420"/>
        <v>37.38501742160279</v>
      </c>
    </row>
    <row r="6772" spans="1:19" hidden="1" x14ac:dyDescent="0.3">
      <c r="A6772" s="9">
        <v>6140</v>
      </c>
      <c r="B6772" t="s">
        <v>716</v>
      </c>
      <c r="C6772" s="25">
        <v>44729</v>
      </c>
      <c r="D6772" s="26">
        <v>0.72312500000000002</v>
      </c>
      <c r="E6772" t="s">
        <v>29</v>
      </c>
      <c r="F6772" t="s">
        <v>634</v>
      </c>
      <c r="G6772" t="s">
        <v>211</v>
      </c>
      <c r="H6772" t="s">
        <v>199</v>
      </c>
      <c r="I6772">
        <v>358.95</v>
      </c>
      <c r="J6772" s="37">
        <v>0</v>
      </c>
      <c r="K6772" s="89">
        <v>912</v>
      </c>
      <c r="L6772" s="7">
        <v>912</v>
      </c>
      <c r="M6772" s="10">
        <f t="shared" si="420"/>
        <v>39.358552631578945</v>
      </c>
    </row>
    <row r="6773" spans="1:19" hidden="1" x14ac:dyDescent="0.3">
      <c r="A6773" s="9">
        <v>6234</v>
      </c>
      <c r="B6773" t="s">
        <v>716</v>
      </c>
      <c r="C6773" s="25">
        <v>44731</v>
      </c>
      <c r="D6773" s="26">
        <v>0.51987268518518526</v>
      </c>
      <c r="E6773" t="s">
        <v>29</v>
      </c>
      <c r="F6773" t="s">
        <v>637</v>
      </c>
      <c r="G6773" t="s">
        <v>196</v>
      </c>
      <c r="H6773" t="s">
        <v>199</v>
      </c>
      <c r="I6773" s="148">
        <v>142</v>
      </c>
      <c r="J6773" s="38">
        <v>0</v>
      </c>
      <c r="K6773" s="96">
        <v>467</v>
      </c>
      <c r="L6773" s="31">
        <v>467</v>
      </c>
      <c r="M6773" s="131">
        <f t="shared" si="420"/>
        <v>30.406852248394006</v>
      </c>
    </row>
    <row r="6774" spans="1:19" ht="18" hidden="1" customHeight="1" x14ac:dyDescent="0.3">
      <c r="A6774" s="9">
        <v>6751</v>
      </c>
      <c r="B6774" t="s">
        <v>756</v>
      </c>
      <c r="C6774" s="25">
        <v>44754</v>
      </c>
      <c r="D6774" s="26">
        <v>0.45589120370370373</v>
      </c>
      <c r="E6774" t="s">
        <v>30</v>
      </c>
      <c r="F6774" t="s">
        <v>175</v>
      </c>
      <c r="G6774" t="s">
        <v>172</v>
      </c>
      <c r="H6774" t="s">
        <v>313</v>
      </c>
      <c r="I6774" s="173" t="s">
        <v>886</v>
      </c>
      <c r="J6774" s="23"/>
      <c r="K6774" s="90"/>
      <c r="L6774" s="23"/>
      <c r="M6774" s="254"/>
    </row>
    <row r="6775" spans="1:19" hidden="1" x14ac:dyDescent="0.3">
      <c r="A6775" s="9">
        <v>6751</v>
      </c>
      <c r="B6775" t="s">
        <v>756</v>
      </c>
      <c r="C6775" s="25">
        <v>44755</v>
      </c>
      <c r="D6775" s="26">
        <v>0.44366898148148143</v>
      </c>
      <c r="E6775" t="s">
        <v>30</v>
      </c>
      <c r="F6775" t="s">
        <v>210</v>
      </c>
      <c r="G6775" t="s">
        <v>211</v>
      </c>
      <c r="H6775" t="s">
        <v>313</v>
      </c>
      <c r="I6775" s="173" t="s">
        <v>967</v>
      </c>
      <c r="J6775" s="231">
        <f>331+326+390</f>
        <v>1047</v>
      </c>
      <c r="K6775" s="151"/>
      <c r="L6775" s="151">
        <v>2726</v>
      </c>
      <c r="M6775" s="150">
        <f>+J6775/L6775*100</f>
        <v>38.407923697725607</v>
      </c>
    </row>
    <row r="6776" spans="1:19" hidden="1" x14ac:dyDescent="0.3">
      <c r="A6776" s="9">
        <v>6751</v>
      </c>
      <c r="B6776" t="s">
        <v>756</v>
      </c>
      <c r="C6776" s="25">
        <v>44756</v>
      </c>
      <c r="D6776" s="26">
        <v>3.6666666666666667E-2</v>
      </c>
      <c r="E6776" t="s">
        <v>30</v>
      </c>
      <c r="F6776" t="s">
        <v>210</v>
      </c>
      <c r="G6776" t="s">
        <v>211</v>
      </c>
      <c r="H6776" t="s">
        <v>313</v>
      </c>
      <c r="I6776" s="173" t="s">
        <v>966</v>
      </c>
      <c r="J6776" s="23"/>
      <c r="K6776" s="90"/>
      <c r="L6776" s="23"/>
      <c r="M6776" s="272"/>
    </row>
    <row r="6777" spans="1:19" hidden="1" x14ac:dyDescent="0.3">
      <c r="A6777" s="9">
        <v>6751</v>
      </c>
      <c r="B6777" t="s">
        <v>756</v>
      </c>
      <c r="C6777" s="25">
        <v>44757</v>
      </c>
      <c r="D6777" s="26">
        <v>0.47119212962962959</v>
      </c>
      <c r="E6777" t="s">
        <v>30</v>
      </c>
      <c r="F6777" t="s">
        <v>175</v>
      </c>
      <c r="G6777" t="s">
        <v>172</v>
      </c>
      <c r="H6777" t="s">
        <v>313</v>
      </c>
      <c r="I6777" s="173" t="s">
        <v>965</v>
      </c>
      <c r="J6777" s="23"/>
      <c r="K6777" s="90"/>
      <c r="L6777" s="291"/>
      <c r="M6777" s="254"/>
    </row>
    <row r="6778" spans="1:19" hidden="1" x14ac:dyDescent="0.3">
      <c r="A6778" s="9">
        <v>6751</v>
      </c>
      <c r="B6778" t="s">
        <v>756</v>
      </c>
      <c r="C6778" s="25">
        <v>44758</v>
      </c>
      <c r="D6778" s="26">
        <v>0.52501157407407406</v>
      </c>
      <c r="E6778" t="s">
        <v>30</v>
      </c>
      <c r="F6778" t="s">
        <v>210</v>
      </c>
      <c r="G6778" t="s">
        <v>211</v>
      </c>
      <c r="H6778" t="s">
        <v>313</v>
      </c>
      <c r="I6778" s="173" t="s">
        <v>964</v>
      </c>
      <c r="J6778" s="23"/>
      <c r="K6778" s="90"/>
      <c r="L6778" s="23"/>
      <c r="M6778" s="267"/>
    </row>
    <row r="6779" spans="1:19" hidden="1" x14ac:dyDescent="0.3">
      <c r="A6779" s="9">
        <v>5288</v>
      </c>
      <c r="B6779" t="s">
        <v>697</v>
      </c>
      <c r="C6779" s="25">
        <v>44713</v>
      </c>
      <c r="D6779" s="26">
        <v>0.59037037037037032</v>
      </c>
      <c r="E6779" t="s">
        <v>29</v>
      </c>
      <c r="F6779" t="s">
        <v>698</v>
      </c>
      <c r="G6779" t="s">
        <v>388</v>
      </c>
      <c r="H6779" t="s">
        <v>699</v>
      </c>
      <c r="I6779">
        <v>12.38</v>
      </c>
      <c r="J6779" s="37">
        <v>0</v>
      </c>
      <c r="K6779" s="97"/>
      <c r="L6779" s="212"/>
      <c r="M6779" s="61" t="e">
        <f t="shared" ref="M6779:M6810" si="421">I6779/K6779*100</f>
        <v>#DIV/0!</v>
      </c>
    </row>
    <row r="6780" spans="1:19" hidden="1" x14ac:dyDescent="0.3">
      <c r="A6780" s="9">
        <v>5725</v>
      </c>
      <c r="B6780" t="s">
        <v>697</v>
      </c>
      <c r="C6780" s="25">
        <v>44721</v>
      </c>
      <c r="D6780" s="26">
        <v>0.34457175925925926</v>
      </c>
      <c r="E6780" t="s">
        <v>29</v>
      </c>
      <c r="F6780" t="s">
        <v>738</v>
      </c>
      <c r="G6780" t="s">
        <v>388</v>
      </c>
      <c r="H6780" t="s">
        <v>699</v>
      </c>
      <c r="I6780">
        <v>49.22</v>
      </c>
      <c r="J6780" s="23"/>
      <c r="K6780" s="90"/>
      <c r="L6780" s="23"/>
      <c r="M6780" s="10" t="e">
        <f t="shared" si="421"/>
        <v>#DIV/0!</v>
      </c>
    </row>
    <row r="6781" spans="1:19" hidden="1" x14ac:dyDescent="0.3">
      <c r="A6781" s="9">
        <v>83</v>
      </c>
      <c r="B6781" t="s">
        <v>285</v>
      </c>
      <c r="C6781" s="25">
        <v>44566</v>
      </c>
      <c r="D6781" s="26">
        <v>0.7377893518518519</v>
      </c>
      <c r="E6781" t="s">
        <v>24</v>
      </c>
      <c r="F6781" t="s">
        <v>166</v>
      </c>
      <c r="G6781" t="s">
        <v>161</v>
      </c>
      <c r="H6781" t="s">
        <v>8</v>
      </c>
      <c r="I6781">
        <v>335.15</v>
      </c>
      <c r="J6781" s="7">
        <v>776407</v>
      </c>
      <c r="K6781" s="7">
        <f t="shared" ref="K6781:K6812" si="422">+L6781-J6781</f>
        <v>753</v>
      </c>
      <c r="L6781" s="7">
        <v>777160</v>
      </c>
      <c r="M6781" s="36">
        <f t="shared" si="421"/>
        <v>44.508632138114208</v>
      </c>
    </row>
    <row r="6782" spans="1:19" hidden="1" x14ac:dyDescent="0.3">
      <c r="A6782" s="9">
        <v>84</v>
      </c>
      <c r="B6782" t="s">
        <v>285</v>
      </c>
      <c r="C6782" s="25">
        <v>44567</v>
      </c>
      <c r="D6782" s="26">
        <v>0.58262731481481478</v>
      </c>
      <c r="E6782" t="s">
        <v>24</v>
      </c>
      <c r="F6782" t="s">
        <v>165</v>
      </c>
      <c r="G6782" t="s">
        <v>185</v>
      </c>
      <c r="H6782" t="s">
        <v>8</v>
      </c>
      <c r="I6782">
        <v>287.95999999999998</v>
      </c>
      <c r="J6782" s="7">
        <v>777160</v>
      </c>
      <c r="K6782" s="7">
        <f t="shared" si="422"/>
        <v>625</v>
      </c>
      <c r="L6782" s="7">
        <v>777785</v>
      </c>
      <c r="M6782" s="36">
        <f t="shared" si="421"/>
        <v>46.073599999999999</v>
      </c>
    </row>
    <row r="6783" spans="1:19" hidden="1" x14ac:dyDescent="0.3">
      <c r="A6783" s="9">
        <v>85</v>
      </c>
      <c r="B6783" t="s">
        <v>285</v>
      </c>
      <c r="C6783" s="25">
        <v>44568</v>
      </c>
      <c r="D6783" s="26">
        <v>0.32989583333333333</v>
      </c>
      <c r="E6783" t="s">
        <v>24</v>
      </c>
      <c r="F6783" t="s">
        <v>210</v>
      </c>
      <c r="G6783" t="s">
        <v>211</v>
      </c>
      <c r="H6783" t="s">
        <v>8</v>
      </c>
      <c r="I6783">
        <v>166.27</v>
      </c>
      <c r="J6783" s="7">
        <v>777785</v>
      </c>
      <c r="K6783" s="7">
        <f t="shared" si="422"/>
        <v>515</v>
      </c>
      <c r="L6783" s="7">
        <v>778300</v>
      </c>
      <c r="M6783" s="10">
        <f t="shared" si="421"/>
        <v>32.285436893203887</v>
      </c>
    </row>
    <row r="6784" spans="1:19" hidden="1" x14ac:dyDescent="0.3">
      <c r="A6784" s="9">
        <v>86</v>
      </c>
      <c r="B6784" t="s">
        <v>285</v>
      </c>
      <c r="C6784" s="25">
        <v>44571</v>
      </c>
      <c r="D6784" s="26">
        <v>0.86662037037037043</v>
      </c>
      <c r="E6784" t="s">
        <v>24</v>
      </c>
      <c r="F6784" t="s">
        <v>197</v>
      </c>
      <c r="G6784" t="s">
        <v>44</v>
      </c>
      <c r="H6784" t="s">
        <v>8</v>
      </c>
      <c r="I6784">
        <v>306.13</v>
      </c>
      <c r="J6784" s="7">
        <v>778300</v>
      </c>
      <c r="K6784" s="7">
        <f t="shared" si="422"/>
        <v>1156</v>
      </c>
      <c r="L6784" s="7">
        <v>779456</v>
      </c>
      <c r="M6784" s="10">
        <f t="shared" si="421"/>
        <v>26.481833910034602</v>
      </c>
    </row>
    <row r="6785" spans="1:13" hidden="1" x14ac:dyDescent="0.3">
      <c r="A6785" s="9">
        <v>87</v>
      </c>
      <c r="B6785" t="s">
        <v>285</v>
      </c>
      <c r="C6785" s="25">
        <v>44572</v>
      </c>
      <c r="D6785" s="26">
        <v>0.80958333333333332</v>
      </c>
      <c r="E6785" t="s">
        <v>24</v>
      </c>
      <c r="F6785" t="s">
        <v>210</v>
      </c>
      <c r="G6785" t="s">
        <v>211</v>
      </c>
      <c r="H6785" t="s">
        <v>8</v>
      </c>
      <c r="I6785">
        <v>412.44</v>
      </c>
      <c r="J6785" s="7">
        <v>779456</v>
      </c>
      <c r="K6785" s="7">
        <f t="shared" si="422"/>
        <v>589</v>
      </c>
      <c r="L6785" s="7">
        <v>780045</v>
      </c>
      <c r="M6785" s="10">
        <f t="shared" si="421"/>
        <v>70.023769100169773</v>
      </c>
    </row>
    <row r="6786" spans="1:13" hidden="1" x14ac:dyDescent="0.3">
      <c r="A6786" s="9">
        <v>88</v>
      </c>
      <c r="B6786" t="s">
        <v>285</v>
      </c>
      <c r="C6786" s="25">
        <v>44573</v>
      </c>
      <c r="D6786" s="26">
        <v>0.50768518518518524</v>
      </c>
      <c r="E6786" t="s">
        <v>24</v>
      </c>
      <c r="F6786" t="s">
        <v>165</v>
      </c>
      <c r="G6786" t="s">
        <v>185</v>
      </c>
      <c r="H6786" t="s">
        <v>8</v>
      </c>
      <c r="I6786">
        <v>236.88</v>
      </c>
      <c r="J6786" s="7">
        <v>780045</v>
      </c>
      <c r="K6786" s="74">
        <f t="shared" si="422"/>
        <v>516</v>
      </c>
      <c r="L6786" s="35">
        <v>780561</v>
      </c>
      <c r="M6786" s="10">
        <f t="shared" si="421"/>
        <v>45.906976744186046</v>
      </c>
    </row>
    <row r="6787" spans="1:13" hidden="1" x14ac:dyDescent="0.3">
      <c r="A6787" s="9">
        <v>89</v>
      </c>
      <c r="B6787" t="s">
        <v>285</v>
      </c>
      <c r="C6787" s="25">
        <v>44574</v>
      </c>
      <c r="D6787" s="26">
        <v>0.8472453703703704</v>
      </c>
      <c r="E6787" t="s">
        <v>24</v>
      </c>
      <c r="F6787" t="s">
        <v>210</v>
      </c>
      <c r="G6787" t="s">
        <v>211</v>
      </c>
      <c r="H6787" t="s">
        <v>8</v>
      </c>
      <c r="I6787">
        <v>248.88</v>
      </c>
      <c r="J6787" s="7">
        <v>780561</v>
      </c>
      <c r="K6787" s="7">
        <f t="shared" si="422"/>
        <v>607</v>
      </c>
      <c r="L6787" s="7">
        <v>781168</v>
      </c>
      <c r="M6787" s="10">
        <f t="shared" si="421"/>
        <v>41.001647446457987</v>
      </c>
    </row>
    <row r="6788" spans="1:13" hidden="1" x14ac:dyDescent="0.3">
      <c r="A6788" s="9">
        <v>90</v>
      </c>
      <c r="B6788" t="s">
        <v>285</v>
      </c>
      <c r="C6788" s="25">
        <v>44576</v>
      </c>
      <c r="D6788" s="26">
        <v>0.47733796296296299</v>
      </c>
      <c r="E6788" t="s">
        <v>24</v>
      </c>
      <c r="F6788" t="s">
        <v>175</v>
      </c>
      <c r="G6788" t="s">
        <v>172</v>
      </c>
      <c r="H6788" t="s">
        <v>8</v>
      </c>
      <c r="I6788">
        <v>343.29</v>
      </c>
      <c r="J6788" s="7">
        <v>781168</v>
      </c>
      <c r="K6788" s="39">
        <f t="shared" si="422"/>
        <v>949</v>
      </c>
      <c r="L6788" s="7">
        <v>782117</v>
      </c>
      <c r="M6788" s="10">
        <f t="shared" si="421"/>
        <v>36.173867228661749</v>
      </c>
    </row>
    <row r="6789" spans="1:13" hidden="1" x14ac:dyDescent="0.3">
      <c r="A6789" s="9">
        <v>91</v>
      </c>
      <c r="B6789" t="s">
        <v>285</v>
      </c>
      <c r="C6789" s="25">
        <v>44577</v>
      </c>
      <c r="D6789" s="26">
        <v>0.54230324074074077</v>
      </c>
      <c r="E6789" t="s">
        <v>24</v>
      </c>
      <c r="F6789" t="s">
        <v>210</v>
      </c>
      <c r="G6789" t="s">
        <v>211</v>
      </c>
      <c r="H6789" t="s">
        <v>8</v>
      </c>
      <c r="I6789">
        <v>376.85</v>
      </c>
      <c r="J6789" s="7">
        <v>782117</v>
      </c>
      <c r="K6789" s="30">
        <f t="shared" si="422"/>
        <v>834</v>
      </c>
      <c r="L6789" s="34">
        <v>782951</v>
      </c>
      <c r="M6789" s="10">
        <f t="shared" si="421"/>
        <v>45.185851318944849</v>
      </c>
    </row>
    <row r="6790" spans="1:13" hidden="1" x14ac:dyDescent="0.3">
      <c r="A6790" s="9">
        <v>92</v>
      </c>
      <c r="B6790" t="s">
        <v>285</v>
      </c>
      <c r="C6790" s="25">
        <v>44578</v>
      </c>
      <c r="D6790" s="26">
        <v>0.64517361111111116</v>
      </c>
      <c r="E6790" t="s">
        <v>24</v>
      </c>
      <c r="F6790" t="s">
        <v>165</v>
      </c>
      <c r="G6790" t="s">
        <v>185</v>
      </c>
      <c r="H6790" t="s">
        <v>8</v>
      </c>
      <c r="I6790">
        <v>291</v>
      </c>
      <c r="J6790" s="7">
        <v>782951</v>
      </c>
      <c r="K6790" s="7">
        <f t="shared" si="422"/>
        <v>553</v>
      </c>
      <c r="L6790" s="7">
        <v>783504</v>
      </c>
      <c r="M6790" s="10">
        <f t="shared" si="421"/>
        <v>52.622061482820982</v>
      </c>
    </row>
    <row r="6791" spans="1:13" hidden="1" x14ac:dyDescent="0.3">
      <c r="A6791" s="9">
        <v>93</v>
      </c>
      <c r="B6791" t="s">
        <v>285</v>
      </c>
      <c r="C6791" s="25">
        <v>44579</v>
      </c>
      <c r="D6791" s="26">
        <v>0.33760416666666665</v>
      </c>
      <c r="E6791" t="s">
        <v>24</v>
      </c>
      <c r="F6791" t="s">
        <v>210</v>
      </c>
      <c r="G6791" t="s">
        <v>211</v>
      </c>
      <c r="H6791" t="s">
        <v>8</v>
      </c>
      <c r="I6791">
        <v>177.54</v>
      </c>
      <c r="J6791" s="7">
        <v>783504</v>
      </c>
      <c r="K6791" s="7">
        <f t="shared" si="422"/>
        <v>514</v>
      </c>
      <c r="L6791" s="7">
        <v>784018</v>
      </c>
      <c r="M6791" s="10">
        <f t="shared" si="421"/>
        <v>34.540856031128406</v>
      </c>
    </row>
    <row r="6792" spans="1:13" hidden="1" x14ac:dyDescent="0.3">
      <c r="A6792" s="9">
        <v>94</v>
      </c>
      <c r="B6792" t="s">
        <v>285</v>
      </c>
      <c r="C6792" s="25">
        <v>44580</v>
      </c>
      <c r="D6792" s="26">
        <v>0.73354166666666665</v>
      </c>
      <c r="E6792" t="s">
        <v>24</v>
      </c>
      <c r="F6792" t="s">
        <v>175</v>
      </c>
      <c r="G6792" t="s">
        <v>172</v>
      </c>
      <c r="H6792" t="s">
        <v>8</v>
      </c>
      <c r="I6792">
        <v>416.45</v>
      </c>
      <c r="J6792" s="7">
        <v>784018</v>
      </c>
      <c r="K6792" s="7">
        <f t="shared" si="422"/>
        <v>955</v>
      </c>
      <c r="L6792" s="7">
        <v>784973</v>
      </c>
      <c r="M6792" s="10">
        <f t="shared" si="421"/>
        <v>43.607329842931932</v>
      </c>
    </row>
    <row r="6793" spans="1:13" hidden="1" x14ac:dyDescent="0.3">
      <c r="A6793" s="9">
        <v>95</v>
      </c>
      <c r="B6793" t="s">
        <v>285</v>
      </c>
      <c r="C6793" s="25">
        <v>44581</v>
      </c>
      <c r="D6793" s="26">
        <v>0.81525462962962969</v>
      </c>
      <c r="E6793" t="s">
        <v>24</v>
      </c>
      <c r="F6793" t="s">
        <v>210</v>
      </c>
      <c r="G6793" t="s">
        <v>211</v>
      </c>
      <c r="H6793" t="s">
        <v>8</v>
      </c>
      <c r="I6793">
        <v>348.22</v>
      </c>
      <c r="J6793" s="7">
        <v>784973</v>
      </c>
      <c r="K6793" s="7">
        <f t="shared" si="422"/>
        <v>835</v>
      </c>
      <c r="L6793" s="7">
        <v>785808</v>
      </c>
      <c r="M6793" s="91">
        <f t="shared" si="421"/>
        <v>41.702994011976052</v>
      </c>
    </row>
    <row r="6794" spans="1:13" hidden="1" x14ac:dyDescent="0.3">
      <c r="A6794" s="9">
        <v>96</v>
      </c>
      <c r="B6794" t="s">
        <v>285</v>
      </c>
      <c r="C6794" s="25">
        <v>44582</v>
      </c>
      <c r="D6794" s="26">
        <v>0.65385416666666674</v>
      </c>
      <c r="E6794" t="s">
        <v>24</v>
      </c>
      <c r="F6794" t="s">
        <v>165</v>
      </c>
      <c r="G6794" t="s">
        <v>185</v>
      </c>
      <c r="H6794" t="s">
        <v>8</v>
      </c>
      <c r="I6794">
        <v>264.99</v>
      </c>
      <c r="J6794" s="34">
        <v>785808</v>
      </c>
      <c r="K6794" s="28">
        <f t="shared" si="422"/>
        <v>551</v>
      </c>
      <c r="L6794" s="34">
        <v>786359</v>
      </c>
      <c r="M6794" s="10">
        <f t="shared" si="421"/>
        <v>48.092558983666059</v>
      </c>
    </row>
    <row r="6795" spans="1:13" hidden="1" x14ac:dyDescent="0.3">
      <c r="A6795" s="9">
        <v>97</v>
      </c>
      <c r="B6795" t="s">
        <v>285</v>
      </c>
      <c r="C6795" s="25">
        <v>44583</v>
      </c>
      <c r="D6795" s="26">
        <v>0.37506944444444446</v>
      </c>
      <c r="E6795" t="s">
        <v>24</v>
      </c>
      <c r="F6795" t="s">
        <v>210</v>
      </c>
      <c r="G6795" t="s">
        <v>211</v>
      </c>
      <c r="H6795" t="s">
        <v>8</v>
      </c>
      <c r="I6795">
        <v>157.63999999999999</v>
      </c>
      <c r="J6795" s="34">
        <v>786359</v>
      </c>
      <c r="K6795" s="7">
        <f t="shared" si="422"/>
        <v>513</v>
      </c>
      <c r="L6795" s="7">
        <v>786872</v>
      </c>
      <c r="M6795" s="10">
        <f t="shared" si="421"/>
        <v>30.729044834307988</v>
      </c>
    </row>
    <row r="6796" spans="1:13" hidden="1" x14ac:dyDescent="0.3">
      <c r="A6796" s="9">
        <v>98</v>
      </c>
      <c r="B6796" t="s">
        <v>285</v>
      </c>
      <c r="C6796" s="25">
        <v>44586</v>
      </c>
      <c r="D6796" s="26">
        <v>0.41887731481481483</v>
      </c>
      <c r="E6796" t="s">
        <v>24</v>
      </c>
      <c r="F6796" t="s">
        <v>175</v>
      </c>
      <c r="G6796" t="s">
        <v>172</v>
      </c>
      <c r="H6796" t="s">
        <v>8</v>
      </c>
      <c r="I6796">
        <v>368.98</v>
      </c>
      <c r="J6796" s="34"/>
      <c r="K6796" s="7">
        <f t="shared" si="422"/>
        <v>992.33</v>
      </c>
      <c r="L6796" s="7">
        <v>992.33</v>
      </c>
      <c r="M6796" s="10">
        <f t="shared" si="421"/>
        <v>37.183195106466599</v>
      </c>
    </row>
    <row r="6797" spans="1:13" hidden="1" x14ac:dyDescent="0.3">
      <c r="A6797" s="9">
        <v>1177</v>
      </c>
      <c r="B6797" t="s">
        <v>285</v>
      </c>
      <c r="C6797" s="25">
        <v>44597</v>
      </c>
      <c r="D6797" s="26">
        <v>0.38724537037037038</v>
      </c>
      <c r="E6797" t="s">
        <v>25</v>
      </c>
      <c r="F6797" t="s">
        <v>175</v>
      </c>
      <c r="G6797" t="s">
        <v>172</v>
      </c>
      <c r="H6797" t="s">
        <v>8</v>
      </c>
      <c r="I6797">
        <v>243.44</v>
      </c>
      <c r="J6797" s="7">
        <v>0</v>
      </c>
      <c r="K6797" s="30">
        <f t="shared" si="422"/>
        <v>569.82000000000005</v>
      </c>
      <c r="L6797" s="34">
        <v>569.82000000000005</v>
      </c>
      <c r="M6797" s="10">
        <f t="shared" si="421"/>
        <v>42.722263170825869</v>
      </c>
    </row>
    <row r="6798" spans="1:13" hidden="1" x14ac:dyDescent="0.3">
      <c r="A6798" s="9">
        <v>1178</v>
      </c>
      <c r="B6798" t="s">
        <v>285</v>
      </c>
      <c r="C6798" s="25">
        <v>44597</v>
      </c>
      <c r="D6798" s="26">
        <v>0.83854166666666663</v>
      </c>
      <c r="E6798" t="s">
        <v>25</v>
      </c>
      <c r="F6798" t="s">
        <v>210</v>
      </c>
      <c r="G6798" t="s">
        <v>211</v>
      </c>
      <c r="H6798" t="s">
        <v>8</v>
      </c>
      <c r="I6798">
        <v>332.99</v>
      </c>
      <c r="J6798" s="7">
        <v>0</v>
      </c>
      <c r="K6798" s="11">
        <f t="shared" si="422"/>
        <v>698.34</v>
      </c>
      <c r="L6798" s="7">
        <v>698.34</v>
      </c>
      <c r="M6798" s="10">
        <f t="shared" si="421"/>
        <v>47.68307701119798</v>
      </c>
    </row>
    <row r="6799" spans="1:13" hidden="1" x14ac:dyDescent="0.3">
      <c r="A6799" s="9">
        <v>1179</v>
      </c>
      <c r="B6799" t="s">
        <v>285</v>
      </c>
      <c r="C6799" s="25">
        <v>44598</v>
      </c>
      <c r="D6799" s="26">
        <v>0.73612268518518509</v>
      </c>
      <c r="E6799" t="s">
        <v>25</v>
      </c>
      <c r="F6799" t="s">
        <v>165</v>
      </c>
      <c r="G6799" t="s">
        <v>185</v>
      </c>
      <c r="H6799" t="s">
        <v>8</v>
      </c>
      <c r="I6799">
        <v>267.36</v>
      </c>
      <c r="J6799" s="7">
        <v>0</v>
      </c>
      <c r="K6799" s="7">
        <f t="shared" si="422"/>
        <v>549.61</v>
      </c>
      <c r="L6799" s="7">
        <v>549.61</v>
      </c>
      <c r="M6799" s="10">
        <f t="shared" si="421"/>
        <v>48.645403104019216</v>
      </c>
    </row>
    <row r="6800" spans="1:13" hidden="1" x14ac:dyDescent="0.3">
      <c r="A6800" s="9">
        <v>1180</v>
      </c>
      <c r="B6800" t="s">
        <v>285</v>
      </c>
      <c r="C6800" s="25">
        <v>44600</v>
      </c>
      <c r="D6800" s="26">
        <v>0.85472222222222216</v>
      </c>
      <c r="E6800" t="s">
        <v>25</v>
      </c>
      <c r="F6800" t="s">
        <v>165</v>
      </c>
      <c r="G6800" t="s">
        <v>185</v>
      </c>
      <c r="H6800" t="s">
        <v>8</v>
      </c>
      <c r="I6800">
        <v>348</v>
      </c>
      <c r="J6800" s="7">
        <v>0</v>
      </c>
      <c r="K6800" s="7">
        <f t="shared" si="422"/>
        <v>1630.69</v>
      </c>
      <c r="L6800" s="7">
        <v>1630.69</v>
      </c>
      <c r="M6800" s="10">
        <f t="shared" si="421"/>
        <v>21.340659475436777</v>
      </c>
    </row>
    <row r="6801" spans="1:13" hidden="1" x14ac:dyDescent="0.3">
      <c r="A6801" s="9">
        <v>1181</v>
      </c>
      <c r="B6801" t="s">
        <v>285</v>
      </c>
      <c r="C6801" s="25">
        <v>44601</v>
      </c>
      <c r="D6801" s="26">
        <v>0.5886689814814815</v>
      </c>
      <c r="E6801" t="s">
        <v>25</v>
      </c>
      <c r="F6801" t="s">
        <v>210</v>
      </c>
      <c r="G6801" t="s">
        <v>211</v>
      </c>
      <c r="H6801" t="s">
        <v>8</v>
      </c>
      <c r="I6801">
        <v>163.49</v>
      </c>
      <c r="J6801" s="7">
        <v>0</v>
      </c>
      <c r="K6801" s="11">
        <f t="shared" si="422"/>
        <v>515.98</v>
      </c>
      <c r="L6801" s="210">
        <v>515.98</v>
      </c>
      <c r="M6801" s="10">
        <f t="shared" si="421"/>
        <v>31.685336640955075</v>
      </c>
    </row>
    <row r="6802" spans="1:13" hidden="1" x14ac:dyDescent="0.3">
      <c r="A6802" s="9">
        <v>1182</v>
      </c>
      <c r="B6802" t="s">
        <v>285</v>
      </c>
      <c r="C6802" s="25">
        <v>44603</v>
      </c>
      <c r="D6802" s="26">
        <v>0.46929398148148144</v>
      </c>
      <c r="E6802" t="s">
        <v>25</v>
      </c>
      <c r="F6802" t="s">
        <v>175</v>
      </c>
      <c r="G6802" t="s">
        <v>172</v>
      </c>
      <c r="H6802" t="s">
        <v>8</v>
      </c>
      <c r="I6802">
        <v>418.05</v>
      </c>
      <c r="J6802" s="76">
        <v>0</v>
      </c>
      <c r="K6802" s="7">
        <f t="shared" si="422"/>
        <v>1016.71</v>
      </c>
      <c r="L6802" s="32">
        <v>1016.71</v>
      </c>
      <c r="M6802" s="10">
        <f t="shared" si="421"/>
        <v>41.117919564084154</v>
      </c>
    </row>
    <row r="6803" spans="1:13" hidden="1" x14ac:dyDescent="0.3">
      <c r="A6803" s="9">
        <v>1183</v>
      </c>
      <c r="B6803" t="s">
        <v>285</v>
      </c>
      <c r="C6803" s="25">
        <v>44604</v>
      </c>
      <c r="D6803" s="26">
        <v>0.47596064814814815</v>
      </c>
      <c r="E6803" t="s">
        <v>25</v>
      </c>
      <c r="F6803" t="s">
        <v>175</v>
      </c>
      <c r="G6803" t="s">
        <v>172</v>
      </c>
      <c r="H6803" t="s">
        <v>8</v>
      </c>
      <c r="I6803">
        <v>168.94</v>
      </c>
      <c r="J6803" s="76">
        <v>0</v>
      </c>
      <c r="K6803" s="7">
        <f t="shared" si="422"/>
        <v>412.16</v>
      </c>
      <c r="L6803" s="32">
        <v>412.16</v>
      </c>
      <c r="M6803" s="10">
        <f t="shared" si="421"/>
        <v>40.988936335403722</v>
      </c>
    </row>
    <row r="6804" spans="1:13" hidden="1" x14ac:dyDescent="0.3">
      <c r="A6804" s="9">
        <v>1184</v>
      </c>
      <c r="B6804" t="s">
        <v>285</v>
      </c>
      <c r="C6804" s="25">
        <v>44605</v>
      </c>
      <c r="D6804" s="26">
        <v>0.64576388888888892</v>
      </c>
      <c r="E6804" t="s">
        <v>25</v>
      </c>
      <c r="F6804" t="s">
        <v>210</v>
      </c>
      <c r="G6804" t="s">
        <v>211</v>
      </c>
      <c r="H6804" t="s">
        <v>8</v>
      </c>
      <c r="I6804">
        <v>376.56</v>
      </c>
      <c r="J6804" s="76">
        <v>0</v>
      </c>
      <c r="K6804" s="7">
        <f t="shared" si="422"/>
        <v>828.17</v>
      </c>
      <c r="L6804" s="32">
        <v>828.17</v>
      </c>
      <c r="M6804" s="10">
        <f t="shared" si="421"/>
        <v>45.468925462163568</v>
      </c>
    </row>
    <row r="6805" spans="1:13" hidden="1" x14ac:dyDescent="0.3">
      <c r="A6805" s="9">
        <v>1185</v>
      </c>
      <c r="B6805" t="s">
        <v>285</v>
      </c>
      <c r="C6805" s="25">
        <v>44606</v>
      </c>
      <c r="D6805" s="26">
        <v>0.56991898148148146</v>
      </c>
      <c r="E6805" t="s">
        <v>25</v>
      </c>
      <c r="F6805" t="s">
        <v>165</v>
      </c>
      <c r="G6805" t="s">
        <v>185</v>
      </c>
      <c r="H6805" t="s">
        <v>8</v>
      </c>
      <c r="I6805">
        <v>179.72</v>
      </c>
      <c r="J6805" s="76">
        <v>0</v>
      </c>
      <c r="K6805" s="7">
        <f t="shared" si="422"/>
        <v>550.28</v>
      </c>
      <c r="L6805" s="37">
        <v>550.28</v>
      </c>
      <c r="M6805" s="10">
        <f t="shared" si="421"/>
        <v>32.659736861234286</v>
      </c>
    </row>
    <row r="6806" spans="1:13" hidden="1" x14ac:dyDescent="0.3">
      <c r="A6806" s="9">
        <v>1186</v>
      </c>
      <c r="B6806" t="s">
        <v>285</v>
      </c>
      <c r="C6806" s="25">
        <v>44607</v>
      </c>
      <c r="D6806" s="26">
        <v>0.31719907407407405</v>
      </c>
      <c r="E6806" t="s">
        <v>25</v>
      </c>
      <c r="F6806" t="s">
        <v>210</v>
      </c>
      <c r="G6806" t="s">
        <v>211</v>
      </c>
      <c r="H6806" t="s">
        <v>8</v>
      </c>
      <c r="I6806">
        <v>256.52999999999997</v>
      </c>
      <c r="J6806" s="71">
        <v>0</v>
      </c>
      <c r="K6806" s="32">
        <f t="shared" si="422"/>
        <v>516.76</v>
      </c>
      <c r="L6806" s="32">
        <v>516.76</v>
      </c>
      <c r="M6806" s="10">
        <f t="shared" si="421"/>
        <v>49.642000154810738</v>
      </c>
    </row>
    <row r="6807" spans="1:13" hidden="1" x14ac:dyDescent="0.3">
      <c r="A6807" s="9">
        <v>1187</v>
      </c>
      <c r="B6807" t="s">
        <v>285</v>
      </c>
      <c r="C6807" s="25">
        <v>44610</v>
      </c>
      <c r="D6807" s="26">
        <v>0.38769675925925928</v>
      </c>
      <c r="E6807" t="s">
        <v>25</v>
      </c>
      <c r="F6807" t="s">
        <v>175</v>
      </c>
      <c r="G6807" t="s">
        <v>172</v>
      </c>
      <c r="H6807" t="s">
        <v>8</v>
      </c>
      <c r="I6807">
        <v>436.95</v>
      </c>
      <c r="J6807" s="71">
        <v>0</v>
      </c>
      <c r="K6807" s="32">
        <f t="shared" si="422"/>
        <v>1141.8599999999999</v>
      </c>
      <c r="L6807" s="32">
        <v>1141.8599999999999</v>
      </c>
      <c r="M6807" s="10">
        <f t="shared" si="421"/>
        <v>38.266512532184329</v>
      </c>
    </row>
    <row r="6808" spans="1:13" hidden="1" x14ac:dyDescent="0.3">
      <c r="A6808" s="9">
        <v>1188</v>
      </c>
      <c r="B6808" t="s">
        <v>285</v>
      </c>
      <c r="C6808" s="25">
        <v>44610</v>
      </c>
      <c r="D6808" s="26">
        <v>0.86491898148148139</v>
      </c>
      <c r="E6808" t="s">
        <v>25</v>
      </c>
      <c r="F6808" t="s">
        <v>171</v>
      </c>
      <c r="G6808" t="s">
        <v>172</v>
      </c>
      <c r="H6808" t="s">
        <v>8</v>
      </c>
      <c r="I6808">
        <v>150.21</v>
      </c>
      <c r="J6808" s="71">
        <v>0</v>
      </c>
      <c r="K6808" s="32">
        <f t="shared" si="422"/>
        <v>403.56</v>
      </c>
      <c r="L6808" s="32">
        <v>403.56</v>
      </c>
      <c r="M6808" s="10">
        <f t="shared" si="421"/>
        <v>37.221231043710972</v>
      </c>
    </row>
    <row r="6809" spans="1:13" hidden="1" x14ac:dyDescent="0.3">
      <c r="A6809" s="9">
        <v>1189</v>
      </c>
      <c r="B6809" t="s">
        <v>285</v>
      </c>
      <c r="C6809" s="25">
        <v>44611</v>
      </c>
      <c r="D6809" s="26">
        <v>0.73329861111111105</v>
      </c>
      <c r="E6809" t="s">
        <v>25</v>
      </c>
      <c r="F6809" t="s">
        <v>210</v>
      </c>
      <c r="G6809" t="s">
        <v>211</v>
      </c>
      <c r="H6809" t="s">
        <v>8</v>
      </c>
      <c r="I6809">
        <v>284.39999999999998</v>
      </c>
      <c r="J6809" s="32">
        <v>0</v>
      </c>
      <c r="K6809" s="32">
        <f t="shared" si="422"/>
        <v>695.3</v>
      </c>
      <c r="L6809" s="32">
        <v>695.3</v>
      </c>
      <c r="M6809" s="10">
        <f t="shared" si="421"/>
        <v>40.903207248669638</v>
      </c>
    </row>
    <row r="6810" spans="1:13" hidden="1" x14ac:dyDescent="0.3">
      <c r="A6810" s="9">
        <v>1190</v>
      </c>
      <c r="B6810" t="s">
        <v>285</v>
      </c>
      <c r="C6810" s="25">
        <v>44612</v>
      </c>
      <c r="D6810" s="26">
        <v>0.53486111111111112</v>
      </c>
      <c r="E6810" t="s">
        <v>25</v>
      </c>
      <c r="F6810" t="s">
        <v>165</v>
      </c>
      <c r="G6810" t="s">
        <v>185</v>
      </c>
      <c r="H6810" t="s">
        <v>8</v>
      </c>
      <c r="I6810">
        <v>158.03</v>
      </c>
      <c r="J6810" s="32">
        <v>0</v>
      </c>
      <c r="K6810" s="32">
        <f t="shared" si="422"/>
        <v>549.52</v>
      </c>
      <c r="L6810" s="33">
        <v>549.52</v>
      </c>
      <c r="M6810" s="10">
        <f t="shared" si="421"/>
        <v>28.757825010918619</v>
      </c>
    </row>
    <row r="6811" spans="1:13" hidden="1" x14ac:dyDescent="0.3">
      <c r="A6811" s="9">
        <v>1191</v>
      </c>
      <c r="B6811" t="s">
        <v>285</v>
      </c>
      <c r="C6811" s="25">
        <v>44613</v>
      </c>
      <c r="D6811" s="26">
        <v>0.71724537037037039</v>
      </c>
      <c r="E6811" t="s">
        <v>25</v>
      </c>
      <c r="F6811" t="s">
        <v>340</v>
      </c>
      <c r="G6811" t="s">
        <v>337</v>
      </c>
      <c r="H6811" t="s">
        <v>8</v>
      </c>
      <c r="I6811">
        <v>364.59</v>
      </c>
      <c r="J6811" s="32">
        <v>0</v>
      </c>
      <c r="K6811" s="32">
        <f t="shared" si="422"/>
        <v>826.24</v>
      </c>
      <c r="L6811" s="32">
        <v>826.24</v>
      </c>
      <c r="M6811" s="10">
        <f t="shared" ref="M6811:M6842" si="423">I6811/K6811*100</f>
        <v>44.126403950426024</v>
      </c>
    </row>
    <row r="6812" spans="1:13" hidden="1" x14ac:dyDescent="0.3">
      <c r="A6812" s="9">
        <v>1192</v>
      </c>
      <c r="B6812" t="s">
        <v>285</v>
      </c>
      <c r="C6812" s="25">
        <v>44615</v>
      </c>
      <c r="D6812" s="26">
        <v>0.33393518518518522</v>
      </c>
      <c r="E6812" t="s">
        <v>25</v>
      </c>
      <c r="F6812" t="s">
        <v>165</v>
      </c>
      <c r="G6812" t="s">
        <v>185</v>
      </c>
      <c r="H6812" t="s">
        <v>8</v>
      </c>
      <c r="I6812">
        <v>373.06</v>
      </c>
      <c r="J6812" s="32">
        <v>0</v>
      </c>
      <c r="K6812" s="32">
        <f t="shared" si="422"/>
        <v>806.85</v>
      </c>
      <c r="L6812" s="32">
        <v>806.85</v>
      </c>
      <c r="M6812" s="10">
        <f t="shared" si="423"/>
        <v>46.236599120034697</v>
      </c>
    </row>
    <row r="6813" spans="1:13" hidden="1" x14ac:dyDescent="0.3">
      <c r="A6813" s="9">
        <v>1193</v>
      </c>
      <c r="B6813" t="s">
        <v>285</v>
      </c>
      <c r="C6813" s="25">
        <v>44615</v>
      </c>
      <c r="D6813" s="26">
        <v>0.82206018518518509</v>
      </c>
      <c r="E6813" t="s">
        <v>25</v>
      </c>
      <c r="F6813" t="s">
        <v>210</v>
      </c>
      <c r="G6813" t="s">
        <v>211</v>
      </c>
      <c r="H6813" t="s">
        <v>8</v>
      </c>
      <c r="I6813">
        <v>197.71</v>
      </c>
      <c r="J6813" s="37">
        <v>0</v>
      </c>
      <c r="K6813" s="37">
        <f t="shared" ref="K6813:K6844" si="424">+L6813-J6813</f>
        <v>516.76</v>
      </c>
      <c r="L6813" s="37">
        <v>516.76</v>
      </c>
      <c r="M6813" s="10">
        <f t="shared" si="423"/>
        <v>38.25954021209072</v>
      </c>
    </row>
    <row r="6814" spans="1:13" hidden="1" x14ac:dyDescent="0.3">
      <c r="A6814" s="9">
        <v>1194</v>
      </c>
      <c r="B6814" t="s">
        <v>285</v>
      </c>
      <c r="C6814" s="25">
        <v>44617</v>
      </c>
      <c r="D6814" s="26">
        <v>0.42987268518518523</v>
      </c>
      <c r="E6814" t="s">
        <v>25</v>
      </c>
      <c r="F6814" t="s">
        <v>175</v>
      </c>
      <c r="G6814" t="s">
        <v>172</v>
      </c>
      <c r="H6814" t="s">
        <v>8</v>
      </c>
      <c r="I6814">
        <v>340.79</v>
      </c>
      <c r="J6814" s="32">
        <v>0</v>
      </c>
      <c r="K6814" s="32">
        <f t="shared" si="424"/>
        <v>950.21</v>
      </c>
      <c r="L6814" s="32">
        <v>950.21</v>
      </c>
      <c r="M6814" s="10">
        <f t="shared" si="423"/>
        <v>35.864703591837596</v>
      </c>
    </row>
    <row r="6815" spans="1:13" hidden="1" x14ac:dyDescent="0.3">
      <c r="A6815" s="9">
        <v>1887</v>
      </c>
      <c r="B6815" t="s">
        <v>285</v>
      </c>
      <c r="C6815" s="25">
        <v>44632</v>
      </c>
      <c r="D6815" s="26">
        <v>0.70642361111111107</v>
      </c>
      <c r="E6815" t="s">
        <v>26</v>
      </c>
      <c r="F6815" t="s">
        <v>171</v>
      </c>
      <c r="G6815" t="s">
        <v>172</v>
      </c>
      <c r="H6815" t="s">
        <v>137</v>
      </c>
      <c r="I6815">
        <f>150+200</f>
        <v>350</v>
      </c>
      <c r="J6815" s="7">
        <v>0</v>
      </c>
      <c r="K6815" s="92">
        <f t="shared" si="424"/>
        <v>2213.91</v>
      </c>
      <c r="L6815" s="34">
        <v>2213.91</v>
      </c>
      <c r="M6815" s="10">
        <f t="shared" si="423"/>
        <v>15.809134065973776</v>
      </c>
    </row>
    <row r="6816" spans="1:13" hidden="1" x14ac:dyDescent="0.3">
      <c r="A6816" s="9">
        <v>1888</v>
      </c>
      <c r="B6816" t="s">
        <v>285</v>
      </c>
      <c r="C6816" s="25">
        <v>44632</v>
      </c>
      <c r="D6816" s="26">
        <v>0.77428240740740739</v>
      </c>
      <c r="E6816" t="s">
        <v>26</v>
      </c>
      <c r="F6816" t="s">
        <v>197</v>
      </c>
      <c r="G6816" t="s">
        <v>44</v>
      </c>
      <c r="H6816" t="s">
        <v>137</v>
      </c>
      <c r="I6816">
        <v>300.01</v>
      </c>
      <c r="J6816" s="7">
        <v>0</v>
      </c>
      <c r="K6816" s="96">
        <f t="shared" si="424"/>
        <v>102.36</v>
      </c>
      <c r="L6816" s="7">
        <v>102.36</v>
      </c>
      <c r="M6816" s="10">
        <f t="shared" si="423"/>
        <v>293.09300508010938</v>
      </c>
    </row>
    <row r="6817" spans="1:13" hidden="1" x14ac:dyDescent="0.3">
      <c r="A6817" s="9">
        <v>1889</v>
      </c>
      <c r="B6817" t="s">
        <v>285</v>
      </c>
      <c r="C6817" s="25">
        <v>44633</v>
      </c>
      <c r="D6817" s="26">
        <v>0.60340277777777784</v>
      </c>
      <c r="E6817" t="s">
        <v>26</v>
      </c>
      <c r="F6817" t="s">
        <v>210</v>
      </c>
      <c r="G6817" t="s">
        <v>211</v>
      </c>
      <c r="H6817" t="s">
        <v>137</v>
      </c>
      <c r="I6817">
        <v>540.69000000000005</v>
      </c>
      <c r="J6817" s="7">
        <v>0</v>
      </c>
      <c r="K6817" s="90">
        <f t="shared" si="424"/>
        <v>587.14</v>
      </c>
      <c r="L6817" s="7">
        <v>587.14</v>
      </c>
      <c r="M6817" s="10">
        <f t="shared" si="423"/>
        <v>92.088769288415037</v>
      </c>
    </row>
    <row r="6818" spans="1:13" hidden="1" x14ac:dyDescent="0.3">
      <c r="A6818" s="9">
        <v>1890</v>
      </c>
      <c r="B6818" t="s">
        <v>285</v>
      </c>
      <c r="C6818" s="25">
        <v>44634</v>
      </c>
      <c r="D6818" s="26">
        <v>0.62938657407407406</v>
      </c>
      <c r="E6818" t="s">
        <v>26</v>
      </c>
      <c r="F6818" t="s">
        <v>210</v>
      </c>
      <c r="G6818" t="s">
        <v>211</v>
      </c>
      <c r="H6818" t="s">
        <v>137</v>
      </c>
      <c r="I6818">
        <v>366.56</v>
      </c>
      <c r="J6818" s="7">
        <v>0</v>
      </c>
      <c r="K6818" s="90">
        <f t="shared" si="424"/>
        <v>885.19</v>
      </c>
      <c r="L6818" s="7">
        <v>885.19</v>
      </c>
      <c r="M6818" s="10">
        <f t="shared" si="423"/>
        <v>41.410318688643116</v>
      </c>
    </row>
    <row r="6819" spans="1:13" hidden="1" x14ac:dyDescent="0.3">
      <c r="A6819" s="9">
        <v>1891</v>
      </c>
      <c r="B6819" t="s">
        <v>285</v>
      </c>
      <c r="C6819" s="25">
        <v>44636</v>
      </c>
      <c r="D6819" s="26">
        <v>0.45199074074074069</v>
      </c>
      <c r="E6819" t="s">
        <v>26</v>
      </c>
      <c r="F6819" t="s">
        <v>391</v>
      </c>
      <c r="G6819" t="s">
        <v>392</v>
      </c>
      <c r="H6819" t="s">
        <v>137</v>
      </c>
      <c r="I6819">
        <v>362.21</v>
      </c>
      <c r="J6819" s="7">
        <v>0</v>
      </c>
      <c r="K6819" s="90">
        <f t="shared" si="424"/>
        <v>959.85</v>
      </c>
      <c r="L6819" s="7">
        <v>959.85</v>
      </c>
      <c r="M6819" s="10">
        <f t="shared" si="423"/>
        <v>37.736104599677027</v>
      </c>
    </row>
    <row r="6820" spans="1:13" hidden="1" x14ac:dyDescent="0.3">
      <c r="A6820" s="9">
        <v>2392</v>
      </c>
      <c r="B6820" t="s">
        <v>285</v>
      </c>
      <c r="C6820" s="25">
        <v>44625</v>
      </c>
      <c r="D6820" s="26">
        <v>0.78034722222222219</v>
      </c>
      <c r="E6820" t="s">
        <v>26</v>
      </c>
      <c r="F6820" t="s">
        <v>171</v>
      </c>
      <c r="G6820" t="s">
        <v>172</v>
      </c>
      <c r="H6820" t="s">
        <v>8</v>
      </c>
      <c r="I6820">
        <v>228.99</v>
      </c>
      <c r="J6820" s="32">
        <v>0</v>
      </c>
      <c r="K6820" s="92">
        <f t="shared" si="424"/>
        <v>553.48</v>
      </c>
      <c r="L6820" s="37">
        <v>553.48</v>
      </c>
      <c r="M6820" s="10">
        <f t="shared" si="423"/>
        <v>41.37276866372769</v>
      </c>
    </row>
    <row r="6821" spans="1:13" hidden="1" x14ac:dyDescent="0.3">
      <c r="A6821" s="9">
        <v>2393</v>
      </c>
      <c r="B6821" t="s">
        <v>285</v>
      </c>
      <c r="C6821" s="25">
        <v>44626</v>
      </c>
      <c r="D6821" s="26">
        <v>0.77563657407407405</v>
      </c>
      <c r="E6821" t="s">
        <v>26</v>
      </c>
      <c r="F6821" t="s">
        <v>210</v>
      </c>
      <c r="G6821" t="s">
        <v>211</v>
      </c>
      <c r="H6821" t="s">
        <v>8</v>
      </c>
      <c r="I6821">
        <v>323.25</v>
      </c>
      <c r="J6821" s="32">
        <v>0</v>
      </c>
      <c r="K6821" s="89">
        <f t="shared" si="424"/>
        <v>713.62</v>
      </c>
      <c r="L6821" s="32">
        <v>713.62</v>
      </c>
      <c r="M6821" s="10">
        <f t="shared" si="423"/>
        <v>45.297217006249824</v>
      </c>
    </row>
    <row r="6822" spans="1:13" hidden="1" x14ac:dyDescent="0.3">
      <c r="A6822" s="9">
        <v>2394</v>
      </c>
      <c r="B6822" t="s">
        <v>285</v>
      </c>
      <c r="C6822" s="25">
        <v>44627</v>
      </c>
      <c r="D6822" s="26">
        <v>0.70491898148148147</v>
      </c>
      <c r="E6822" t="s">
        <v>26</v>
      </c>
      <c r="F6822" t="s">
        <v>165</v>
      </c>
      <c r="G6822" t="s">
        <v>185</v>
      </c>
      <c r="H6822" t="s">
        <v>8</v>
      </c>
      <c r="I6822">
        <v>285</v>
      </c>
      <c r="J6822" s="32">
        <v>0</v>
      </c>
      <c r="K6822" s="89">
        <f t="shared" si="424"/>
        <v>553.62</v>
      </c>
      <c r="L6822" s="32">
        <v>553.62</v>
      </c>
      <c r="M6822" s="10">
        <f t="shared" si="423"/>
        <v>51.479354069578406</v>
      </c>
    </row>
    <row r="6823" spans="1:13" hidden="1" x14ac:dyDescent="0.3">
      <c r="A6823" s="9">
        <v>2395</v>
      </c>
      <c r="B6823" t="s">
        <v>285</v>
      </c>
      <c r="C6823" s="25">
        <v>44629</v>
      </c>
      <c r="D6823" s="26">
        <v>0.51368055555555558</v>
      </c>
      <c r="E6823" t="s">
        <v>26</v>
      </c>
      <c r="F6823" t="s">
        <v>210</v>
      </c>
      <c r="G6823" t="s">
        <v>211</v>
      </c>
      <c r="H6823" t="s">
        <v>8</v>
      </c>
      <c r="I6823">
        <v>236.34</v>
      </c>
      <c r="J6823" s="32">
        <v>0</v>
      </c>
      <c r="K6823" s="94">
        <f t="shared" si="424"/>
        <v>573.17999999999995</v>
      </c>
      <c r="L6823" s="32">
        <v>573.17999999999995</v>
      </c>
      <c r="M6823" s="10">
        <f t="shared" si="423"/>
        <v>41.233120485711297</v>
      </c>
    </row>
    <row r="6824" spans="1:13" hidden="1" x14ac:dyDescent="0.3">
      <c r="A6824" s="9">
        <v>2396</v>
      </c>
      <c r="B6824" t="s">
        <v>285</v>
      </c>
      <c r="C6824" s="25">
        <v>44631</v>
      </c>
      <c r="D6824" s="26">
        <v>0.45297453703703705</v>
      </c>
      <c r="E6824" t="s">
        <v>26</v>
      </c>
      <c r="F6824" t="s">
        <v>175</v>
      </c>
      <c r="G6824" t="s">
        <v>172</v>
      </c>
      <c r="H6824" t="s">
        <v>8</v>
      </c>
      <c r="I6824">
        <v>368.54</v>
      </c>
      <c r="J6824" s="32">
        <v>0</v>
      </c>
      <c r="K6824" s="94">
        <f t="shared" si="424"/>
        <v>973.35</v>
      </c>
      <c r="L6824" s="32">
        <v>973.35</v>
      </c>
      <c r="M6824" s="10">
        <f t="shared" si="423"/>
        <v>37.863050290234753</v>
      </c>
    </row>
    <row r="6825" spans="1:13" hidden="1" x14ac:dyDescent="0.3">
      <c r="A6825" s="9">
        <v>2397</v>
      </c>
      <c r="B6825" t="s">
        <v>285</v>
      </c>
      <c r="C6825" s="25">
        <v>44636</v>
      </c>
      <c r="D6825" s="26">
        <v>0.84346064814814825</v>
      </c>
      <c r="E6825" t="s">
        <v>26</v>
      </c>
      <c r="F6825" t="s">
        <v>197</v>
      </c>
      <c r="G6825" t="s">
        <v>44</v>
      </c>
      <c r="H6825" t="s">
        <v>8</v>
      </c>
      <c r="I6825">
        <v>278.44</v>
      </c>
      <c r="J6825" s="32">
        <v>0</v>
      </c>
      <c r="K6825" s="96">
        <f t="shared" si="424"/>
        <v>726.56</v>
      </c>
      <c r="L6825" s="38">
        <v>726.56</v>
      </c>
      <c r="M6825" s="10">
        <f t="shared" si="423"/>
        <v>38.323056595463555</v>
      </c>
    </row>
    <row r="6826" spans="1:13" hidden="1" x14ac:dyDescent="0.3">
      <c r="A6826" s="9">
        <v>2398</v>
      </c>
      <c r="B6826" t="s">
        <v>285</v>
      </c>
      <c r="C6826" s="25">
        <v>44637</v>
      </c>
      <c r="D6826" s="26">
        <v>0.58841435185185187</v>
      </c>
      <c r="E6826" t="s">
        <v>26</v>
      </c>
      <c r="F6826" t="s">
        <v>366</v>
      </c>
      <c r="G6826" t="s">
        <v>367</v>
      </c>
      <c r="H6826" t="s">
        <v>8</v>
      </c>
      <c r="I6826">
        <v>100</v>
      </c>
      <c r="J6826" s="32">
        <v>0</v>
      </c>
      <c r="K6826" s="90">
        <f t="shared" si="424"/>
        <v>390.42</v>
      </c>
      <c r="L6826" s="32">
        <v>390.42</v>
      </c>
      <c r="M6826" s="10">
        <f t="shared" si="423"/>
        <v>25.613441934327135</v>
      </c>
    </row>
    <row r="6827" spans="1:13" hidden="1" x14ac:dyDescent="0.3">
      <c r="A6827" s="9">
        <v>2399</v>
      </c>
      <c r="B6827" t="s">
        <v>285</v>
      </c>
      <c r="C6827" s="25">
        <v>44637</v>
      </c>
      <c r="D6827" s="26">
        <v>0.75024305555555548</v>
      </c>
      <c r="E6827" t="s">
        <v>26</v>
      </c>
      <c r="F6827" t="s">
        <v>210</v>
      </c>
      <c r="G6827" t="s">
        <v>211</v>
      </c>
      <c r="H6827" t="s">
        <v>8</v>
      </c>
      <c r="I6827">
        <v>160.22</v>
      </c>
      <c r="J6827" s="32">
        <v>0</v>
      </c>
      <c r="K6827" s="90">
        <f t="shared" si="424"/>
        <v>199.66</v>
      </c>
      <c r="L6827" s="32">
        <v>199.66</v>
      </c>
      <c r="M6827" s="10">
        <f t="shared" si="423"/>
        <v>80.246418912150659</v>
      </c>
    </row>
    <row r="6828" spans="1:13" hidden="1" x14ac:dyDescent="0.3">
      <c r="A6828" s="9">
        <v>2400</v>
      </c>
      <c r="B6828" t="s">
        <v>285</v>
      </c>
      <c r="C6828" s="25">
        <v>44638</v>
      </c>
      <c r="D6828" s="26">
        <v>0.64427083333333335</v>
      </c>
      <c r="E6828" t="s">
        <v>26</v>
      </c>
      <c r="F6828" t="s">
        <v>165</v>
      </c>
      <c r="G6828" t="s">
        <v>185</v>
      </c>
      <c r="H6828" t="s">
        <v>8</v>
      </c>
      <c r="I6828">
        <v>249.39</v>
      </c>
      <c r="J6828" s="32">
        <v>0</v>
      </c>
      <c r="K6828" s="90">
        <f t="shared" si="424"/>
        <v>549.74</v>
      </c>
      <c r="L6828" s="33">
        <v>549.74</v>
      </c>
      <c r="M6828" s="10">
        <f t="shared" si="423"/>
        <v>45.365081674973624</v>
      </c>
    </row>
    <row r="6829" spans="1:13" hidden="1" x14ac:dyDescent="0.3">
      <c r="A6829" s="9">
        <v>2401</v>
      </c>
      <c r="B6829" t="s">
        <v>285</v>
      </c>
      <c r="C6829" s="25">
        <v>44639</v>
      </c>
      <c r="D6829" s="26">
        <v>0.31543981481481481</v>
      </c>
      <c r="E6829" t="s">
        <v>26</v>
      </c>
      <c r="F6829" t="s">
        <v>210</v>
      </c>
      <c r="G6829" t="s">
        <v>211</v>
      </c>
      <c r="H6829" t="s">
        <v>8</v>
      </c>
      <c r="I6829">
        <v>162.11000000000001</v>
      </c>
      <c r="J6829" s="32">
        <v>0</v>
      </c>
      <c r="K6829" s="95">
        <f t="shared" si="424"/>
        <v>515.75</v>
      </c>
      <c r="L6829" s="32">
        <v>515.75</v>
      </c>
      <c r="M6829" s="10">
        <f t="shared" si="423"/>
        <v>31.431895298109552</v>
      </c>
    </row>
    <row r="6830" spans="1:13" hidden="1" x14ac:dyDescent="0.3">
      <c r="A6830" s="9">
        <v>2402</v>
      </c>
      <c r="B6830" t="s">
        <v>285</v>
      </c>
      <c r="C6830" s="25">
        <v>44640</v>
      </c>
      <c r="D6830" s="26">
        <v>0.47657407407407404</v>
      </c>
      <c r="E6830" t="s">
        <v>26</v>
      </c>
      <c r="F6830" t="s">
        <v>428</v>
      </c>
      <c r="G6830" t="s">
        <v>429</v>
      </c>
      <c r="H6830" t="s">
        <v>8</v>
      </c>
      <c r="I6830">
        <f>99.23+250</f>
        <v>349.23</v>
      </c>
      <c r="J6830" s="32">
        <v>0</v>
      </c>
      <c r="K6830" s="95">
        <f t="shared" si="424"/>
        <v>945.75</v>
      </c>
      <c r="L6830" s="32">
        <v>945.75</v>
      </c>
      <c r="M6830" s="10">
        <f t="shared" si="423"/>
        <v>36.926249008723239</v>
      </c>
    </row>
    <row r="6831" spans="1:13" hidden="1" x14ac:dyDescent="0.3">
      <c r="A6831" s="9">
        <v>2403</v>
      </c>
      <c r="B6831" t="s">
        <v>285</v>
      </c>
      <c r="C6831" s="25">
        <v>44642</v>
      </c>
      <c r="D6831" s="26">
        <v>0.59687499999999993</v>
      </c>
      <c r="E6831" t="s">
        <v>26</v>
      </c>
      <c r="F6831" t="s">
        <v>210</v>
      </c>
      <c r="G6831" t="s">
        <v>211</v>
      </c>
      <c r="H6831" t="s">
        <v>8</v>
      </c>
      <c r="I6831">
        <v>448.12</v>
      </c>
      <c r="J6831" s="32">
        <v>0</v>
      </c>
      <c r="K6831" s="90">
        <f t="shared" si="424"/>
        <v>1043.3</v>
      </c>
      <c r="L6831" s="32">
        <v>1043.3</v>
      </c>
      <c r="M6831" s="10">
        <f t="shared" si="423"/>
        <v>42.952170995878461</v>
      </c>
    </row>
    <row r="6832" spans="1:13" hidden="1" x14ac:dyDescent="0.3">
      <c r="A6832" s="9">
        <v>2404</v>
      </c>
      <c r="B6832" t="s">
        <v>285</v>
      </c>
      <c r="C6832" s="25">
        <v>44644</v>
      </c>
      <c r="D6832" s="26">
        <v>0.70458333333333334</v>
      </c>
      <c r="E6832" t="s">
        <v>26</v>
      </c>
      <c r="F6832" t="s">
        <v>210</v>
      </c>
      <c r="G6832" t="s">
        <v>211</v>
      </c>
      <c r="H6832" t="s">
        <v>8</v>
      </c>
      <c r="I6832">
        <v>419.53</v>
      </c>
      <c r="J6832" s="32">
        <v>0</v>
      </c>
      <c r="K6832" s="90">
        <f t="shared" si="424"/>
        <v>1074.28</v>
      </c>
      <c r="L6832" s="32">
        <v>1074.28</v>
      </c>
      <c r="M6832" s="10">
        <f t="shared" si="423"/>
        <v>39.05220240533194</v>
      </c>
    </row>
    <row r="6833" spans="1:13" hidden="1" x14ac:dyDescent="0.3">
      <c r="A6833" s="9">
        <v>2405</v>
      </c>
      <c r="B6833" t="s">
        <v>285</v>
      </c>
      <c r="C6833" s="25">
        <v>44646</v>
      </c>
      <c r="D6833" s="26">
        <v>0.89270833333333333</v>
      </c>
      <c r="E6833" t="s">
        <v>26</v>
      </c>
      <c r="F6833" t="s">
        <v>274</v>
      </c>
      <c r="G6833" t="s">
        <v>495</v>
      </c>
      <c r="H6833" t="s">
        <v>8</v>
      </c>
      <c r="I6833">
        <v>100.01</v>
      </c>
      <c r="J6833" s="32">
        <v>0</v>
      </c>
      <c r="K6833" s="90">
        <f t="shared" si="424"/>
        <v>619.26</v>
      </c>
      <c r="L6833" s="32">
        <v>619.26</v>
      </c>
      <c r="M6833" s="36">
        <f t="shared" si="423"/>
        <v>16.149920873300392</v>
      </c>
    </row>
    <row r="6834" spans="1:13" hidden="1" x14ac:dyDescent="0.3">
      <c r="A6834" s="9">
        <v>2406</v>
      </c>
      <c r="B6834" t="s">
        <v>285</v>
      </c>
      <c r="C6834" s="25">
        <v>44647</v>
      </c>
      <c r="D6834" s="26">
        <v>0.54346064814814821</v>
      </c>
      <c r="E6834" t="s">
        <v>26</v>
      </c>
      <c r="F6834" t="s">
        <v>512</v>
      </c>
      <c r="G6834" t="s">
        <v>513</v>
      </c>
      <c r="H6834" t="s">
        <v>8</v>
      </c>
      <c r="I6834">
        <v>100.31</v>
      </c>
      <c r="J6834" s="32">
        <v>0</v>
      </c>
      <c r="K6834" s="90">
        <f t="shared" si="424"/>
        <v>301.58</v>
      </c>
      <c r="L6834" s="32">
        <v>301.58</v>
      </c>
      <c r="M6834" s="10">
        <f t="shared" si="423"/>
        <v>33.261489488692888</v>
      </c>
    </row>
    <row r="6835" spans="1:13" hidden="1" x14ac:dyDescent="0.3">
      <c r="A6835" s="9">
        <v>2407</v>
      </c>
      <c r="B6835" t="s">
        <v>285</v>
      </c>
      <c r="C6835" s="25">
        <v>44647</v>
      </c>
      <c r="D6835" s="26">
        <v>0.72570601851851846</v>
      </c>
      <c r="E6835" t="s">
        <v>26</v>
      </c>
      <c r="F6835" t="s">
        <v>428</v>
      </c>
      <c r="G6835" t="s">
        <v>429</v>
      </c>
      <c r="H6835" t="s">
        <v>8</v>
      </c>
      <c r="I6835">
        <v>150.02000000000001</v>
      </c>
      <c r="J6835" s="32">
        <v>0</v>
      </c>
      <c r="K6835" s="90">
        <f t="shared" si="424"/>
        <v>57</v>
      </c>
      <c r="L6835" s="32">
        <v>57</v>
      </c>
      <c r="M6835" s="10">
        <f t="shared" si="423"/>
        <v>263.19298245614038</v>
      </c>
    </row>
    <row r="6836" spans="1:13" hidden="1" x14ac:dyDescent="0.3">
      <c r="A6836" s="9">
        <v>3637</v>
      </c>
      <c r="B6836" t="s">
        <v>285</v>
      </c>
      <c r="C6836" s="25">
        <v>44656</v>
      </c>
      <c r="D6836" s="26">
        <v>0.43869212962962961</v>
      </c>
      <c r="E6836" t="s">
        <v>27</v>
      </c>
      <c r="F6836" t="s">
        <v>171</v>
      </c>
      <c r="G6836" t="s">
        <v>172</v>
      </c>
      <c r="H6836" t="s">
        <v>8</v>
      </c>
      <c r="I6836" s="4">
        <v>418.27</v>
      </c>
      <c r="J6836" s="32">
        <v>0</v>
      </c>
      <c r="K6836" s="92">
        <f t="shared" si="424"/>
        <v>1077.94</v>
      </c>
      <c r="L6836" s="37">
        <v>1077.94</v>
      </c>
      <c r="M6836" s="10">
        <f t="shared" si="423"/>
        <v>38.802716292186943</v>
      </c>
    </row>
    <row r="6837" spans="1:13" hidden="1" x14ac:dyDescent="0.3">
      <c r="A6837" s="9">
        <v>3638</v>
      </c>
      <c r="B6837" t="s">
        <v>285</v>
      </c>
      <c r="C6837" s="25">
        <v>44657</v>
      </c>
      <c r="D6837" s="26">
        <v>0.44917824074074075</v>
      </c>
      <c r="E6837" t="s">
        <v>27</v>
      </c>
      <c r="F6837" t="s">
        <v>197</v>
      </c>
      <c r="G6837" t="s">
        <v>44</v>
      </c>
      <c r="H6837" t="s">
        <v>8</v>
      </c>
      <c r="I6837" s="4">
        <v>150.58000000000001</v>
      </c>
      <c r="J6837" s="32">
        <v>0</v>
      </c>
      <c r="K6837" s="89">
        <f t="shared" si="424"/>
        <v>479.15</v>
      </c>
      <c r="L6837" s="32">
        <v>479.15</v>
      </c>
      <c r="M6837" s="10">
        <f t="shared" si="423"/>
        <v>31.426484399457376</v>
      </c>
    </row>
    <row r="6838" spans="1:13" hidden="1" x14ac:dyDescent="0.3">
      <c r="A6838" s="9">
        <v>3639</v>
      </c>
      <c r="B6838" t="s">
        <v>285</v>
      </c>
      <c r="C6838" s="25">
        <v>44657</v>
      </c>
      <c r="D6838" s="26">
        <v>0.85759259259259257</v>
      </c>
      <c r="E6838" t="s">
        <v>27</v>
      </c>
      <c r="F6838" t="s">
        <v>210</v>
      </c>
      <c r="G6838" t="s">
        <v>211</v>
      </c>
      <c r="H6838" t="s">
        <v>8</v>
      </c>
      <c r="I6838" s="4">
        <v>268.73</v>
      </c>
      <c r="J6838" s="37">
        <v>0</v>
      </c>
      <c r="K6838" s="89">
        <f t="shared" si="424"/>
        <v>1071</v>
      </c>
      <c r="L6838" s="32">
        <v>1071</v>
      </c>
      <c r="M6838" s="10">
        <f t="shared" si="423"/>
        <v>25.091503267973859</v>
      </c>
    </row>
    <row r="6839" spans="1:13" hidden="1" x14ac:dyDescent="0.3">
      <c r="A6839" s="9">
        <v>3640</v>
      </c>
      <c r="B6839" t="s">
        <v>285</v>
      </c>
      <c r="C6839" s="25">
        <v>44658</v>
      </c>
      <c r="D6839" s="26">
        <v>0.76664351851851853</v>
      </c>
      <c r="E6839" t="s">
        <v>27</v>
      </c>
      <c r="F6839" t="s">
        <v>165</v>
      </c>
      <c r="G6839" t="s">
        <v>185</v>
      </c>
      <c r="H6839" t="s">
        <v>8</v>
      </c>
      <c r="I6839" s="4">
        <v>230</v>
      </c>
      <c r="J6839" s="32">
        <v>0</v>
      </c>
      <c r="K6839" s="90">
        <f t="shared" si="424"/>
        <v>1068</v>
      </c>
      <c r="L6839" s="52">
        <v>1068</v>
      </c>
      <c r="M6839" s="10">
        <f t="shared" si="423"/>
        <v>21.535580524344571</v>
      </c>
    </row>
    <row r="6840" spans="1:13" hidden="1" x14ac:dyDescent="0.3">
      <c r="A6840" s="9">
        <v>3641</v>
      </c>
      <c r="B6840" t="s">
        <v>285</v>
      </c>
      <c r="C6840" s="25">
        <v>44659</v>
      </c>
      <c r="D6840" s="26">
        <v>0.58804398148148151</v>
      </c>
      <c r="E6840" t="s">
        <v>27</v>
      </c>
      <c r="F6840" t="s">
        <v>210</v>
      </c>
      <c r="G6840" t="s">
        <v>211</v>
      </c>
      <c r="H6840" t="s">
        <v>8</v>
      </c>
      <c r="I6840" s="4">
        <v>168.75</v>
      </c>
      <c r="J6840" s="32">
        <v>0</v>
      </c>
      <c r="K6840" s="92">
        <f t="shared" si="424"/>
        <v>458.63</v>
      </c>
      <c r="L6840" s="32">
        <v>458.63</v>
      </c>
      <c r="M6840" s="10">
        <f t="shared" si="423"/>
        <v>36.794365828663629</v>
      </c>
    </row>
    <row r="6841" spans="1:13" hidden="1" x14ac:dyDescent="0.3">
      <c r="A6841" s="9">
        <v>3642</v>
      </c>
      <c r="B6841" t="s">
        <v>285</v>
      </c>
      <c r="C6841" s="25">
        <v>44661</v>
      </c>
      <c r="D6841" s="26">
        <v>0.41736111111111113</v>
      </c>
      <c r="E6841" t="s">
        <v>27</v>
      </c>
      <c r="F6841" t="s">
        <v>331</v>
      </c>
      <c r="G6841" t="s">
        <v>277</v>
      </c>
      <c r="H6841" t="s">
        <v>8</v>
      </c>
      <c r="I6841" s="4">
        <v>269.76</v>
      </c>
      <c r="J6841" s="32">
        <v>0</v>
      </c>
      <c r="K6841" s="90">
        <f t="shared" si="424"/>
        <v>769.19</v>
      </c>
      <c r="L6841" s="32">
        <v>769.19</v>
      </c>
      <c r="M6841" s="10">
        <f t="shared" si="423"/>
        <v>35.070658744913473</v>
      </c>
    </row>
    <row r="6842" spans="1:13" hidden="1" x14ac:dyDescent="0.3">
      <c r="A6842" s="9">
        <v>3643</v>
      </c>
      <c r="B6842" t="s">
        <v>285</v>
      </c>
      <c r="C6842" s="25">
        <v>44663</v>
      </c>
      <c r="D6842" s="26">
        <v>0.60643518518518513</v>
      </c>
      <c r="E6842" t="s">
        <v>27</v>
      </c>
      <c r="F6842" t="s">
        <v>197</v>
      </c>
      <c r="G6842" t="s">
        <v>44</v>
      </c>
      <c r="H6842" t="s">
        <v>8</v>
      </c>
      <c r="I6842" s="4">
        <v>100.09</v>
      </c>
      <c r="J6842" s="32">
        <v>0</v>
      </c>
      <c r="K6842" s="90">
        <f t="shared" si="424"/>
        <v>367.36</v>
      </c>
      <c r="L6842" s="37">
        <v>367.36</v>
      </c>
      <c r="M6842" s="10">
        <f t="shared" si="423"/>
        <v>27.245753484320556</v>
      </c>
    </row>
    <row r="6843" spans="1:13" hidden="1" x14ac:dyDescent="0.3">
      <c r="A6843" s="9">
        <v>3644</v>
      </c>
      <c r="B6843" t="s">
        <v>285</v>
      </c>
      <c r="C6843" s="25">
        <v>44664</v>
      </c>
      <c r="D6843" s="26">
        <v>0.59226851851851847</v>
      </c>
      <c r="E6843" t="s">
        <v>27</v>
      </c>
      <c r="F6843" t="s">
        <v>210</v>
      </c>
      <c r="G6843" t="s">
        <v>211</v>
      </c>
      <c r="H6843" t="s">
        <v>8</v>
      </c>
      <c r="I6843" s="4">
        <v>347.28</v>
      </c>
      <c r="J6843" s="32">
        <v>0</v>
      </c>
      <c r="K6843" s="90">
        <f t="shared" si="424"/>
        <v>585.62</v>
      </c>
      <c r="L6843" s="32">
        <v>585.62</v>
      </c>
      <c r="M6843" s="10">
        <f t="shared" ref="M6843:M6872" si="425">I6843/K6843*100</f>
        <v>59.301253372494102</v>
      </c>
    </row>
    <row r="6844" spans="1:13" hidden="1" x14ac:dyDescent="0.3">
      <c r="A6844" s="9">
        <v>3645</v>
      </c>
      <c r="B6844" t="s">
        <v>285</v>
      </c>
      <c r="C6844" s="25">
        <v>44665</v>
      </c>
      <c r="D6844" s="26">
        <v>0.40881944444444446</v>
      </c>
      <c r="E6844" t="s">
        <v>27</v>
      </c>
      <c r="F6844" t="s">
        <v>165</v>
      </c>
      <c r="G6844" t="s">
        <v>185</v>
      </c>
      <c r="H6844" t="s">
        <v>8</v>
      </c>
      <c r="I6844" s="4">
        <v>237</v>
      </c>
      <c r="J6844" s="32">
        <v>0</v>
      </c>
      <c r="K6844" s="90">
        <f t="shared" si="424"/>
        <v>493</v>
      </c>
      <c r="L6844" s="32">
        <v>493</v>
      </c>
      <c r="M6844" s="10">
        <f t="shared" si="425"/>
        <v>48.073022312373226</v>
      </c>
    </row>
    <row r="6845" spans="1:13" hidden="1" x14ac:dyDescent="0.3">
      <c r="A6845" s="9">
        <v>3646</v>
      </c>
      <c r="B6845" t="s">
        <v>285</v>
      </c>
      <c r="C6845" s="25">
        <v>44665</v>
      </c>
      <c r="D6845" s="26">
        <v>0.93858796296296287</v>
      </c>
      <c r="E6845" t="s">
        <v>27</v>
      </c>
      <c r="F6845" t="s">
        <v>210</v>
      </c>
      <c r="G6845" t="s">
        <v>211</v>
      </c>
      <c r="H6845" t="s">
        <v>8</v>
      </c>
      <c r="I6845" s="4">
        <v>239.85</v>
      </c>
      <c r="J6845" s="32">
        <v>0</v>
      </c>
      <c r="K6845" s="90">
        <f t="shared" ref="K6845:K6855" si="426">+L6845-J6845</f>
        <v>1019</v>
      </c>
      <c r="L6845" s="32">
        <v>1019</v>
      </c>
      <c r="M6845" s="10">
        <f t="shared" si="425"/>
        <v>23.537782139352306</v>
      </c>
    </row>
    <row r="6846" spans="1:13" hidden="1" x14ac:dyDescent="0.3">
      <c r="A6846" s="9">
        <v>3647</v>
      </c>
      <c r="B6846" t="s">
        <v>285</v>
      </c>
      <c r="C6846" s="25">
        <v>44667</v>
      </c>
      <c r="D6846" s="26">
        <v>0.36151620370370369</v>
      </c>
      <c r="E6846" t="s">
        <v>27</v>
      </c>
      <c r="F6846" t="s">
        <v>274</v>
      </c>
      <c r="G6846" t="s">
        <v>495</v>
      </c>
      <c r="H6846" t="s">
        <v>8</v>
      </c>
      <c r="I6846" s="4">
        <v>200</v>
      </c>
      <c r="J6846" s="32">
        <v>0</v>
      </c>
      <c r="K6846" s="92">
        <f t="shared" si="426"/>
        <v>533</v>
      </c>
      <c r="L6846" s="38">
        <v>533</v>
      </c>
      <c r="M6846" s="10">
        <f t="shared" si="425"/>
        <v>37.523452157598499</v>
      </c>
    </row>
    <row r="6847" spans="1:13" hidden="1" x14ac:dyDescent="0.3">
      <c r="A6847" s="9">
        <v>3648</v>
      </c>
      <c r="B6847" t="s">
        <v>285</v>
      </c>
      <c r="C6847" s="25">
        <v>44669</v>
      </c>
      <c r="D6847" s="26">
        <v>0.510625</v>
      </c>
      <c r="E6847" t="s">
        <v>27</v>
      </c>
      <c r="F6847" t="s">
        <v>171</v>
      </c>
      <c r="G6847" t="s">
        <v>172</v>
      </c>
      <c r="H6847" t="s">
        <v>8</v>
      </c>
      <c r="I6847" s="4">
        <v>277.64</v>
      </c>
      <c r="J6847" s="32">
        <v>0</v>
      </c>
      <c r="K6847" s="89">
        <f t="shared" si="426"/>
        <v>689</v>
      </c>
      <c r="L6847" s="32">
        <v>689</v>
      </c>
      <c r="M6847" s="10">
        <f t="shared" si="425"/>
        <v>40.296081277213354</v>
      </c>
    </row>
    <row r="6848" spans="1:13" hidden="1" x14ac:dyDescent="0.3">
      <c r="A6848" s="9">
        <v>3649</v>
      </c>
      <c r="B6848" t="s">
        <v>285</v>
      </c>
      <c r="C6848" s="25">
        <v>44670</v>
      </c>
      <c r="D6848" s="26">
        <v>0.32652777777777781</v>
      </c>
      <c r="E6848" t="s">
        <v>27</v>
      </c>
      <c r="F6848" t="s">
        <v>166</v>
      </c>
      <c r="G6848" t="s">
        <v>161</v>
      </c>
      <c r="H6848" t="s">
        <v>8</v>
      </c>
      <c r="I6848" s="4">
        <v>233.83</v>
      </c>
      <c r="J6848" s="32">
        <v>0</v>
      </c>
      <c r="K6848" s="89">
        <f t="shared" si="426"/>
        <v>617.54</v>
      </c>
      <c r="L6848" s="32">
        <v>617.54</v>
      </c>
      <c r="M6848" s="10">
        <f t="shared" si="425"/>
        <v>37.864753700165174</v>
      </c>
    </row>
    <row r="6849" spans="1:13" hidden="1" x14ac:dyDescent="0.3">
      <c r="A6849" s="9">
        <v>3650</v>
      </c>
      <c r="B6849" t="s">
        <v>285</v>
      </c>
      <c r="C6849" s="25">
        <v>44671</v>
      </c>
      <c r="D6849" s="26">
        <v>0.68290509259259258</v>
      </c>
      <c r="E6849" t="s">
        <v>27</v>
      </c>
      <c r="F6849" t="s">
        <v>165</v>
      </c>
      <c r="G6849" t="s">
        <v>185</v>
      </c>
      <c r="H6849" t="s">
        <v>8</v>
      </c>
      <c r="I6849" s="4">
        <v>401.89</v>
      </c>
      <c r="J6849" s="32">
        <v>0</v>
      </c>
      <c r="K6849" s="89">
        <f t="shared" si="426"/>
        <v>693</v>
      </c>
      <c r="L6849" s="37">
        <v>693</v>
      </c>
      <c r="M6849" s="10">
        <f t="shared" si="425"/>
        <v>57.992784992784998</v>
      </c>
    </row>
    <row r="6850" spans="1:13" hidden="1" x14ac:dyDescent="0.3">
      <c r="A6850" s="9">
        <v>3651</v>
      </c>
      <c r="B6850" t="s">
        <v>285</v>
      </c>
      <c r="C6850" s="25">
        <v>44673</v>
      </c>
      <c r="D6850" s="26">
        <v>0.67295138888888895</v>
      </c>
      <c r="E6850" t="s">
        <v>27</v>
      </c>
      <c r="F6850" t="s">
        <v>165</v>
      </c>
      <c r="G6850" t="s">
        <v>185</v>
      </c>
      <c r="H6850" t="s">
        <v>8</v>
      </c>
      <c r="I6850" s="4">
        <v>404.16</v>
      </c>
      <c r="J6850" s="32">
        <v>0</v>
      </c>
      <c r="K6850" s="96">
        <f t="shared" si="426"/>
        <v>869.31</v>
      </c>
      <c r="L6850" s="33">
        <v>869.31</v>
      </c>
      <c r="M6850" s="10">
        <f t="shared" si="425"/>
        <v>46.4920454153294</v>
      </c>
    </row>
    <row r="6851" spans="1:13" hidden="1" x14ac:dyDescent="0.3">
      <c r="A6851" s="9">
        <v>3652</v>
      </c>
      <c r="B6851" t="s">
        <v>285</v>
      </c>
      <c r="C6851" s="25">
        <v>44674</v>
      </c>
      <c r="D6851" s="26">
        <v>0.5314699074074074</v>
      </c>
      <c r="E6851" t="s">
        <v>27</v>
      </c>
      <c r="F6851" t="s">
        <v>210</v>
      </c>
      <c r="G6851" t="s">
        <v>211</v>
      </c>
      <c r="H6851" t="s">
        <v>8</v>
      </c>
      <c r="I6851" s="4">
        <v>134.05000000000001</v>
      </c>
      <c r="J6851" s="32">
        <v>0</v>
      </c>
      <c r="K6851" s="90">
        <f t="shared" si="426"/>
        <v>501.97</v>
      </c>
      <c r="L6851" s="32">
        <v>501.97</v>
      </c>
      <c r="M6851" s="10">
        <f t="shared" si="425"/>
        <v>26.704783154371775</v>
      </c>
    </row>
    <row r="6852" spans="1:13" hidden="1" x14ac:dyDescent="0.3">
      <c r="A6852" s="9">
        <v>3653</v>
      </c>
      <c r="B6852" t="s">
        <v>285</v>
      </c>
      <c r="C6852" s="25">
        <v>44676</v>
      </c>
      <c r="D6852" s="26">
        <v>0.76780092592592597</v>
      </c>
      <c r="E6852" t="s">
        <v>27</v>
      </c>
      <c r="F6852" t="s">
        <v>428</v>
      </c>
      <c r="G6852" t="s">
        <v>429</v>
      </c>
      <c r="H6852" t="s">
        <v>8</v>
      </c>
      <c r="I6852">
        <v>152.54</v>
      </c>
      <c r="J6852" s="32">
        <v>0</v>
      </c>
      <c r="K6852" s="92">
        <f t="shared" si="426"/>
        <v>959</v>
      </c>
      <c r="L6852" s="34">
        <v>959</v>
      </c>
      <c r="M6852" s="10">
        <f t="shared" si="425"/>
        <v>15.906152241918663</v>
      </c>
    </row>
    <row r="6853" spans="1:13" hidden="1" x14ac:dyDescent="0.3">
      <c r="A6853" s="9">
        <v>3654</v>
      </c>
      <c r="B6853" t="s">
        <v>285</v>
      </c>
      <c r="C6853" s="25">
        <v>44677</v>
      </c>
      <c r="D6853" s="26">
        <v>0.36659722222222224</v>
      </c>
      <c r="E6853" t="s">
        <v>27</v>
      </c>
      <c r="F6853" t="s">
        <v>428</v>
      </c>
      <c r="G6853" t="s">
        <v>429</v>
      </c>
      <c r="H6853" t="s">
        <v>8</v>
      </c>
      <c r="I6853">
        <v>150.04</v>
      </c>
      <c r="J6853" s="32">
        <v>0</v>
      </c>
      <c r="K6853" s="89">
        <f t="shared" si="426"/>
        <v>132</v>
      </c>
      <c r="L6853" s="7">
        <v>132</v>
      </c>
      <c r="M6853" s="10">
        <f t="shared" si="425"/>
        <v>113.66666666666667</v>
      </c>
    </row>
    <row r="6854" spans="1:13" hidden="1" x14ac:dyDescent="0.3">
      <c r="A6854" s="9">
        <v>3857</v>
      </c>
      <c r="B6854" t="s">
        <v>285</v>
      </c>
      <c r="C6854" s="25">
        <v>44685</v>
      </c>
      <c r="D6854" s="26">
        <v>0.5933680555555555</v>
      </c>
      <c r="E6854" t="s">
        <v>28</v>
      </c>
      <c r="F6854" t="s">
        <v>311</v>
      </c>
      <c r="G6854" t="s">
        <v>303</v>
      </c>
      <c r="H6854" t="s">
        <v>8</v>
      </c>
      <c r="I6854">
        <v>285.13</v>
      </c>
      <c r="J6854" s="32">
        <v>0</v>
      </c>
      <c r="K6854" s="89">
        <f t="shared" si="426"/>
        <v>540</v>
      </c>
      <c r="L6854" s="32">
        <v>540</v>
      </c>
      <c r="M6854" s="10">
        <f t="shared" si="425"/>
        <v>52.801851851851858</v>
      </c>
    </row>
    <row r="6855" spans="1:13" hidden="1" x14ac:dyDescent="0.3">
      <c r="A6855" s="9">
        <v>3858</v>
      </c>
      <c r="B6855" t="s">
        <v>285</v>
      </c>
      <c r="C6855" s="25">
        <v>44685</v>
      </c>
      <c r="D6855" s="26">
        <v>0.91915509259259265</v>
      </c>
      <c r="E6855" t="s">
        <v>28</v>
      </c>
      <c r="F6855" t="s">
        <v>210</v>
      </c>
      <c r="G6855" t="s">
        <v>211</v>
      </c>
      <c r="H6855" t="s">
        <v>8</v>
      </c>
      <c r="I6855">
        <v>176.99</v>
      </c>
      <c r="J6855" s="32">
        <v>0</v>
      </c>
      <c r="K6855" s="89">
        <f t="shared" si="426"/>
        <v>467</v>
      </c>
      <c r="L6855" s="32">
        <v>467</v>
      </c>
      <c r="M6855" s="10">
        <f t="shared" si="425"/>
        <v>37.899357601713064</v>
      </c>
    </row>
    <row r="6856" spans="1:13" hidden="1" x14ac:dyDescent="0.3">
      <c r="A6856" s="9">
        <v>3964</v>
      </c>
      <c r="B6856" t="s">
        <v>285</v>
      </c>
      <c r="C6856" s="25">
        <v>44687</v>
      </c>
      <c r="D6856" s="26">
        <v>3.6319444444444439E-2</v>
      </c>
      <c r="E6856" t="s">
        <v>28</v>
      </c>
      <c r="F6856" t="s">
        <v>165</v>
      </c>
      <c r="G6856" t="s">
        <v>185</v>
      </c>
      <c r="H6856" t="s">
        <v>8</v>
      </c>
      <c r="I6856">
        <v>199.12</v>
      </c>
      <c r="J6856" s="32">
        <v>0</v>
      </c>
      <c r="K6856" s="89">
        <f>+L6856-J6982</f>
        <v>512</v>
      </c>
      <c r="L6856" s="32">
        <v>512</v>
      </c>
      <c r="M6856" s="10">
        <f t="shared" si="425"/>
        <v>38.890625</v>
      </c>
    </row>
    <row r="6857" spans="1:13" hidden="1" x14ac:dyDescent="0.3">
      <c r="A6857" s="9">
        <v>3965</v>
      </c>
      <c r="B6857" t="s">
        <v>285</v>
      </c>
      <c r="C6857" s="25">
        <v>44687</v>
      </c>
      <c r="D6857" s="26">
        <v>0.79613425925925929</v>
      </c>
      <c r="E6857" t="s">
        <v>28</v>
      </c>
      <c r="F6857" t="s">
        <v>210</v>
      </c>
      <c r="G6857" t="s">
        <v>211</v>
      </c>
      <c r="H6857" t="s">
        <v>8</v>
      </c>
      <c r="I6857">
        <v>153.63999999999999</v>
      </c>
      <c r="J6857" s="32">
        <v>0</v>
      </c>
      <c r="K6857" s="89" t="e">
        <f>+L6857-#REF!</f>
        <v>#REF!</v>
      </c>
      <c r="L6857" s="32">
        <v>505</v>
      </c>
      <c r="M6857" s="10" t="e">
        <f t="shared" si="425"/>
        <v>#REF!</v>
      </c>
    </row>
    <row r="6858" spans="1:13" hidden="1" x14ac:dyDescent="0.3">
      <c r="A6858" s="9">
        <v>4011</v>
      </c>
      <c r="B6858" t="s">
        <v>285</v>
      </c>
      <c r="C6858" s="25">
        <v>44688</v>
      </c>
      <c r="D6858" s="26">
        <v>0.51946759259259256</v>
      </c>
      <c r="E6858" t="s">
        <v>28</v>
      </c>
      <c r="F6858" t="s">
        <v>169</v>
      </c>
      <c r="G6858" t="s">
        <v>196</v>
      </c>
      <c r="H6858" t="s">
        <v>8</v>
      </c>
      <c r="I6858">
        <v>50.34</v>
      </c>
      <c r="J6858" s="32">
        <v>0</v>
      </c>
      <c r="K6858" s="94">
        <f>+L6858-J6983</f>
        <v>466</v>
      </c>
      <c r="L6858" s="32">
        <v>466</v>
      </c>
      <c r="M6858" s="10">
        <f t="shared" si="425"/>
        <v>10.802575107296137</v>
      </c>
    </row>
    <row r="6859" spans="1:13" hidden="1" x14ac:dyDescent="0.3">
      <c r="A6859" s="9">
        <v>4061</v>
      </c>
      <c r="B6859" t="s">
        <v>285</v>
      </c>
      <c r="C6859" s="25">
        <v>44689</v>
      </c>
      <c r="D6859" s="26">
        <v>0.56791666666666674</v>
      </c>
      <c r="E6859" t="s">
        <v>28</v>
      </c>
      <c r="F6859" t="s">
        <v>428</v>
      </c>
      <c r="G6859" t="s">
        <v>429</v>
      </c>
      <c r="H6859" t="s">
        <v>8</v>
      </c>
      <c r="I6859">
        <v>256</v>
      </c>
      <c r="J6859" s="32">
        <v>0</v>
      </c>
      <c r="K6859" s="94">
        <f>+L6859-J6984</f>
        <v>469</v>
      </c>
      <c r="L6859" s="32">
        <v>469</v>
      </c>
      <c r="M6859" s="10">
        <f t="shared" si="425"/>
        <v>54.58422174840085</v>
      </c>
    </row>
    <row r="6860" spans="1:13" hidden="1" x14ac:dyDescent="0.3">
      <c r="A6860" s="9">
        <v>4150</v>
      </c>
      <c r="B6860" t="s">
        <v>285</v>
      </c>
      <c r="C6860" s="25">
        <v>44691</v>
      </c>
      <c r="D6860" s="26">
        <v>0.46793981481481484</v>
      </c>
      <c r="E6860" t="s">
        <v>28</v>
      </c>
      <c r="F6860" t="s">
        <v>175</v>
      </c>
      <c r="G6860" t="s">
        <v>172</v>
      </c>
      <c r="H6860" t="s">
        <v>8</v>
      </c>
      <c r="I6860">
        <v>361.84</v>
      </c>
      <c r="J6860" s="32">
        <v>0</v>
      </c>
      <c r="K6860" s="94">
        <f>+L6860-J6987</f>
        <v>661</v>
      </c>
      <c r="L6860" s="32">
        <v>661</v>
      </c>
      <c r="M6860" s="10">
        <f t="shared" si="425"/>
        <v>54.741301059001515</v>
      </c>
    </row>
    <row r="6861" spans="1:13" hidden="1" x14ac:dyDescent="0.3">
      <c r="A6861" s="9">
        <v>4198</v>
      </c>
      <c r="B6861" t="s">
        <v>285</v>
      </c>
      <c r="C6861" s="25">
        <v>44692</v>
      </c>
      <c r="D6861" s="26">
        <v>0.44127314814814816</v>
      </c>
      <c r="E6861" t="s">
        <v>28</v>
      </c>
      <c r="F6861" t="s">
        <v>210</v>
      </c>
      <c r="G6861" t="s">
        <v>211</v>
      </c>
      <c r="H6861" t="s">
        <v>8</v>
      </c>
      <c r="I6861">
        <v>289.62</v>
      </c>
      <c r="J6861" s="32">
        <v>0</v>
      </c>
      <c r="K6861" s="94">
        <f>+L6861-J6988</f>
        <v>665</v>
      </c>
      <c r="L6861" s="32">
        <v>665</v>
      </c>
      <c r="M6861" s="10">
        <f t="shared" si="425"/>
        <v>43.551879699248119</v>
      </c>
    </row>
    <row r="6862" spans="1:13" hidden="1" x14ac:dyDescent="0.3">
      <c r="A6862" s="9">
        <v>4199</v>
      </c>
      <c r="B6862" t="s">
        <v>285</v>
      </c>
      <c r="C6862" s="25">
        <v>44692</v>
      </c>
      <c r="D6862" s="26">
        <v>0.80032407407407413</v>
      </c>
      <c r="E6862" t="s">
        <v>28</v>
      </c>
      <c r="F6862" t="s">
        <v>165</v>
      </c>
      <c r="G6862" t="s">
        <v>185</v>
      </c>
      <c r="H6862" t="s">
        <v>8</v>
      </c>
      <c r="I6862">
        <v>216.54</v>
      </c>
      <c r="J6862" s="32">
        <v>0</v>
      </c>
      <c r="K6862" s="94">
        <f>+L6862-J6989</f>
        <v>-927</v>
      </c>
      <c r="L6862" s="32">
        <v>507</v>
      </c>
      <c r="M6862" s="10">
        <f t="shared" si="425"/>
        <v>-23.359223300970871</v>
      </c>
    </row>
    <row r="6863" spans="1:13" hidden="1" x14ac:dyDescent="0.3">
      <c r="A6863" s="9">
        <v>4245</v>
      </c>
      <c r="B6863" t="s">
        <v>285</v>
      </c>
      <c r="C6863" s="25">
        <v>44693</v>
      </c>
      <c r="D6863" s="26">
        <v>0.99081018518518515</v>
      </c>
      <c r="E6863" t="s">
        <v>28</v>
      </c>
      <c r="F6863" t="s">
        <v>165</v>
      </c>
      <c r="G6863" t="s">
        <v>185</v>
      </c>
      <c r="H6863" t="s">
        <v>8</v>
      </c>
      <c r="I6863">
        <v>222.9</v>
      </c>
      <c r="J6863" s="32">
        <v>0</v>
      </c>
      <c r="K6863" s="88">
        <f>+L6863-J6990</f>
        <v>449</v>
      </c>
      <c r="L6863" s="52">
        <v>449</v>
      </c>
      <c r="M6863" s="10">
        <f t="shared" si="425"/>
        <v>49.643652561247215</v>
      </c>
    </row>
    <row r="6864" spans="1:13" hidden="1" x14ac:dyDescent="0.3">
      <c r="A6864" s="9">
        <v>4363</v>
      </c>
      <c r="B6864" t="s">
        <v>285</v>
      </c>
      <c r="C6864" s="25">
        <v>44695</v>
      </c>
      <c r="D6864" s="26">
        <v>0.77673611111111107</v>
      </c>
      <c r="E6864" t="s">
        <v>28</v>
      </c>
      <c r="F6864" t="s">
        <v>165</v>
      </c>
      <c r="G6864" t="s">
        <v>185</v>
      </c>
      <c r="H6864" t="s">
        <v>8</v>
      </c>
      <c r="I6864">
        <v>389.52</v>
      </c>
      <c r="J6864" s="32">
        <v>0</v>
      </c>
      <c r="K6864" s="88" t="e">
        <f>+L6864-#REF!</f>
        <v>#REF!</v>
      </c>
      <c r="L6864" s="52">
        <v>835</v>
      </c>
      <c r="M6864" s="10" t="e">
        <f t="shared" si="425"/>
        <v>#REF!</v>
      </c>
    </row>
    <row r="6865" spans="1:13" hidden="1" x14ac:dyDescent="0.3">
      <c r="A6865" s="9">
        <v>4435</v>
      </c>
      <c r="B6865" t="s">
        <v>285</v>
      </c>
      <c r="C6865" s="25">
        <v>44696</v>
      </c>
      <c r="D6865" s="26">
        <v>0.64427083333333335</v>
      </c>
      <c r="E6865" t="s">
        <v>28</v>
      </c>
      <c r="F6865" t="s">
        <v>210</v>
      </c>
      <c r="G6865" t="s">
        <v>211</v>
      </c>
      <c r="H6865" t="s">
        <v>8</v>
      </c>
      <c r="I6865">
        <v>155.43</v>
      </c>
      <c r="J6865" s="32">
        <v>0</v>
      </c>
      <c r="K6865" s="88">
        <f>+L6865-J6991</f>
        <v>508</v>
      </c>
      <c r="L6865" s="52">
        <v>508</v>
      </c>
      <c r="M6865" s="10">
        <f t="shared" si="425"/>
        <v>30.596456692913389</v>
      </c>
    </row>
    <row r="6866" spans="1:13" hidden="1" x14ac:dyDescent="0.3">
      <c r="A6866" s="9">
        <v>4488</v>
      </c>
      <c r="B6866" t="s">
        <v>285</v>
      </c>
      <c r="C6866" s="25">
        <v>44697</v>
      </c>
      <c r="D6866" s="26">
        <v>0.3770486111111111</v>
      </c>
      <c r="E6866" t="s">
        <v>28</v>
      </c>
      <c r="F6866" t="s">
        <v>169</v>
      </c>
      <c r="G6866" t="s">
        <v>196</v>
      </c>
      <c r="H6866" t="s">
        <v>8</v>
      </c>
      <c r="I6866">
        <v>148.49</v>
      </c>
      <c r="J6866" s="32">
        <v>0</v>
      </c>
      <c r="K6866" s="88">
        <f>+L6866-J6992</f>
        <v>-537</v>
      </c>
      <c r="L6866" s="52">
        <v>459</v>
      </c>
      <c r="M6866" s="10">
        <f t="shared" si="425"/>
        <v>-27.651769087523281</v>
      </c>
    </row>
    <row r="6867" spans="1:13" hidden="1" x14ac:dyDescent="0.3">
      <c r="A6867" s="9">
        <v>4588</v>
      </c>
      <c r="B6867" t="s">
        <v>285</v>
      </c>
      <c r="C6867" s="25">
        <v>44699</v>
      </c>
      <c r="D6867" s="26">
        <v>0.38567129629629626</v>
      </c>
      <c r="E6867" t="s">
        <v>28</v>
      </c>
      <c r="F6867" t="s">
        <v>197</v>
      </c>
      <c r="G6867" t="s">
        <v>44</v>
      </c>
      <c r="H6867" t="s">
        <v>8</v>
      </c>
      <c r="I6867">
        <v>157.47999999999999</v>
      </c>
      <c r="J6867" s="32">
        <v>0</v>
      </c>
      <c r="K6867" s="88">
        <f>+L6867-J7131</f>
        <v>691</v>
      </c>
      <c r="L6867" s="52">
        <v>691</v>
      </c>
      <c r="M6867" s="10">
        <f t="shared" si="425"/>
        <v>22.790159189580315</v>
      </c>
    </row>
    <row r="6868" spans="1:13" hidden="1" x14ac:dyDescent="0.3">
      <c r="A6868" s="9">
        <v>4589</v>
      </c>
      <c r="B6868" t="s">
        <v>285</v>
      </c>
      <c r="C6868" s="25">
        <v>44699</v>
      </c>
      <c r="D6868" s="26">
        <v>0.73879629629629628</v>
      </c>
      <c r="E6868" t="s">
        <v>28</v>
      </c>
      <c r="F6868" t="s">
        <v>210</v>
      </c>
      <c r="G6868" t="s">
        <v>211</v>
      </c>
      <c r="H6868" t="s">
        <v>8</v>
      </c>
      <c r="I6868">
        <v>374.24</v>
      </c>
      <c r="J6868" s="52">
        <v>0</v>
      </c>
      <c r="K6868" s="88">
        <f>+L6868-J7132</f>
        <v>575</v>
      </c>
      <c r="L6868" s="52">
        <v>575</v>
      </c>
      <c r="M6868" s="10">
        <f t="shared" si="425"/>
        <v>65.085217391304354</v>
      </c>
    </row>
    <row r="6869" spans="1:13" hidden="1" x14ac:dyDescent="0.3">
      <c r="A6869" s="9">
        <v>4640</v>
      </c>
      <c r="B6869" t="s">
        <v>285</v>
      </c>
      <c r="C6869" s="25">
        <v>44700</v>
      </c>
      <c r="D6869" s="26">
        <v>0.8480092592592593</v>
      </c>
      <c r="E6869" t="s">
        <v>28</v>
      </c>
      <c r="F6869" t="s">
        <v>165</v>
      </c>
      <c r="G6869" t="s">
        <v>185</v>
      </c>
      <c r="H6869" t="s">
        <v>8</v>
      </c>
      <c r="I6869">
        <v>245.99</v>
      </c>
      <c r="J6869" s="32">
        <v>0</v>
      </c>
      <c r="K6869" s="89">
        <f>+L6869-J7133</f>
        <v>488</v>
      </c>
      <c r="L6869" s="32">
        <v>488</v>
      </c>
      <c r="M6869" s="10">
        <f t="shared" si="425"/>
        <v>50.407786885245912</v>
      </c>
    </row>
    <row r="6870" spans="1:13" hidden="1" x14ac:dyDescent="0.3">
      <c r="A6870" s="9">
        <v>4692</v>
      </c>
      <c r="B6870" t="s">
        <v>285</v>
      </c>
      <c r="C6870" s="25">
        <v>44701</v>
      </c>
      <c r="D6870" s="26">
        <v>0.61668981481481489</v>
      </c>
      <c r="E6870" t="s">
        <v>28</v>
      </c>
      <c r="F6870" t="s">
        <v>210</v>
      </c>
      <c r="G6870" t="s">
        <v>211</v>
      </c>
      <c r="H6870" t="s">
        <v>8</v>
      </c>
      <c r="I6870">
        <v>147.15</v>
      </c>
      <c r="J6870" s="32">
        <v>0</v>
      </c>
      <c r="K6870" s="96">
        <f>+L6870-J7134</f>
        <v>509</v>
      </c>
      <c r="L6870" s="33">
        <v>509</v>
      </c>
      <c r="M6870" s="10">
        <f t="shared" si="425"/>
        <v>28.909626719056973</v>
      </c>
    </row>
    <row r="6871" spans="1:13" hidden="1" x14ac:dyDescent="0.3">
      <c r="A6871" s="9">
        <v>4693</v>
      </c>
      <c r="B6871" t="s">
        <v>285</v>
      </c>
      <c r="C6871" s="25">
        <v>44701</v>
      </c>
      <c r="D6871" s="26">
        <v>0.89148148148148154</v>
      </c>
      <c r="E6871" t="s">
        <v>28</v>
      </c>
      <c r="F6871" t="s">
        <v>169</v>
      </c>
      <c r="G6871" t="s">
        <v>196</v>
      </c>
      <c r="H6871" t="s">
        <v>8</v>
      </c>
      <c r="I6871">
        <v>125.03</v>
      </c>
      <c r="J6871" s="32">
        <v>0</v>
      </c>
      <c r="K6871" s="90">
        <f>+L6871-J7135</f>
        <v>464</v>
      </c>
      <c r="L6871" s="32">
        <v>464</v>
      </c>
      <c r="M6871" s="10">
        <f t="shared" si="425"/>
        <v>26.946120689655174</v>
      </c>
    </row>
    <row r="6872" spans="1:13" hidden="1" x14ac:dyDescent="0.3">
      <c r="A6872" s="9">
        <v>5232</v>
      </c>
      <c r="B6872" t="s">
        <v>285</v>
      </c>
      <c r="C6872" s="25">
        <v>44712</v>
      </c>
      <c r="D6872" s="26">
        <v>0.59880787037037042</v>
      </c>
      <c r="E6872" t="s">
        <v>28</v>
      </c>
      <c r="F6872" t="s">
        <v>679</v>
      </c>
      <c r="G6872" t="s">
        <v>392</v>
      </c>
      <c r="H6872" t="s">
        <v>313</v>
      </c>
      <c r="I6872">
        <v>180.36</v>
      </c>
      <c r="J6872" s="33">
        <v>0</v>
      </c>
      <c r="K6872" s="99">
        <f>+L6872-J7131</f>
        <v>442</v>
      </c>
      <c r="L6872" s="31">
        <v>442</v>
      </c>
      <c r="M6872" s="131">
        <f t="shared" si="425"/>
        <v>40.805429864253398</v>
      </c>
    </row>
    <row r="6873" spans="1:13" hidden="1" x14ac:dyDescent="0.3">
      <c r="A6873" s="9">
        <v>6751</v>
      </c>
      <c r="B6873" t="s">
        <v>756</v>
      </c>
      <c r="C6873" s="25">
        <v>44758</v>
      </c>
      <c r="D6873" s="26">
        <v>0.97826388888888882</v>
      </c>
      <c r="E6873" t="s">
        <v>30</v>
      </c>
      <c r="F6873" t="s">
        <v>165</v>
      </c>
      <c r="G6873" t="s">
        <v>185</v>
      </c>
      <c r="H6873" t="s">
        <v>313</v>
      </c>
      <c r="I6873" s="173" t="s">
        <v>963</v>
      </c>
      <c r="J6873" s="23"/>
      <c r="K6873" s="90"/>
      <c r="L6873" s="23"/>
      <c r="M6873" s="254"/>
    </row>
    <row r="6874" spans="1:13" hidden="1" x14ac:dyDescent="0.3">
      <c r="B6874" t="s">
        <v>258</v>
      </c>
      <c r="C6874" s="25">
        <v>44567</v>
      </c>
      <c r="D6874" s="26">
        <v>0.70753472222222225</v>
      </c>
      <c r="E6874" t="s">
        <v>24</v>
      </c>
      <c r="F6874" t="s">
        <v>210</v>
      </c>
      <c r="G6874" t="s">
        <v>211</v>
      </c>
      <c r="H6874" t="s">
        <v>259</v>
      </c>
      <c r="I6874">
        <v>368.1</v>
      </c>
      <c r="J6874" s="7">
        <v>394882</v>
      </c>
      <c r="K6874" s="7">
        <f t="shared" ref="K6874:K6905" si="427">+L6874-J6874</f>
        <v>900</v>
      </c>
      <c r="L6874" s="7">
        <v>395782</v>
      </c>
      <c r="M6874" s="10">
        <f t="shared" ref="M6874:M6905" si="428">I6874/K6874*100</f>
        <v>40.900000000000006</v>
      </c>
    </row>
    <row r="6875" spans="1:13" hidden="1" x14ac:dyDescent="0.3">
      <c r="B6875" t="s">
        <v>258</v>
      </c>
      <c r="C6875" s="25">
        <v>44571</v>
      </c>
      <c r="D6875" s="26">
        <v>0.39100694444444445</v>
      </c>
      <c r="E6875" t="s">
        <v>24</v>
      </c>
      <c r="F6875" t="s">
        <v>340</v>
      </c>
      <c r="G6875" t="s">
        <v>337</v>
      </c>
      <c r="H6875" t="s">
        <v>259</v>
      </c>
      <c r="I6875">
        <v>531.04999999999995</v>
      </c>
      <c r="J6875" s="7">
        <v>395782</v>
      </c>
      <c r="K6875" s="30">
        <f t="shared" si="427"/>
        <v>1464</v>
      </c>
      <c r="L6875" s="34">
        <v>397246</v>
      </c>
      <c r="M6875" s="10">
        <f t="shared" si="428"/>
        <v>36.273907103825131</v>
      </c>
    </row>
    <row r="6876" spans="1:13" hidden="1" x14ac:dyDescent="0.3">
      <c r="B6876" t="s">
        <v>258</v>
      </c>
      <c r="C6876" s="25">
        <v>44572</v>
      </c>
      <c r="D6876" s="26">
        <v>0.98313657407407407</v>
      </c>
      <c r="E6876" t="s">
        <v>24</v>
      </c>
      <c r="F6876" t="s">
        <v>210</v>
      </c>
      <c r="G6876" t="s">
        <v>211</v>
      </c>
      <c r="H6876" t="s">
        <v>259</v>
      </c>
      <c r="I6876">
        <v>469.61</v>
      </c>
      <c r="J6876" s="7">
        <v>397246</v>
      </c>
      <c r="K6876" s="7">
        <f t="shared" si="427"/>
        <v>1364</v>
      </c>
      <c r="L6876" s="7">
        <v>398610</v>
      </c>
      <c r="M6876" s="10">
        <f t="shared" si="428"/>
        <v>34.428885630498534</v>
      </c>
    </row>
    <row r="6877" spans="1:13" hidden="1" x14ac:dyDescent="0.3">
      <c r="B6877" t="s">
        <v>258</v>
      </c>
      <c r="C6877" s="25">
        <v>44574</v>
      </c>
      <c r="D6877" s="26">
        <v>0.89035879629629633</v>
      </c>
      <c r="E6877" t="s">
        <v>24</v>
      </c>
      <c r="F6877" t="s">
        <v>171</v>
      </c>
      <c r="G6877" t="s">
        <v>172</v>
      </c>
      <c r="H6877" t="s">
        <v>259</v>
      </c>
      <c r="I6877">
        <v>385.29</v>
      </c>
      <c r="J6877" s="7">
        <v>0</v>
      </c>
      <c r="K6877" s="7">
        <f t="shared" si="427"/>
        <v>1056.76</v>
      </c>
      <c r="L6877" s="7">
        <v>1056.76</v>
      </c>
      <c r="M6877" s="10">
        <f t="shared" si="428"/>
        <v>36.459555622847198</v>
      </c>
    </row>
    <row r="6878" spans="1:13" hidden="1" x14ac:dyDescent="0.3">
      <c r="B6878" t="s">
        <v>258</v>
      </c>
      <c r="C6878" s="25">
        <v>44575</v>
      </c>
      <c r="D6878" s="26">
        <v>0.64687499999999998</v>
      </c>
      <c r="E6878" t="s">
        <v>24</v>
      </c>
      <c r="F6878" t="s">
        <v>210</v>
      </c>
      <c r="G6878" t="s">
        <v>211</v>
      </c>
      <c r="H6878" t="s">
        <v>259</v>
      </c>
      <c r="I6878">
        <v>284.85000000000002</v>
      </c>
      <c r="J6878" s="7">
        <v>0</v>
      </c>
      <c r="K6878" s="7">
        <f t="shared" si="427"/>
        <v>685.78</v>
      </c>
      <c r="L6878" s="7">
        <v>685.78</v>
      </c>
      <c r="M6878" s="36">
        <f t="shared" si="428"/>
        <v>41.5366444049112</v>
      </c>
    </row>
    <row r="6879" spans="1:13" hidden="1" x14ac:dyDescent="0.3">
      <c r="B6879" t="s">
        <v>258</v>
      </c>
      <c r="C6879" s="25">
        <v>44577</v>
      </c>
      <c r="D6879" s="26">
        <v>0.48631944444444447</v>
      </c>
      <c r="E6879" t="s">
        <v>24</v>
      </c>
      <c r="F6879" t="s">
        <v>210</v>
      </c>
      <c r="G6879" t="s">
        <v>211</v>
      </c>
      <c r="H6879" t="s">
        <v>259</v>
      </c>
      <c r="I6879">
        <v>394.73</v>
      </c>
      <c r="J6879" s="35">
        <v>0</v>
      </c>
      <c r="K6879" s="29">
        <f t="shared" si="427"/>
        <v>1058.8599999999999</v>
      </c>
      <c r="L6879" s="35">
        <v>1058.8599999999999</v>
      </c>
      <c r="M6879" s="10">
        <f t="shared" si="428"/>
        <v>37.278771508981364</v>
      </c>
    </row>
    <row r="6880" spans="1:13" hidden="1" x14ac:dyDescent="0.3">
      <c r="B6880" t="s">
        <v>258</v>
      </c>
      <c r="C6880" s="25">
        <v>44579</v>
      </c>
      <c r="D6880" s="26">
        <v>0.51952546296296298</v>
      </c>
      <c r="E6880" t="s">
        <v>24</v>
      </c>
      <c r="F6880" t="s">
        <v>171</v>
      </c>
      <c r="G6880" t="s">
        <v>172</v>
      </c>
      <c r="H6880" t="s">
        <v>259</v>
      </c>
      <c r="I6880">
        <v>451.03</v>
      </c>
      <c r="J6880" s="31">
        <v>0</v>
      </c>
      <c r="K6880" s="31">
        <f t="shared" si="427"/>
        <v>1176.97</v>
      </c>
      <c r="L6880" s="31">
        <v>1176.97</v>
      </c>
      <c r="M6880" s="10">
        <f t="shared" si="428"/>
        <v>38.321282615529704</v>
      </c>
    </row>
    <row r="6881" spans="1:13" hidden="1" x14ac:dyDescent="0.3">
      <c r="B6881" t="s">
        <v>258</v>
      </c>
      <c r="C6881" s="25">
        <v>44580</v>
      </c>
      <c r="D6881" s="26">
        <v>0.5050810185185185</v>
      </c>
      <c r="E6881" t="s">
        <v>24</v>
      </c>
      <c r="F6881" t="s">
        <v>210</v>
      </c>
      <c r="G6881" t="s">
        <v>211</v>
      </c>
      <c r="H6881" t="s">
        <v>259</v>
      </c>
      <c r="I6881">
        <v>296.32</v>
      </c>
      <c r="J6881" s="7">
        <v>0</v>
      </c>
      <c r="K6881" s="7">
        <f t="shared" si="427"/>
        <v>688.25</v>
      </c>
      <c r="L6881" s="7">
        <v>688.25</v>
      </c>
      <c r="M6881" s="10">
        <f t="shared" si="428"/>
        <v>43.054122775154376</v>
      </c>
    </row>
    <row r="6882" spans="1:13" hidden="1" x14ac:dyDescent="0.3">
      <c r="B6882" t="s">
        <v>258</v>
      </c>
      <c r="C6882" s="25">
        <v>44581</v>
      </c>
      <c r="D6882" s="26">
        <v>0.63142361111111112</v>
      </c>
      <c r="E6882" t="s">
        <v>24</v>
      </c>
      <c r="F6882" t="s">
        <v>210</v>
      </c>
      <c r="G6882" t="s">
        <v>211</v>
      </c>
      <c r="H6882" t="s">
        <v>259</v>
      </c>
      <c r="I6882">
        <v>401.68</v>
      </c>
      <c r="J6882" s="7">
        <v>0</v>
      </c>
      <c r="K6882" s="7">
        <f t="shared" si="427"/>
        <v>1057.33</v>
      </c>
      <c r="L6882" s="7">
        <v>1057.33</v>
      </c>
      <c r="M6882" s="10">
        <f t="shared" si="428"/>
        <v>37.990031494424635</v>
      </c>
    </row>
    <row r="6883" spans="1:13" hidden="1" x14ac:dyDescent="0.3">
      <c r="B6883" t="s">
        <v>258</v>
      </c>
      <c r="C6883" s="25">
        <v>44583</v>
      </c>
      <c r="D6883" s="26">
        <v>0.93482638888888892</v>
      </c>
      <c r="E6883" t="s">
        <v>24</v>
      </c>
      <c r="F6883" t="s">
        <v>171</v>
      </c>
      <c r="G6883" t="s">
        <v>172</v>
      </c>
      <c r="H6883" t="s">
        <v>259</v>
      </c>
      <c r="I6883">
        <v>455.16</v>
      </c>
      <c r="J6883" s="7">
        <v>404630</v>
      </c>
      <c r="K6883" s="35">
        <f t="shared" si="427"/>
        <v>1247</v>
      </c>
      <c r="L6883" s="31">
        <v>405877</v>
      </c>
      <c r="M6883" s="10">
        <f t="shared" si="428"/>
        <v>36.500400962309541</v>
      </c>
    </row>
    <row r="6884" spans="1:13" hidden="1" x14ac:dyDescent="0.3">
      <c r="B6884" t="s">
        <v>258</v>
      </c>
      <c r="C6884" s="25">
        <v>44584</v>
      </c>
      <c r="D6884" s="26">
        <v>0.73875000000000002</v>
      </c>
      <c r="E6884" t="s">
        <v>24</v>
      </c>
      <c r="F6884" t="s">
        <v>210</v>
      </c>
      <c r="G6884" t="s">
        <v>211</v>
      </c>
      <c r="H6884" t="s">
        <v>259</v>
      </c>
      <c r="I6884">
        <v>290.18</v>
      </c>
      <c r="J6884" s="7">
        <v>405877</v>
      </c>
      <c r="K6884" s="31">
        <f t="shared" si="427"/>
        <v>1080</v>
      </c>
      <c r="L6884" s="31">
        <v>406957</v>
      </c>
      <c r="M6884" s="10">
        <f t="shared" si="428"/>
        <v>26.86851851851852</v>
      </c>
    </row>
    <row r="6885" spans="1:13" hidden="1" x14ac:dyDescent="0.3">
      <c r="B6885" t="s">
        <v>258</v>
      </c>
      <c r="C6885" s="25">
        <v>44587</v>
      </c>
      <c r="D6885" s="26">
        <v>0.37876157407407413</v>
      </c>
      <c r="E6885" t="s">
        <v>24</v>
      </c>
      <c r="F6885" t="s">
        <v>210</v>
      </c>
      <c r="G6885" t="s">
        <v>211</v>
      </c>
      <c r="H6885" t="s">
        <v>259</v>
      </c>
      <c r="I6885">
        <v>473.89</v>
      </c>
      <c r="J6885" s="7">
        <v>406957</v>
      </c>
      <c r="K6885" s="7">
        <f t="shared" si="427"/>
        <v>804</v>
      </c>
      <c r="L6885" s="32">
        <v>407761</v>
      </c>
      <c r="M6885" s="10">
        <f t="shared" si="428"/>
        <v>58.941542288557216</v>
      </c>
    </row>
    <row r="6886" spans="1:13" hidden="1" x14ac:dyDescent="0.3">
      <c r="B6886" t="s">
        <v>258</v>
      </c>
      <c r="C6886" s="25">
        <v>44588</v>
      </c>
      <c r="D6886" s="26">
        <v>0.95689814814814811</v>
      </c>
      <c r="E6886" t="s">
        <v>24</v>
      </c>
      <c r="F6886" t="s">
        <v>171</v>
      </c>
      <c r="G6886" t="s">
        <v>172</v>
      </c>
      <c r="H6886" t="s">
        <v>259</v>
      </c>
      <c r="I6886">
        <v>478.62</v>
      </c>
      <c r="J6886" s="7">
        <v>407761</v>
      </c>
      <c r="K6886" s="7">
        <f t="shared" si="427"/>
        <v>1216</v>
      </c>
      <c r="L6886" s="7">
        <v>408977</v>
      </c>
      <c r="M6886" s="10">
        <f t="shared" si="428"/>
        <v>39.360197368421055</v>
      </c>
    </row>
    <row r="6887" spans="1:13" hidden="1" x14ac:dyDescent="0.3">
      <c r="B6887" t="s">
        <v>258</v>
      </c>
      <c r="C6887" s="25">
        <v>44589</v>
      </c>
      <c r="D6887" s="26">
        <v>0.77653935185185186</v>
      </c>
      <c r="E6887" t="s">
        <v>24</v>
      </c>
      <c r="F6887" t="s">
        <v>210</v>
      </c>
      <c r="G6887" t="s">
        <v>211</v>
      </c>
      <c r="H6887" t="s">
        <v>259</v>
      </c>
      <c r="I6887">
        <v>281.52</v>
      </c>
      <c r="J6887" s="7">
        <v>408977</v>
      </c>
      <c r="K6887" s="11">
        <f t="shared" si="427"/>
        <v>720</v>
      </c>
      <c r="L6887" s="7">
        <v>409697</v>
      </c>
      <c r="M6887" s="10">
        <f t="shared" si="428"/>
        <v>39.099999999999994</v>
      </c>
    </row>
    <row r="6888" spans="1:13" hidden="1" x14ac:dyDescent="0.3">
      <c r="B6888" t="s">
        <v>258</v>
      </c>
      <c r="C6888" s="25">
        <v>44592</v>
      </c>
      <c r="D6888" s="26">
        <v>0.50574074074074071</v>
      </c>
      <c r="E6888" t="s">
        <v>24</v>
      </c>
      <c r="F6888" t="s">
        <v>340</v>
      </c>
      <c r="G6888" t="s">
        <v>337</v>
      </c>
      <c r="H6888" t="s">
        <v>259</v>
      </c>
      <c r="I6888">
        <v>499.45</v>
      </c>
      <c r="J6888" s="7">
        <v>409697</v>
      </c>
      <c r="K6888" s="7">
        <f t="shared" si="427"/>
        <v>1428</v>
      </c>
      <c r="L6888" s="7">
        <v>411125</v>
      </c>
      <c r="M6888" s="10">
        <f t="shared" si="428"/>
        <v>34.975490196078432</v>
      </c>
    </row>
    <row r="6889" spans="1:13" hidden="1" x14ac:dyDescent="0.3">
      <c r="A6889" s="9">
        <v>849</v>
      </c>
      <c r="B6889" t="s">
        <v>258</v>
      </c>
      <c r="C6889" s="25">
        <v>44594</v>
      </c>
      <c r="D6889" s="26">
        <v>0.15489583333333332</v>
      </c>
      <c r="E6889" t="s">
        <v>25</v>
      </c>
      <c r="F6889" t="s">
        <v>210</v>
      </c>
      <c r="G6889" t="s">
        <v>211</v>
      </c>
      <c r="H6889" t="s">
        <v>259</v>
      </c>
      <c r="I6889">
        <v>485.08</v>
      </c>
      <c r="J6889" s="32">
        <v>411125</v>
      </c>
      <c r="K6889" s="32">
        <f t="shared" si="427"/>
        <v>1305</v>
      </c>
      <c r="L6889" s="7">
        <v>412430</v>
      </c>
      <c r="M6889" s="10">
        <f t="shared" si="428"/>
        <v>37.170881226053638</v>
      </c>
    </row>
    <row r="6890" spans="1:13" hidden="1" x14ac:dyDescent="0.3">
      <c r="A6890" s="9">
        <v>850</v>
      </c>
      <c r="B6890" t="s">
        <v>258</v>
      </c>
      <c r="C6890" s="25">
        <v>44595</v>
      </c>
      <c r="D6890" s="26">
        <v>0.86375000000000002</v>
      </c>
      <c r="E6890" t="s">
        <v>25</v>
      </c>
      <c r="F6890" t="s">
        <v>175</v>
      </c>
      <c r="G6890" t="s">
        <v>172</v>
      </c>
      <c r="H6890" t="s">
        <v>259</v>
      </c>
      <c r="I6890">
        <v>357.07</v>
      </c>
      <c r="J6890" s="7">
        <v>412430</v>
      </c>
      <c r="K6890" s="40">
        <f t="shared" si="427"/>
        <v>1117</v>
      </c>
      <c r="L6890" s="34">
        <v>413547</v>
      </c>
      <c r="M6890" s="10">
        <f t="shared" si="428"/>
        <v>31.966875559534468</v>
      </c>
    </row>
    <row r="6891" spans="1:13" hidden="1" x14ac:dyDescent="0.3">
      <c r="A6891" s="9">
        <v>854</v>
      </c>
      <c r="B6891" t="s">
        <v>258</v>
      </c>
      <c r="C6891" s="25">
        <v>44611</v>
      </c>
      <c r="D6891" s="26">
        <v>0.78248842592592593</v>
      </c>
      <c r="E6891" t="s">
        <v>25</v>
      </c>
      <c r="F6891" t="s">
        <v>171</v>
      </c>
      <c r="G6891" t="s">
        <v>172</v>
      </c>
      <c r="H6891" t="s">
        <v>259</v>
      </c>
      <c r="I6891">
        <v>248.02</v>
      </c>
      <c r="J6891" s="32">
        <v>0</v>
      </c>
      <c r="K6891" s="41">
        <f t="shared" si="427"/>
        <v>545.51</v>
      </c>
      <c r="L6891" s="32">
        <v>545.51</v>
      </c>
      <c r="M6891" s="10">
        <f t="shared" si="428"/>
        <v>45.465710986049757</v>
      </c>
    </row>
    <row r="6892" spans="1:13" hidden="1" x14ac:dyDescent="0.3">
      <c r="A6892" s="9">
        <v>855</v>
      </c>
      <c r="B6892" t="s">
        <v>258</v>
      </c>
      <c r="C6892" s="25">
        <v>44612</v>
      </c>
      <c r="D6892" s="26">
        <v>0.6841666666666667</v>
      </c>
      <c r="E6892" t="s">
        <v>25</v>
      </c>
      <c r="F6892" t="s">
        <v>210</v>
      </c>
      <c r="G6892" t="s">
        <v>211</v>
      </c>
      <c r="H6892" t="s">
        <v>259</v>
      </c>
      <c r="I6892">
        <v>335.47</v>
      </c>
      <c r="J6892" s="32">
        <v>0</v>
      </c>
      <c r="K6892" s="41">
        <f t="shared" si="427"/>
        <v>747.84</v>
      </c>
      <c r="L6892" s="7">
        <v>747.84</v>
      </c>
      <c r="M6892" s="10">
        <f t="shared" si="428"/>
        <v>44.858525887890458</v>
      </c>
    </row>
    <row r="6893" spans="1:13" hidden="1" x14ac:dyDescent="0.3">
      <c r="A6893" s="9">
        <v>856</v>
      </c>
      <c r="B6893" t="s">
        <v>258</v>
      </c>
      <c r="C6893" s="25">
        <v>44613</v>
      </c>
      <c r="D6893" s="26">
        <v>0.97174768518518517</v>
      </c>
      <c r="E6893" t="s">
        <v>25</v>
      </c>
      <c r="F6893" t="s">
        <v>210</v>
      </c>
      <c r="G6893" t="s">
        <v>211</v>
      </c>
      <c r="H6893" t="s">
        <v>259</v>
      </c>
      <c r="I6893">
        <v>447.28</v>
      </c>
      <c r="J6893" s="32">
        <v>0</v>
      </c>
      <c r="K6893" s="32">
        <f t="shared" si="427"/>
        <v>1056.8399999999999</v>
      </c>
      <c r="L6893" s="7">
        <v>1056.8399999999999</v>
      </c>
      <c r="M6893" s="10">
        <f t="shared" si="428"/>
        <v>42.322395064532003</v>
      </c>
    </row>
    <row r="6894" spans="1:13" hidden="1" x14ac:dyDescent="0.3">
      <c r="A6894" s="9">
        <v>857</v>
      </c>
      <c r="B6894" t="s">
        <v>258</v>
      </c>
      <c r="C6894" s="25">
        <v>44615</v>
      </c>
      <c r="D6894" s="26">
        <v>0.79538194444444443</v>
      </c>
      <c r="E6894" t="s">
        <v>25</v>
      </c>
      <c r="F6894" t="s">
        <v>459</v>
      </c>
      <c r="G6894" t="s">
        <v>303</v>
      </c>
      <c r="H6894" t="s">
        <v>259</v>
      </c>
      <c r="I6894">
        <v>500.66</v>
      </c>
      <c r="J6894" s="32">
        <v>0</v>
      </c>
      <c r="K6894" s="32">
        <f t="shared" si="427"/>
        <v>1277.8599999999999</v>
      </c>
      <c r="L6894" s="7">
        <v>1277.8599999999999</v>
      </c>
      <c r="M6894" s="10">
        <f t="shared" si="428"/>
        <v>39.179565836633124</v>
      </c>
    </row>
    <row r="6895" spans="1:13" hidden="1" x14ac:dyDescent="0.3">
      <c r="A6895" s="9">
        <v>858</v>
      </c>
      <c r="B6895" t="s">
        <v>258</v>
      </c>
      <c r="C6895" s="25">
        <v>44616</v>
      </c>
      <c r="D6895" s="26">
        <v>0.49957175925925923</v>
      </c>
      <c r="E6895" t="s">
        <v>25</v>
      </c>
      <c r="F6895" t="s">
        <v>210</v>
      </c>
      <c r="G6895" t="s">
        <v>211</v>
      </c>
      <c r="H6895" t="s">
        <v>259</v>
      </c>
      <c r="I6895">
        <v>188.97</v>
      </c>
      <c r="J6895" s="37">
        <v>0</v>
      </c>
      <c r="K6895" s="67">
        <f t="shared" si="427"/>
        <v>429.7</v>
      </c>
      <c r="L6895" s="34">
        <v>429.7</v>
      </c>
      <c r="M6895" s="10">
        <f t="shared" si="428"/>
        <v>43.977193390737725</v>
      </c>
    </row>
    <row r="6896" spans="1:13" hidden="1" x14ac:dyDescent="0.3">
      <c r="A6896" s="9">
        <v>859</v>
      </c>
      <c r="B6896" t="s">
        <v>258</v>
      </c>
      <c r="C6896" s="25">
        <v>44617</v>
      </c>
      <c r="D6896" s="26">
        <v>0.8302314814814814</v>
      </c>
      <c r="E6896" t="s">
        <v>25</v>
      </c>
      <c r="F6896" t="s">
        <v>210</v>
      </c>
      <c r="G6896" t="s">
        <v>211</v>
      </c>
      <c r="H6896" t="s">
        <v>259</v>
      </c>
      <c r="I6896">
        <v>446.27</v>
      </c>
      <c r="J6896" s="37">
        <v>0</v>
      </c>
      <c r="K6896" s="68">
        <f t="shared" si="427"/>
        <v>1059.56</v>
      </c>
      <c r="L6896" s="31">
        <v>1059.56</v>
      </c>
      <c r="M6896" s="10">
        <f t="shared" si="428"/>
        <v>42.118426516667299</v>
      </c>
    </row>
    <row r="6897" spans="1:13" hidden="1" x14ac:dyDescent="0.3">
      <c r="A6897" s="9">
        <v>860</v>
      </c>
      <c r="B6897" t="s">
        <v>258</v>
      </c>
      <c r="C6897" s="25">
        <v>44620</v>
      </c>
      <c r="D6897" s="26">
        <v>0.60960648148148155</v>
      </c>
      <c r="E6897" t="s">
        <v>25</v>
      </c>
      <c r="F6897" t="s">
        <v>171</v>
      </c>
      <c r="G6897" t="s">
        <v>172</v>
      </c>
      <c r="H6897" t="s">
        <v>259</v>
      </c>
      <c r="I6897">
        <v>411.59</v>
      </c>
      <c r="J6897" s="37">
        <v>0</v>
      </c>
      <c r="K6897" s="32">
        <f t="shared" si="427"/>
        <v>1028.92</v>
      </c>
      <c r="L6897" s="7">
        <v>1028.92</v>
      </c>
      <c r="M6897" s="10">
        <f t="shared" si="428"/>
        <v>40.002138164288766</v>
      </c>
    </row>
    <row r="6898" spans="1:13" hidden="1" x14ac:dyDescent="0.3">
      <c r="A6898" s="9">
        <v>1988</v>
      </c>
      <c r="B6898" t="s">
        <v>258</v>
      </c>
      <c r="C6898" s="25">
        <v>44621</v>
      </c>
      <c r="D6898" s="26">
        <v>0.40873842592592591</v>
      </c>
      <c r="E6898" t="s">
        <v>26</v>
      </c>
      <c r="F6898" t="s">
        <v>210</v>
      </c>
      <c r="G6898" t="s">
        <v>211</v>
      </c>
      <c r="H6898" t="s">
        <v>259</v>
      </c>
      <c r="I6898">
        <v>294.41000000000003</v>
      </c>
      <c r="J6898" s="34">
        <v>0</v>
      </c>
      <c r="K6898" s="97">
        <f t="shared" si="427"/>
        <v>687.78</v>
      </c>
      <c r="L6898" s="34">
        <v>687.78</v>
      </c>
      <c r="M6898" s="10">
        <f t="shared" si="428"/>
        <v>42.805839076448869</v>
      </c>
    </row>
    <row r="6899" spans="1:13" hidden="1" x14ac:dyDescent="0.3">
      <c r="A6899" s="9">
        <v>1989</v>
      </c>
      <c r="B6899" t="s">
        <v>258</v>
      </c>
      <c r="C6899" s="25">
        <v>44622</v>
      </c>
      <c r="D6899" s="26">
        <v>0.91969907407407403</v>
      </c>
      <c r="E6899" t="s">
        <v>26</v>
      </c>
      <c r="F6899" t="s">
        <v>210</v>
      </c>
      <c r="G6899" t="s">
        <v>211</v>
      </c>
      <c r="H6899" t="s">
        <v>259</v>
      </c>
      <c r="I6899">
        <v>490</v>
      </c>
      <c r="J6899" s="34">
        <v>0</v>
      </c>
      <c r="K6899" s="97">
        <f t="shared" si="427"/>
        <v>1100.71</v>
      </c>
      <c r="L6899" s="31">
        <v>1100.71</v>
      </c>
      <c r="M6899" s="10">
        <f t="shared" si="428"/>
        <v>44.516721025519892</v>
      </c>
    </row>
    <row r="6900" spans="1:13" hidden="1" x14ac:dyDescent="0.3">
      <c r="A6900" s="9">
        <v>1990</v>
      </c>
      <c r="B6900" t="s">
        <v>258</v>
      </c>
      <c r="C6900" s="25">
        <v>44624</v>
      </c>
      <c r="D6900" s="26">
        <v>0.59815972222222225</v>
      </c>
      <c r="E6900" t="s">
        <v>26</v>
      </c>
      <c r="F6900" t="s">
        <v>175</v>
      </c>
      <c r="G6900" t="s">
        <v>172</v>
      </c>
      <c r="H6900" t="s">
        <v>259</v>
      </c>
      <c r="I6900">
        <v>403.6</v>
      </c>
      <c r="J6900" s="37">
        <v>0</v>
      </c>
      <c r="K6900" s="97">
        <f t="shared" si="427"/>
        <v>1051.8399999999999</v>
      </c>
      <c r="L6900" s="7">
        <v>1051.8399999999999</v>
      </c>
      <c r="M6900" s="10">
        <f t="shared" si="428"/>
        <v>38.370854882871924</v>
      </c>
    </row>
    <row r="6901" spans="1:13" hidden="1" x14ac:dyDescent="0.3">
      <c r="A6901" s="9">
        <v>1991</v>
      </c>
      <c r="B6901" t="s">
        <v>258</v>
      </c>
      <c r="C6901" s="25">
        <v>44625</v>
      </c>
      <c r="D6901" s="26">
        <v>0.6661111111111111</v>
      </c>
      <c r="E6901" t="s">
        <v>26</v>
      </c>
      <c r="F6901" t="s">
        <v>210</v>
      </c>
      <c r="G6901" t="s">
        <v>211</v>
      </c>
      <c r="H6901" t="s">
        <v>259</v>
      </c>
      <c r="I6901">
        <v>341.72</v>
      </c>
      <c r="J6901" s="32">
        <v>0</v>
      </c>
      <c r="K6901" s="90">
        <f t="shared" si="427"/>
        <v>817.5</v>
      </c>
      <c r="L6901" s="7">
        <v>817.5</v>
      </c>
      <c r="M6901" s="10">
        <f t="shared" si="428"/>
        <v>41.80061162079511</v>
      </c>
    </row>
    <row r="6902" spans="1:13" hidden="1" x14ac:dyDescent="0.3">
      <c r="A6902" s="9">
        <v>1992</v>
      </c>
      <c r="B6902" t="s">
        <v>258</v>
      </c>
      <c r="C6902" s="25">
        <v>44627</v>
      </c>
      <c r="D6902" s="26">
        <v>0.81439814814814815</v>
      </c>
      <c r="E6902" t="s">
        <v>26</v>
      </c>
      <c r="F6902" t="s">
        <v>202</v>
      </c>
      <c r="G6902" t="s">
        <v>203</v>
      </c>
      <c r="H6902" t="s">
        <v>259</v>
      </c>
      <c r="I6902">
        <v>607.41</v>
      </c>
      <c r="J6902" s="32">
        <v>0</v>
      </c>
      <c r="K6902" s="90">
        <f t="shared" si="427"/>
        <v>1583.17</v>
      </c>
      <c r="L6902" s="32">
        <v>1583.17</v>
      </c>
      <c r="M6902" s="10">
        <f t="shared" si="428"/>
        <v>38.366694669555386</v>
      </c>
    </row>
    <row r="6903" spans="1:13" hidden="1" x14ac:dyDescent="0.3">
      <c r="A6903" s="9">
        <v>1993</v>
      </c>
      <c r="B6903" t="s">
        <v>258</v>
      </c>
      <c r="C6903" s="25">
        <v>44629</v>
      </c>
      <c r="D6903" s="26">
        <v>0.35797453703703702</v>
      </c>
      <c r="E6903" t="s">
        <v>26</v>
      </c>
      <c r="F6903" t="s">
        <v>210</v>
      </c>
      <c r="G6903" t="s">
        <v>211</v>
      </c>
      <c r="H6903" t="s">
        <v>259</v>
      </c>
      <c r="I6903">
        <v>406.04</v>
      </c>
      <c r="J6903" s="32">
        <v>0</v>
      </c>
      <c r="K6903" s="101">
        <f t="shared" si="427"/>
        <v>1085.52</v>
      </c>
      <c r="L6903" s="34">
        <v>1085.52</v>
      </c>
      <c r="M6903" s="10">
        <f t="shared" si="428"/>
        <v>37.405114599454642</v>
      </c>
    </row>
    <row r="6904" spans="1:13" hidden="1" x14ac:dyDescent="0.3">
      <c r="A6904" s="9">
        <v>1994</v>
      </c>
      <c r="B6904" t="s">
        <v>258</v>
      </c>
      <c r="C6904" s="25">
        <v>44631</v>
      </c>
      <c r="D6904" s="26">
        <v>0.55326388888888889</v>
      </c>
      <c r="E6904" t="s">
        <v>26</v>
      </c>
      <c r="F6904" t="s">
        <v>175</v>
      </c>
      <c r="G6904" t="s">
        <v>172</v>
      </c>
      <c r="H6904" t="s">
        <v>259</v>
      </c>
      <c r="I6904">
        <v>362.24</v>
      </c>
      <c r="J6904" s="32">
        <v>0</v>
      </c>
      <c r="K6904" s="94">
        <f t="shared" si="427"/>
        <v>949.13</v>
      </c>
      <c r="L6904" s="7">
        <v>949.13</v>
      </c>
      <c r="M6904" s="10">
        <f t="shared" si="428"/>
        <v>38.16547785867057</v>
      </c>
    </row>
    <row r="6905" spans="1:13" hidden="1" x14ac:dyDescent="0.3">
      <c r="A6905" s="9">
        <v>1995</v>
      </c>
      <c r="B6905" t="s">
        <v>258</v>
      </c>
      <c r="C6905" s="25">
        <v>44632</v>
      </c>
      <c r="D6905" s="26">
        <v>0.73364583333333344</v>
      </c>
      <c r="E6905" t="s">
        <v>26</v>
      </c>
      <c r="F6905" t="s">
        <v>210</v>
      </c>
      <c r="G6905" t="s">
        <v>211</v>
      </c>
      <c r="H6905" t="s">
        <v>259</v>
      </c>
      <c r="I6905">
        <v>368.02</v>
      </c>
      <c r="J6905" s="32">
        <v>0</v>
      </c>
      <c r="K6905" s="89">
        <f t="shared" si="427"/>
        <v>886.62</v>
      </c>
      <c r="L6905" s="34">
        <v>886.62</v>
      </c>
      <c r="M6905" s="10">
        <f t="shared" si="428"/>
        <v>41.508199679682392</v>
      </c>
    </row>
    <row r="6906" spans="1:13" hidden="1" x14ac:dyDescent="0.3">
      <c r="A6906" s="9">
        <v>1996</v>
      </c>
      <c r="B6906" t="s">
        <v>258</v>
      </c>
      <c r="C6906" s="25">
        <v>44633</v>
      </c>
      <c r="D6906" s="26">
        <v>0.70006944444444441</v>
      </c>
      <c r="E6906" t="s">
        <v>26</v>
      </c>
      <c r="F6906" t="s">
        <v>210</v>
      </c>
      <c r="G6906" t="s">
        <v>211</v>
      </c>
      <c r="H6906" t="s">
        <v>259</v>
      </c>
      <c r="I6906">
        <v>328</v>
      </c>
      <c r="J6906" s="32">
        <v>0</v>
      </c>
      <c r="K6906" s="89">
        <f t="shared" ref="K6906:K6927" si="429">+L6906-J6906</f>
        <v>902.21</v>
      </c>
      <c r="L6906" s="7">
        <v>902.21</v>
      </c>
      <c r="M6906" s="10">
        <f t="shared" ref="M6906:M6937" si="430">I6906/K6906*100</f>
        <v>36.355172299132128</v>
      </c>
    </row>
    <row r="6907" spans="1:13" hidden="1" x14ac:dyDescent="0.3">
      <c r="A6907" s="9">
        <v>1997</v>
      </c>
      <c r="B6907" t="s">
        <v>258</v>
      </c>
      <c r="C6907" s="25">
        <v>44634</v>
      </c>
      <c r="D6907" s="26">
        <v>0.87835648148148149</v>
      </c>
      <c r="E6907" t="s">
        <v>26</v>
      </c>
      <c r="F6907" t="s">
        <v>175</v>
      </c>
      <c r="G6907" t="s">
        <v>172</v>
      </c>
      <c r="H6907" t="s">
        <v>259</v>
      </c>
      <c r="I6907">
        <v>353.49</v>
      </c>
      <c r="J6907" s="32">
        <v>0</v>
      </c>
      <c r="K6907" s="89">
        <f t="shared" si="429"/>
        <v>1002.74</v>
      </c>
      <c r="L6907" s="32">
        <v>1002.74</v>
      </c>
      <c r="M6907" s="10">
        <f t="shared" si="430"/>
        <v>35.252408400981309</v>
      </c>
    </row>
    <row r="6908" spans="1:13" hidden="1" x14ac:dyDescent="0.3">
      <c r="A6908" s="9">
        <v>1998</v>
      </c>
      <c r="B6908" t="s">
        <v>258</v>
      </c>
      <c r="C6908" s="25">
        <v>44636</v>
      </c>
      <c r="D6908" s="26">
        <v>0.5920023148148148</v>
      </c>
      <c r="E6908" t="s">
        <v>26</v>
      </c>
      <c r="F6908" t="s">
        <v>210</v>
      </c>
      <c r="G6908" t="s">
        <v>211</v>
      </c>
      <c r="H6908" t="s">
        <v>259</v>
      </c>
      <c r="I6908">
        <v>346.55</v>
      </c>
      <c r="J6908" s="52">
        <v>0</v>
      </c>
      <c r="K6908" s="88">
        <f t="shared" si="429"/>
        <v>811.12</v>
      </c>
      <c r="L6908" s="52">
        <v>811.12</v>
      </c>
      <c r="M6908" s="10">
        <f t="shared" si="430"/>
        <v>42.724874247953451</v>
      </c>
    </row>
    <row r="6909" spans="1:13" hidden="1" x14ac:dyDescent="0.3">
      <c r="A6909" s="9">
        <v>1999</v>
      </c>
      <c r="B6909" t="s">
        <v>258</v>
      </c>
      <c r="C6909" s="25">
        <v>44637</v>
      </c>
      <c r="D6909" s="26">
        <v>0.70177083333333334</v>
      </c>
      <c r="E6909" t="s">
        <v>26</v>
      </c>
      <c r="F6909" t="s">
        <v>210</v>
      </c>
      <c r="G6909" t="s">
        <v>211</v>
      </c>
      <c r="H6909" t="s">
        <v>259</v>
      </c>
      <c r="I6909">
        <v>412.13</v>
      </c>
      <c r="J6909" s="32">
        <v>0</v>
      </c>
      <c r="K6909" s="95">
        <f t="shared" si="429"/>
        <v>1058.19</v>
      </c>
      <c r="L6909" s="7">
        <v>1058.19</v>
      </c>
      <c r="M6909" s="10">
        <f t="shared" si="430"/>
        <v>38.946691992931328</v>
      </c>
    </row>
    <row r="6910" spans="1:13" hidden="1" x14ac:dyDescent="0.3">
      <c r="A6910" s="9">
        <v>2000</v>
      </c>
      <c r="B6910" t="s">
        <v>258</v>
      </c>
      <c r="C6910" s="25">
        <v>44638</v>
      </c>
      <c r="D6910" s="26">
        <v>0.80114583333333333</v>
      </c>
      <c r="E6910" t="s">
        <v>26</v>
      </c>
      <c r="F6910" t="s">
        <v>428</v>
      </c>
      <c r="G6910" t="s">
        <v>429</v>
      </c>
      <c r="H6910" t="s">
        <v>259</v>
      </c>
      <c r="I6910">
        <v>250.49</v>
      </c>
      <c r="J6910" s="32">
        <v>0</v>
      </c>
      <c r="K6910" s="95">
        <f t="shared" si="429"/>
        <v>910.85</v>
      </c>
      <c r="L6910" s="7">
        <v>910.85</v>
      </c>
      <c r="M6910" s="10">
        <f t="shared" si="430"/>
        <v>27.500686172256682</v>
      </c>
    </row>
    <row r="6911" spans="1:13" hidden="1" x14ac:dyDescent="0.3">
      <c r="A6911" s="9">
        <v>2001</v>
      </c>
      <c r="B6911" t="s">
        <v>258</v>
      </c>
      <c r="C6911" s="25">
        <v>44639</v>
      </c>
      <c r="D6911" s="26">
        <v>0.75255787037037036</v>
      </c>
      <c r="E6911" t="s">
        <v>26</v>
      </c>
      <c r="F6911" t="s">
        <v>197</v>
      </c>
      <c r="G6911" t="s">
        <v>44</v>
      </c>
      <c r="H6911" t="s">
        <v>259</v>
      </c>
      <c r="I6911">
        <f>99.45+150.59</f>
        <v>250.04000000000002</v>
      </c>
      <c r="J6911" s="32">
        <v>0</v>
      </c>
      <c r="K6911" s="89">
        <f t="shared" si="429"/>
        <v>420.15</v>
      </c>
      <c r="L6911" s="34">
        <v>420.15</v>
      </c>
      <c r="M6911" s="10">
        <f t="shared" si="430"/>
        <v>59.512079019397845</v>
      </c>
    </row>
    <row r="6912" spans="1:13" hidden="1" x14ac:dyDescent="0.3">
      <c r="A6912" s="9">
        <v>2002</v>
      </c>
      <c r="B6912" t="s">
        <v>258</v>
      </c>
      <c r="C6912" s="25">
        <v>44640</v>
      </c>
      <c r="D6912" s="26">
        <v>0.49467592592592591</v>
      </c>
      <c r="E6912" t="s">
        <v>26</v>
      </c>
      <c r="F6912" t="s">
        <v>166</v>
      </c>
      <c r="G6912" t="s">
        <v>161</v>
      </c>
      <c r="H6912" t="s">
        <v>259</v>
      </c>
      <c r="I6912">
        <v>219.42</v>
      </c>
      <c r="J6912" s="32">
        <v>0</v>
      </c>
      <c r="K6912" s="89">
        <f t="shared" si="429"/>
        <v>509.64</v>
      </c>
      <c r="L6912" s="7">
        <v>509.64</v>
      </c>
      <c r="M6912" s="10">
        <f t="shared" si="430"/>
        <v>43.053920414410172</v>
      </c>
    </row>
    <row r="6913" spans="1:13" hidden="1" x14ac:dyDescent="0.3">
      <c r="A6913" s="9">
        <v>2003</v>
      </c>
      <c r="B6913" t="s">
        <v>258</v>
      </c>
      <c r="C6913" s="25">
        <v>44641</v>
      </c>
      <c r="D6913" s="26">
        <v>0.54796296296296299</v>
      </c>
      <c r="E6913" t="s">
        <v>26</v>
      </c>
      <c r="F6913" t="s">
        <v>278</v>
      </c>
      <c r="G6913" t="s">
        <v>279</v>
      </c>
      <c r="H6913" t="s">
        <v>259</v>
      </c>
      <c r="I6913">
        <v>279.77999999999997</v>
      </c>
      <c r="J6913" s="32">
        <v>0</v>
      </c>
      <c r="K6913" s="89">
        <f t="shared" si="429"/>
        <v>665.33</v>
      </c>
      <c r="L6913" s="7">
        <v>665.33</v>
      </c>
      <c r="M6913" s="10">
        <f t="shared" si="430"/>
        <v>42.051312882329064</v>
      </c>
    </row>
    <row r="6914" spans="1:13" hidden="1" x14ac:dyDescent="0.3">
      <c r="A6914" s="9">
        <v>2004</v>
      </c>
      <c r="B6914" t="s">
        <v>258</v>
      </c>
      <c r="C6914" s="25">
        <v>44642</v>
      </c>
      <c r="D6914" s="26">
        <v>0.57215277777777784</v>
      </c>
      <c r="E6914" t="s">
        <v>26</v>
      </c>
      <c r="F6914" t="s">
        <v>202</v>
      </c>
      <c r="G6914" t="s">
        <v>203</v>
      </c>
      <c r="H6914" t="s">
        <v>259</v>
      </c>
      <c r="I6914">
        <v>103.19</v>
      </c>
      <c r="J6914" s="32">
        <v>0</v>
      </c>
      <c r="K6914" s="89">
        <f t="shared" si="429"/>
        <v>874.65</v>
      </c>
      <c r="L6914" s="7">
        <v>874.65</v>
      </c>
      <c r="M6914" s="10">
        <f t="shared" si="430"/>
        <v>11.797862001943635</v>
      </c>
    </row>
    <row r="6915" spans="1:13" hidden="1" x14ac:dyDescent="0.3">
      <c r="A6915" s="9">
        <v>2005</v>
      </c>
      <c r="B6915" t="s">
        <v>258</v>
      </c>
      <c r="C6915" s="25">
        <v>44642</v>
      </c>
      <c r="D6915" s="26">
        <v>0.88856481481481486</v>
      </c>
      <c r="E6915" t="s">
        <v>26</v>
      </c>
      <c r="F6915" t="s">
        <v>278</v>
      </c>
      <c r="G6915" t="s">
        <v>279</v>
      </c>
      <c r="H6915" t="s">
        <v>259</v>
      </c>
      <c r="I6915">
        <v>190.1</v>
      </c>
      <c r="J6915" s="32">
        <v>0</v>
      </c>
      <c r="K6915" s="90">
        <f t="shared" si="429"/>
        <v>374.64</v>
      </c>
      <c r="L6915" s="7">
        <v>374.64</v>
      </c>
      <c r="M6915" s="10">
        <f t="shared" si="430"/>
        <v>50.742045697202656</v>
      </c>
    </row>
    <row r="6916" spans="1:13" hidden="1" x14ac:dyDescent="0.3">
      <c r="A6916" s="9">
        <v>2006</v>
      </c>
      <c r="B6916" t="s">
        <v>258</v>
      </c>
      <c r="C6916" s="25">
        <v>44643</v>
      </c>
      <c r="D6916" s="26">
        <v>0.69916666666666671</v>
      </c>
      <c r="E6916" t="s">
        <v>26</v>
      </c>
      <c r="F6916" t="s">
        <v>210</v>
      </c>
      <c r="G6916" t="s">
        <v>211</v>
      </c>
      <c r="H6916" t="s">
        <v>259</v>
      </c>
      <c r="I6916">
        <v>385.33</v>
      </c>
      <c r="J6916" s="32">
        <v>0</v>
      </c>
      <c r="K6916" s="92">
        <f t="shared" si="429"/>
        <v>705.53</v>
      </c>
      <c r="L6916" s="34">
        <v>705.53</v>
      </c>
      <c r="M6916" s="10">
        <f t="shared" si="430"/>
        <v>54.615678993097383</v>
      </c>
    </row>
    <row r="6917" spans="1:13" hidden="1" x14ac:dyDescent="0.3">
      <c r="A6917" s="9">
        <v>2007</v>
      </c>
      <c r="B6917" t="s">
        <v>258</v>
      </c>
      <c r="C6917" s="25">
        <v>44644</v>
      </c>
      <c r="D6917" s="26">
        <v>0.91972222222222222</v>
      </c>
      <c r="E6917" t="s">
        <v>26</v>
      </c>
      <c r="F6917" t="s">
        <v>262</v>
      </c>
      <c r="G6917" t="s">
        <v>263</v>
      </c>
      <c r="H6917" t="s">
        <v>259</v>
      </c>
      <c r="I6917">
        <v>200</v>
      </c>
      <c r="J6917" s="32">
        <v>0</v>
      </c>
      <c r="K6917" s="89">
        <f t="shared" si="429"/>
        <v>823.99</v>
      </c>
      <c r="L6917" s="7">
        <v>823.99</v>
      </c>
      <c r="M6917" s="10">
        <f t="shared" si="430"/>
        <v>24.272139224990593</v>
      </c>
    </row>
    <row r="6918" spans="1:13" hidden="1" x14ac:dyDescent="0.3">
      <c r="A6918" s="9">
        <v>3290</v>
      </c>
      <c r="B6918" t="s">
        <v>258</v>
      </c>
      <c r="C6918" s="25">
        <v>44656</v>
      </c>
      <c r="D6918" s="26">
        <v>0.27693287037037034</v>
      </c>
      <c r="E6918" t="s">
        <v>27</v>
      </c>
      <c r="F6918" t="s">
        <v>166</v>
      </c>
      <c r="G6918" t="s">
        <v>161</v>
      </c>
      <c r="H6918" t="s">
        <v>259</v>
      </c>
      <c r="I6918" s="4">
        <v>200</v>
      </c>
      <c r="J6918" s="32">
        <v>0</v>
      </c>
      <c r="K6918" s="89">
        <f t="shared" si="429"/>
        <v>793.63</v>
      </c>
      <c r="L6918" s="32">
        <v>793.63</v>
      </c>
      <c r="M6918" s="10">
        <f t="shared" si="430"/>
        <v>25.20066025729874</v>
      </c>
    </row>
    <row r="6919" spans="1:13" hidden="1" x14ac:dyDescent="0.3">
      <c r="A6919" s="9">
        <v>3291</v>
      </c>
      <c r="B6919" t="s">
        <v>258</v>
      </c>
      <c r="C6919" s="25">
        <v>44657</v>
      </c>
      <c r="D6919" s="26">
        <v>0.77655092592592589</v>
      </c>
      <c r="E6919" t="s">
        <v>27</v>
      </c>
      <c r="F6919" t="s">
        <v>210</v>
      </c>
      <c r="G6919" t="s">
        <v>211</v>
      </c>
      <c r="H6919" t="s">
        <v>259</v>
      </c>
      <c r="I6919" s="4">
        <v>460.06</v>
      </c>
      <c r="J6919" s="32">
        <v>0</v>
      </c>
      <c r="K6919" s="89">
        <f t="shared" si="429"/>
        <v>1182.9100000000001</v>
      </c>
      <c r="L6919" s="32">
        <v>1182.9100000000001</v>
      </c>
      <c r="M6919" s="10">
        <f t="shared" si="430"/>
        <v>38.892223415137245</v>
      </c>
    </row>
    <row r="6920" spans="1:13" hidden="1" x14ac:dyDescent="0.3">
      <c r="A6920" s="9">
        <v>3292</v>
      </c>
      <c r="B6920" t="s">
        <v>258</v>
      </c>
      <c r="C6920" s="25">
        <v>44659</v>
      </c>
      <c r="D6920" s="26">
        <v>0.46021990740740742</v>
      </c>
      <c r="E6920" t="s">
        <v>27</v>
      </c>
      <c r="F6920" t="s">
        <v>175</v>
      </c>
      <c r="G6920" t="s">
        <v>172</v>
      </c>
      <c r="H6920" t="s">
        <v>259</v>
      </c>
      <c r="I6920" s="4">
        <v>197.9</v>
      </c>
      <c r="J6920" s="32">
        <v>0</v>
      </c>
      <c r="K6920" s="95">
        <f t="shared" si="429"/>
        <v>1080.8900000000001</v>
      </c>
      <c r="L6920" s="7">
        <v>1080.8900000000001</v>
      </c>
      <c r="M6920" s="10">
        <f t="shared" si="430"/>
        <v>18.308986113295525</v>
      </c>
    </row>
    <row r="6921" spans="1:13" hidden="1" x14ac:dyDescent="0.3">
      <c r="A6921" s="9">
        <v>3293</v>
      </c>
      <c r="B6921" t="s">
        <v>258</v>
      </c>
      <c r="C6921" s="25">
        <v>44659</v>
      </c>
      <c r="D6921" s="26">
        <v>0.82311342592592596</v>
      </c>
      <c r="E6921" t="s">
        <v>27</v>
      </c>
      <c r="F6921" t="s">
        <v>197</v>
      </c>
      <c r="G6921" t="s">
        <v>44</v>
      </c>
      <c r="H6921" t="s">
        <v>259</v>
      </c>
      <c r="I6921" s="4">
        <v>150.58000000000001</v>
      </c>
      <c r="J6921" s="32">
        <v>0</v>
      </c>
      <c r="K6921" s="90">
        <f t="shared" si="429"/>
        <v>1313</v>
      </c>
      <c r="L6921" s="7">
        <v>1313</v>
      </c>
      <c r="M6921" s="10">
        <f t="shared" si="430"/>
        <v>11.46839299314547</v>
      </c>
    </row>
    <row r="6922" spans="1:13" hidden="1" x14ac:dyDescent="0.3">
      <c r="A6922" s="9">
        <v>3294</v>
      </c>
      <c r="B6922" t="s">
        <v>258</v>
      </c>
      <c r="C6922" s="25">
        <v>44660</v>
      </c>
      <c r="D6922" s="26">
        <v>0.65490740740740738</v>
      </c>
      <c r="E6922" t="s">
        <v>27</v>
      </c>
      <c r="F6922" t="s">
        <v>210</v>
      </c>
      <c r="G6922" t="s">
        <v>211</v>
      </c>
      <c r="H6922" t="s">
        <v>259</v>
      </c>
      <c r="I6922" s="4">
        <v>383.35</v>
      </c>
      <c r="J6922" s="32">
        <v>0</v>
      </c>
      <c r="K6922" s="89">
        <f t="shared" si="429"/>
        <v>821</v>
      </c>
      <c r="L6922" s="7">
        <v>821</v>
      </c>
      <c r="M6922" s="10">
        <f t="shared" si="430"/>
        <v>46.693057247259446</v>
      </c>
    </row>
    <row r="6923" spans="1:13" hidden="1" x14ac:dyDescent="0.3">
      <c r="A6923" s="9">
        <v>3295</v>
      </c>
      <c r="B6923" t="s">
        <v>258</v>
      </c>
      <c r="C6923" s="25">
        <v>44662</v>
      </c>
      <c r="D6923" s="26">
        <v>0.99692129629629633</v>
      </c>
      <c r="E6923" t="s">
        <v>27</v>
      </c>
      <c r="F6923" t="s">
        <v>210</v>
      </c>
      <c r="G6923" t="s">
        <v>211</v>
      </c>
      <c r="H6923" t="s">
        <v>259</v>
      </c>
      <c r="I6923" s="4">
        <v>472.42</v>
      </c>
      <c r="J6923" s="32">
        <v>0</v>
      </c>
      <c r="K6923" s="89">
        <f t="shared" si="429"/>
        <v>1109.8900000000001</v>
      </c>
      <c r="L6923" s="32">
        <v>1109.8900000000001</v>
      </c>
      <c r="M6923" s="10">
        <f t="shared" si="430"/>
        <v>42.56457847174044</v>
      </c>
    </row>
    <row r="6924" spans="1:13" hidden="1" x14ac:dyDescent="0.3">
      <c r="A6924" s="9">
        <v>3296</v>
      </c>
      <c r="B6924" t="s">
        <v>258</v>
      </c>
      <c r="C6924" s="25">
        <v>44665</v>
      </c>
      <c r="D6924" s="26">
        <v>0.50383101851851853</v>
      </c>
      <c r="E6924" t="s">
        <v>27</v>
      </c>
      <c r="F6924" t="s">
        <v>175</v>
      </c>
      <c r="G6924" t="s">
        <v>172</v>
      </c>
      <c r="H6924" t="s">
        <v>259</v>
      </c>
      <c r="I6924" s="4">
        <v>394.55</v>
      </c>
      <c r="J6924" s="32">
        <v>0</v>
      </c>
      <c r="K6924" s="89">
        <f t="shared" si="429"/>
        <v>1058</v>
      </c>
      <c r="L6924" s="7">
        <v>1058</v>
      </c>
      <c r="M6924" s="10">
        <f t="shared" si="430"/>
        <v>37.292060491493388</v>
      </c>
    </row>
    <row r="6925" spans="1:13" hidden="1" x14ac:dyDescent="0.3">
      <c r="A6925" s="9">
        <v>3297</v>
      </c>
      <c r="B6925" t="s">
        <v>258</v>
      </c>
      <c r="C6925" s="25">
        <v>44666</v>
      </c>
      <c r="D6925" s="26">
        <v>0.37418981481481484</v>
      </c>
      <c r="E6925" t="s">
        <v>27</v>
      </c>
      <c r="F6925" t="s">
        <v>210</v>
      </c>
      <c r="G6925" t="s">
        <v>211</v>
      </c>
      <c r="H6925" t="s">
        <v>259</v>
      </c>
      <c r="I6925" s="4">
        <v>285.01</v>
      </c>
      <c r="J6925" s="32">
        <v>0</v>
      </c>
      <c r="K6925" s="89">
        <f t="shared" si="429"/>
        <v>690</v>
      </c>
      <c r="L6925" s="31">
        <v>690</v>
      </c>
      <c r="M6925" s="10">
        <f t="shared" si="430"/>
        <v>41.305797101449279</v>
      </c>
    </row>
    <row r="6926" spans="1:13" hidden="1" x14ac:dyDescent="0.3">
      <c r="A6926" s="9">
        <v>3298</v>
      </c>
      <c r="B6926" t="s">
        <v>258</v>
      </c>
      <c r="C6926" s="25">
        <v>44667</v>
      </c>
      <c r="D6926" s="26">
        <v>0.69049768518518517</v>
      </c>
      <c r="E6926" t="s">
        <v>27</v>
      </c>
      <c r="F6926" t="s">
        <v>210</v>
      </c>
      <c r="G6926" t="s">
        <v>211</v>
      </c>
      <c r="H6926" t="s">
        <v>259</v>
      </c>
      <c r="I6926" s="4">
        <v>403.54</v>
      </c>
      <c r="J6926" s="32">
        <v>0</v>
      </c>
      <c r="K6926" s="89">
        <f t="shared" si="429"/>
        <v>1057</v>
      </c>
      <c r="L6926" s="7">
        <v>1057</v>
      </c>
      <c r="M6926" s="10">
        <f t="shared" si="430"/>
        <v>38.177861873226114</v>
      </c>
    </row>
    <row r="6927" spans="1:13" hidden="1" x14ac:dyDescent="0.3">
      <c r="A6927" s="9">
        <v>3299</v>
      </c>
      <c r="B6927" t="s">
        <v>258</v>
      </c>
      <c r="C6927" s="25">
        <v>44673</v>
      </c>
      <c r="D6927" s="26">
        <v>0.95423611111111117</v>
      </c>
      <c r="E6927" t="s">
        <v>27</v>
      </c>
      <c r="F6927" t="s">
        <v>175</v>
      </c>
      <c r="G6927" t="s">
        <v>172</v>
      </c>
      <c r="H6927" t="s">
        <v>259</v>
      </c>
      <c r="I6927" s="4">
        <v>452.72</v>
      </c>
      <c r="J6927" s="32">
        <v>0</v>
      </c>
      <c r="K6927" s="90">
        <f t="shared" si="429"/>
        <v>1170.19</v>
      </c>
      <c r="L6927" s="7">
        <v>1170.19</v>
      </c>
      <c r="M6927" s="10">
        <f t="shared" si="430"/>
        <v>38.687734470470609</v>
      </c>
    </row>
    <row r="6928" spans="1:13" hidden="1" x14ac:dyDescent="0.3">
      <c r="A6928" s="9">
        <v>3300</v>
      </c>
      <c r="B6928" t="s">
        <v>258</v>
      </c>
      <c r="C6928" s="25">
        <v>44674</v>
      </c>
      <c r="D6928" s="26">
        <v>0.70802083333333332</v>
      </c>
      <c r="E6928" t="s">
        <v>27</v>
      </c>
      <c r="F6928" t="s">
        <v>210</v>
      </c>
      <c r="G6928" t="s">
        <v>211</v>
      </c>
      <c r="H6928" t="s">
        <v>259</v>
      </c>
      <c r="I6928" s="4">
        <f>283.56+26.46+283.55</f>
        <v>593.56999999999994</v>
      </c>
      <c r="J6928" s="32">
        <v>0</v>
      </c>
      <c r="K6928" s="97">
        <v>821</v>
      </c>
      <c r="L6928" s="34">
        <v>821</v>
      </c>
      <c r="M6928" s="10">
        <f t="shared" si="430"/>
        <v>72.29841656516443</v>
      </c>
    </row>
    <row r="6929" spans="1:13" hidden="1" x14ac:dyDescent="0.3">
      <c r="A6929" s="9">
        <v>3301</v>
      </c>
      <c r="B6929" t="s">
        <v>258</v>
      </c>
      <c r="C6929" s="25">
        <v>44677</v>
      </c>
      <c r="D6929" s="26">
        <v>2.5578703703703705E-3</v>
      </c>
      <c r="E6929" t="s">
        <v>27</v>
      </c>
      <c r="F6929" t="s">
        <v>210</v>
      </c>
      <c r="G6929" t="s">
        <v>211</v>
      </c>
      <c r="H6929" t="s">
        <v>259</v>
      </c>
      <c r="I6929">
        <v>491.26</v>
      </c>
      <c r="J6929" s="32">
        <v>0</v>
      </c>
      <c r="K6929" s="90">
        <f>+L6929-J6929</f>
        <v>1110.49</v>
      </c>
      <c r="L6929" s="31">
        <v>1110.49</v>
      </c>
      <c r="M6929" s="10">
        <f t="shared" si="430"/>
        <v>44.238129114174825</v>
      </c>
    </row>
    <row r="6930" spans="1:13" hidden="1" x14ac:dyDescent="0.3">
      <c r="A6930" s="9">
        <v>3737</v>
      </c>
      <c r="B6930" t="s">
        <v>258</v>
      </c>
      <c r="C6930" s="25">
        <v>44683</v>
      </c>
      <c r="D6930" s="26">
        <v>0.92928240740740742</v>
      </c>
      <c r="E6930" t="s">
        <v>28</v>
      </c>
      <c r="F6930" t="s">
        <v>210</v>
      </c>
      <c r="G6930" t="s">
        <v>211</v>
      </c>
      <c r="H6930" t="s">
        <v>259</v>
      </c>
      <c r="I6930">
        <v>473.21</v>
      </c>
      <c r="J6930" s="32">
        <v>0</v>
      </c>
      <c r="K6930" s="90">
        <f>+L6930-J7061</f>
        <v>1109.5</v>
      </c>
      <c r="L6930" s="53">
        <v>1109.5</v>
      </c>
      <c r="M6930" s="10">
        <f t="shared" si="430"/>
        <v>42.650743578188369</v>
      </c>
    </row>
    <row r="6931" spans="1:13" hidden="1" x14ac:dyDescent="0.3">
      <c r="A6931" s="9">
        <v>4226</v>
      </c>
      <c r="B6931" t="s">
        <v>258</v>
      </c>
      <c r="C6931" s="25">
        <v>44693</v>
      </c>
      <c r="D6931" s="26">
        <v>0.87490740740740736</v>
      </c>
      <c r="E6931" t="s">
        <v>28</v>
      </c>
      <c r="F6931" t="s">
        <v>175</v>
      </c>
      <c r="G6931" t="s">
        <v>172</v>
      </c>
      <c r="H6931" t="s">
        <v>259</v>
      </c>
      <c r="I6931">
        <v>414.47</v>
      </c>
      <c r="J6931" s="32">
        <v>0</v>
      </c>
      <c r="K6931" s="90">
        <f>+L6931-J7062</f>
        <v>1067</v>
      </c>
      <c r="L6931" s="37">
        <v>1067</v>
      </c>
      <c r="M6931" s="10">
        <f t="shared" si="430"/>
        <v>38.844423617619498</v>
      </c>
    </row>
    <row r="6932" spans="1:13" hidden="1" x14ac:dyDescent="0.3">
      <c r="A6932" s="9">
        <v>4343</v>
      </c>
      <c r="B6932" t="s">
        <v>258</v>
      </c>
      <c r="C6932" s="25">
        <v>44695</v>
      </c>
      <c r="D6932" s="26">
        <v>0.27706018518518521</v>
      </c>
      <c r="E6932" t="s">
        <v>28</v>
      </c>
      <c r="F6932" t="s">
        <v>210</v>
      </c>
      <c r="G6932" t="s">
        <v>211</v>
      </c>
      <c r="H6932" t="s">
        <v>259</v>
      </c>
      <c r="I6932">
        <v>351.35</v>
      </c>
      <c r="J6932" s="32">
        <v>0</v>
      </c>
      <c r="K6932" s="90">
        <f>+L6932-J7198</f>
        <v>818</v>
      </c>
      <c r="L6932" s="32">
        <v>818</v>
      </c>
      <c r="M6932" s="10">
        <f t="shared" si="430"/>
        <v>42.952322738386314</v>
      </c>
    </row>
    <row r="6933" spans="1:13" hidden="1" x14ac:dyDescent="0.3">
      <c r="A6933" s="9">
        <v>4410</v>
      </c>
      <c r="B6933" t="s">
        <v>258</v>
      </c>
      <c r="C6933" s="25">
        <v>44696</v>
      </c>
      <c r="D6933" s="26">
        <v>0.65292824074074074</v>
      </c>
      <c r="E6933" t="s">
        <v>28</v>
      </c>
      <c r="F6933" t="s">
        <v>210</v>
      </c>
      <c r="G6933" t="s">
        <v>211</v>
      </c>
      <c r="H6933" t="s">
        <v>259</v>
      </c>
      <c r="I6933">
        <v>423.7</v>
      </c>
      <c r="J6933" s="32">
        <v>0</v>
      </c>
      <c r="K6933" s="90">
        <f>+L6933-J7199</f>
        <v>-324</v>
      </c>
      <c r="L6933" s="32">
        <v>1057</v>
      </c>
      <c r="M6933" s="10">
        <f t="shared" si="430"/>
        <v>-130.77160493827159</v>
      </c>
    </row>
    <row r="6934" spans="1:13" hidden="1" x14ac:dyDescent="0.3">
      <c r="A6934" s="9">
        <v>4520</v>
      </c>
      <c r="B6934" t="s">
        <v>258</v>
      </c>
      <c r="C6934" s="25">
        <v>44698</v>
      </c>
      <c r="D6934" s="26">
        <v>0.37459490740740736</v>
      </c>
      <c r="E6934" t="s">
        <v>28</v>
      </c>
      <c r="F6934" t="s">
        <v>391</v>
      </c>
      <c r="G6934" t="s">
        <v>392</v>
      </c>
      <c r="H6934" t="s">
        <v>259</v>
      </c>
      <c r="I6934">
        <v>307.91000000000003</v>
      </c>
      <c r="J6934" s="41">
        <v>0</v>
      </c>
      <c r="K6934" s="102">
        <f>+L6934-J7201</f>
        <v>875</v>
      </c>
      <c r="L6934" s="32">
        <v>875</v>
      </c>
      <c r="M6934" s="10">
        <f t="shared" si="430"/>
        <v>35.189714285714288</v>
      </c>
    </row>
    <row r="6935" spans="1:13" hidden="1" x14ac:dyDescent="0.3">
      <c r="A6935" s="9">
        <v>4572</v>
      </c>
      <c r="B6935" t="s">
        <v>258</v>
      </c>
      <c r="C6935" s="25">
        <v>44699</v>
      </c>
      <c r="D6935" s="26">
        <v>0.6247800925925926</v>
      </c>
      <c r="E6935" t="s">
        <v>28</v>
      </c>
      <c r="F6935" t="s">
        <v>210</v>
      </c>
      <c r="G6935" t="s">
        <v>211</v>
      </c>
      <c r="H6935" t="s">
        <v>259</v>
      </c>
      <c r="I6935">
        <v>451.04</v>
      </c>
      <c r="J6935" s="41">
        <v>0</v>
      </c>
      <c r="K6935" s="95">
        <f>+L6935-J7202</f>
        <v>896</v>
      </c>
      <c r="L6935" s="32">
        <v>896</v>
      </c>
      <c r="M6935" s="10">
        <f t="shared" si="430"/>
        <v>50.339285714285722</v>
      </c>
    </row>
    <row r="6936" spans="1:13" hidden="1" x14ac:dyDescent="0.3">
      <c r="A6936" s="9">
        <v>4626</v>
      </c>
      <c r="B6936" t="s">
        <v>258</v>
      </c>
      <c r="C6936" s="25">
        <v>44700</v>
      </c>
      <c r="D6936" s="26">
        <v>0.97771990740740744</v>
      </c>
      <c r="E6936" t="s">
        <v>28</v>
      </c>
      <c r="F6936" t="s">
        <v>165</v>
      </c>
      <c r="G6936" t="s">
        <v>185</v>
      </c>
      <c r="H6936" t="s">
        <v>259</v>
      </c>
      <c r="I6936">
        <v>200</v>
      </c>
      <c r="J6936" s="32">
        <v>0</v>
      </c>
      <c r="K6936" s="90">
        <f>+L6936-J7202</f>
        <v>970</v>
      </c>
      <c r="L6936" s="32">
        <v>970</v>
      </c>
      <c r="M6936" s="10">
        <f t="shared" si="430"/>
        <v>20.618556701030926</v>
      </c>
    </row>
    <row r="6937" spans="1:13" hidden="1" x14ac:dyDescent="0.3">
      <c r="A6937" s="9">
        <v>4736</v>
      </c>
      <c r="B6937" t="s">
        <v>258</v>
      </c>
      <c r="C6937" s="25">
        <v>44702</v>
      </c>
      <c r="D6937" s="26">
        <v>0.86531249999999993</v>
      </c>
      <c r="E6937" t="s">
        <v>28</v>
      </c>
      <c r="F6937" t="s">
        <v>165</v>
      </c>
      <c r="G6937" t="s">
        <v>185</v>
      </c>
      <c r="H6937" t="s">
        <v>259</v>
      </c>
      <c r="I6937">
        <v>596.53</v>
      </c>
      <c r="J6937" s="41">
        <v>0</v>
      </c>
      <c r="K6937" s="90">
        <f>+L6937-J7188</f>
        <v>835</v>
      </c>
      <c r="L6937" s="32">
        <v>835</v>
      </c>
      <c r="M6937" s="10">
        <f t="shared" si="430"/>
        <v>71.440718562874252</v>
      </c>
    </row>
    <row r="6938" spans="1:13" hidden="1" x14ac:dyDescent="0.3">
      <c r="A6938" s="9">
        <v>4839</v>
      </c>
      <c r="B6938" t="s">
        <v>258</v>
      </c>
      <c r="C6938" s="25">
        <v>44704</v>
      </c>
      <c r="D6938" s="26">
        <v>0.57186342592592598</v>
      </c>
      <c r="E6938" t="s">
        <v>28</v>
      </c>
      <c r="F6938" t="s">
        <v>346</v>
      </c>
      <c r="G6938" t="s">
        <v>203</v>
      </c>
      <c r="H6938" t="s">
        <v>259</v>
      </c>
      <c r="I6938">
        <f>89.84+271.3</f>
        <v>361.14</v>
      </c>
      <c r="J6938" s="32">
        <v>0</v>
      </c>
      <c r="K6938" s="101">
        <f>+L6938-J7189</f>
        <v>1041</v>
      </c>
      <c r="L6938" s="37">
        <v>1041</v>
      </c>
      <c r="M6938" s="10">
        <f t="shared" ref="M6938:M6972" si="431">I6938/K6938*100</f>
        <v>34.691642651296831</v>
      </c>
    </row>
    <row r="6939" spans="1:13" hidden="1" x14ac:dyDescent="0.3">
      <c r="A6939" s="9">
        <v>4895</v>
      </c>
      <c r="B6939" t="s">
        <v>258</v>
      </c>
      <c r="C6939" s="25">
        <v>44705</v>
      </c>
      <c r="D6939" s="26">
        <v>0.8303124999999999</v>
      </c>
      <c r="E6939" t="s">
        <v>28</v>
      </c>
      <c r="F6939" t="s">
        <v>210</v>
      </c>
      <c r="G6939" t="s">
        <v>211</v>
      </c>
      <c r="H6939" t="s">
        <v>259</v>
      </c>
      <c r="I6939">
        <v>413.2</v>
      </c>
      <c r="J6939" s="32">
        <v>0</v>
      </c>
      <c r="K6939" s="90">
        <f>+L6939-J7190</f>
        <v>1080</v>
      </c>
      <c r="L6939" s="32">
        <v>1080</v>
      </c>
      <c r="M6939" s="36">
        <f t="shared" si="431"/>
        <v>38.25925925925926</v>
      </c>
    </row>
    <row r="6940" spans="1:13" hidden="1" x14ac:dyDescent="0.3">
      <c r="A6940" s="9">
        <v>5053</v>
      </c>
      <c r="B6940" t="s">
        <v>258</v>
      </c>
      <c r="C6940" s="25">
        <v>44708</v>
      </c>
      <c r="D6940" s="26">
        <v>0.34472222222222221</v>
      </c>
      <c r="E6940" t="s">
        <v>28</v>
      </c>
      <c r="F6940" t="s">
        <v>679</v>
      </c>
      <c r="G6940" t="s">
        <v>392</v>
      </c>
      <c r="H6940" t="s">
        <v>259</v>
      </c>
      <c r="I6940">
        <v>200.05</v>
      </c>
      <c r="J6940" s="32">
        <v>0</v>
      </c>
      <c r="K6940" s="90">
        <f>+L6940-J7165</f>
        <v>1043</v>
      </c>
      <c r="L6940" s="7">
        <v>1043</v>
      </c>
      <c r="M6940" s="10">
        <f t="shared" si="431"/>
        <v>19.180249280920421</v>
      </c>
    </row>
    <row r="6941" spans="1:13" hidden="1" x14ac:dyDescent="0.3">
      <c r="A6941" s="9">
        <v>5054</v>
      </c>
      <c r="B6941" t="s">
        <v>258</v>
      </c>
      <c r="C6941" s="25">
        <v>44708</v>
      </c>
      <c r="D6941" s="26">
        <v>0.75195601851851857</v>
      </c>
      <c r="E6941" t="s">
        <v>28</v>
      </c>
      <c r="F6941" t="s">
        <v>641</v>
      </c>
      <c r="G6941" t="s">
        <v>172</v>
      </c>
      <c r="H6941" t="s">
        <v>259</v>
      </c>
      <c r="I6941">
        <v>186.69</v>
      </c>
      <c r="J6941" s="32">
        <v>0</v>
      </c>
      <c r="K6941" s="93">
        <f>+L6941-J7166</f>
        <v>32</v>
      </c>
      <c r="L6941" s="35">
        <v>32</v>
      </c>
      <c r="M6941" s="10">
        <f t="shared" si="431"/>
        <v>583.40625</v>
      </c>
    </row>
    <row r="6942" spans="1:13" hidden="1" x14ac:dyDescent="0.3">
      <c r="A6942" s="9">
        <v>5103</v>
      </c>
      <c r="B6942" t="s">
        <v>258</v>
      </c>
      <c r="C6942" s="25">
        <v>44709</v>
      </c>
      <c r="D6942" s="26">
        <v>0.5998148148148148</v>
      </c>
      <c r="E6942" t="s">
        <v>28</v>
      </c>
      <c r="F6942" t="s">
        <v>634</v>
      </c>
      <c r="G6942" t="s">
        <v>211</v>
      </c>
      <c r="H6942" t="s">
        <v>259</v>
      </c>
      <c r="I6942">
        <v>393.26</v>
      </c>
      <c r="J6942" s="32">
        <v>0</v>
      </c>
      <c r="K6942" s="90">
        <f>+L6942-J7167</f>
        <v>746</v>
      </c>
      <c r="L6942" s="7">
        <v>746</v>
      </c>
      <c r="M6942" s="10">
        <f t="shared" si="431"/>
        <v>52.715817694369974</v>
      </c>
    </row>
    <row r="6943" spans="1:13" hidden="1" x14ac:dyDescent="0.3">
      <c r="A6943" s="9">
        <v>5166</v>
      </c>
      <c r="B6943" t="s">
        <v>258</v>
      </c>
      <c r="C6943" s="25">
        <v>44710</v>
      </c>
      <c r="D6943" s="26">
        <v>0.74753472222222228</v>
      </c>
      <c r="E6943" t="s">
        <v>28</v>
      </c>
      <c r="F6943" t="s">
        <v>634</v>
      </c>
      <c r="G6943" t="s">
        <v>211</v>
      </c>
      <c r="H6943" t="s">
        <v>259</v>
      </c>
      <c r="I6943">
        <v>423.44</v>
      </c>
      <c r="J6943" s="32">
        <v>0</v>
      </c>
      <c r="K6943" s="89">
        <f>+L6943-J7168</f>
        <v>1056</v>
      </c>
      <c r="L6943" s="7">
        <v>1056</v>
      </c>
      <c r="M6943" s="10">
        <f t="shared" si="431"/>
        <v>40.098484848484851</v>
      </c>
    </row>
    <row r="6944" spans="1:13" hidden="1" x14ac:dyDescent="0.3">
      <c r="A6944" s="9">
        <v>5249</v>
      </c>
      <c r="B6944" t="s">
        <v>258</v>
      </c>
      <c r="C6944" s="25">
        <v>44712</v>
      </c>
      <c r="D6944" s="26">
        <v>0.50259259259259259</v>
      </c>
      <c r="E6944" t="s">
        <v>28</v>
      </c>
      <c r="F6944" t="s">
        <v>651</v>
      </c>
      <c r="G6944" t="s">
        <v>172</v>
      </c>
      <c r="H6944" t="s">
        <v>259</v>
      </c>
      <c r="I6944">
        <v>290</v>
      </c>
      <c r="J6944" s="32">
        <v>0</v>
      </c>
      <c r="K6944" s="89">
        <v>999</v>
      </c>
      <c r="L6944" s="34">
        <v>999</v>
      </c>
      <c r="M6944" s="10">
        <f t="shared" si="431"/>
        <v>29.029029029029029</v>
      </c>
    </row>
    <row r="6945" spans="1:19" hidden="1" x14ac:dyDescent="0.3">
      <c r="A6945" s="9">
        <v>5250</v>
      </c>
      <c r="B6945" t="s">
        <v>258</v>
      </c>
      <c r="C6945" s="25">
        <v>44712</v>
      </c>
      <c r="D6945" s="26">
        <v>0.92937499999999995</v>
      </c>
      <c r="E6945" t="s">
        <v>28</v>
      </c>
      <c r="F6945" t="s">
        <v>639</v>
      </c>
      <c r="G6945" t="s">
        <v>44</v>
      </c>
      <c r="H6945" t="s">
        <v>259</v>
      </c>
      <c r="I6945">
        <v>115.48</v>
      </c>
      <c r="J6945" s="32">
        <v>0</v>
      </c>
      <c r="K6945" s="90">
        <v>246</v>
      </c>
      <c r="L6945" s="7">
        <v>246</v>
      </c>
      <c r="M6945" s="91">
        <f t="shared" si="431"/>
        <v>46.943089430894311</v>
      </c>
    </row>
    <row r="6946" spans="1:19" hidden="1" x14ac:dyDescent="0.3">
      <c r="A6946" s="9">
        <v>5297</v>
      </c>
      <c r="B6946" t="s">
        <v>258</v>
      </c>
      <c r="C6946" s="25">
        <v>44713</v>
      </c>
      <c r="D6946" s="26">
        <v>0.61123842592592592</v>
      </c>
      <c r="E6946" t="s">
        <v>29</v>
      </c>
      <c r="F6946" t="s">
        <v>634</v>
      </c>
      <c r="G6946" t="s">
        <v>211</v>
      </c>
      <c r="H6946" t="s">
        <v>259</v>
      </c>
      <c r="I6946">
        <v>327.88</v>
      </c>
      <c r="J6946" s="32">
        <v>0</v>
      </c>
      <c r="K6946" s="90">
        <v>246</v>
      </c>
      <c r="L6946" s="7">
        <v>585</v>
      </c>
      <c r="M6946" s="10">
        <f t="shared" si="431"/>
        <v>133.28455284552845</v>
      </c>
    </row>
    <row r="6947" spans="1:19" hidden="1" x14ac:dyDescent="0.3">
      <c r="A6947" s="9">
        <v>5365</v>
      </c>
      <c r="B6947" t="s">
        <v>258</v>
      </c>
      <c r="C6947" s="25">
        <v>44714</v>
      </c>
      <c r="D6947" s="26">
        <v>8.3912037037037035E-2</v>
      </c>
      <c r="E6947" t="s">
        <v>29</v>
      </c>
      <c r="F6947" t="s">
        <v>635</v>
      </c>
      <c r="G6947" t="s">
        <v>185</v>
      </c>
      <c r="H6947" t="s">
        <v>259</v>
      </c>
      <c r="I6947">
        <v>239.46</v>
      </c>
      <c r="J6947" s="32">
        <v>0</v>
      </c>
      <c r="K6947" s="90">
        <v>543</v>
      </c>
      <c r="L6947" s="7">
        <v>543</v>
      </c>
      <c r="M6947" s="10">
        <f t="shared" si="431"/>
        <v>44.099447513812159</v>
      </c>
    </row>
    <row r="6948" spans="1:19" hidden="1" x14ac:dyDescent="0.3">
      <c r="A6948" s="9">
        <v>5366</v>
      </c>
      <c r="B6948" t="s">
        <v>258</v>
      </c>
      <c r="C6948" s="25">
        <v>44714</v>
      </c>
      <c r="D6948" s="26">
        <v>0.82199074074074074</v>
      </c>
      <c r="E6948" t="s">
        <v>29</v>
      </c>
      <c r="F6948" t="s">
        <v>634</v>
      </c>
      <c r="G6948" t="s">
        <v>211</v>
      </c>
      <c r="H6948" t="s">
        <v>259</v>
      </c>
      <c r="I6948">
        <v>186.83</v>
      </c>
      <c r="J6948" s="32">
        <v>0</v>
      </c>
      <c r="K6948" s="90">
        <v>566</v>
      </c>
      <c r="L6948" s="7">
        <v>566</v>
      </c>
      <c r="M6948" s="10">
        <f t="shared" si="431"/>
        <v>33.008833922261488</v>
      </c>
    </row>
    <row r="6949" spans="1:19" hidden="1" x14ac:dyDescent="0.3">
      <c r="A6949" s="9">
        <v>5836</v>
      </c>
      <c r="B6949" t="s">
        <v>258</v>
      </c>
      <c r="C6949" s="25">
        <v>44723</v>
      </c>
      <c r="D6949" s="26">
        <v>0.37759259259259265</v>
      </c>
      <c r="E6949" t="s">
        <v>29</v>
      </c>
      <c r="F6949" t="s">
        <v>639</v>
      </c>
      <c r="G6949" t="s">
        <v>44</v>
      </c>
      <c r="H6949" t="s">
        <v>259</v>
      </c>
      <c r="I6949">
        <v>200</v>
      </c>
      <c r="J6949" s="32">
        <v>0</v>
      </c>
      <c r="K6949" s="101">
        <v>1088</v>
      </c>
      <c r="L6949" s="34">
        <v>1088</v>
      </c>
      <c r="M6949" s="10">
        <f t="shared" si="431"/>
        <v>18.382352941176471</v>
      </c>
    </row>
    <row r="6950" spans="1:19" hidden="1" x14ac:dyDescent="0.3">
      <c r="A6950" s="9">
        <v>5837</v>
      </c>
      <c r="B6950" t="s">
        <v>258</v>
      </c>
      <c r="C6950" s="25">
        <v>44723</v>
      </c>
      <c r="D6950" s="26">
        <v>0.68731481481481482</v>
      </c>
      <c r="E6950" t="s">
        <v>29</v>
      </c>
      <c r="F6950" t="s">
        <v>672</v>
      </c>
      <c r="G6950" t="s">
        <v>367</v>
      </c>
      <c r="H6950" t="s">
        <v>259</v>
      </c>
      <c r="I6950">
        <v>50.11</v>
      </c>
      <c r="J6950" s="32">
        <v>0</v>
      </c>
      <c r="K6950" s="94">
        <v>387</v>
      </c>
      <c r="L6950" s="7">
        <v>387</v>
      </c>
      <c r="M6950" s="10">
        <f t="shared" si="431"/>
        <v>12.948320413436692</v>
      </c>
    </row>
    <row r="6951" spans="1:19" hidden="1" x14ac:dyDescent="0.3">
      <c r="A6951" s="9">
        <v>5838</v>
      </c>
      <c r="B6951" t="s">
        <v>258</v>
      </c>
      <c r="C6951" s="25">
        <v>44723</v>
      </c>
      <c r="D6951" s="26">
        <v>0.76667824074074076</v>
      </c>
      <c r="E6951" t="s">
        <v>29</v>
      </c>
      <c r="F6951" t="s">
        <v>632</v>
      </c>
      <c r="G6951" t="s">
        <v>161</v>
      </c>
      <c r="H6951" t="s">
        <v>259</v>
      </c>
      <c r="I6951">
        <v>448.52</v>
      </c>
      <c r="J6951" s="32">
        <v>0</v>
      </c>
      <c r="K6951" s="94">
        <v>122</v>
      </c>
      <c r="L6951" s="7">
        <v>122</v>
      </c>
      <c r="M6951" s="10">
        <f t="shared" si="431"/>
        <v>367.63934426229508</v>
      </c>
    </row>
    <row r="6952" spans="1:19" hidden="1" x14ac:dyDescent="0.3">
      <c r="A6952" s="9">
        <v>5947</v>
      </c>
      <c r="B6952" t="s">
        <v>258</v>
      </c>
      <c r="C6952" s="25">
        <v>44725</v>
      </c>
      <c r="D6952" s="26">
        <v>0.33684027777777775</v>
      </c>
      <c r="E6952" t="s">
        <v>29</v>
      </c>
      <c r="F6952" t="s">
        <v>634</v>
      </c>
      <c r="G6952" t="s">
        <v>211</v>
      </c>
      <c r="H6952" t="s">
        <v>259</v>
      </c>
      <c r="I6952">
        <v>409.31</v>
      </c>
      <c r="J6952" s="32">
        <v>0</v>
      </c>
      <c r="K6952" s="89">
        <v>986</v>
      </c>
      <c r="L6952" s="34">
        <v>986</v>
      </c>
      <c r="M6952" s="10">
        <f t="shared" si="431"/>
        <v>41.512170385395535</v>
      </c>
      <c r="N6952" s="2"/>
      <c r="O6952" s="2"/>
      <c r="P6952" s="2"/>
      <c r="Q6952" s="2"/>
      <c r="R6952" s="2"/>
      <c r="S6952" s="2"/>
    </row>
    <row r="6953" spans="1:19" hidden="1" x14ac:dyDescent="0.3">
      <c r="A6953" s="9">
        <v>5998</v>
      </c>
      <c r="B6953" t="s">
        <v>258</v>
      </c>
      <c r="C6953" s="25">
        <v>44726</v>
      </c>
      <c r="D6953" s="26">
        <v>0.29017361111111112</v>
      </c>
      <c r="E6953" t="s">
        <v>29</v>
      </c>
      <c r="F6953" t="s">
        <v>637</v>
      </c>
      <c r="G6953" t="s">
        <v>196</v>
      </c>
      <c r="H6953" t="s">
        <v>259</v>
      </c>
      <c r="I6953">
        <v>100</v>
      </c>
      <c r="J6953" s="32">
        <v>0</v>
      </c>
      <c r="K6953" s="89">
        <v>473</v>
      </c>
      <c r="L6953" s="7">
        <v>473</v>
      </c>
      <c r="M6953" s="10">
        <f t="shared" si="431"/>
        <v>21.141649048625794</v>
      </c>
    </row>
    <row r="6954" spans="1:19" hidden="1" x14ac:dyDescent="0.3">
      <c r="A6954" s="9">
        <v>5999</v>
      </c>
      <c r="B6954" t="s">
        <v>258</v>
      </c>
      <c r="C6954" s="25">
        <v>44726</v>
      </c>
      <c r="D6954" s="26">
        <v>0.46780092592592593</v>
      </c>
      <c r="E6954" t="s">
        <v>29</v>
      </c>
      <c r="F6954" t="s">
        <v>653</v>
      </c>
      <c r="G6954" t="s">
        <v>402</v>
      </c>
      <c r="H6954" t="s">
        <v>259</v>
      </c>
      <c r="I6954">
        <v>50</v>
      </c>
      <c r="J6954" s="32">
        <v>0</v>
      </c>
      <c r="K6954" s="89">
        <v>174</v>
      </c>
      <c r="L6954" s="7">
        <v>174</v>
      </c>
      <c r="M6954" s="10">
        <f t="shared" si="431"/>
        <v>28.735632183908045</v>
      </c>
    </row>
    <row r="6955" spans="1:19" hidden="1" x14ac:dyDescent="0.3">
      <c r="A6955" s="9">
        <v>6060</v>
      </c>
      <c r="B6955" t="s">
        <v>258</v>
      </c>
      <c r="C6955" s="25">
        <v>44727</v>
      </c>
      <c r="D6955" s="26">
        <v>0.106875</v>
      </c>
      <c r="E6955" t="s">
        <v>29</v>
      </c>
      <c r="F6955" t="s">
        <v>639</v>
      </c>
      <c r="G6955" t="s">
        <v>44</v>
      </c>
      <c r="H6955" t="s">
        <v>259</v>
      </c>
      <c r="I6955">
        <v>200</v>
      </c>
      <c r="J6955" s="32">
        <v>0</v>
      </c>
      <c r="K6955" s="94">
        <v>539</v>
      </c>
      <c r="L6955" s="7">
        <v>539</v>
      </c>
      <c r="M6955" s="10">
        <f t="shared" si="431"/>
        <v>37.105751391465674</v>
      </c>
    </row>
    <row r="6956" spans="1:19" hidden="1" x14ac:dyDescent="0.3">
      <c r="A6956" s="9">
        <v>6061</v>
      </c>
      <c r="B6956" t="s">
        <v>258</v>
      </c>
      <c r="C6956" s="25">
        <v>44727</v>
      </c>
      <c r="D6956" s="26">
        <v>0.45129629629629631</v>
      </c>
      <c r="E6956" t="s">
        <v>29</v>
      </c>
      <c r="F6956" t="s">
        <v>654</v>
      </c>
      <c r="G6956" t="s">
        <v>303</v>
      </c>
      <c r="H6956" t="s">
        <v>259</v>
      </c>
      <c r="I6956">
        <v>100</v>
      </c>
      <c r="J6956" s="32">
        <v>0</v>
      </c>
      <c r="K6956" s="89">
        <v>156</v>
      </c>
      <c r="L6956" s="34">
        <v>156</v>
      </c>
      <c r="M6956" s="10">
        <f t="shared" si="431"/>
        <v>64.102564102564102</v>
      </c>
    </row>
    <row r="6957" spans="1:19" hidden="1" x14ac:dyDescent="0.3">
      <c r="A6957" s="9">
        <v>6062</v>
      </c>
      <c r="B6957" t="s">
        <v>258</v>
      </c>
      <c r="C6957" s="25">
        <v>44727</v>
      </c>
      <c r="D6957" s="26">
        <v>0.76008101851851861</v>
      </c>
      <c r="E6957" t="s">
        <v>29</v>
      </c>
      <c r="F6957" t="s">
        <v>634</v>
      </c>
      <c r="G6957" t="s">
        <v>211</v>
      </c>
      <c r="H6957" t="s">
        <v>259</v>
      </c>
      <c r="I6957">
        <v>276.83999999999997</v>
      </c>
      <c r="J6957" s="32">
        <v>0</v>
      </c>
      <c r="K6957" s="94">
        <v>429</v>
      </c>
      <c r="L6957" s="7">
        <v>429</v>
      </c>
      <c r="M6957" s="10">
        <f t="shared" si="431"/>
        <v>64.531468531468533</v>
      </c>
    </row>
    <row r="6958" spans="1:19" hidden="1" x14ac:dyDescent="0.3">
      <c r="A6958" s="9">
        <v>6114</v>
      </c>
      <c r="B6958" t="s">
        <v>258</v>
      </c>
      <c r="C6958" s="25">
        <v>44728</v>
      </c>
      <c r="D6958" s="26">
        <v>0.74847222222222232</v>
      </c>
      <c r="E6958" t="s">
        <v>29</v>
      </c>
      <c r="F6958" t="s">
        <v>634</v>
      </c>
      <c r="G6958" t="s">
        <v>211</v>
      </c>
      <c r="H6958" t="s">
        <v>259</v>
      </c>
      <c r="I6958">
        <v>341.07</v>
      </c>
      <c r="J6958" s="32">
        <v>0</v>
      </c>
      <c r="K6958" s="94">
        <v>906</v>
      </c>
      <c r="L6958" s="7">
        <v>906</v>
      </c>
      <c r="M6958" s="10">
        <f t="shared" si="431"/>
        <v>37.645695364238406</v>
      </c>
    </row>
    <row r="6959" spans="1:19" hidden="1" x14ac:dyDescent="0.3">
      <c r="A6959" s="9">
        <v>6172</v>
      </c>
      <c r="B6959" t="s">
        <v>258</v>
      </c>
      <c r="C6959" s="25">
        <v>44729</v>
      </c>
      <c r="D6959" s="26">
        <v>0.36311342592592594</v>
      </c>
      <c r="E6959" t="s">
        <v>29</v>
      </c>
      <c r="F6959" t="s">
        <v>684</v>
      </c>
      <c r="G6959" t="s">
        <v>620</v>
      </c>
      <c r="H6959" t="s">
        <v>259</v>
      </c>
      <c r="I6959">
        <v>170.45</v>
      </c>
      <c r="J6959" s="32">
        <v>0</v>
      </c>
      <c r="K6959" s="94">
        <v>515</v>
      </c>
      <c r="L6959" s="7">
        <v>515</v>
      </c>
      <c r="M6959" s="10">
        <f t="shared" si="431"/>
        <v>33.097087378640779</v>
      </c>
    </row>
    <row r="6960" spans="1:19" hidden="1" x14ac:dyDescent="0.3">
      <c r="A6960" s="9">
        <v>6173</v>
      </c>
      <c r="B6960" t="s">
        <v>258</v>
      </c>
      <c r="C6960" s="25">
        <v>44729</v>
      </c>
      <c r="D6960" s="26">
        <v>0.69097222222222221</v>
      </c>
      <c r="E6960" t="s">
        <v>29</v>
      </c>
      <c r="F6960" t="s">
        <v>651</v>
      </c>
      <c r="G6960" t="s">
        <v>172</v>
      </c>
      <c r="H6960" t="s">
        <v>259</v>
      </c>
      <c r="I6960">
        <v>124.58</v>
      </c>
      <c r="J6960" s="32">
        <v>0</v>
      </c>
      <c r="K6960" s="94">
        <v>349</v>
      </c>
      <c r="L6960" s="7">
        <v>349</v>
      </c>
      <c r="M6960" s="10">
        <f t="shared" si="431"/>
        <v>35.696275071633238</v>
      </c>
    </row>
    <row r="6961" spans="1:13" hidden="1" x14ac:dyDescent="0.3">
      <c r="A6961" s="9">
        <v>6271</v>
      </c>
      <c r="B6961" t="s">
        <v>258</v>
      </c>
      <c r="C6961" s="25">
        <v>44732</v>
      </c>
      <c r="D6961" s="26">
        <v>0.36284722222222227</v>
      </c>
      <c r="E6961" t="s">
        <v>29</v>
      </c>
      <c r="F6961" t="s">
        <v>645</v>
      </c>
      <c r="G6961" t="s">
        <v>279</v>
      </c>
      <c r="H6961" t="s">
        <v>259</v>
      </c>
      <c r="I6961">
        <v>285.23</v>
      </c>
      <c r="J6961" s="32">
        <v>0</v>
      </c>
      <c r="K6961" s="94">
        <v>1443</v>
      </c>
      <c r="L6961" s="7">
        <v>1443</v>
      </c>
      <c r="M6961" s="10">
        <f t="shared" si="431"/>
        <v>19.766458766458765</v>
      </c>
    </row>
    <row r="6962" spans="1:13" hidden="1" x14ac:dyDescent="0.3">
      <c r="A6962" s="9">
        <v>6305</v>
      </c>
      <c r="B6962" t="s">
        <v>258</v>
      </c>
      <c r="C6962" s="25">
        <v>44733</v>
      </c>
      <c r="D6962" s="26">
        <v>0.58401620370370366</v>
      </c>
      <c r="E6962" t="s">
        <v>29</v>
      </c>
      <c r="F6962" t="s">
        <v>642</v>
      </c>
      <c r="G6962" t="s">
        <v>203</v>
      </c>
      <c r="H6962" t="s">
        <v>259</v>
      </c>
      <c r="I6962">
        <v>305.98</v>
      </c>
      <c r="J6962" s="32">
        <v>0</v>
      </c>
      <c r="K6962" s="94">
        <v>877</v>
      </c>
      <c r="L6962" s="34">
        <v>877</v>
      </c>
      <c r="M6962" s="10">
        <f t="shared" si="431"/>
        <v>34.889395667046749</v>
      </c>
    </row>
    <row r="6963" spans="1:13" hidden="1" x14ac:dyDescent="0.3">
      <c r="A6963" s="9">
        <v>6348</v>
      </c>
      <c r="B6963" t="s">
        <v>258</v>
      </c>
      <c r="C6963" s="25">
        <v>44734</v>
      </c>
      <c r="D6963" s="26">
        <v>0.61391203703703701</v>
      </c>
      <c r="E6963" t="s">
        <v>29</v>
      </c>
      <c r="F6963" t="s">
        <v>645</v>
      </c>
      <c r="G6963" t="s">
        <v>279</v>
      </c>
      <c r="H6963" t="s">
        <v>259</v>
      </c>
      <c r="I6963">
        <v>306</v>
      </c>
      <c r="J6963" s="32">
        <v>0</v>
      </c>
      <c r="K6963" s="94">
        <v>725</v>
      </c>
      <c r="L6963" s="7">
        <v>725</v>
      </c>
      <c r="M6963" s="10">
        <f t="shared" si="431"/>
        <v>42.206896551724135</v>
      </c>
    </row>
    <row r="6964" spans="1:13" ht="15.75" hidden="1" customHeight="1" x14ac:dyDescent="0.3">
      <c r="A6964" s="9">
        <v>6349</v>
      </c>
      <c r="B6964" t="s">
        <v>258</v>
      </c>
      <c r="C6964" s="25">
        <v>44734</v>
      </c>
      <c r="D6964" s="26">
        <v>0.94146990740740744</v>
      </c>
      <c r="E6964" t="s">
        <v>29</v>
      </c>
      <c r="F6964" t="s">
        <v>632</v>
      </c>
      <c r="G6964" t="s">
        <v>161</v>
      </c>
      <c r="H6964" t="s">
        <v>259</v>
      </c>
      <c r="I6964">
        <v>121.58</v>
      </c>
      <c r="J6964" s="32">
        <v>0</v>
      </c>
      <c r="K6964" s="94">
        <v>430</v>
      </c>
      <c r="L6964" s="7">
        <v>430</v>
      </c>
      <c r="M6964" s="10">
        <f t="shared" si="431"/>
        <v>28.274418604651164</v>
      </c>
    </row>
    <row r="6965" spans="1:13" hidden="1" x14ac:dyDescent="0.3">
      <c r="A6965" s="9">
        <v>6452</v>
      </c>
      <c r="B6965" t="s">
        <v>258</v>
      </c>
      <c r="C6965" s="25">
        <v>44736</v>
      </c>
      <c r="D6965" s="26">
        <v>0.3029513888888889</v>
      </c>
      <c r="E6965" t="s">
        <v>29</v>
      </c>
      <c r="F6965" t="s">
        <v>734</v>
      </c>
      <c r="G6965" t="s">
        <v>277</v>
      </c>
      <c r="H6965" t="s">
        <v>259</v>
      </c>
      <c r="I6965">
        <v>280.89</v>
      </c>
      <c r="J6965" s="52">
        <v>0</v>
      </c>
      <c r="K6965" s="88">
        <v>688</v>
      </c>
      <c r="L6965" s="51">
        <v>688</v>
      </c>
      <c r="M6965" s="10">
        <f t="shared" si="431"/>
        <v>40.827034883720934</v>
      </c>
    </row>
    <row r="6966" spans="1:13" hidden="1" x14ac:dyDescent="0.3">
      <c r="A6966" s="9">
        <v>6508</v>
      </c>
      <c r="B6966" t="s">
        <v>258</v>
      </c>
      <c r="C6966" s="25">
        <v>44737</v>
      </c>
      <c r="D6966" s="26">
        <v>0.53145833333333337</v>
      </c>
      <c r="E6966" t="s">
        <v>29</v>
      </c>
      <c r="F6966" t="s">
        <v>634</v>
      </c>
      <c r="G6966" t="s">
        <v>211</v>
      </c>
      <c r="H6966" t="s">
        <v>259</v>
      </c>
      <c r="I6966">
        <v>397.87</v>
      </c>
      <c r="J6966" s="32">
        <v>0</v>
      </c>
      <c r="K6966" s="90">
        <v>943</v>
      </c>
      <c r="L6966" s="11">
        <v>943</v>
      </c>
      <c r="M6966" s="10">
        <f t="shared" si="431"/>
        <v>42.191940615058328</v>
      </c>
    </row>
    <row r="6967" spans="1:13" hidden="1" x14ac:dyDescent="0.3">
      <c r="A6967" s="9">
        <v>6559</v>
      </c>
      <c r="B6967" t="s">
        <v>258</v>
      </c>
      <c r="C6967" s="25">
        <v>44738</v>
      </c>
      <c r="D6967" s="26">
        <v>0.4613888888888889</v>
      </c>
      <c r="E6967" t="s">
        <v>29</v>
      </c>
      <c r="F6967" t="s">
        <v>660</v>
      </c>
      <c r="G6967" t="s">
        <v>397</v>
      </c>
      <c r="H6967" t="s">
        <v>259</v>
      </c>
      <c r="I6967">
        <v>247.47</v>
      </c>
      <c r="J6967" s="37">
        <v>0</v>
      </c>
      <c r="K6967" s="97">
        <v>582</v>
      </c>
      <c r="L6967" s="34">
        <v>582</v>
      </c>
      <c r="M6967" s="10">
        <f t="shared" si="431"/>
        <v>42.520618556701031</v>
      </c>
    </row>
    <row r="6968" spans="1:13" hidden="1" x14ac:dyDescent="0.3">
      <c r="A6968" s="9">
        <v>6560</v>
      </c>
      <c r="B6968" t="s">
        <v>258</v>
      </c>
      <c r="C6968" s="25">
        <v>44738</v>
      </c>
      <c r="D6968" s="26">
        <v>0.73581018518518526</v>
      </c>
      <c r="E6968" t="s">
        <v>29</v>
      </c>
      <c r="F6968" t="s">
        <v>634</v>
      </c>
      <c r="G6968" t="s">
        <v>211</v>
      </c>
      <c r="H6968" t="s">
        <v>259</v>
      </c>
      <c r="I6968">
        <v>108.07</v>
      </c>
      <c r="J6968" s="32">
        <v>0</v>
      </c>
      <c r="K6968" s="94">
        <v>323</v>
      </c>
      <c r="L6968" s="7">
        <v>323</v>
      </c>
      <c r="M6968" s="10">
        <f t="shared" si="431"/>
        <v>33.45820433436532</v>
      </c>
    </row>
    <row r="6969" spans="1:13" hidden="1" x14ac:dyDescent="0.3">
      <c r="A6969" s="9">
        <v>6612</v>
      </c>
      <c r="B6969" t="s">
        <v>258</v>
      </c>
      <c r="C6969" s="25">
        <v>44739</v>
      </c>
      <c r="D6969" s="26">
        <v>0.70702546296296298</v>
      </c>
      <c r="E6969" t="s">
        <v>29</v>
      </c>
      <c r="F6969" t="s">
        <v>638</v>
      </c>
      <c r="G6969" t="s">
        <v>263</v>
      </c>
      <c r="H6969" t="s">
        <v>259</v>
      </c>
      <c r="I6969">
        <v>200</v>
      </c>
      <c r="J6969" s="32">
        <v>0</v>
      </c>
      <c r="K6969" s="94">
        <v>796</v>
      </c>
      <c r="L6969" s="7">
        <v>796</v>
      </c>
      <c r="M6969" s="10">
        <f t="shared" si="431"/>
        <v>25.125628140703515</v>
      </c>
    </row>
    <row r="6970" spans="1:13" hidden="1" x14ac:dyDescent="0.3">
      <c r="A6970" s="9">
        <v>6676</v>
      </c>
      <c r="B6970" t="s">
        <v>258</v>
      </c>
      <c r="C6970" s="25">
        <v>44740</v>
      </c>
      <c r="D6970" s="26">
        <v>0.50556712962962969</v>
      </c>
      <c r="E6970" t="s">
        <v>29</v>
      </c>
      <c r="F6970" t="s">
        <v>639</v>
      </c>
      <c r="G6970" t="s">
        <v>44</v>
      </c>
      <c r="H6970" t="s">
        <v>259</v>
      </c>
      <c r="I6970">
        <v>223</v>
      </c>
      <c r="J6970" s="32">
        <v>0</v>
      </c>
      <c r="K6970" s="90">
        <v>300</v>
      </c>
      <c r="L6970" s="34">
        <v>300</v>
      </c>
      <c r="M6970" s="10">
        <f t="shared" si="431"/>
        <v>74.333333333333329</v>
      </c>
    </row>
    <row r="6971" spans="1:13" hidden="1" x14ac:dyDescent="0.3">
      <c r="A6971" s="9">
        <v>6730</v>
      </c>
      <c r="B6971" t="s">
        <v>258</v>
      </c>
      <c r="C6971" s="25">
        <v>44741</v>
      </c>
      <c r="D6971" s="26">
        <v>9.9398148148148138E-2</v>
      </c>
      <c r="E6971" t="s">
        <v>29</v>
      </c>
      <c r="F6971" t="s">
        <v>632</v>
      </c>
      <c r="G6971" t="s">
        <v>161</v>
      </c>
      <c r="H6971" t="s">
        <v>259</v>
      </c>
      <c r="I6971">
        <v>134.77000000000001</v>
      </c>
      <c r="J6971" s="32">
        <v>0</v>
      </c>
      <c r="K6971" s="90">
        <v>510</v>
      </c>
      <c r="L6971" s="7">
        <v>510</v>
      </c>
      <c r="M6971" s="10">
        <f t="shared" si="431"/>
        <v>26.425490196078432</v>
      </c>
    </row>
    <row r="6972" spans="1:13" hidden="1" x14ac:dyDescent="0.3">
      <c r="A6972" s="9">
        <v>6731</v>
      </c>
      <c r="B6972" t="s">
        <v>258</v>
      </c>
      <c r="C6972" s="25">
        <v>44741</v>
      </c>
      <c r="D6972" s="26">
        <v>0.76131944444444455</v>
      </c>
      <c r="E6972" t="s">
        <v>29</v>
      </c>
      <c r="F6972" t="s">
        <v>645</v>
      </c>
      <c r="G6972" t="s">
        <v>279</v>
      </c>
      <c r="H6972" t="s">
        <v>259</v>
      </c>
      <c r="I6972">
        <v>200.89</v>
      </c>
      <c r="J6972" s="32">
        <v>0</v>
      </c>
      <c r="K6972" s="90">
        <v>639</v>
      </c>
      <c r="L6972" s="7">
        <v>639</v>
      </c>
      <c r="M6972" s="10">
        <f t="shared" si="431"/>
        <v>31.438184663536774</v>
      </c>
    </row>
    <row r="6973" spans="1:13" hidden="1" x14ac:dyDescent="0.3">
      <c r="A6973" s="9">
        <v>6751</v>
      </c>
      <c r="B6973" t="s">
        <v>258</v>
      </c>
      <c r="C6973" s="25">
        <v>44742</v>
      </c>
      <c r="D6973" s="26">
        <v>0.40692129629629631</v>
      </c>
      <c r="E6973" t="s">
        <v>29</v>
      </c>
      <c r="F6973" t="s">
        <v>202</v>
      </c>
      <c r="G6973" t="s">
        <v>203</v>
      </c>
      <c r="H6973" t="s">
        <v>259</v>
      </c>
      <c r="I6973">
        <v>157.46</v>
      </c>
      <c r="J6973" s="8"/>
      <c r="K6973" s="8">
        <v>489615</v>
      </c>
      <c r="L6973" s="86">
        <f>+K6973-J6973</f>
        <v>489615</v>
      </c>
      <c r="M6973" s="10">
        <f>I6973/L6973*100</f>
        <v>3.2159962419452015E-2</v>
      </c>
    </row>
    <row r="6974" spans="1:13" hidden="1" x14ac:dyDescent="0.3">
      <c r="A6974" s="9">
        <v>6751</v>
      </c>
      <c r="B6974" t="s">
        <v>258</v>
      </c>
      <c r="C6974" s="25">
        <v>44742</v>
      </c>
      <c r="D6974" s="26">
        <v>0.88089120370370377</v>
      </c>
      <c r="E6974" t="s">
        <v>29</v>
      </c>
      <c r="F6974" t="s">
        <v>202</v>
      </c>
      <c r="G6974" t="s">
        <v>203</v>
      </c>
      <c r="H6974" t="s">
        <v>259</v>
      </c>
      <c r="I6974">
        <v>182.96</v>
      </c>
      <c r="J6974" s="54"/>
      <c r="K6974" s="45">
        <v>490150</v>
      </c>
      <c r="L6974" s="54">
        <f>+K6974-J6974</f>
        <v>490150</v>
      </c>
      <c r="M6974" s="131">
        <f>I6974/L6974*100</f>
        <v>3.732734877078446E-2</v>
      </c>
    </row>
    <row r="6975" spans="1:13" hidden="1" x14ac:dyDescent="0.3">
      <c r="A6975" s="9">
        <v>6751</v>
      </c>
      <c r="B6975" t="s">
        <v>756</v>
      </c>
      <c r="C6975" s="25">
        <v>44759</v>
      </c>
      <c r="D6975" s="26">
        <v>0.75388888888888894</v>
      </c>
      <c r="E6975" t="s">
        <v>30</v>
      </c>
      <c r="F6975" t="s">
        <v>210</v>
      </c>
      <c r="G6975" t="s">
        <v>211</v>
      </c>
      <c r="H6975" t="s">
        <v>313</v>
      </c>
      <c r="I6975" s="173" t="s">
        <v>962</v>
      </c>
      <c r="J6975" s="231">
        <f>150+248+368+338+325</f>
        <v>1429</v>
      </c>
      <c r="K6975" s="151"/>
      <c r="L6975" s="151">
        <v>3695</v>
      </c>
      <c r="M6975" s="150">
        <f>+J6975/L6975*100</f>
        <v>38.673883626522326</v>
      </c>
    </row>
    <row r="6976" spans="1:13" hidden="1" x14ac:dyDescent="0.3">
      <c r="B6976" t="s">
        <v>756</v>
      </c>
      <c r="C6976" s="25">
        <v>44768</v>
      </c>
      <c r="D6976" s="26">
        <v>0.41869212962962959</v>
      </c>
      <c r="E6976" t="s">
        <v>30</v>
      </c>
      <c r="F6976" t="s">
        <v>175</v>
      </c>
      <c r="G6976" t="s">
        <v>172</v>
      </c>
      <c r="H6976" t="s">
        <v>313</v>
      </c>
      <c r="I6976" s="160">
        <v>349.7</v>
      </c>
      <c r="J6976" s="8"/>
      <c r="K6976" s="8"/>
      <c r="L6976" s="8"/>
      <c r="M6976" s="254"/>
    </row>
    <row r="6977" spans="1:13" hidden="1" x14ac:dyDescent="0.3">
      <c r="B6977" t="s">
        <v>756</v>
      </c>
      <c r="C6977" s="25">
        <v>44769</v>
      </c>
      <c r="D6977" s="26">
        <v>0.68380787037037039</v>
      </c>
      <c r="E6977" t="s">
        <v>30</v>
      </c>
      <c r="F6977" t="s">
        <v>210</v>
      </c>
      <c r="G6977" t="s">
        <v>211</v>
      </c>
      <c r="H6977" t="s">
        <v>313</v>
      </c>
      <c r="I6977" s="160">
        <v>379.61</v>
      </c>
      <c r="J6977" s="160">
        <f>380+350</f>
        <v>730</v>
      </c>
      <c r="K6977" s="160">
        <v>5252</v>
      </c>
      <c r="L6977" s="160">
        <v>1766</v>
      </c>
      <c r="M6977" s="150">
        <f>+J6977/L6977*100</f>
        <v>41.336353340883356</v>
      </c>
    </row>
    <row r="6978" spans="1:13" ht="14.25" hidden="1" customHeight="1" x14ac:dyDescent="0.3">
      <c r="B6978" t="s">
        <v>756</v>
      </c>
      <c r="C6978" s="25">
        <v>44770</v>
      </c>
      <c r="D6978" s="26">
        <v>0.12914351851851852</v>
      </c>
      <c r="E6978" t="s">
        <v>30</v>
      </c>
      <c r="F6978" t="s">
        <v>165</v>
      </c>
      <c r="G6978" t="s">
        <v>185</v>
      </c>
      <c r="H6978" t="s">
        <v>313</v>
      </c>
      <c r="I6978" s="160">
        <v>244.73</v>
      </c>
      <c r="J6978" s="8"/>
      <c r="K6978" s="8"/>
      <c r="L6978" s="8"/>
      <c r="M6978" s="254"/>
    </row>
    <row r="6979" spans="1:13" ht="14.25" hidden="1" customHeight="1" x14ac:dyDescent="0.3">
      <c r="A6979" s="9">
        <v>4994</v>
      </c>
      <c r="B6979" t="s">
        <v>646</v>
      </c>
      <c r="C6979" s="25">
        <v>44707</v>
      </c>
      <c r="D6979" s="26">
        <v>0.46780092592592593</v>
      </c>
      <c r="E6979" t="s">
        <v>28</v>
      </c>
      <c r="F6979" t="s">
        <v>647</v>
      </c>
      <c r="G6979" t="s">
        <v>242</v>
      </c>
      <c r="H6979" t="s">
        <v>648</v>
      </c>
      <c r="I6979">
        <v>32.01</v>
      </c>
      <c r="J6979" s="34"/>
      <c r="K6979" s="97" t="e">
        <f>+L6979-#REF!</f>
        <v>#REF!</v>
      </c>
      <c r="L6979" s="34"/>
      <c r="M6979" s="61" t="e">
        <f t="shared" ref="M6979:M6984" si="432">I6979/K6979*100</f>
        <v>#REF!</v>
      </c>
    </row>
    <row r="6980" spans="1:13" ht="14.25" hidden="1" customHeight="1" x14ac:dyDescent="0.3">
      <c r="A6980" s="9">
        <v>5289</v>
      </c>
      <c r="B6980" t="s">
        <v>646</v>
      </c>
      <c r="C6980" s="25">
        <v>44713</v>
      </c>
      <c r="D6980" s="26">
        <v>0.33976851851851847</v>
      </c>
      <c r="E6980" t="s">
        <v>29</v>
      </c>
      <c r="F6980" t="s">
        <v>700</v>
      </c>
      <c r="G6980" t="s">
        <v>388</v>
      </c>
      <c r="H6980" t="s">
        <v>648</v>
      </c>
      <c r="I6980">
        <v>39.450000000000003</v>
      </c>
      <c r="J6980" s="71">
        <v>0</v>
      </c>
      <c r="K6980" s="97"/>
      <c r="L6980" s="120"/>
      <c r="M6980" s="10" t="e">
        <f t="shared" si="432"/>
        <v>#DIV/0!</v>
      </c>
    </row>
    <row r="6981" spans="1:13" ht="14.25" hidden="1" customHeight="1" x14ac:dyDescent="0.3">
      <c r="A6981" s="9">
        <v>5290</v>
      </c>
      <c r="B6981" t="s">
        <v>646</v>
      </c>
      <c r="C6981" s="25">
        <v>44713</v>
      </c>
      <c r="D6981" s="26">
        <v>0.71673611111111113</v>
      </c>
      <c r="E6981" t="s">
        <v>29</v>
      </c>
      <c r="F6981" t="s">
        <v>701</v>
      </c>
      <c r="G6981" t="s">
        <v>235</v>
      </c>
      <c r="H6981" t="s">
        <v>648</v>
      </c>
      <c r="I6981">
        <v>33.54</v>
      </c>
      <c r="J6981" s="32">
        <v>0</v>
      </c>
      <c r="K6981" s="90"/>
      <c r="L6981" s="23"/>
      <c r="M6981" s="10" t="e">
        <f t="shared" si="432"/>
        <v>#DIV/0!</v>
      </c>
    </row>
    <row r="6982" spans="1:13" ht="14.25" hidden="1" customHeight="1" x14ac:dyDescent="0.3">
      <c r="A6982" s="9">
        <v>5356</v>
      </c>
      <c r="B6982" t="s">
        <v>646</v>
      </c>
      <c r="C6982" s="25">
        <v>44714</v>
      </c>
      <c r="D6982" s="26">
        <v>0.46583333333333332</v>
      </c>
      <c r="E6982" t="s">
        <v>29</v>
      </c>
      <c r="F6982" t="s">
        <v>676</v>
      </c>
      <c r="G6982" t="s">
        <v>562</v>
      </c>
      <c r="H6982" t="s">
        <v>648</v>
      </c>
      <c r="I6982">
        <v>25.16</v>
      </c>
      <c r="J6982" s="23"/>
      <c r="K6982" s="90" t="e">
        <f>+L6982-#REF!</f>
        <v>#REF!</v>
      </c>
      <c r="L6982" s="23"/>
      <c r="M6982" s="10" t="e">
        <f t="shared" si="432"/>
        <v>#REF!</v>
      </c>
    </row>
    <row r="6983" spans="1:13" ht="14.25" hidden="1" customHeight="1" x14ac:dyDescent="0.3">
      <c r="A6983" s="9">
        <v>5996</v>
      </c>
      <c r="B6983" t="s">
        <v>646</v>
      </c>
      <c r="C6983" s="25">
        <v>44726</v>
      </c>
      <c r="D6983" s="26">
        <v>0.62392361111111116</v>
      </c>
      <c r="E6983" t="s">
        <v>29</v>
      </c>
      <c r="F6983" t="s">
        <v>745</v>
      </c>
      <c r="G6983" t="s">
        <v>388</v>
      </c>
      <c r="H6983" t="s">
        <v>746</v>
      </c>
      <c r="I6983">
        <v>64.819999999999993</v>
      </c>
      <c r="J6983" s="32">
        <v>0</v>
      </c>
      <c r="K6983" s="90"/>
      <c r="L6983" s="23"/>
      <c r="M6983" s="10" t="e">
        <f t="shared" si="432"/>
        <v>#DIV/0!</v>
      </c>
    </row>
    <row r="6984" spans="1:13" hidden="1" x14ac:dyDescent="0.3">
      <c r="A6984" s="9">
        <v>6110</v>
      </c>
      <c r="B6984" t="s">
        <v>646</v>
      </c>
      <c r="C6984" s="25">
        <v>44728</v>
      </c>
      <c r="D6984" s="26">
        <v>0.65158564814814812</v>
      </c>
      <c r="E6984" t="s">
        <v>29</v>
      </c>
      <c r="F6984" t="s">
        <v>753</v>
      </c>
      <c r="G6984" t="s">
        <v>388</v>
      </c>
      <c r="H6984" t="s">
        <v>648</v>
      </c>
      <c r="I6984">
        <v>31.88</v>
      </c>
      <c r="J6984" s="32">
        <v>0</v>
      </c>
      <c r="K6984" s="102"/>
      <c r="L6984" s="49"/>
      <c r="M6984" s="10" t="e">
        <f t="shared" si="432"/>
        <v>#DIV/0!</v>
      </c>
    </row>
    <row r="6985" spans="1:13" hidden="1" x14ac:dyDescent="0.3">
      <c r="A6985" s="9">
        <v>6302</v>
      </c>
      <c r="B6985" t="s">
        <v>646</v>
      </c>
      <c r="C6985" s="25">
        <v>44733</v>
      </c>
      <c r="D6985" s="26">
        <v>0.37914351851851852</v>
      </c>
      <c r="E6985" t="s">
        <v>29</v>
      </c>
      <c r="F6985" t="s">
        <v>664</v>
      </c>
      <c r="G6985" t="s">
        <v>388</v>
      </c>
      <c r="H6985" t="s">
        <v>648</v>
      </c>
      <c r="I6985">
        <v>32.700000000000003</v>
      </c>
      <c r="J6985" s="32">
        <v>0</v>
      </c>
      <c r="K6985" s="90"/>
      <c r="L6985" s="49"/>
      <c r="M6985" s="15"/>
    </row>
    <row r="6986" spans="1:13" hidden="1" x14ac:dyDescent="0.3">
      <c r="A6986" s="9">
        <v>1764</v>
      </c>
      <c r="B6986" t="s">
        <v>528</v>
      </c>
      <c r="C6986" s="25">
        <v>44651</v>
      </c>
      <c r="D6986" s="26">
        <v>0.44208333333333333</v>
      </c>
      <c r="E6986" t="s">
        <v>26</v>
      </c>
      <c r="F6986" t="s">
        <v>226</v>
      </c>
      <c r="G6986" t="s">
        <v>227</v>
      </c>
      <c r="H6986" t="s">
        <v>529</v>
      </c>
      <c r="I6986">
        <v>171.69</v>
      </c>
      <c r="J6986" s="8"/>
      <c r="K6986" s="90">
        <f>+L6986-J6986</f>
        <v>9998</v>
      </c>
      <c r="L6986" s="54">
        <v>9998</v>
      </c>
      <c r="M6986" s="10">
        <f>I6986/K6986*100</f>
        <v>1.7172434486897381</v>
      </c>
    </row>
    <row r="6987" spans="1:13" ht="12.75" hidden="1" customHeight="1" x14ac:dyDescent="0.3">
      <c r="A6987" s="9">
        <v>3770</v>
      </c>
      <c r="B6987" t="s">
        <v>528</v>
      </c>
      <c r="C6987" s="25">
        <v>44684</v>
      </c>
      <c r="D6987" s="26">
        <v>0.35228009259259263</v>
      </c>
      <c r="E6987" t="s">
        <v>28</v>
      </c>
      <c r="F6987" t="s">
        <v>226</v>
      </c>
      <c r="G6987" t="s">
        <v>227</v>
      </c>
      <c r="H6987" t="s">
        <v>529</v>
      </c>
      <c r="I6987">
        <v>150.46</v>
      </c>
      <c r="J6987" s="32">
        <v>0</v>
      </c>
      <c r="K6987" s="8"/>
      <c r="L6987" s="8">
        <v>9998</v>
      </c>
      <c r="M6987" s="10" t="e">
        <f>I6987/K6987*100</f>
        <v>#DIV/0!</v>
      </c>
    </row>
    <row r="6988" spans="1:13" hidden="1" x14ac:dyDescent="0.3">
      <c r="A6988" s="9">
        <v>6662</v>
      </c>
      <c r="B6988" t="s">
        <v>528</v>
      </c>
      <c r="C6988" s="25">
        <v>44740</v>
      </c>
      <c r="D6988" s="26">
        <v>0.4319560185185185</v>
      </c>
      <c r="E6988" t="s">
        <v>29</v>
      </c>
      <c r="F6988" t="s">
        <v>675</v>
      </c>
      <c r="G6988" t="s">
        <v>227</v>
      </c>
      <c r="H6988" t="s">
        <v>529</v>
      </c>
      <c r="I6988">
        <v>186.79</v>
      </c>
      <c r="J6988" s="37">
        <v>0</v>
      </c>
      <c r="K6988" s="97"/>
      <c r="L6988" s="49"/>
      <c r="M6988" s="15"/>
    </row>
    <row r="6989" spans="1:13" hidden="1" x14ac:dyDescent="0.3">
      <c r="A6989" s="9">
        <v>6595</v>
      </c>
      <c r="B6989" t="s">
        <v>249</v>
      </c>
      <c r="C6989" s="25">
        <v>44739</v>
      </c>
      <c r="D6989" s="26">
        <v>0.63567129629629626</v>
      </c>
      <c r="E6989" t="s">
        <v>29</v>
      </c>
      <c r="F6989" t="s">
        <v>634</v>
      </c>
      <c r="G6989" t="s">
        <v>211</v>
      </c>
      <c r="H6989" t="s">
        <v>440</v>
      </c>
      <c r="I6989" s="148">
        <v>285.72000000000003</v>
      </c>
      <c r="J6989" s="198">
        <f>286+348+422+100+278</f>
        <v>1434</v>
      </c>
      <c r="K6989" s="203">
        <v>724</v>
      </c>
      <c r="L6989" s="203">
        <v>3572</v>
      </c>
      <c r="M6989" s="229">
        <f>+J6989/L6989*100</f>
        <v>40.145576707726768</v>
      </c>
    </row>
    <row r="6990" spans="1:13" hidden="1" x14ac:dyDescent="0.3">
      <c r="B6990" t="s">
        <v>756</v>
      </c>
      <c r="C6990" s="25">
        <v>44770</v>
      </c>
      <c r="D6990" s="26">
        <v>0.63530092592592591</v>
      </c>
      <c r="E6990" t="s">
        <v>30</v>
      </c>
      <c r="F6990" t="s">
        <v>210</v>
      </c>
      <c r="G6990" t="s">
        <v>211</v>
      </c>
      <c r="H6990" t="s">
        <v>313</v>
      </c>
      <c r="I6990" s="160">
        <v>126.78</v>
      </c>
      <c r="J6990" s="8"/>
      <c r="K6990" s="8"/>
      <c r="L6990" s="8"/>
      <c r="M6990" s="254"/>
    </row>
    <row r="6991" spans="1:13" hidden="1" x14ac:dyDescent="0.3">
      <c r="B6991" t="s">
        <v>756</v>
      </c>
      <c r="C6991" s="25">
        <v>44771</v>
      </c>
      <c r="D6991" s="26">
        <v>0.71342592592592602</v>
      </c>
      <c r="E6991" t="s">
        <v>30</v>
      </c>
      <c r="F6991" t="s">
        <v>175</v>
      </c>
      <c r="G6991" t="s">
        <v>172</v>
      </c>
      <c r="H6991" t="s">
        <v>313</v>
      </c>
      <c r="I6991" s="160">
        <v>314.26</v>
      </c>
      <c r="J6991" s="8"/>
      <c r="K6991" s="8"/>
      <c r="L6991" s="8"/>
      <c r="M6991" s="254"/>
    </row>
    <row r="6992" spans="1:13" hidden="1" x14ac:dyDescent="0.3">
      <c r="B6992" t="s">
        <v>756</v>
      </c>
      <c r="C6992" s="25">
        <v>44772</v>
      </c>
      <c r="D6992" s="26">
        <v>0.91751157407407413</v>
      </c>
      <c r="E6992" t="s">
        <v>30</v>
      </c>
      <c r="F6992" t="s">
        <v>210</v>
      </c>
      <c r="G6992" t="s">
        <v>211</v>
      </c>
      <c r="H6992" t="s">
        <v>313</v>
      </c>
      <c r="I6992" s="161">
        <v>309.99</v>
      </c>
      <c r="J6992" s="161">
        <f>245+127+314+310</f>
        <v>996</v>
      </c>
      <c r="K6992" s="161">
        <v>5252</v>
      </c>
      <c r="L6992" s="161">
        <v>2896</v>
      </c>
      <c r="M6992" s="152">
        <f>+J6992/L6992*100</f>
        <v>34.392265193370164</v>
      </c>
    </row>
    <row r="6993" spans="1:13" hidden="1" x14ac:dyDescent="0.3">
      <c r="B6993" t="s">
        <v>249</v>
      </c>
      <c r="C6993" s="25">
        <v>44566</v>
      </c>
      <c r="D6993" s="26">
        <v>0.38393518518518516</v>
      </c>
      <c r="E6993" t="s">
        <v>24</v>
      </c>
      <c r="F6993" t="s">
        <v>202</v>
      </c>
      <c r="G6993" t="s">
        <v>203</v>
      </c>
      <c r="H6993" t="s">
        <v>137</v>
      </c>
      <c r="I6993">
        <v>150</v>
      </c>
      <c r="J6993" s="34">
        <v>0</v>
      </c>
      <c r="K6993" s="29">
        <f t="shared" ref="K6993:K7024" si="433">+L6993-J6993</f>
        <v>1798.36</v>
      </c>
      <c r="L6993" s="35">
        <v>1798.36</v>
      </c>
      <c r="M6993" s="61">
        <f t="shared" ref="M6993:M7024" si="434">I6993/K6993*100</f>
        <v>8.3409328499299367</v>
      </c>
    </row>
    <row r="6994" spans="1:13" hidden="1" x14ac:dyDescent="0.3">
      <c r="B6994" t="s">
        <v>249</v>
      </c>
      <c r="C6994" s="25">
        <v>44566</v>
      </c>
      <c r="D6994" s="26">
        <v>0.84802083333333333</v>
      </c>
      <c r="E6994" t="s">
        <v>24</v>
      </c>
      <c r="F6994" t="s">
        <v>346</v>
      </c>
      <c r="G6994" t="s">
        <v>203</v>
      </c>
      <c r="H6994" t="s">
        <v>137</v>
      </c>
      <c r="I6994">
        <v>785.08</v>
      </c>
      <c r="J6994" s="7">
        <v>0</v>
      </c>
      <c r="K6994" s="7">
        <f t="shared" si="433"/>
        <v>515.47</v>
      </c>
      <c r="L6994" s="7">
        <v>515.47</v>
      </c>
      <c r="M6994" s="10">
        <f t="shared" si="434"/>
        <v>152.30372281607077</v>
      </c>
    </row>
    <row r="6995" spans="1:13" hidden="1" x14ac:dyDescent="0.3">
      <c r="B6995" t="s">
        <v>249</v>
      </c>
      <c r="C6995" s="25">
        <v>44568</v>
      </c>
      <c r="D6995" s="26">
        <v>0.49899305555555556</v>
      </c>
      <c r="E6995" t="s">
        <v>24</v>
      </c>
      <c r="F6995" t="s">
        <v>210</v>
      </c>
      <c r="G6995" t="s">
        <v>211</v>
      </c>
      <c r="H6995" t="s">
        <v>137</v>
      </c>
      <c r="I6995">
        <v>448.6</v>
      </c>
      <c r="J6995" s="7">
        <v>0</v>
      </c>
      <c r="K6995" s="7">
        <f t="shared" si="433"/>
        <v>1088.78</v>
      </c>
      <c r="L6995" s="7">
        <v>1088.78</v>
      </c>
      <c r="M6995" s="10">
        <f t="shared" si="434"/>
        <v>41.202079391612635</v>
      </c>
    </row>
    <row r="6996" spans="1:13" hidden="1" x14ac:dyDescent="0.3">
      <c r="B6996" t="s">
        <v>249</v>
      </c>
      <c r="C6996" s="25">
        <v>44569</v>
      </c>
      <c r="D6996" s="26">
        <v>0.20802083333333332</v>
      </c>
      <c r="E6996" t="s">
        <v>24</v>
      </c>
      <c r="F6996" t="s">
        <v>175</v>
      </c>
      <c r="G6996" t="s">
        <v>172</v>
      </c>
      <c r="H6996" t="s">
        <v>137</v>
      </c>
      <c r="I6996">
        <v>409.21</v>
      </c>
      <c r="J6996" s="7">
        <v>0</v>
      </c>
      <c r="K6996" s="7">
        <f t="shared" si="433"/>
        <v>935.81</v>
      </c>
      <c r="L6996" s="7">
        <v>935.81</v>
      </c>
      <c r="M6996" s="10">
        <f t="shared" si="434"/>
        <v>43.727893482651389</v>
      </c>
    </row>
    <row r="6997" spans="1:13" hidden="1" x14ac:dyDescent="0.3">
      <c r="B6997" t="s">
        <v>249</v>
      </c>
      <c r="C6997" s="25">
        <v>44573</v>
      </c>
      <c r="D6997" s="26">
        <v>0.11780092592592593</v>
      </c>
      <c r="E6997" t="s">
        <v>24</v>
      </c>
      <c r="F6997" t="s">
        <v>210</v>
      </c>
      <c r="G6997" t="s">
        <v>211</v>
      </c>
      <c r="H6997" t="s">
        <v>137</v>
      </c>
      <c r="I6997">
        <f>35+777.26</f>
        <v>812.26</v>
      </c>
      <c r="J6997" s="7">
        <v>0</v>
      </c>
      <c r="K6997" s="7">
        <f t="shared" si="433"/>
        <v>2303.1</v>
      </c>
      <c r="L6997" s="7">
        <v>2303.1</v>
      </c>
      <c r="M6997" s="36">
        <f t="shared" si="434"/>
        <v>35.268116885936344</v>
      </c>
    </row>
    <row r="6998" spans="1:13" hidden="1" x14ac:dyDescent="0.3">
      <c r="B6998" t="s">
        <v>249</v>
      </c>
      <c r="C6998" s="25">
        <v>44590</v>
      </c>
      <c r="D6998" s="26">
        <v>0.59339120370370368</v>
      </c>
      <c r="E6998" t="s">
        <v>24</v>
      </c>
      <c r="F6998" t="s">
        <v>175</v>
      </c>
      <c r="G6998" t="s">
        <v>172</v>
      </c>
      <c r="H6998" t="s">
        <v>137</v>
      </c>
      <c r="I6998">
        <v>530.55999999999995</v>
      </c>
      <c r="J6998" s="7">
        <v>0</v>
      </c>
      <c r="K6998" s="7">
        <f t="shared" si="433"/>
        <v>1201.75</v>
      </c>
      <c r="L6998" s="7">
        <v>1201.75</v>
      </c>
      <c r="M6998" s="36">
        <f t="shared" si="434"/>
        <v>44.148949448720607</v>
      </c>
    </row>
    <row r="6999" spans="1:13" hidden="1" x14ac:dyDescent="0.3">
      <c r="B6999" t="s">
        <v>249</v>
      </c>
      <c r="C6999" s="25">
        <v>44592</v>
      </c>
      <c r="D6999" s="26">
        <v>0.7153356481481481</v>
      </c>
      <c r="E6999" t="s">
        <v>24</v>
      </c>
      <c r="F6999" t="s">
        <v>210</v>
      </c>
      <c r="G6999" t="s">
        <v>211</v>
      </c>
      <c r="H6999" t="s">
        <v>137</v>
      </c>
      <c r="I6999">
        <v>325.85000000000002</v>
      </c>
      <c r="J6999" s="31">
        <v>0</v>
      </c>
      <c r="K6999" s="31">
        <f t="shared" si="433"/>
        <v>706.73</v>
      </c>
      <c r="L6999" s="31">
        <v>706.73</v>
      </c>
      <c r="M6999" s="10">
        <f t="shared" si="434"/>
        <v>46.106716850848272</v>
      </c>
    </row>
    <row r="7000" spans="1:13" hidden="1" x14ac:dyDescent="0.3">
      <c r="A7000" s="9">
        <v>603</v>
      </c>
      <c r="B7000" t="s">
        <v>249</v>
      </c>
      <c r="C7000" s="25">
        <v>44611</v>
      </c>
      <c r="D7000" s="26">
        <v>0.7966550925925926</v>
      </c>
      <c r="E7000" t="s">
        <v>25</v>
      </c>
      <c r="F7000" t="s">
        <v>175</v>
      </c>
      <c r="G7000" t="s">
        <v>172</v>
      </c>
      <c r="H7000" t="s">
        <v>440</v>
      </c>
      <c r="I7000">
        <v>415.47</v>
      </c>
      <c r="J7000" s="32">
        <v>0</v>
      </c>
      <c r="K7000" s="33">
        <f t="shared" si="433"/>
        <v>1170.6400000000001</v>
      </c>
      <c r="L7000" s="33">
        <v>1170.6400000000001</v>
      </c>
      <c r="M7000" s="10">
        <f t="shared" si="434"/>
        <v>35.490842616004919</v>
      </c>
    </row>
    <row r="7001" spans="1:13" hidden="1" x14ac:dyDescent="0.3">
      <c r="A7001" s="9">
        <v>604</v>
      </c>
      <c r="B7001" t="s">
        <v>249</v>
      </c>
      <c r="C7001" s="25">
        <v>44612</v>
      </c>
      <c r="D7001" s="26">
        <v>0.46106481481481482</v>
      </c>
      <c r="E7001" t="s">
        <v>25</v>
      </c>
      <c r="F7001" t="s">
        <v>210</v>
      </c>
      <c r="G7001" t="s">
        <v>211</v>
      </c>
      <c r="H7001" t="s">
        <v>440</v>
      </c>
      <c r="I7001">
        <v>260.43</v>
      </c>
      <c r="J7001" s="32">
        <v>0</v>
      </c>
      <c r="K7001" s="32">
        <f t="shared" si="433"/>
        <v>697.16</v>
      </c>
      <c r="L7001" s="32">
        <v>697.16</v>
      </c>
      <c r="M7001" s="10">
        <f t="shared" si="434"/>
        <v>37.355843708761263</v>
      </c>
    </row>
    <row r="7002" spans="1:13" hidden="1" x14ac:dyDescent="0.3">
      <c r="A7002" s="9">
        <v>605</v>
      </c>
      <c r="B7002" t="s">
        <v>249</v>
      </c>
      <c r="C7002" s="25">
        <v>44613</v>
      </c>
      <c r="D7002" s="26">
        <v>0.84385416666666668</v>
      </c>
      <c r="E7002" t="s">
        <v>25</v>
      </c>
      <c r="F7002" t="s">
        <v>346</v>
      </c>
      <c r="G7002" t="s">
        <v>203</v>
      </c>
      <c r="H7002" t="s">
        <v>440</v>
      </c>
      <c r="I7002">
        <v>409.6</v>
      </c>
      <c r="J7002" s="32">
        <v>0</v>
      </c>
      <c r="K7002" s="32">
        <f t="shared" si="433"/>
        <v>1088.2</v>
      </c>
      <c r="L7002" s="32">
        <v>1088.2</v>
      </c>
      <c r="M7002" s="10">
        <f t="shared" si="434"/>
        <v>37.640139680205849</v>
      </c>
    </row>
    <row r="7003" spans="1:13" hidden="1" x14ac:dyDescent="0.3">
      <c r="A7003" s="9">
        <v>606</v>
      </c>
      <c r="B7003" t="s">
        <v>249</v>
      </c>
      <c r="C7003" s="25">
        <v>44614</v>
      </c>
      <c r="D7003" s="26">
        <v>0.8077199074074074</v>
      </c>
      <c r="E7003" t="s">
        <v>25</v>
      </c>
      <c r="F7003" t="s">
        <v>346</v>
      </c>
      <c r="G7003" t="s">
        <v>203</v>
      </c>
      <c r="H7003" t="s">
        <v>440</v>
      </c>
      <c r="I7003">
        <v>173.66</v>
      </c>
      <c r="J7003" s="37">
        <v>0</v>
      </c>
      <c r="K7003" s="37">
        <f t="shared" si="433"/>
        <v>522.75</v>
      </c>
      <c r="L7003" s="37">
        <v>522.75</v>
      </c>
      <c r="M7003" s="10">
        <f t="shared" si="434"/>
        <v>33.220468675274986</v>
      </c>
    </row>
    <row r="7004" spans="1:13" hidden="1" x14ac:dyDescent="0.3">
      <c r="A7004" s="9">
        <v>607</v>
      </c>
      <c r="B7004" t="s">
        <v>249</v>
      </c>
      <c r="C7004" s="25">
        <v>44616</v>
      </c>
      <c r="D7004" s="26">
        <v>0.46965277777777775</v>
      </c>
      <c r="E7004" t="s">
        <v>25</v>
      </c>
      <c r="F7004" t="s">
        <v>210</v>
      </c>
      <c r="G7004" t="s">
        <v>211</v>
      </c>
      <c r="H7004" t="s">
        <v>440</v>
      </c>
      <c r="I7004">
        <v>401.36</v>
      </c>
      <c r="J7004" s="37">
        <v>0</v>
      </c>
      <c r="K7004" s="112">
        <f t="shared" si="433"/>
        <v>1089.4000000000001</v>
      </c>
      <c r="L7004" s="37">
        <v>1089.4000000000001</v>
      </c>
      <c r="M7004" s="10">
        <f t="shared" si="434"/>
        <v>36.842298512942904</v>
      </c>
    </row>
    <row r="7005" spans="1:13" hidden="1" x14ac:dyDescent="0.3">
      <c r="A7005" s="9">
        <v>608</v>
      </c>
      <c r="B7005" t="s">
        <v>249</v>
      </c>
      <c r="C7005" s="25">
        <v>44618</v>
      </c>
      <c r="D7005" s="26">
        <v>0.48896990740740742</v>
      </c>
      <c r="E7005" t="s">
        <v>25</v>
      </c>
      <c r="F7005" t="s">
        <v>175</v>
      </c>
      <c r="G7005" t="s">
        <v>172</v>
      </c>
      <c r="H7005" t="s">
        <v>440</v>
      </c>
      <c r="I7005">
        <v>360.44</v>
      </c>
      <c r="J7005" s="32">
        <v>0</v>
      </c>
      <c r="K7005" s="32">
        <f t="shared" si="433"/>
        <v>1172.6500000000001</v>
      </c>
      <c r="L7005" s="32">
        <v>1172.6500000000001</v>
      </c>
      <c r="M7005" s="10">
        <f t="shared" si="434"/>
        <v>30.737219119089236</v>
      </c>
    </row>
    <row r="7006" spans="1:13" hidden="1" x14ac:dyDescent="0.3">
      <c r="A7006" s="9">
        <v>762</v>
      </c>
      <c r="B7006" t="s">
        <v>249</v>
      </c>
      <c r="C7006" s="25">
        <v>44594</v>
      </c>
      <c r="D7006" s="26">
        <v>0.90314814814814814</v>
      </c>
      <c r="E7006" t="s">
        <v>25</v>
      </c>
      <c r="F7006" t="s">
        <v>414</v>
      </c>
      <c r="G7006" t="s">
        <v>415</v>
      </c>
      <c r="H7006" t="s">
        <v>137</v>
      </c>
      <c r="I7006">
        <v>150.01</v>
      </c>
      <c r="J7006" s="7">
        <v>0</v>
      </c>
      <c r="K7006" s="30">
        <f t="shared" si="433"/>
        <v>2002.38</v>
      </c>
      <c r="L7006" s="34">
        <v>2002.38</v>
      </c>
      <c r="M7006" s="10">
        <f t="shared" si="434"/>
        <v>7.4915850138335376</v>
      </c>
    </row>
    <row r="7007" spans="1:13" hidden="1" x14ac:dyDescent="0.3">
      <c r="A7007" s="9">
        <v>763</v>
      </c>
      <c r="B7007" t="s">
        <v>249</v>
      </c>
      <c r="C7007" s="25">
        <v>44595</v>
      </c>
      <c r="D7007" s="26">
        <v>0.72750000000000004</v>
      </c>
      <c r="E7007" t="s">
        <v>25</v>
      </c>
      <c r="F7007" t="s">
        <v>175</v>
      </c>
      <c r="G7007" t="s">
        <v>172</v>
      </c>
      <c r="H7007" t="s">
        <v>137</v>
      </c>
      <c r="I7007">
        <v>706.04</v>
      </c>
      <c r="J7007" s="7">
        <v>0</v>
      </c>
      <c r="K7007" s="7">
        <f t="shared" si="433"/>
        <v>134.91</v>
      </c>
      <c r="L7007" s="7">
        <v>134.91</v>
      </c>
      <c r="M7007" s="10">
        <f t="shared" si="434"/>
        <v>523.34148691720407</v>
      </c>
    </row>
    <row r="7008" spans="1:13" hidden="1" x14ac:dyDescent="0.3">
      <c r="A7008" s="9">
        <v>764</v>
      </c>
      <c r="B7008" t="s">
        <v>249</v>
      </c>
      <c r="C7008" s="25">
        <v>44597</v>
      </c>
      <c r="D7008" s="26">
        <v>0.75353009259259263</v>
      </c>
      <c r="E7008" t="s">
        <v>25</v>
      </c>
      <c r="F7008" t="s">
        <v>210</v>
      </c>
      <c r="G7008" t="s">
        <v>211</v>
      </c>
      <c r="H7008" t="s">
        <v>137</v>
      </c>
      <c r="I7008">
        <v>420.01</v>
      </c>
      <c r="J7008" s="7">
        <v>0</v>
      </c>
      <c r="K7008" s="29">
        <f t="shared" si="433"/>
        <v>843.1</v>
      </c>
      <c r="L7008" s="35">
        <v>843.1</v>
      </c>
      <c r="M7008" s="10">
        <f t="shared" si="434"/>
        <v>49.8173407662199</v>
      </c>
    </row>
    <row r="7009" spans="1:13" ht="15.75" hidden="1" customHeight="1" x14ac:dyDescent="0.3">
      <c r="A7009" s="9">
        <v>765</v>
      </c>
      <c r="B7009" t="s">
        <v>249</v>
      </c>
      <c r="C7009" s="25">
        <v>44599</v>
      </c>
      <c r="D7009" s="26">
        <v>0.65622685185185181</v>
      </c>
      <c r="E7009" t="s">
        <v>25</v>
      </c>
      <c r="F7009" t="s">
        <v>346</v>
      </c>
      <c r="G7009" t="s">
        <v>203</v>
      </c>
      <c r="H7009" t="s">
        <v>137</v>
      </c>
      <c r="I7009">
        <v>617.55999999999995</v>
      </c>
      <c r="J7009" s="7">
        <v>0</v>
      </c>
      <c r="K7009" s="7">
        <f t="shared" si="433"/>
        <v>1605.12</v>
      </c>
      <c r="L7009" s="7">
        <v>1605.12</v>
      </c>
      <c r="M7009" s="10">
        <f t="shared" si="434"/>
        <v>38.474381977671449</v>
      </c>
    </row>
    <row r="7010" spans="1:13" hidden="1" x14ac:dyDescent="0.3">
      <c r="A7010" s="9">
        <v>766</v>
      </c>
      <c r="B7010" t="s">
        <v>249</v>
      </c>
      <c r="C7010" s="25">
        <v>44600</v>
      </c>
      <c r="D7010" s="26">
        <v>0.80181712962962959</v>
      </c>
      <c r="E7010" t="s">
        <v>25</v>
      </c>
      <c r="F7010" t="s">
        <v>210</v>
      </c>
      <c r="G7010" t="s">
        <v>211</v>
      </c>
      <c r="H7010" t="s">
        <v>137</v>
      </c>
      <c r="I7010">
        <v>410.91</v>
      </c>
      <c r="J7010" s="7">
        <v>0</v>
      </c>
      <c r="K7010" s="34">
        <f t="shared" si="433"/>
        <v>1087.6099999999999</v>
      </c>
      <c r="L7010" s="7">
        <v>1087.6099999999999</v>
      </c>
      <c r="M7010" s="10">
        <f t="shared" si="434"/>
        <v>37.781006059157242</v>
      </c>
    </row>
    <row r="7011" spans="1:13" hidden="1" x14ac:dyDescent="0.3">
      <c r="A7011" s="9">
        <v>767</v>
      </c>
      <c r="B7011" t="s">
        <v>249</v>
      </c>
      <c r="C7011" s="25">
        <v>44604</v>
      </c>
      <c r="D7011" s="26">
        <v>0.2714699074074074</v>
      </c>
      <c r="E7011" t="s">
        <v>25</v>
      </c>
      <c r="F7011" t="s">
        <v>175</v>
      </c>
      <c r="G7011" t="s">
        <v>172</v>
      </c>
      <c r="H7011" t="s">
        <v>137</v>
      </c>
      <c r="I7011">
        <v>395.69</v>
      </c>
      <c r="J7011" s="7">
        <v>0</v>
      </c>
      <c r="K7011" s="7">
        <f t="shared" si="433"/>
        <v>934.2</v>
      </c>
      <c r="L7011" s="30">
        <v>934.2</v>
      </c>
      <c r="M7011" s="10">
        <f t="shared" si="434"/>
        <v>42.35602654677799</v>
      </c>
    </row>
    <row r="7012" spans="1:13" hidden="1" x14ac:dyDescent="0.3">
      <c r="A7012" s="9">
        <v>768</v>
      </c>
      <c r="B7012" t="s">
        <v>249</v>
      </c>
      <c r="C7012" s="25">
        <v>44604</v>
      </c>
      <c r="D7012" s="26">
        <v>0.85552083333333329</v>
      </c>
      <c r="E7012" t="s">
        <v>25</v>
      </c>
      <c r="F7012" t="s">
        <v>210</v>
      </c>
      <c r="G7012" t="s">
        <v>211</v>
      </c>
      <c r="H7012" t="s">
        <v>137</v>
      </c>
      <c r="I7012">
        <v>359.63</v>
      </c>
      <c r="J7012" s="7">
        <v>0</v>
      </c>
      <c r="K7012" s="7">
        <f t="shared" si="433"/>
        <v>830.26</v>
      </c>
      <c r="L7012" s="7">
        <v>830.26</v>
      </c>
      <c r="M7012" s="10">
        <f t="shared" si="434"/>
        <v>43.31534699973502</v>
      </c>
    </row>
    <row r="7013" spans="1:13" hidden="1" x14ac:dyDescent="0.3">
      <c r="A7013" s="9">
        <v>769</v>
      </c>
      <c r="B7013" t="s">
        <v>249</v>
      </c>
      <c r="C7013" s="25">
        <v>44606</v>
      </c>
      <c r="D7013" s="26">
        <v>0.90425925925925921</v>
      </c>
      <c r="E7013" t="s">
        <v>25</v>
      </c>
      <c r="F7013" t="s">
        <v>346</v>
      </c>
      <c r="G7013" t="s">
        <v>203</v>
      </c>
      <c r="H7013" t="s">
        <v>137</v>
      </c>
      <c r="I7013">
        <v>620.29</v>
      </c>
      <c r="J7013" s="39">
        <v>0</v>
      </c>
      <c r="K7013" s="7">
        <f t="shared" si="433"/>
        <v>1065.3900000000001</v>
      </c>
      <c r="L7013" s="7">
        <v>1065.3900000000001</v>
      </c>
      <c r="M7013" s="10">
        <f t="shared" si="434"/>
        <v>58.221871802813986</v>
      </c>
    </row>
    <row r="7014" spans="1:13" ht="14.25" hidden="1" customHeight="1" x14ac:dyDescent="0.3">
      <c r="A7014" s="9">
        <v>770</v>
      </c>
      <c r="B7014" t="s">
        <v>249</v>
      </c>
      <c r="C7014" s="25">
        <v>44608</v>
      </c>
      <c r="D7014" s="26">
        <v>0.48074074074074075</v>
      </c>
      <c r="E7014" t="s">
        <v>25</v>
      </c>
      <c r="F7014" t="s">
        <v>210</v>
      </c>
      <c r="G7014" t="s">
        <v>211</v>
      </c>
      <c r="H7014" t="s">
        <v>137</v>
      </c>
      <c r="I7014">
        <v>175.81</v>
      </c>
      <c r="J7014" s="7">
        <v>0</v>
      </c>
      <c r="K7014" s="7">
        <f t="shared" si="433"/>
        <v>1146.17</v>
      </c>
      <c r="L7014" s="7">
        <v>1146.17</v>
      </c>
      <c r="M7014" s="10">
        <f t="shared" si="434"/>
        <v>15.338911330779901</v>
      </c>
    </row>
    <row r="7015" spans="1:13" ht="12.75" hidden="1" customHeight="1" x14ac:dyDescent="0.3">
      <c r="A7015" s="9">
        <v>1656</v>
      </c>
      <c r="B7015" t="s">
        <v>249</v>
      </c>
      <c r="C7015" s="25">
        <v>44626</v>
      </c>
      <c r="D7015" s="26">
        <v>0.29054398148148147</v>
      </c>
      <c r="E7015" t="s">
        <v>26</v>
      </c>
      <c r="F7015" t="s">
        <v>210</v>
      </c>
      <c r="G7015" t="s">
        <v>211</v>
      </c>
      <c r="H7015" t="s">
        <v>440</v>
      </c>
      <c r="I7015">
        <v>340.24</v>
      </c>
      <c r="J7015" s="32">
        <v>0</v>
      </c>
      <c r="K7015" s="97">
        <f t="shared" si="433"/>
        <v>916.66</v>
      </c>
      <c r="L7015" s="37">
        <v>916.66</v>
      </c>
      <c r="M7015" s="10">
        <f t="shared" si="434"/>
        <v>37.117360853533484</v>
      </c>
    </row>
    <row r="7016" spans="1:13" hidden="1" x14ac:dyDescent="0.3">
      <c r="A7016" s="9">
        <v>1657</v>
      </c>
      <c r="B7016" t="s">
        <v>249</v>
      </c>
      <c r="C7016" s="25">
        <v>44628</v>
      </c>
      <c r="D7016" s="26">
        <v>0.4598842592592593</v>
      </c>
      <c r="E7016" t="s">
        <v>26</v>
      </c>
      <c r="F7016" t="s">
        <v>210</v>
      </c>
      <c r="G7016" t="s">
        <v>211</v>
      </c>
      <c r="H7016" t="s">
        <v>440</v>
      </c>
      <c r="I7016">
        <v>391.36</v>
      </c>
      <c r="J7016" s="32">
        <v>0</v>
      </c>
      <c r="K7016" s="90">
        <f t="shared" si="433"/>
        <v>1105.8900000000001</v>
      </c>
      <c r="L7016" s="32">
        <v>1105.8900000000001</v>
      </c>
      <c r="M7016" s="10">
        <f t="shared" si="434"/>
        <v>35.388691461176066</v>
      </c>
    </row>
    <row r="7017" spans="1:13" hidden="1" x14ac:dyDescent="0.3">
      <c r="A7017" s="9">
        <v>1658</v>
      </c>
      <c r="B7017" t="s">
        <v>249</v>
      </c>
      <c r="C7017" s="25">
        <v>44629</v>
      </c>
      <c r="D7017" s="26">
        <v>0.88002314814814808</v>
      </c>
      <c r="E7017" t="s">
        <v>26</v>
      </c>
      <c r="F7017" t="s">
        <v>175</v>
      </c>
      <c r="G7017" t="s">
        <v>172</v>
      </c>
      <c r="H7017" t="s">
        <v>440</v>
      </c>
      <c r="I7017">
        <v>341.28</v>
      </c>
      <c r="J7017" s="32">
        <v>0</v>
      </c>
      <c r="K7017" s="101">
        <f t="shared" si="433"/>
        <v>948.85</v>
      </c>
      <c r="L7017" s="37">
        <v>948.85</v>
      </c>
      <c r="M7017" s="10">
        <f t="shared" si="434"/>
        <v>35.967750434736786</v>
      </c>
    </row>
    <row r="7018" spans="1:13" hidden="1" x14ac:dyDescent="0.3">
      <c r="A7018" s="9">
        <v>1659</v>
      </c>
      <c r="B7018" t="s">
        <v>249</v>
      </c>
      <c r="C7018" s="25">
        <v>44633</v>
      </c>
      <c r="D7018" s="26">
        <v>0.95406250000000004</v>
      </c>
      <c r="E7018" t="s">
        <v>26</v>
      </c>
      <c r="F7018" t="s">
        <v>175</v>
      </c>
      <c r="G7018" t="s">
        <v>172</v>
      </c>
      <c r="H7018" t="s">
        <v>440</v>
      </c>
      <c r="I7018">
        <v>377.3</v>
      </c>
      <c r="J7018" s="32">
        <v>0</v>
      </c>
      <c r="K7018" s="90">
        <f t="shared" si="433"/>
        <v>1098.6099999999999</v>
      </c>
      <c r="L7018" s="32">
        <v>1098.6099999999999</v>
      </c>
      <c r="M7018" s="10">
        <f t="shared" si="434"/>
        <v>34.343397566015241</v>
      </c>
    </row>
    <row r="7019" spans="1:13" hidden="1" x14ac:dyDescent="0.3">
      <c r="A7019" s="9">
        <v>1660</v>
      </c>
      <c r="B7019" t="s">
        <v>249</v>
      </c>
      <c r="C7019" s="25">
        <v>44634</v>
      </c>
      <c r="D7019" s="26">
        <v>0.64526620370370369</v>
      </c>
      <c r="E7019" t="s">
        <v>26</v>
      </c>
      <c r="F7019" t="s">
        <v>210</v>
      </c>
      <c r="G7019" t="s">
        <v>211</v>
      </c>
      <c r="H7019" t="s">
        <v>440</v>
      </c>
      <c r="I7019">
        <v>272.22000000000003</v>
      </c>
      <c r="J7019" s="37">
        <v>0</v>
      </c>
      <c r="K7019" s="101">
        <f t="shared" si="433"/>
        <v>697.39</v>
      </c>
      <c r="L7019" s="37">
        <v>697.39</v>
      </c>
      <c r="M7019" s="10">
        <f t="shared" si="434"/>
        <v>39.034112906694965</v>
      </c>
    </row>
    <row r="7020" spans="1:13" hidden="1" x14ac:dyDescent="0.3">
      <c r="A7020" s="9">
        <v>1661</v>
      </c>
      <c r="B7020" t="s">
        <v>249</v>
      </c>
      <c r="C7020" s="25">
        <v>44635</v>
      </c>
      <c r="D7020" s="26">
        <v>0.63530092592592591</v>
      </c>
      <c r="E7020" t="s">
        <v>26</v>
      </c>
      <c r="F7020" t="s">
        <v>210</v>
      </c>
      <c r="G7020" t="s">
        <v>211</v>
      </c>
      <c r="H7020" t="s">
        <v>440</v>
      </c>
      <c r="I7020">
        <v>303.85000000000002</v>
      </c>
      <c r="J7020" s="32">
        <v>0</v>
      </c>
      <c r="K7020" s="94">
        <f t="shared" si="433"/>
        <v>886.14</v>
      </c>
      <c r="L7020" s="37">
        <v>886.14</v>
      </c>
      <c r="M7020" s="10">
        <f t="shared" si="434"/>
        <v>34.289164240413484</v>
      </c>
    </row>
    <row r="7021" spans="1:13" hidden="1" x14ac:dyDescent="0.3">
      <c r="A7021" s="9">
        <v>1662</v>
      </c>
      <c r="B7021" t="s">
        <v>249</v>
      </c>
      <c r="C7021" s="25">
        <v>44636</v>
      </c>
      <c r="D7021" s="26">
        <v>0.72886574074074073</v>
      </c>
      <c r="E7021" t="s">
        <v>26</v>
      </c>
      <c r="F7021" t="s">
        <v>205</v>
      </c>
      <c r="G7021" t="s">
        <v>206</v>
      </c>
      <c r="H7021" t="s">
        <v>440</v>
      </c>
      <c r="I7021">
        <v>150</v>
      </c>
      <c r="J7021" s="32">
        <v>0</v>
      </c>
      <c r="K7021" s="94">
        <f t="shared" si="433"/>
        <v>1030.3</v>
      </c>
      <c r="L7021" s="32">
        <v>1030.3</v>
      </c>
      <c r="M7021" s="10">
        <f t="shared" si="434"/>
        <v>14.558866349606911</v>
      </c>
    </row>
    <row r="7022" spans="1:13" hidden="1" x14ac:dyDescent="0.3">
      <c r="A7022" s="9">
        <v>1663</v>
      </c>
      <c r="B7022" t="s">
        <v>249</v>
      </c>
      <c r="C7022" s="25">
        <v>44637</v>
      </c>
      <c r="D7022" s="26">
        <v>0.61196759259259259</v>
      </c>
      <c r="E7022" t="s">
        <v>26</v>
      </c>
      <c r="F7022" t="s">
        <v>210</v>
      </c>
      <c r="G7022" t="s">
        <v>211</v>
      </c>
      <c r="H7022" t="s">
        <v>440</v>
      </c>
      <c r="I7022">
        <v>480.02</v>
      </c>
      <c r="J7022" s="32">
        <v>0</v>
      </c>
      <c r="K7022" s="94">
        <f t="shared" si="433"/>
        <v>706.41</v>
      </c>
      <c r="L7022" s="32">
        <v>706.41</v>
      </c>
      <c r="M7022" s="10">
        <f t="shared" si="434"/>
        <v>67.952039184043272</v>
      </c>
    </row>
    <row r="7023" spans="1:13" hidden="1" x14ac:dyDescent="0.3">
      <c r="A7023" s="9">
        <v>1664</v>
      </c>
      <c r="B7023" t="s">
        <v>249</v>
      </c>
      <c r="C7023" s="25">
        <v>44638</v>
      </c>
      <c r="D7023" s="26">
        <v>0.92707175925925922</v>
      </c>
      <c r="E7023" t="s">
        <v>26</v>
      </c>
      <c r="F7023" t="s">
        <v>210</v>
      </c>
      <c r="G7023" t="s">
        <v>211</v>
      </c>
      <c r="H7023" t="s">
        <v>440</v>
      </c>
      <c r="I7023">
        <v>400.01</v>
      </c>
      <c r="J7023" s="32">
        <v>0</v>
      </c>
      <c r="K7023" s="104">
        <f t="shared" si="433"/>
        <v>1063.92</v>
      </c>
      <c r="L7023" s="32">
        <v>1063.92</v>
      </c>
      <c r="M7023" s="10">
        <f t="shared" si="434"/>
        <v>37.597751710654933</v>
      </c>
    </row>
    <row r="7024" spans="1:13" hidden="1" x14ac:dyDescent="0.3">
      <c r="A7024" s="9">
        <v>1665</v>
      </c>
      <c r="B7024" t="s">
        <v>249</v>
      </c>
      <c r="C7024" s="25">
        <v>44642</v>
      </c>
      <c r="D7024" s="26">
        <v>0.36790509259259258</v>
      </c>
      <c r="E7024" t="s">
        <v>26</v>
      </c>
      <c r="F7024" t="s">
        <v>175</v>
      </c>
      <c r="G7024" t="s">
        <v>172</v>
      </c>
      <c r="H7024" t="s">
        <v>440</v>
      </c>
      <c r="I7024">
        <v>418.71</v>
      </c>
      <c r="J7024" s="32">
        <v>0</v>
      </c>
      <c r="K7024" s="90">
        <f t="shared" si="433"/>
        <v>1261.75</v>
      </c>
      <c r="L7024" s="32">
        <v>1261.75</v>
      </c>
      <c r="M7024" s="36">
        <f t="shared" si="434"/>
        <v>33.184862294432335</v>
      </c>
    </row>
    <row r="7025" spans="1:13" hidden="1" x14ac:dyDescent="0.3">
      <c r="A7025" s="9">
        <v>1666</v>
      </c>
      <c r="B7025" t="s">
        <v>249</v>
      </c>
      <c r="C7025" s="25">
        <v>44644</v>
      </c>
      <c r="D7025" s="26">
        <v>0.52653935185185186</v>
      </c>
      <c r="E7025" t="s">
        <v>26</v>
      </c>
      <c r="F7025" t="s">
        <v>210</v>
      </c>
      <c r="G7025" t="s">
        <v>211</v>
      </c>
      <c r="H7025" t="s">
        <v>440</v>
      </c>
      <c r="I7025">
        <v>517.74</v>
      </c>
      <c r="J7025" s="37">
        <v>0</v>
      </c>
      <c r="K7025" s="90">
        <f t="shared" ref="K7025:K7047" si="435">+L7025-J7025</f>
        <v>1140.42</v>
      </c>
      <c r="L7025" s="32">
        <v>1140.42</v>
      </c>
      <c r="M7025" s="10">
        <f t="shared" ref="M7025:M7056" si="436">I7025/K7025*100</f>
        <v>45.399063502919972</v>
      </c>
    </row>
    <row r="7026" spans="1:13" hidden="1" x14ac:dyDescent="0.3">
      <c r="A7026" s="9">
        <v>1667</v>
      </c>
      <c r="B7026" t="s">
        <v>249</v>
      </c>
      <c r="C7026" s="25">
        <v>44645</v>
      </c>
      <c r="D7026" s="26">
        <v>0.46449074074074076</v>
      </c>
      <c r="E7026" t="s">
        <v>26</v>
      </c>
      <c r="F7026" t="s">
        <v>210</v>
      </c>
      <c r="G7026" t="s">
        <v>211</v>
      </c>
      <c r="H7026" t="s">
        <v>440</v>
      </c>
      <c r="I7026">
        <v>350.98</v>
      </c>
      <c r="J7026" s="32">
        <v>0</v>
      </c>
      <c r="K7026" s="90">
        <f t="shared" si="435"/>
        <v>885.59</v>
      </c>
      <c r="L7026" s="32">
        <v>885.59</v>
      </c>
      <c r="M7026" s="10">
        <f t="shared" si="436"/>
        <v>39.632335505143459</v>
      </c>
    </row>
    <row r="7027" spans="1:13" ht="19.5" hidden="1" customHeight="1" x14ac:dyDescent="0.3">
      <c r="A7027" s="9">
        <v>1668</v>
      </c>
      <c r="B7027" t="s">
        <v>249</v>
      </c>
      <c r="C7027" s="25">
        <v>44650</v>
      </c>
      <c r="D7027" s="26">
        <v>7.7210648148148139E-2</v>
      </c>
      <c r="E7027" t="s">
        <v>26</v>
      </c>
      <c r="F7027" t="s">
        <v>518</v>
      </c>
      <c r="G7027" t="s">
        <v>172</v>
      </c>
      <c r="H7027" t="s">
        <v>440</v>
      </c>
      <c r="I7027">
        <v>443.49</v>
      </c>
      <c r="J7027" s="32">
        <v>0</v>
      </c>
      <c r="K7027" s="90">
        <f t="shared" si="435"/>
        <v>1636.13</v>
      </c>
      <c r="L7027" s="32">
        <v>1636.13</v>
      </c>
      <c r="M7027" s="10">
        <f t="shared" si="436"/>
        <v>27.106036806366241</v>
      </c>
    </row>
    <row r="7028" spans="1:13" hidden="1" x14ac:dyDescent="0.3">
      <c r="A7028" s="9">
        <v>1669</v>
      </c>
      <c r="B7028" t="s">
        <v>249</v>
      </c>
      <c r="C7028" s="25">
        <v>44650</v>
      </c>
      <c r="D7028" s="26">
        <v>0.72795138888888899</v>
      </c>
      <c r="E7028" t="s">
        <v>26</v>
      </c>
      <c r="F7028" t="s">
        <v>210</v>
      </c>
      <c r="G7028" t="s">
        <v>211</v>
      </c>
      <c r="H7028" t="s">
        <v>440</v>
      </c>
      <c r="I7028">
        <v>302.97000000000003</v>
      </c>
      <c r="J7028" s="32">
        <v>0</v>
      </c>
      <c r="K7028" s="90">
        <f t="shared" si="435"/>
        <v>846</v>
      </c>
      <c r="L7028" s="32">
        <v>846</v>
      </c>
      <c r="M7028" s="10">
        <f t="shared" si="436"/>
        <v>35.812056737588655</v>
      </c>
    </row>
    <row r="7029" spans="1:13" hidden="1" x14ac:dyDescent="0.3">
      <c r="A7029" s="9">
        <v>1670</v>
      </c>
      <c r="B7029" t="s">
        <v>249</v>
      </c>
      <c r="C7029" s="25">
        <v>44651</v>
      </c>
      <c r="D7029" s="26">
        <v>0.92150462962962953</v>
      </c>
      <c r="E7029" t="s">
        <v>26</v>
      </c>
      <c r="F7029" t="s">
        <v>210</v>
      </c>
      <c r="G7029" t="s">
        <v>211</v>
      </c>
      <c r="H7029" t="s">
        <v>440</v>
      </c>
      <c r="I7029">
        <v>400.02</v>
      </c>
      <c r="J7029" s="69">
        <v>0</v>
      </c>
      <c r="K7029" s="97">
        <f t="shared" si="435"/>
        <v>1061.8800000000001</v>
      </c>
      <c r="L7029" s="37">
        <v>1061.8800000000001</v>
      </c>
      <c r="M7029" s="10">
        <f t="shared" si="436"/>
        <v>37.670923268165893</v>
      </c>
    </row>
    <row r="7030" spans="1:13" hidden="1" x14ac:dyDescent="0.3">
      <c r="A7030" s="9">
        <v>1885</v>
      </c>
      <c r="B7030" t="s">
        <v>249</v>
      </c>
      <c r="C7030" s="25">
        <v>44621</v>
      </c>
      <c r="D7030" s="26">
        <v>0.12258101851851851</v>
      </c>
      <c r="E7030" t="s">
        <v>26</v>
      </c>
      <c r="F7030" t="s">
        <v>175</v>
      </c>
      <c r="G7030" t="s">
        <v>172</v>
      </c>
      <c r="H7030" t="s">
        <v>137</v>
      </c>
      <c r="I7030">
        <v>614.92999999999995</v>
      </c>
      <c r="J7030" s="7">
        <v>0</v>
      </c>
      <c r="K7030" s="102">
        <f t="shared" si="435"/>
        <v>1124.93</v>
      </c>
      <c r="L7030" s="31">
        <v>1124.93</v>
      </c>
      <c r="M7030" s="10">
        <f t="shared" si="436"/>
        <v>54.663845750402238</v>
      </c>
    </row>
    <row r="7031" spans="1:13" hidden="1" x14ac:dyDescent="0.3">
      <c r="A7031" s="9">
        <v>1886</v>
      </c>
      <c r="B7031" t="s">
        <v>249</v>
      </c>
      <c r="C7031" s="25">
        <v>44621</v>
      </c>
      <c r="D7031" s="26">
        <v>0.81153935185185189</v>
      </c>
      <c r="E7031" t="s">
        <v>26</v>
      </c>
      <c r="F7031" t="s">
        <v>210</v>
      </c>
      <c r="G7031" t="s">
        <v>211</v>
      </c>
      <c r="H7031" t="s">
        <v>137</v>
      </c>
      <c r="I7031">
        <v>322.95</v>
      </c>
      <c r="J7031" s="7">
        <v>0</v>
      </c>
      <c r="K7031" s="95">
        <f t="shared" si="435"/>
        <v>697.33</v>
      </c>
      <c r="L7031" s="7">
        <v>697.33</v>
      </c>
      <c r="M7031" s="10">
        <f t="shared" si="436"/>
        <v>46.312362869803387</v>
      </c>
    </row>
    <row r="7032" spans="1:13" hidden="1" x14ac:dyDescent="0.3">
      <c r="A7032" s="9">
        <v>2844</v>
      </c>
      <c r="B7032" t="s">
        <v>249</v>
      </c>
      <c r="C7032" s="25">
        <v>44653</v>
      </c>
      <c r="D7032" s="26">
        <v>0.53225694444444438</v>
      </c>
      <c r="E7032" t="s">
        <v>27</v>
      </c>
      <c r="F7032" t="s">
        <v>518</v>
      </c>
      <c r="G7032" t="s">
        <v>172</v>
      </c>
      <c r="H7032" t="s">
        <v>440</v>
      </c>
      <c r="I7032" s="4">
        <v>405.89</v>
      </c>
      <c r="J7032" s="32">
        <v>0</v>
      </c>
      <c r="K7032" s="90">
        <f t="shared" si="435"/>
        <v>1185.1500000000001</v>
      </c>
      <c r="L7032" s="32">
        <v>1185.1500000000001</v>
      </c>
      <c r="M7032" s="10">
        <f t="shared" si="436"/>
        <v>34.247985487069144</v>
      </c>
    </row>
    <row r="7033" spans="1:13" hidden="1" x14ac:dyDescent="0.3">
      <c r="A7033" s="9">
        <v>2845</v>
      </c>
      <c r="B7033" t="s">
        <v>249</v>
      </c>
      <c r="C7033" s="25">
        <v>44655</v>
      </c>
      <c r="D7033" s="26">
        <v>0.44582175925925926</v>
      </c>
      <c r="E7033" t="s">
        <v>27</v>
      </c>
      <c r="F7033" t="s">
        <v>210</v>
      </c>
      <c r="G7033" t="s">
        <v>211</v>
      </c>
      <c r="H7033" t="s">
        <v>440</v>
      </c>
      <c r="I7033" s="4">
        <v>277.91000000000003</v>
      </c>
      <c r="J7033" s="7">
        <v>0</v>
      </c>
      <c r="K7033" s="90">
        <f t="shared" si="435"/>
        <v>706.26</v>
      </c>
      <c r="L7033" s="32">
        <v>706.26</v>
      </c>
      <c r="M7033" s="10">
        <f t="shared" si="436"/>
        <v>39.34953133406961</v>
      </c>
    </row>
    <row r="7034" spans="1:13" ht="0.75" hidden="1" customHeight="1" x14ac:dyDescent="0.3">
      <c r="A7034" s="9">
        <v>2846</v>
      </c>
      <c r="B7034" t="s">
        <v>249</v>
      </c>
      <c r="C7034" s="25">
        <v>44656</v>
      </c>
      <c r="D7034" s="26">
        <v>0.59996527777777775</v>
      </c>
      <c r="E7034" t="s">
        <v>27</v>
      </c>
      <c r="F7034" t="s">
        <v>210</v>
      </c>
      <c r="G7034" t="s">
        <v>211</v>
      </c>
      <c r="H7034" t="s">
        <v>440</v>
      </c>
      <c r="I7034" s="4">
        <v>366.74</v>
      </c>
      <c r="J7034" s="7">
        <v>0</v>
      </c>
      <c r="K7034" s="90">
        <f t="shared" si="435"/>
        <v>1063.79</v>
      </c>
      <c r="L7034" s="32">
        <v>1063.79</v>
      </c>
      <c r="M7034" s="10">
        <f t="shared" si="436"/>
        <v>34.474849359366047</v>
      </c>
    </row>
    <row r="7035" spans="1:13" hidden="1" x14ac:dyDescent="0.3">
      <c r="A7035" s="9">
        <v>2847</v>
      </c>
      <c r="B7035" t="s">
        <v>249</v>
      </c>
      <c r="C7035" s="25">
        <v>44658</v>
      </c>
      <c r="D7035" s="26">
        <v>0.41403935185185187</v>
      </c>
      <c r="E7035" t="s">
        <v>27</v>
      </c>
      <c r="F7035" t="s">
        <v>343</v>
      </c>
      <c r="G7035" t="s">
        <v>344</v>
      </c>
      <c r="H7035" t="s">
        <v>440</v>
      </c>
      <c r="I7035" s="4">
        <v>100</v>
      </c>
      <c r="J7035" s="7">
        <v>0</v>
      </c>
      <c r="K7035" s="97">
        <f t="shared" si="435"/>
        <v>1403</v>
      </c>
      <c r="L7035" s="37">
        <v>1403</v>
      </c>
      <c r="M7035" s="10">
        <f t="shared" si="436"/>
        <v>7.1275837491090526</v>
      </c>
    </row>
    <row r="7036" spans="1:13" hidden="1" x14ac:dyDescent="0.3">
      <c r="A7036" s="9">
        <v>2848</v>
      </c>
      <c r="B7036" t="s">
        <v>249</v>
      </c>
      <c r="C7036" s="25">
        <v>44658</v>
      </c>
      <c r="D7036" s="26">
        <v>0.5678819444444444</v>
      </c>
      <c r="E7036" t="s">
        <v>27</v>
      </c>
      <c r="F7036" t="s">
        <v>488</v>
      </c>
      <c r="G7036" t="s">
        <v>489</v>
      </c>
      <c r="H7036" t="s">
        <v>440</v>
      </c>
      <c r="I7036" s="4">
        <v>453.89</v>
      </c>
      <c r="J7036" s="7">
        <v>0</v>
      </c>
      <c r="K7036" s="92">
        <f t="shared" si="435"/>
        <v>1660</v>
      </c>
      <c r="L7036" s="52">
        <v>1660</v>
      </c>
      <c r="M7036" s="10">
        <f t="shared" si="436"/>
        <v>27.342771084337347</v>
      </c>
    </row>
    <row r="7037" spans="1:13" hidden="1" x14ac:dyDescent="0.3">
      <c r="A7037" s="9">
        <v>2849</v>
      </c>
      <c r="B7037" t="s">
        <v>249</v>
      </c>
      <c r="C7037" s="25">
        <v>44659</v>
      </c>
      <c r="D7037" s="26">
        <v>0.64537037037037037</v>
      </c>
      <c r="E7037" t="s">
        <v>27</v>
      </c>
      <c r="F7037" t="s">
        <v>210</v>
      </c>
      <c r="G7037" t="s">
        <v>211</v>
      </c>
      <c r="H7037" t="s">
        <v>440</v>
      </c>
      <c r="I7037" s="4">
        <v>453.82</v>
      </c>
      <c r="J7037" s="7">
        <v>0</v>
      </c>
      <c r="K7037" s="89">
        <f t="shared" si="435"/>
        <v>1318.78</v>
      </c>
      <c r="L7037" s="32">
        <v>1318.78</v>
      </c>
      <c r="M7037" s="10">
        <f t="shared" si="436"/>
        <v>34.41210816057265</v>
      </c>
    </row>
    <row r="7038" spans="1:13" hidden="1" x14ac:dyDescent="0.3">
      <c r="A7038" s="9">
        <v>2850</v>
      </c>
      <c r="B7038" t="s">
        <v>249</v>
      </c>
      <c r="C7038" s="25">
        <v>44662</v>
      </c>
      <c r="D7038" s="26">
        <v>0.39081018518518523</v>
      </c>
      <c r="E7038" t="s">
        <v>27</v>
      </c>
      <c r="F7038" t="s">
        <v>171</v>
      </c>
      <c r="G7038" t="s">
        <v>172</v>
      </c>
      <c r="H7038" t="s">
        <v>440</v>
      </c>
      <c r="I7038" s="4">
        <v>406.75</v>
      </c>
      <c r="J7038" s="7">
        <v>0</v>
      </c>
      <c r="K7038" s="90">
        <f t="shared" si="435"/>
        <v>1235.1099999999999</v>
      </c>
      <c r="L7038" s="32">
        <v>1235.1099999999999</v>
      </c>
      <c r="M7038" s="10">
        <f t="shared" si="436"/>
        <v>32.932289431710537</v>
      </c>
    </row>
    <row r="7039" spans="1:13" hidden="1" x14ac:dyDescent="0.3">
      <c r="A7039" s="9">
        <v>2851</v>
      </c>
      <c r="B7039" t="s">
        <v>249</v>
      </c>
      <c r="C7039" s="25">
        <v>44662</v>
      </c>
      <c r="D7039" s="26">
        <v>0.81959490740740737</v>
      </c>
      <c r="E7039" t="s">
        <v>27</v>
      </c>
      <c r="F7039" t="s">
        <v>210</v>
      </c>
      <c r="G7039" t="s">
        <v>211</v>
      </c>
      <c r="H7039" t="s">
        <v>440</v>
      </c>
      <c r="I7039" s="4">
        <v>276.19</v>
      </c>
      <c r="J7039" s="7">
        <v>0</v>
      </c>
      <c r="K7039" s="90">
        <f t="shared" si="435"/>
        <v>692.4</v>
      </c>
      <c r="L7039" s="32">
        <v>692.4</v>
      </c>
      <c r="M7039" s="10">
        <f t="shared" si="436"/>
        <v>39.888792605430389</v>
      </c>
    </row>
    <row r="7040" spans="1:13" hidden="1" x14ac:dyDescent="0.3">
      <c r="A7040" s="9">
        <v>2852</v>
      </c>
      <c r="B7040" t="s">
        <v>249</v>
      </c>
      <c r="C7040" s="25">
        <v>44664</v>
      </c>
      <c r="D7040" s="26">
        <v>0.58583333333333332</v>
      </c>
      <c r="E7040" t="s">
        <v>27</v>
      </c>
      <c r="F7040" t="s">
        <v>340</v>
      </c>
      <c r="G7040" t="s">
        <v>337</v>
      </c>
      <c r="H7040" t="s">
        <v>440</v>
      </c>
      <c r="I7040" s="4">
        <v>450.43</v>
      </c>
      <c r="J7040" s="7">
        <v>0</v>
      </c>
      <c r="K7040" s="97">
        <f t="shared" si="435"/>
        <v>1373</v>
      </c>
      <c r="L7040" s="37">
        <v>1373</v>
      </c>
      <c r="M7040" s="10">
        <f t="shared" si="436"/>
        <v>32.806263656227244</v>
      </c>
    </row>
    <row r="7041" spans="1:13" hidden="1" x14ac:dyDescent="0.3">
      <c r="A7041" s="9">
        <v>2853</v>
      </c>
      <c r="B7041" t="s">
        <v>249</v>
      </c>
      <c r="C7041" s="25">
        <v>44665</v>
      </c>
      <c r="D7041" s="26">
        <v>0.94916666666666671</v>
      </c>
      <c r="E7041" t="s">
        <v>27</v>
      </c>
      <c r="F7041" t="s">
        <v>210</v>
      </c>
      <c r="G7041" t="s">
        <v>211</v>
      </c>
      <c r="H7041" t="s">
        <v>440</v>
      </c>
      <c r="I7041" s="4">
        <v>450.01</v>
      </c>
      <c r="J7041" s="7">
        <v>0</v>
      </c>
      <c r="K7041" s="90">
        <f t="shared" si="435"/>
        <v>1319</v>
      </c>
      <c r="L7041" s="32">
        <v>1319</v>
      </c>
      <c r="M7041" s="10">
        <f t="shared" si="436"/>
        <v>34.11751326762699</v>
      </c>
    </row>
    <row r="7042" spans="1:13" hidden="1" x14ac:dyDescent="0.3">
      <c r="A7042" s="9">
        <v>2854</v>
      </c>
      <c r="B7042" t="s">
        <v>249</v>
      </c>
      <c r="C7042" s="25">
        <v>44671</v>
      </c>
      <c r="D7042" s="26">
        <v>8.2384259259259254E-2</v>
      </c>
      <c r="E7042" t="s">
        <v>27</v>
      </c>
      <c r="F7042" t="s">
        <v>175</v>
      </c>
      <c r="G7042" t="s">
        <v>172</v>
      </c>
      <c r="H7042" t="s">
        <v>440</v>
      </c>
      <c r="I7042" s="4">
        <v>377.23</v>
      </c>
      <c r="J7042" s="7">
        <v>0</v>
      </c>
      <c r="K7042" s="90">
        <f t="shared" si="435"/>
        <v>1114.3900000000001</v>
      </c>
      <c r="L7042" s="32">
        <v>1114.3900000000001</v>
      </c>
      <c r="M7042" s="10">
        <f t="shared" si="436"/>
        <v>33.85080627069518</v>
      </c>
    </row>
    <row r="7043" spans="1:13" hidden="1" x14ac:dyDescent="0.3">
      <c r="A7043" s="9">
        <v>2855</v>
      </c>
      <c r="B7043" t="s">
        <v>249</v>
      </c>
      <c r="C7043" s="25">
        <v>44671</v>
      </c>
      <c r="D7043" s="26">
        <v>0.98791666666666667</v>
      </c>
      <c r="E7043" t="s">
        <v>27</v>
      </c>
      <c r="F7043" t="s">
        <v>210</v>
      </c>
      <c r="G7043" t="s">
        <v>211</v>
      </c>
      <c r="H7043" t="s">
        <v>440</v>
      </c>
      <c r="I7043" s="4">
        <v>278.36</v>
      </c>
      <c r="J7043" s="7">
        <v>0</v>
      </c>
      <c r="K7043" s="90">
        <f t="shared" si="435"/>
        <v>713.1</v>
      </c>
      <c r="L7043" s="32">
        <v>713.1</v>
      </c>
      <c r="M7043" s="10">
        <f t="shared" si="436"/>
        <v>39.035198429392793</v>
      </c>
    </row>
    <row r="7044" spans="1:13" hidden="1" x14ac:dyDescent="0.3">
      <c r="A7044" s="9">
        <v>2856</v>
      </c>
      <c r="B7044" t="s">
        <v>249</v>
      </c>
      <c r="C7044" s="25">
        <v>44673</v>
      </c>
      <c r="D7044" s="26">
        <v>0.46937500000000004</v>
      </c>
      <c r="E7044" t="s">
        <v>27</v>
      </c>
      <c r="F7044" t="s">
        <v>210</v>
      </c>
      <c r="G7044" t="s">
        <v>211</v>
      </c>
      <c r="H7044" t="s">
        <v>440</v>
      </c>
      <c r="I7044" s="4">
        <v>370</v>
      </c>
      <c r="J7044" s="7">
        <v>0</v>
      </c>
      <c r="K7044" s="100">
        <f t="shared" si="435"/>
        <v>1063.76</v>
      </c>
      <c r="L7044" s="38">
        <v>1063.76</v>
      </c>
      <c r="M7044" s="10">
        <f t="shared" si="436"/>
        <v>34.782281717680682</v>
      </c>
    </row>
    <row r="7045" spans="1:13" hidden="1" x14ac:dyDescent="0.3">
      <c r="A7045" s="9">
        <v>2857</v>
      </c>
      <c r="B7045" t="s">
        <v>249</v>
      </c>
      <c r="C7045" s="25">
        <v>44674</v>
      </c>
      <c r="D7045" s="26">
        <v>0.92211805555555548</v>
      </c>
      <c r="E7045" t="s">
        <v>27</v>
      </c>
      <c r="F7045" t="s">
        <v>518</v>
      </c>
      <c r="G7045" t="s">
        <v>172</v>
      </c>
      <c r="H7045" t="s">
        <v>440</v>
      </c>
      <c r="I7045" s="4">
        <v>400.16</v>
      </c>
      <c r="J7045" s="7">
        <v>0</v>
      </c>
      <c r="K7045" s="90">
        <f t="shared" si="435"/>
        <v>1228.6500000000001</v>
      </c>
      <c r="L7045" s="32">
        <v>1228.6500000000001</v>
      </c>
      <c r="M7045" s="36">
        <f t="shared" si="436"/>
        <v>32.569079884425996</v>
      </c>
    </row>
    <row r="7046" spans="1:13" hidden="1" x14ac:dyDescent="0.3">
      <c r="A7046" s="9">
        <v>2858</v>
      </c>
      <c r="B7046" t="s">
        <v>249</v>
      </c>
      <c r="C7046" s="25">
        <v>44675</v>
      </c>
      <c r="D7046" s="26">
        <v>0.99721064814814808</v>
      </c>
      <c r="E7046" t="s">
        <v>27</v>
      </c>
      <c r="F7046" t="s">
        <v>210</v>
      </c>
      <c r="G7046" t="s">
        <v>211</v>
      </c>
      <c r="H7046" t="s">
        <v>440</v>
      </c>
      <c r="I7046" s="4">
        <v>256.39999999999998</v>
      </c>
      <c r="J7046" s="7">
        <v>0</v>
      </c>
      <c r="K7046" s="90">
        <f t="shared" si="435"/>
        <v>705.79</v>
      </c>
      <c r="L7046" s="32">
        <v>705.79</v>
      </c>
      <c r="M7046" s="10">
        <f t="shared" si="436"/>
        <v>36.32808625795208</v>
      </c>
    </row>
    <row r="7047" spans="1:13" hidden="1" x14ac:dyDescent="0.3">
      <c r="A7047" s="9">
        <v>2859</v>
      </c>
      <c r="B7047" t="s">
        <v>249</v>
      </c>
      <c r="C7047" s="25">
        <v>44677</v>
      </c>
      <c r="D7047" s="26">
        <v>0.87023148148148144</v>
      </c>
      <c r="E7047" t="s">
        <v>27</v>
      </c>
      <c r="F7047" t="s">
        <v>210</v>
      </c>
      <c r="G7047" t="s">
        <v>211</v>
      </c>
      <c r="H7047" t="s">
        <v>440</v>
      </c>
      <c r="I7047">
        <v>436</v>
      </c>
      <c r="J7047" s="7">
        <v>0</v>
      </c>
      <c r="K7047" s="90">
        <f t="shared" si="435"/>
        <v>1122.8</v>
      </c>
      <c r="L7047" s="7">
        <v>1122.8</v>
      </c>
      <c r="M7047" s="10">
        <f t="shared" si="436"/>
        <v>38.831492696829358</v>
      </c>
    </row>
    <row r="7048" spans="1:13" hidden="1" x14ac:dyDescent="0.3">
      <c r="A7048" s="9">
        <v>3725</v>
      </c>
      <c r="B7048" t="s">
        <v>249</v>
      </c>
      <c r="C7048" s="25">
        <v>44683</v>
      </c>
      <c r="D7048" s="26">
        <v>2.0590277777777777E-2</v>
      </c>
      <c r="E7048" t="s">
        <v>28</v>
      </c>
      <c r="F7048" t="s">
        <v>210</v>
      </c>
      <c r="G7048" t="s">
        <v>211</v>
      </c>
      <c r="H7048" t="s">
        <v>440</v>
      </c>
      <c r="I7048">
        <v>356.52</v>
      </c>
      <c r="J7048" s="7">
        <v>0</v>
      </c>
      <c r="K7048" s="90">
        <f>+L7048-J7178</f>
        <v>1063.98</v>
      </c>
      <c r="L7048" s="32">
        <v>1063.98</v>
      </c>
      <c r="M7048" s="131">
        <f t="shared" si="436"/>
        <v>33.5081486494107</v>
      </c>
    </row>
    <row r="7049" spans="1:13" hidden="1" x14ac:dyDescent="0.3">
      <c r="A7049" s="9">
        <v>3817</v>
      </c>
      <c r="B7049" t="s">
        <v>249</v>
      </c>
      <c r="C7049" s="25">
        <v>44685</v>
      </c>
      <c r="D7049" s="26">
        <v>0.76905092592592583</v>
      </c>
      <c r="E7049" t="s">
        <v>28</v>
      </c>
      <c r="F7049" t="s">
        <v>197</v>
      </c>
      <c r="G7049" t="s">
        <v>44</v>
      </c>
      <c r="H7049" t="s">
        <v>440</v>
      </c>
      <c r="I7049">
        <v>106.29</v>
      </c>
      <c r="J7049" s="34">
        <v>0</v>
      </c>
      <c r="K7049" s="97">
        <f>+L7049-J7177</f>
        <v>1206</v>
      </c>
      <c r="L7049" s="69">
        <v>1206</v>
      </c>
      <c r="M7049" s="91">
        <f t="shared" si="436"/>
        <v>8.8134328358208958</v>
      </c>
    </row>
    <row r="7050" spans="1:13" hidden="1" x14ac:dyDescent="0.3">
      <c r="A7050" s="9">
        <v>3873</v>
      </c>
      <c r="B7050" t="s">
        <v>249</v>
      </c>
      <c r="C7050" s="25">
        <v>44686</v>
      </c>
      <c r="D7050" s="26">
        <v>0.55127314814814821</v>
      </c>
      <c r="E7050" t="s">
        <v>28</v>
      </c>
      <c r="F7050" t="s">
        <v>210</v>
      </c>
      <c r="G7050" t="s">
        <v>211</v>
      </c>
      <c r="H7050" t="s">
        <v>440</v>
      </c>
      <c r="I7050">
        <v>548.30999999999995</v>
      </c>
      <c r="J7050" s="7">
        <v>0</v>
      </c>
      <c r="K7050" s="90">
        <f>+L7050-J7178</f>
        <v>596</v>
      </c>
      <c r="L7050" s="32">
        <v>596</v>
      </c>
      <c r="M7050" s="10">
        <f t="shared" si="436"/>
        <v>91.998322147650995</v>
      </c>
    </row>
    <row r="7051" spans="1:13" hidden="1" x14ac:dyDescent="0.3">
      <c r="A7051" s="9">
        <v>3928</v>
      </c>
      <c r="B7051" t="s">
        <v>249</v>
      </c>
      <c r="C7051" s="25">
        <v>44687</v>
      </c>
      <c r="D7051" s="26">
        <v>0.70837962962962964</v>
      </c>
      <c r="E7051" t="s">
        <v>28</v>
      </c>
      <c r="F7051" t="s">
        <v>210</v>
      </c>
      <c r="G7051" t="s">
        <v>211</v>
      </c>
      <c r="H7051" t="s">
        <v>440</v>
      </c>
      <c r="I7051">
        <v>349.7</v>
      </c>
      <c r="J7051" s="7">
        <v>0</v>
      </c>
      <c r="K7051" s="97">
        <f>+L7051-J7177</f>
        <v>1063</v>
      </c>
      <c r="L7051" s="37">
        <v>1063</v>
      </c>
      <c r="M7051" s="10">
        <f t="shared" si="436"/>
        <v>32.89746001881467</v>
      </c>
    </row>
    <row r="7052" spans="1:13" hidden="1" x14ac:dyDescent="0.3">
      <c r="A7052" s="9">
        <v>4076</v>
      </c>
      <c r="B7052" t="s">
        <v>249</v>
      </c>
      <c r="C7052" s="25">
        <v>44690</v>
      </c>
      <c r="D7052" s="26">
        <v>0.30340277777777774</v>
      </c>
      <c r="E7052" t="s">
        <v>28</v>
      </c>
      <c r="F7052" t="s">
        <v>175</v>
      </c>
      <c r="G7052" t="s">
        <v>172</v>
      </c>
      <c r="H7052" t="s">
        <v>440</v>
      </c>
      <c r="I7052">
        <v>403.7</v>
      </c>
      <c r="J7052" s="7">
        <v>0</v>
      </c>
      <c r="K7052" s="90">
        <f>+L7052-J7178</f>
        <v>1220</v>
      </c>
      <c r="L7052" s="32">
        <v>1220</v>
      </c>
      <c r="M7052" s="10">
        <f t="shared" si="436"/>
        <v>33.090163934426229</v>
      </c>
    </row>
    <row r="7053" spans="1:13" hidden="1" x14ac:dyDescent="0.3">
      <c r="A7053" s="9">
        <v>4077</v>
      </c>
      <c r="B7053" t="s">
        <v>249</v>
      </c>
      <c r="C7053" s="25">
        <v>44690</v>
      </c>
      <c r="D7053" s="26">
        <v>0.73499999999999999</v>
      </c>
      <c r="E7053" t="s">
        <v>28</v>
      </c>
      <c r="F7053" t="s">
        <v>210</v>
      </c>
      <c r="G7053" t="s">
        <v>211</v>
      </c>
      <c r="H7053" t="s">
        <v>440</v>
      </c>
      <c r="I7053">
        <v>257.73</v>
      </c>
      <c r="J7053" s="7">
        <v>0</v>
      </c>
      <c r="K7053" s="93">
        <f>+L7053-J7179</f>
        <v>697</v>
      </c>
      <c r="L7053" s="52">
        <v>697</v>
      </c>
      <c r="M7053" s="10">
        <f t="shared" si="436"/>
        <v>36.977044476327123</v>
      </c>
    </row>
    <row r="7054" spans="1:13" hidden="1" x14ac:dyDescent="0.3">
      <c r="A7054" s="9">
        <v>4166</v>
      </c>
      <c r="B7054" t="s">
        <v>249</v>
      </c>
      <c r="C7054" s="25">
        <v>44692</v>
      </c>
      <c r="D7054" s="26">
        <v>5.0057870370370371E-2</v>
      </c>
      <c r="E7054" t="s">
        <v>28</v>
      </c>
      <c r="F7054" t="s">
        <v>210</v>
      </c>
      <c r="G7054" t="s">
        <v>211</v>
      </c>
      <c r="H7054" t="s">
        <v>440</v>
      </c>
      <c r="I7054">
        <v>431.2</v>
      </c>
      <c r="J7054" s="7">
        <v>0</v>
      </c>
      <c r="K7054" s="90">
        <f>+L7054-J7184</f>
        <v>1122</v>
      </c>
      <c r="L7054" s="32">
        <v>1122</v>
      </c>
      <c r="M7054" s="10">
        <f t="shared" si="436"/>
        <v>38.431372549019606</v>
      </c>
    </row>
    <row r="7055" spans="1:13" hidden="1" x14ac:dyDescent="0.3">
      <c r="A7055" s="9">
        <v>4273</v>
      </c>
      <c r="B7055" t="s">
        <v>249</v>
      </c>
      <c r="C7055" s="25">
        <v>44694</v>
      </c>
      <c r="D7055" s="26">
        <v>0.35615740740740742</v>
      </c>
      <c r="E7055" t="s">
        <v>28</v>
      </c>
      <c r="F7055" t="s">
        <v>518</v>
      </c>
      <c r="G7055" t="s">
        <v>172</v>
      </c>
      <c r="H7055" t="s">
        <v>440</v>
      </c>
      <c r="I7055">
        <v>380.6</v>
      </c>
      <c r="J7055" s="7">
        <v>0</v>
      </c>
      <c r="K7055" s="97">
        <f>+L7055-J7323</f>
        <v>1076</v>
      </c>
      <c r="L7055" s="67">
        <v>1076</v>
      </c>
      <c r="M7055" s="10">
        <f t="shared" si="436"/>
        <v>35.371747211895915</v>
      </c>
    </row>
    <row r="7056" spans="1:13" hidden="1" x14ac:dyDescent="0.3">
      <c r="A7056" s="9">
        <v>4274</v>
      </c>
      <c r="B7056" t="s">
        <v>249</v>
      </c>
      <c r="C7056" s="25">
        <v>44694</v>
      </c>
      <c r="D7056" s="26">
        <v>0.80819444444444455</v>
      </c>
      <c r="E7056" t="s">
        <v>28</v>
      </c>
      <c r="F7056" t="s">
        <v>210</v>
      </c>
      <c r="G7056" t="s">
        <v>211</v>
      </c>
      <c r="H7056" t="s">
        <v>440</v>
      </c>
      <c r="I7056">
        <v>262.44</v>
      </c>
      <c r="J7056" s="7">
        <v>0</v>
      </c>
      <c r="K7056" s="90">
        <f>+L7056-J7324</f>
        <v>698</v>
      </c>
      <c r="L7056" s="53">
        <v>698</v>
      </c>
      <c r="M7056" s="10">
        <f t="shared" si="436"/>
        <v>37.598853868194844</v>
      </c>
    </row>
    <row r="7057" spans="1:13" hidden="1" x14ac:dyDescent="0.3">
      <c r="A7057" s="9">
        <v>4383</v>
      </c>
      <c r="B7057" t="s">
        <v>249</v>
      </c>
      <c r="C7057" s="25">
        <v>44696</v>
      </c>
      <c r="D7057" s="26">
        <v>0.77688657407407413</v>
      </c>
      <c r="E7057" t="s">
        <v>28</v>
      </c>
      <c r="F7057" t="s">
        <v>278</v>
      </c>
      <c r="G7057" t="s">
        <v>279</v>
      </c>
      <c r="H7057" t="s">
        <v>440</v>
      </c>
      <c r="I7057">
        <v>430.01</v>
      </c>
      <c r="J7057" s="7">
        <v>0</v>
      </c>
      <c r="K7057" s="97">
        <f>+L7057-J7325</f>
        <v>1156</v>
      </c>
      <c r="L7057" s="32">
        <v>1156</v>
      </c>
      <c r="M7057" s="10">
        <f t="shared" ref="M7057:M7083" si="437">I7057/K7057*100</f>
        <v>37.19809688581315</v>
      </c>
    </row>
    <row r="7058" spans="1:13" hidden="1" x14ac:dyDescent="0.3">
      <c r="A7058" s="9">
        <v>4449</v>
      </c>
      <c r="B7058" t="s">
        <v>249</v>
      </c>
      <c r="C7058" s="25">
        <v>44697</v>
      </c>
      <c r="D7058" s="26">
        <v>0.79278935185185195</v>
      </c>
      <c r="E7058" t="s">
        <v>28</v>
      </c>
      <c r="F7058" t="s">
        <v>346</v>
      </c>
      <c r="G7058" t="s">
        <v>203</v>
      </c>
      <c r="H7058" t="s">
        <v>440</v>
      </c>
      <c r="I7058">
        <f>8.32+280</f>
        <v>288.32</v>
      </c>
      <c r="J7058" s="7">
        <v>0</v>
      </c>
      <c r="K7058" s="90">
        <f>+L7058-J7326</f>
        <v>892</v>
      </c>
      <c r="L7058" s="32">
        <v>892</v>
      </c>
      <c r="M7058" s="10">
        <f t="shared" si="437"/>
        <v>32.322869955156953</v>
      </c>
    </row>
    <row r="7059" spans="1:13" hidden="1" x14ac:dyDescent="0.3">
      <c r="A7059" s="9">
        <v>4566</v>
      </c>
      <c r="B7059" t="s">
        <v>249</v>
      </c>
      <c r="C7059" s="25">
        <v>44699</v>
      </c>
      <c r="D7059" s="26">
        <v>0.333125</v>
      </c>
      <c r="E7059" t="s">
        <v>28</v>
      </c>
      <c r="F7059" t="s">
        <v>166</v>
      </c>
      <c r="G7059" t="s">
        <v>161</v>
      </c>
      <c r="H7059" t="s">
        <v>440</v>
      </c>
      <c r="I7059">
        <v>400.01</v>
      </c>
      <c r="J7059" s="7">
        <v>0</v>
      </c>
      <c r="K7059" s="102">
        <f t="shared" ref="K7059:K7065" si="438">+L7059-J7324</f>
        <v>1163</v>
      </c>
      <c r="L7059" s="32">
        <v>1163</v>
      </c>
      <c r="M7059" s="10">
        <f t="shared" si="437"/>
        <v>34.394668959587271</v>
      </c>
    </row>
    <row r="7060" spans="1:13" hidden="1" x14ac:dyDescent="0.3">
      <c r="A7060" s="9">
        <v>4882</v>
      </c>
      <c r="B7060" t="s">
        <v>249</v>
      </c>
      <c r="C7060" s="25">
        <v>44705</v>
      </c>
      <c r="D7060" s="26">
        <v>0.32689814814814816</v>
      </c>
      <c r="E7060" t="s">
        <v>28</v>
      </c>
      <c r="F7060" t="s">
        <v>175</v>
      </c>
      <c r="G7060" t="s">
        <v>172</v>
      </c>
      <c r="H7060" t="s">
        <v>440</v>
      </c>
      <c r="I7060">
        <v>505.51</v>
      </c>
      <c r="J7060" s="7">
        <v>0</v>
      </c>
      <c r="K7060" s="95">
        <f t="shared" si="438"/>
        <v>1436</v>
      </c>
      <c r="L7060" s="32">
        <v>1436</v>
      </c>
      <c r="M7060" s="10">
        <f t="shared" si="437"/>
        <v>35.202646239554319</v>
      </c>
    </row>
    <row r="7061" spans="1:13" hidden="1" x14ac:dyDescent="0.3">
      <c r="A7061" s="9">
        <v>4883</v>
      </c>
      <c r="B7061" t="s">
        <v>249</v>
      </c>
      <c r="C7061" s="25">
        <v>44705</v>
      </c>
      <c r="D7061" s="26">
        <v>0.7989814814814814</v>
      </c>
      <c r="E7061" t="s">
        <v>28</v>
      </c>
      <c r="F7061" t="s">
        <v>210</v>
      </c>
      <c r="G7061" t="s">
        <v>211</v>
      </c>
      <c r="H7061" t="s">
        <v>440</v>
      </c>
      <c r="I7061">
        <v>267.02999999999997</v>
      </c>
      <c r="J7061" s="7">
        <v>0</v>
      </c>
      <c r="K7061" s="129">
        <f t="shared" si="438"/>
        <v>697</v>
      </c>
      <c r="L7061" s="33">
        <v>697</v>
      </c>
      <c r="M7061" s="10">
        <f t="shared" si="437"/>
        <v>38.31133428981348</v>
      </c>
    </row>
    <row r="7062" spans="1:13" hidden="1" x14ac:dyDescent="0.3">
      <c r="A7062" s="9">
        <v>4936</v>
      </c>
      <c r="B7062" t="s">
        <v>249</v>
      </c>
      <c r="C7062" s="25">
        <v>44706</v>
      </c>
      <c r="D7062" s="26">
        <v>0.77138888888888879</v>
      </c>
      <c r="E7062" t="s">
        <v>28</v>
      </c>
      <c r="F7062" t="s">
        <v>346</v>
      </c>
      <c r="G7062" t="s">
        <v>203</v>
      </c>
      <c r="H7062" t="s">
        <v>440</v>
      </c>
      <c r="I7062">
        <v>360.12</v>
      </c>
      <c r="J7062" s="7">
        <v>0</v>
      </c>
      <c r="K7062" s="90">
        <f t="shared" si="438"/>
        <v>1087</v>
      </c>
      <c r="L7062" s="32">
        <v>1087</v>
      </c>
      <c r="M7062" s="10">
        <f t="shared" si="437"/>
        <v>33.129714811407545</v>
      </c>
    </row>
    <row r="7063" spans="1:13" hidden="1" x14ac:dyDescent="0.3">
      <c r="A7063" s="9">
        <v>4989</v>
      </c>
      <c r="B7063" t="s">
        <v>249</v>
      </c>
      <c r="C7063" s="25">
        <v>44707</v>
      </c>
      <c r="D7063" s="26">
        <v>0.60627314814814814</v>
      </c>
      <c r="E7063" t="s">
        <v>28</v>
      </c>
      <c r="F7063" t="s">
        <v>643</v>
      </c>
      <c r="G7063" t="s">
        <v>203</v>
      </c>
      <c r="H7063" t="s">
        <v>440</v>
      </c>
      <c r="I7063">
        <v>174.91</v>
      </c>
      <c r="J7063" s="34">
        <v>0</v>
      </c>
      <c r="K7063" s="93">
        <f t="shared" si="438"/>
        <v>535</v>
      </c>
      <c r="L7063" s="35">
        <v>535</v>
      </c>
      <c r="M7063" s="10">
        <f t="shared" si="437"/>
        <v>32.693457943925232</v>
      </c>
    </row>
    <row r="7064" spans="1:13" hidden="1" x14ac:dyDescent="0.3">
      <c r="A7064" s="9">
        <v>5033</v>
      </c>
      <c r="B7064" t="s">
        <v>249</v>
      </c>
      <c r="C7064" s="25">
        <v>44708</v>
      </c>
      <c r="D7064" s="26">
        <v>0.72832175925925924</v>
      </c>
      <c r="E7064" t="s">
        <v>28</v>
      </c>
      <c r="F7064" t="s">
        <v>634</v>
      </c>
      <c r="G7064" t="s">
        <v>211</v>
      </c>
      <c r="H7064" t="s">
        <v>440</v>
      </c>
      <c r="I7064">
        <v>360.72</v>
      </c>
      <c r="J7064" s="7">
        <v>0</v>
      </c>
      <c r="K7064" s="90">
        <f t="shared" si="438"/>
        <v>1087</v>
      </c>
      <c r="L7064" s="7">
        <v>1087</v>
      </c>
      <c r="M7064" s="10">
        <f t="shared" si="437"/>
        <v>33.184912603495867</v>
      </c>
    </row>
    <row r="7065" spans="1:13" hidden="1" x14ac:dyDescent="0.3">
      <c r="A7065" s="9">
        <v>5150</v>
      </c>
      <c r="B7065" t="s">
        <v>249</v>
      </c>
      <c r="C7065" s="25">
        <v>44710</v>
      </c>
      <c r="D7065" s="26">
        <v>0.86092592592592598</v>
      </c>
      <c r="E7065" t="s">
        <v>28</v>
      </c>
      <c r="F7065" t="s">
        <v>663</v>
      </c>
      <c r="G7065" t="s">
        <v>344</v>
      </c>
      <c r="H7065" t="s">
        <v>440</v>
      </c>
      <c r="I7065">
        <v>424.45</v>
      </c>
      <c r="J7065" s="7">
        <v>0</v>
      </c>
      <c r="K7065" s="97">
        <f t="shared" si="438"/>
        <v>1274</v>
      </c>
      <c r="L7065" s="7">
        <v>1274</v>
      </c>
      <c r="M7065" s="10">
        <f t="shared" si="437"/>
        <v>33.316326530612244</v>
      </c>
    </row>
    <row r="7066" spans="1:13" ht="12.75" hidden="1" customHeight="1" x14ac:dyDescent="0.3">
      <c r="A7066" s="9">
        <v>5199</v>
      </c>
      <c r="B7066" t="s">
        <v>249</v>
      </c>
      <c r="C7066" s="25">
        <v>44711</v>
      </c>
      <c r="D7066" s="26">
        <v>0.23896990740740742</v>
      </c>
      <c r="E7066" t="s">
        <v>28</v>
      </c>
      <c r="F7066" t="s">
        <v>634</v>
      </c>
      <c r="G7066" t="s">
        <v>211</v>
      </c>
      <c r="H7066" t="s">
        <v>440</v>
      </c>
      <c r="I7066">
        <v>213.84</v>
      </c>
      <c r="J7066" s="32">
        <v>0</v>
      </c>
      <c r="K7066" s="90">
        <f>+L7066-J7330</f>
        <v>555</v>
      </c>
      <c r="L7066" s="30">
        <v>555</v>
      </c>
      <c r="M7066" s="10">
        <f t="shared" si="437"/>
        <v>38.529729729729731</v>
      </c>
    </row>
    <row r="7067" spans="1:13" hidden="1" x14ac:dyDescent="0.3">
      <c r="A7067" s="9">
        <v>5237</v>
      </c>
      <c r="B7067" t="s">
        <v>249</v>
      </c>
      <c r="C7067" s="25">
        <v>44712</v>
      </c>
      <c r="D7067" s="26">
        <v>2.8703703703703708E-3</v>
      </c>
      <c r="E7067" t="s">
        <v>28</v>
      </c>
      <c r="F7067" t="s">
        <v>634</v>
      </c>
      <c r="G7067" t="s">
        <v>211</v>
      </c>
      <c r="H7067" t="s">
        <v>440</v>
      </c>
      <c r="I7067">
        <v>378.87</v>
      </c>
      <c r="J7067" s="32">
        <v>0</v>
      </c>
      <c r="K7067" s="90">
        <f>+L7067-J7329</f>
        <v>1063</v>
      </c>
      <c r="L7067" s="7">
        <v>1063</v>
      </c>
      <c r="M7067" s="10">
        <f t="shared" si="437"/>
        <v>35.641580432737534</v>
      </c>
    </row>
    <row r="7068" spans="1:13" hidden="1" x14ac:dyDescent="0.3">
      <c r="A7068" s="9">
        <v>5345</v>
      </c>
      <c r="B7068" t="s">
        <v>249</v>
      </c>
      <c r="C7068" s="25">
        <v>44714</v>
      </c>
      <c r="D7068" s="26">
        <v>0.515162037037037</v>
      </c>
      <c r="E7068" t="s">
        <v>29</v>
      </c>
      <c r="F7068" t="s">
        <v>673</v>
      </c>
      <c r="G7068" t="s">
        <v>172</v>
      </c>
      <c r="H7068" t="s">
        <v>440</v>
      </c>
      <c r="I7068">
        <v>370.05</v>
      </c>
      <c r="J7068" s="37">
        <v>0</v>
      </c>
      <c r="K7068" s="97">
        <f>+L7068-J7328</f>
        <v>1080</v>
      </c>
      <c r="L7068" s="34">
        <v>1080</v>
      </c>
      <c r="M7068" s="10">
        <f t="shared" si="437"/>
        <v>34.263888888888886</v>
      </c>
    </row>
    <row r="7069" spans="1:13" hidden="1" x14ac:dyDescent="0.3">
      <c r="A7069" s="9">
        <v>5346</v>
      </c>
      <c r="B7069" t="s">
        <v>249</v>
      </c>
      <c r="C7069" s="25">
        <v>44714</v>
      </c>
      <c r="D7069" s="26">
        <v>0.9456134259259259</v>
      </c>
      <c r="E7069" t="s">
        <v>29</v>
      </c>
      <c r="F7069" t="s">
        <v>634</v>
      </c>
      <c r="G7069" t="s">
        <v>211</v>
      </c>
      <c r="H7069" t="s">
        <v>440</v>
      </c>
      <c r="I7069">
        <v>265.07</v>
      </c>
      <c r="J7069" s="32">
        <v>0</v>
      </c>
      <c r="K7069" s="90">
        <f>+L7069-J7329</f>
        <v>701</v>
      </c>
      <c r="L7069" s="7">
        <v>701</v>
      </c>
      <c r="M7069" s="10">
        <f t="shared" si="437"/>
        <v>37.813124108416545</v>
      </c>
    </row>
    <row r="7070" spans="1:13" hidden="1" x14ac:dyDescent="0.3">
      <c r="A7070" s="9">
        <v>5407</v>
      </c>
      <c r="B7070" t="s">
        <v>249</v>
      </c>
      <c r="C7070" s="25">
        <v>44715</v>
      </c>
      <c r="D7070" s="26">
        <v>0.71446759259259263</v>
      </c>
      <c r="E7070" t="s">
        <v>29</v>
      </c>
      <c r="F7070" t="s">
        <v>640</v>
      </c>
      <c r="G7070" t="s">
        <v>185</v>
      </c>
      <c r="H7070" t="s">
        <v>440</v>
      </c>
      <c r="I7070">
        <v>230.01</v>
      </c>
      <c r="J7070" s="32">
        <v>0</v>
      </c>
      <c r="K7070" s="90">
        <f>+L7070-J7326</f>
        <v>445</v>
      </c>
      <c r="L7070" s="7">
        <v>445</v>
      </c>
      <c r="M7070" s="10">
        <f t="shared" si="437"/>
        <v>51.687640449438199</v>
      </c>
    </row>
    <row r="7071" spans="1:13" hidden="1" x14ac:dyDescent="0.3">
      <c r="A7071" s="9">
        <v>5459</v>
      </c>
      <c r="B7071" t="s">
        <v>249</v>
      </c>
      <c r="C7071" s="25">
        <v>44716</v>
      </c>
      <c r="D7071" s="26">
        <v>0.78579861111111116</v>
      </c>
      <c r="E7071" t="s">
        <v>29</v>
      </c>
      <c r="F7071" t="s">
        <v>634</v>
      </c>
      <c r="G7071" t="s">
        <v>211</v>
      </c>
      <c r="H7071" t="s">
        <v>440</v>
      </c>
      <c r="I7071">
        <v>213.76</v>
      </c>
      <c r="J7071" s="32">
        <v>0</v>
      </c>
      <c r="K7071" s="97">
        <f>+L7071-J7327</f>
        <v>571</v>
      </c>
      <c r="L7071" s="34">
        <v>571</v>
      </c>
      <c r="M7071" s="10">
        <f t="shared" si="437"/>
        <v>37.436077057793341</v>
      </c>
    </row>
    <row r="7072" spans="1:13" hidden="1" x14ac:dyDescent="0.3">
      <c r="A7072" s="9">
        <v>5597</v>
      </c>
      <c r="B7072" t="s">
        <v>249</v>
      </c>
      <c r="C7072" s="25">
        <v>44719</v>
      </c>
      <c r="D7072" s="26">
        <v>0.43207175925925928</v>
      </c>
      <c r="E7072" t="s">
        <v>29</v>
      </c>
      <c r="F7072" t="s">
        <v>651</v>
      </c>
      <c r="G7072" t="s">
        <v>172</v>
      </c>
      <c r="H7072" t="s">
        <v>440</v>
      </c>
      <c r="I7072">
        <v>379.6</v>
      </c>
      <c r="J7072" s="7">
        <v>0</v>
      </c>
      <c r="K7072" s="90">
        <f>+L7072-J6636</f>
        <v>1080</v>
      </c>
      <c r="L7072" s="7">
        <v>1080</v>
      </c>
      <c r="M7072" s="10">
        <f t="shared" si="437"/>
        <v>35.148148148148152</v>
      </c>
    </row>
    <row r="7073" spans="1:19" hidden="1" x14ac:dyDescent="0.3">
      <c r="A7073" s="9">
        <v>5658</v>
      </c>
      <c r="B7073" t="s">
        <v>249</v>
      </c>
      <c r="C7073" s="25">
        <v>44720</v>
      </c>
      <c r="D7073" s="26">
        <v>0.26556712962962964</v>
      </c>
      <c r="E7073" t="s">
        <v>29</v>
      </c>
      <c r="F7073" t="s">
        <v>635</v>
      </c>
      <c r="G7073" t="s">
        <v>185</v>
      </c>
      <c r="H7073" t="s">
        <v>440</v>
      </c>
      <c r="I7073">
        <v>485.03</v>
      </c>
      <c r="J7073" s="32">
        <v>0</v>
      </c>
      <c r="K7073" s="90">
        <f>+L7073-J6639</f>
        <v>1245</v>
      </c>
      <c r="L7073" s="7">
        <v>1245</v>
      </c>
      <c r="M7073" s="10">
        <f t="shared" si="437"/>
        <v>38.958232931726904</v>
      </c>
    </row>
    <row r="7074" spans="1:19" hidden="1" x14ac:dyDescent="0.3">
      <c r="A7074" s="9">
        <v>5765</v>
      </c>
      <c r="B7074" t="s">
        <v>249</v>
      </c>
      <c r="C7074" s="25">
        <v>44722</v>
      </c>
      <c r="D7074" s="26">
        <v>0.50310185185185186</v>
      </c>
      <c r="E7074" t="s">
        <v>29</v>
      </c>
      <c r="F7074" t="s">
        <v>734</v>
      </c>
      <c r="G7074" t="s">
        <v>277</v>
      </c>
      <c r="H7074" t="s">
        <v>440</v>
      </c>
      <c r="I7074">
        <v>497.53</v>
      </c>
      <c r="J7074" s="32">
        <v>0</v>
      </c>
      <c r="K7074" s="90">
        <f>+L7074-J6640</f>
        <v>1324</v>
      </c>
      <c r="L7074" s="7">
        <v>1324</v>
      </c>
      <c r="M7074" s="10">
        <f t="shared" si="437"/>
        <v>37.57779456193353</v>
      </c>
    </row>
    <row r="7075" spans="1:19" hidden="1" x14ac:dyDescent="0.3">
      <c r="A7075" s="9">
        <v>5877</v>
      </c>
      <c r="B7075" t="s">
        <v>249</v>
      </c>
      <c r="C7075" s="25">
        <v>44724</v>
      </c>
      <c r="D7075" s="26">
        <v>0.68309027777777775</v>
      </c>
      <c r="E7075" t="s">
        <v>29</v>
      </c>
      <c r="F7075" t="s">
        <v>634</v>
      </c>
      <c r="G7075" t="s">
        <v>211</v>
      </c>
      <c r="H7075" t="s">
        <v>440</v>
      </c>
      <c r="I7075">
        <v>365.56</v>
      </c>
      <c r="J7075" s="32">
        <v>0</v>
      </c>
      <c r="K7075" s="90">
        <f>+L7075-J6641</f>
        <v>976</v>
      </c>
      <c r="L7075" s="7">
        <v>976</v>
      </c>
      <c r="M7075" s="10">
        <f t="shared" si="437"/>
        <v>37.454918032786885</v>
      </c>
    </row>
    <row r="7076" spans="1:19" hidden="1" x14ac:dyDescent="0.3">
      <c r="A7076" s="9">
        <v>5933</v>
      </c>
      <c r="B7076" t="s">
        <v>249</v>
      </c>
      <c r="C7076" s="25">
        <v>44725</v>
      </c>
      <c r="D7076" s="26">
        <v>0.84622685185185187</v>
      </c>
      <c r="E7076" t="s">
        <v>29</v>
      </c>
      <c r="F7076" t="s">
        <v>634</v>
      </c>
      <c r="G7076" t="s">
        <v>211</v>
      </c>
      <c r="H7076" t="s">
        <v>440</v>
      </c>
      <c r="I7076">
        <v>356.94</v>
      </c>
      <c r="J7076" s="32">
        <v>0</v>
      </c>
      <c r="K7076" s="90">
        <f>+L7076-J6646</f>
        <v>1062</v>
      </c>
      <c r="L7076" s="7">
        <v>1062</v>
      </c>
      <c r="M7076" s="10">
        <f t="shared" si="437"/>
        <v>33.610169491525419</v>
      </c>
      <c r="N7076" s="2"/>
      <c r="O7076" s="2"/>
      <c r="P7076" s="2"/>
      <c r="Q7076" s="2"/>
      <c r="R7076" s="2"/>
      <c r="S7076" s="2"/>
    </row>
    <row r="7077" spans="1:19" hidden="1" x14ac:dyDescent="0.3">
      <c r="A7077" s="9">
        <v>6156</v>
      </c>
      <c r="B7077" t="s">
        <v>249</v>
      </c>
      <c r="C7077" s="25">
        <v>44729</v>
      </c>
      <c r="D7077" s="26">
        <v>0.78628472222222223</v>
      </c>
      <c r="E7077" t="s">
        <v>29</v>
      </c>
      <c r="F7077" t="s">
        <v>651</v>
      </c>
      <c r="G7077" t="s">
        <v>172</v>
      </c>
      <c r="H7077" t="s">
        <v>440</v>
      </c>
      <c r="I7077">
        <v>156.86000000000001</v>
      </c>
      <c r="J7077" s="37">
        <v>0</v>
      </c>
      <c r="K7077" s="101">
        <v>966</v>
      </c>
      <c r="L7077" s="34">
        <v>966</v>
      </c>
      <c r="M7077" s="10">
        <f t="shared" si="437"/>
        <v>16.238095238095241</v>
      </c>
    </row>
    <row r="7078" spans="1:19" hidden="1" x14ac:dyDescent="0.3">
      <c r="A7078" s="9">
        <v>6209</v>
      </c>
      <c r="B7078" t="s">
        <v>249</v>
      </c>
      <c r="C7078" s="25">
        <v>44730</v>
      </c>
      <c r="D7078" s="26">
        <v>0.59694444444444439</v>
      </c>
      <c r="E7078" t="s">
        <v>29</v>
      </c>
      <c r="F7078" t="s">
        <v>705</v>
      </c>
      <c r="G7078" t="s">
        <v>303</v>
      </c>
      <c r="H7078" t="s">
        <v>440</v>
      </c>
      <c r="I7078">
        <v>250</v>
      </c>
      <c r="J7078" s="32">
        <v>0</v>
      </c>
      <c r="K7078" s="90">
        <v>432</v>
      </c>
      <c r="L7078" s="7">
        <v>432</v>
      </c>
      <c r="M7078" s="10">
        <f t="shared" si="437"/>
        <v>57.870370370370374</v>
      </c>
    </row>
    <row r="7079" spans="1:19" hidden="1" x14ac:dyDescent="0.3">
      <c r="A7079" s="9">
        <v>6239</v>
      </c>
      <c r="B7079" t="s">
        <v>249</v>
      </c>
      <c r="C7079" s="25">
        <v>44731</v>
      </c>
      <c r="D7079" s="26">
        <v>0.50210648148148151</v>
      </c>
      <c r="E7079" t="s">
        <v>29</v>
      </c>
      <c r="F7079" t="s">
        <v>634</v>
      </c>
      <c r="G7079" t="s">
        <v>211</v>
      </c>
      <c r="H7079" t="s">
        <v>440</v>
      </c>
      <c r="I7079" s="148">
        <v>277.77999999999997</v>
      </c>
      <c r="J7079" s="32">
        <v>0</v>
      </c>
      <c r="K7079" s="102">
        <v>434</v>
      </c>
      <c r="L7079" s="7">
        <v>434</v>
      </c>
      <c r="M7079" s="10">
        <f t="shared" si="437"/>
        <v>64.004608294930861</v>
      </c>
    </row>
    <row r="7080" spans="1:19" hidden="1" x14ac:dyDescent="0.3">
      <c r="A7080" s="9">
        <v>6429</v>
      </c>
      <c r="B7080" t="s">
        <v>249</v>
      </c>
      <c r="C7080" s="25">
        <v>44736</v>
      </c>
      <c r="D7080" s="26">
        <v>0.48877314814814815</v>
      </c>
      <c r="E7080" t="s">
        <v>29</v>
      </c>
      <c r="F7080" t="s">
        <v>645</v>
      </c>
      <c r="G7080" t="s">
        <v>279</v>
      </c>
      <c r="H7080" t="s">
        <v>440</v>
      </c>
      <c r="I7080" s="148">
        <v>100</v>
      </c>
      <c r="J7080" s="32">
        <v>0</v>
      </c>
      <c r="K7080" s="90">
        <v>1009</v>
      </c>
      <c r="L7080" s="7">
        <v>1009</v>
      </c>
      <c r="M7080" s="10">
        <f t="shared" si="437"/>
        <v>9.9108027750247771</v>
      </c>
    </row>
    <row r="7081" spans="1:19" hidden="1" x14ac:dyDescent="0.3">
      <c r="A7081" s="9">
        <v>6430</v>
      </c>
      <c r="B7081" t="s">
        <v>249</v>
      </c>
      <c r="C7081" s="25">
        <v>44736</v>
      </c>
      <c r="D7081" s="26">
        <v>0.72453703703703709</v>
      </c>
      <c r="E7081" t="s">
        <v>29</v>
      </c>
      <c r="F7081" t="s">
        <v>634</v>
      </c>
      <c r="G7081" t="s">
        <v>211</v>
      </c>
      <c r="H7081" t="s">
        <v>440</v>
      </c>
      <c r="I7081" s="148">
        <v>421.42</v>
      </c>
      <c r="J7081" s="37">
        <v>0</v>
      </c>
      <c r="K7081" s="97">
        <v>350</v>
      </c>
      <c r="L7081" s="34">
        <v>350</v>
      </c>
      <c r="M7081" s="10">
        <f t="shared" si="437"/>
        <v>120.4057142857143</v>
      </c>
    </row>
    <row r="7082" spans="1:19" hidden="1" x14ac:dyDescent="0.3">
      <c r="A7082" s="9">
        <v>6544</v>
      </c>
      <c r="B7082" t="s">
        <v>249</v>
      </c>
      <c r="C7082" s="25">
        <v>44738</v>
      </c>
      <c r="D7082" s="26">
        <v>9.479166666666667E-3</v>
      </c>
      <c r="E7082" t="s">
        <v>29</v>
      </c>
      <c r="F7082" t="s">
        <v>673</v>
      </c>
      <c r="G7082" t="s">
        <v>172</v>
      </c>
      <c r="H7082" t="s">
        <v>440</v>
      </c>
      <c r="I7082" s="148">
        <v>348.6</v>
      </c>
      <c r="J7082" s="32">
        <v>0</v>
      </c>
      <c r="K7082" s="90">
        <v>1054</v>
      </c>
      <c r="L7082" s="7">
        <v>1054</v>
      </c>
      <c r="M7082" s="36">
        <f t="shared" si="437"/>
        <v>33.074003795066417</v>
      </c>
    </row>
    <row r="7083" spans="1:19" hidden="1" x14ac:dyDescent="0.3">
      <c r="A7083" s="9">
        <v>6655</v>
      </c>
      <c r="B7083" t="s">
        <v>249</v>
      </c>
      <c r="C7083" s="25">
        <v>44740</v>
      </c>
      <c r="D7083" s="26">
        <v>0.62768518518518512</v>
      </c>
      <c r="E7083" t="s">
        <v>29</v>
      </c>
      <c r="F7083" t="s">
        <v>634</v>
      </c>
      <c r="G7083" t="s">
        <v>211</v>
      </c>
      <c r="H7083" t="s">
        <v>440</v>
      </c>
      <c r="I7083" s="148">
        <v>366.95</v>
      </c>
      <c r="J7083" s="33">
        <v>0</v>
      </c>
      <c r="K7083" s="99">
        <v>1063</v>
      </c>
      <c r="L7083" s="31">
        <v>1063</v>
      </c>
      <c r="M7083" s="131">
        <f t="shared" si="437"/>
        <v>34.520225776105363</v>
      </c>
    </row>
    <row r="7084" spans="1:19" hidden="1" x14ac:dyDescent="0.3">
      <c r="B7084" t="s">
        <v>756</v>
      </c>
      <c r="C7084" s="25">
        <v>44773</v>
      </c>
      <c r="D7084" s="26">
        <v>0.44612268518518516</v>
      </c>
      <c r="E7084" t="s">
        <v>30</v>
      </c>
      <c r="F7084" t="s">
        <v>278</v>
      </c>
      <c r="G7084" t="s">
        <v>279</v>
      </c>
      <c r="H7084" t="s">
        <v>313</v>
      </c>
      <c r="I7084" s="160">
        <v>534.09</v>
      </c>
      <c r="J7084" s="8"/>
      <c r="K7084" s="8"/>
      <c r="L7084" s="8"/>
      <c r="M7084" s="254"/>
    </row>
    <row r="7085" spans="1:19" hidden="1" x14ac:dyDescent="0.3">
      <c r="B7085" t="s">
        <v>756</v>
      </c>
      <c r="C7085" s="25">
        <v>44773</v>
      </c>
      <c r="D7085" s="26">
        <v>0.65318287037037037</v>
      </c>
      <c r="E7085" t="s">
        <v>30</v>
      </c>
      <c r="F7085" t="s">
        <v>165</v>
      </c>
      <c r="G7085" t="s">
        <v>185</v>
      </c>
      <c r="H7085" t="s">
        <v>313</v>
      </c>
      <c r="I7085" s="160">
        <v>240.22</v>
      </c>
      <c r="J7085" s="8"/>
      <c r="K7085" s="8"/>
      <c r="L7085" s="8"/>
      <c r="M7085" s="19"/>
    </row>
    <row r="7086" spans="1:19" hidden="1" x14ac:dyDescent="0.3">
      <c r="A7086" s="9">
        <v>6779</v>
      </c>
      <c r="B7086" t="s">
        <v>348</v>
      </c>
      <c r="C7086" s="25">
        <v>44743</v>
      </c>
      <c r="D7086" s="26">
        <v>0.62349537037037039</v>
      </c>
      <c r="E7086" t="s">
        <v>30</v>
      </c>
      <c r="F7086" t="s">
        <v>169</v>
      </c>
      <c r="G7086" t="s">
        <v>196</v>
      </c>
      <c r="H7086" t="s">
        <v>204</v>
      </c>
      <c r="I7086" s="160">
        <f>69.22+167.77</f>
        <v>236.99</v>
      </c>
      <c r="J7086" s="160">
        <f>237+404+361</f>
        <v>1002</v>
      </c>
      <c r="K7086" s="160">
        <v>855555</v>
      </c>
      <c r="L7086" s="160">
        <v>2034</v>
      </c>
      <c r="M7086" s="149">
        <f>+J7086/L7086*100</f>
        <v>49.262536873156343</v>
      </c>
    </row>
    <row r="7087" spans="1:19" hidden="1" x14ac:dyDescent="0.3">
      <c r="A7087" s="9">
        <v>6778</v>
      </c>
      <c r="B7087" t="s">
        <v>348</v>
      </c>
      <c r="C7087" s="25">
        <v>44748</v>
      </c>
      <c r="D7087" s="26">
        <v>0.9499305555555555</v>
      </c>
      <c r="E7087" t="s">
        <v>30</v>
      </c>
      <c r="F7087" t="s">
        <v>343</v>
      </c>
      <c r="G7087" t="s">
        <v>344</v>
      </c>
      <c r="H7087" t="s">
        <v>204</v>
      </c>
      <c r="I7087" s="173">
        <v>100</v>
      </c>
      <c r="J7087" s="8"/>
      <c r="K7087" s="8">
        <v>1234</v>
      </c>
      <c r="L7087" s="8">
        <f>+K7087-J7087</f>
        <v>1234</v>
      </c>
      <c r="M7087" s="91">
        <f t="shared" ref="M7087:M7094" si="439">I7087/K7087*100</f>
        <v>8.1037277147487838</v>
      </c>
    </row>
    <row r="7088" spans="1:19" hidden="1" x14ac:dyDescent="0.3">
      <c r="A7088" s="9">
        <v>6768</v>
      </c>
      <c r="B7088" t="s">
        <v>348</v>
      </c>
      <c r="C7088" s="25">
        <v>44749</v>
      </c>
      <c r="D7088" s="26">
        <v>0.76361111111111113</v>
      </c>
      <c r="E7088" t="s">
        <v>30</v>
      </c>
      <c r="F7088" t="s">
        <v>311</v>
      </c>
      <c r="G7088" t="s">
        <v>303</v>
      </c>
      <c r="H7088" t="s">
        <v>204</v>
      </c>
      <c r="I7088" s="173" t="s">
        <v>797</v>
      </c>
      <c r="J7088" s="8"/>
      <c r="K7088" s="8"/>
      <c r="L7088" s="8"/>
      <c r="M7088" s="91" t="e">
        <f t="shared" si="439"/>
        <v>#DIV/0!</v>
      </c>
    </row>
    <row r="7089" spans="1:13" hidden="1" x14ac:dyDescent="0.3">
      <c r="A7089" s="9">
        <v>2729</v>
      </c>
      <c r="B7089" t="s">
        <v>571</v>
      </c>
      <c r="C7089" s="25">
        <v>44677</v>
      </c>
      <c r="D7089" s="26">
        <v>0.27143518518518522</v>
      </c>
      <c r="E7089" t="s">
        <v>27</v>
      </c>
      <c r="F7089" t="s">
        <v>572</v>
      </c>
      <c r="G7089" t="s">
        <v>535</v>
      </c>
      <c r="H7089" t="s">
        <v>573</v>
      </c>
      <c r="I7089">
        <v>29.62</v>
      </c>
      <c r="J7089" s="44"/>
      <c r="K7089" s="97">
        <f>+L7089-J7089</f>
        <v>0</v>
      </c>
      <c r="L7089" s="34"/>
      <c r="M7089" s="61" t="e">
        <f t="shared" si="439"/>
        <v>#DIV/0!</v>
      </c>
    </row>
    <row r="7090" spans="1:13" hidden="1" x14ac:dyDescent="0.3">
      <c r="A7090" s="9">
        <v>5142</v>
      </c>
      <c r="B7090" t="s">
        <v>571</v>
      </c>
      <c r="C7090" s="25">
        <v>44710</v>
      </c>
      <c r="D7090" s="26">
        <v>0.42640046296296297</v>
      </c>
      <c r="E7090" t="s">
        <v>28</v>
      </c>
      <c r="F7090" t="s">
        <v>664</v>
      </c>
      <c r="G7090" t="s">
        <v>388</v>
      </c>
      <c r="H7090" t="s">
        <v>573</v>
      </c>
      <c r="I7090">
        <v>61.05</v>
      </c>
      <c r="J7090" s="23"/>
      <c r="K7090" s="90"/>
      <c r="L7090" s="23"/>
      <c r="M7090" s="10" t="e">
        <f t="shared" si="439"/>
        <v>#DIV/0!</v>
      </c>
    </row>
    <row r="7091" spans="1:13" hidden="1" x14ac:dyDescent="0.3">
      <c r="A7091" s="9">
        <v>6039</v>
      </c>
      <c r="B7091" t="s">
        <v>571</v>
      </c>
      <c r="C7091" s="25">
        <v>44727</v>
      </c>
      <c r="D7091" s="26">
        <v>0.3520949074074074</v>
      </c>
      <c r="E7091" t="s">
        <v>29</v>
      </c>
      <c r="F7091" t="s">
        <v>685</v>
      </c>
      <c r="G7091" t="s">
        <v>392</v>
      </c>
      <c r="H7091" t="s">
        <v>573</v>
      </c>
      <c r="I7091">
        <v>61.13</v>
      </c>
      <c r="J7091" s="32">
        <v>0</v>
      </c>
      <c r="K7091" s="90"/>
      <c r="L7091" s="23"/>
      <c r="M7091" s="10" t="e">
        <f t="shared" si="439"/>
        <v>#DIV/0!</v>
      </c>
    </row>
    <row r="7092" spans="1:13" hidden="1" x14ac:dyDescent="0.3">
      <c r="A7092" s="9">
        <v>6592</v>
      </c>
      <c r="B7092" t="s">
        <v>571</v>
      </c>
      <c r="C7092" s="25">
        <v>44739</v>
      </c>
      <c r="D7092" s="26">
        <v>0.42444444444444446</v>
      </c>
      <c r="E7092" t="s">
        <v>29</v>
      </c>
      <c r="F7092" t="s">
        <v>685</v>
      </c>
      <c r="G7092" t="s">
        <v>392</v>
      </c>
      <c r="H7092" t="s">
        <v>573</v>
      </c>
      <c r="I7092">
        <v>58.6</v>
      </c>
      <c r="J7092" s="33">
        <v>0</v>
      </c>
      <c r="K7092" s="99"/>
      <c r="L7092" s="66"/>
      <c r="M7092" s="131" t="e">
        <f t="shared" si="439"/>
        <v>#DIV/0!</v>
      </c>
    </row>
    <row r="7093" spans="1:13" hidden="1" x14ac:dyDescent="0.3">
      <c r="A7093" s="9">
        <v>6761</v>
      </c>
      <c r="B7093" t="s">
        <v>348</v>
      </c>
      <c r="C7093" s="25">
        <v>44750</v>
      </c>
      <c r="D7093" s="26">
        <v>0.22509259259259259</v>
      </c>
      <c r="E7093" t="s">
        <v>30</v>
      </c>
      <c r="F7093" t="s">
        <v>210</v>
      </c>
      <c r="G7093" t="s">
        <v>211</v>
      </c>
      <c r="H7093" t="s">
        <v>204</v>
      </c>
      <c r="I7093" s="173" t="s">
        <v>796</v>
      </c>
      <c r="J7093" s="8"/>
      <c r="K7093" s="8"/>
      <c r="L7093" s="8"/>
      <c r="M7093" s="91" t="e">
        <f t="shared" si="439"/>
        <v>#DIV/0!</v>
      </c>
    </row>
    <row r="7094" spans="1:13" hidden="1" x14ac:dyDescent="0.3">
      <c r="A7094" s="9">
        <v>6760</v>
      </c>
      <c r="B7094" t="s">
        <v>348</v>
      </c>
      <c r="C7094" s="25">
        <v>44750</v>
      </c>
      <c r="D7094" s="26">
        <v>0.79512731481481491</v>
      </c>
      <c r="E7094" t="s">
        <v>30</v>
      </c>
      <c r="F7094" t="s">
        <v>165</v>
      </c>
      <c r="G7094" t="s">
        <v>185</v>
      </c>
      <c r="H7094" t="s">
        <v>204</v>
      </c>
      <c r="I7094" s="173" t="s">
        <v>795</v>
      </c>
      <c r="J7094" s="8"/>
      <c r="K7094" s="8"/>
      <c r="L7094" s="8"/>
      <c r="M7094" s="91" t="e">
        <f t="shared" si="439"/>
        <v>#DIV/0!</v>
      </c>
    </row>
    <row r="7095" spans="1:13" ht="14.25" hidden="1" customHeight="1" x14ac:dyDescent="0.3">
      <c r="A7095" s="9">
        <v>6786</v>
      </c>
      <c r="B7095" t="s">
        <v>348</v>
      </c>
      <c r="C7095" s="25">
        <v>44751</v>
      </c>
      <c r="D7095" s="26">
        <v>0.83280092592592592</v>
      </c>
      <c r="E7095" t="s">
        <v>30</v>
      </c>
      <c r="F7095" t="s">
        <v>210</v>
      </c>
      <c r="G7095" t="s">
        <v>211</v>
      </c>
      <c r="H7095" t="s">
        <v>204</v>
      </c>
      <c r="I7095" s="173" t="s">
        <v>794</v>
      </c>
      <c r="J7095" s="160">
        <f>100+348+200+147+372</f>
        <v>1167</v>
      </c>
      <c r="K7095" s="160"/>
      <c r="L7095" s="160">
        <v>2354</v>
      </c>
      <c r="M7095" s="149">
        <f>+J7095/L7095*100</f>
        <v>49.575191163976214</v>
      </c>
    </row>
    <row r="7096" spans="1:13" hidden="1" x14ac:dyDescent="0.3">
      <c r="A7096" s="9">
        <v>6756</v>
      </c>
      <c r="B7096" t="s">
        <v>348</v>
      </c>
      <c r="C7096" s="25">
        <v>44753</v>
      </c>
      <c r="D7096" s="26">
        <v>0.45981481481481484</v>
      </c>
      <c r="E7096" t="s">
        <v>30</v>
      </c>
      <c r="F7096" t="s">
        <v>169</v>
      </c>
      <c r="G7096" t="s">
        <v>196</v>
      </c>
      <c r="H7096" t="s">
        <v>204</v>
      </c>
      <c r="I7096" s="173" t="s">
        <v>800</v>
      </c>
      <c r="J7096" s="23"/>
      <c r="K7096" s="23"/>
      <c r="L7096" s="23"/>
      <c r="M7096" s="254"/>
    </row>
    <row r="7097" spans="1:13" hidden="1" x14ac:dyDescent="0.3">
      <c r="A7097" s="9">
        <v>6757</v>
      </c>
      <c r="B7097" t="s">
        <v>348</v>
      </c>
      <c r="C7097" s="25">
        <v>44753</v>
      </c>
      <c r="D7097" s="26">
        <v>0.46672453703703703</v>
      </c>
      <c r="E7097" t="s">
        <v>30</v>
      </c>
      <c r="F7097" t="s">
        <v>169</v>
      </c>
      <c r="G7097" t="s">
        <v>196</v>
      </c>
      <c r="H7097" t="s">
        <v>204</v>
      </c>
      <c r="I7097" s="173" t="s">
        <v>926</v>
      </c>
      <c r="J7097" s="23"/>
      <c r="K7097" s="23"/>
      <c r="L7097" s="23"/>
      <c r="M7097" s="254"/>
    </row>
    <row r="7098" spans="1:13" hidden="1" x14ac:dyDescent="0.3">
      <c r="B7098" t="s">
        <v>359</v>
      </c>
      <c r="C7098" s="25">
        <v>44564</v>
      </c>
      <c r="D7098" s="26">
        <v>0.804224537037037</v>
      </c>
      <c r="E7098" t="s">
        <v>24</v>
      </c>
      <c r="F7098" t="s">
        <v>175</v>
      </c>
      <c r="G7098" t="s">
        <v>172</v>
      </c>
      <c r="H7098" t="s">
        <v>167</v>
      </c>
      <c r="I7098">
        <v>375.04</v>
      </c>
      <c r="J7098" s="34">
        <v>828975</v>
      </c>
      <c r="K7098" s="34"/>
      <c r="L7098" s="34">
        <v>830151</v>
      </c>
      <c r="M7098" s="61" t="e">
        <f t="shared" ref="M7098:M7129" si="440">I7098/K7098*100</f>
        <v>#DIV/0!</v>
      </c>
    </row>
    <row r="7099" spans="1:13" hidden="1" x14ac:dyDescent="0.3">
      <c r="B7099" t="s">
        <v>359</v>
      </c>
      <c r="C7099" s="25">
        <v>44565</v>
      </c>
      <c r="D7099" s="26">
        <v>0.92524305555555564</v>
      </c>
      <c r="E7099" t="s">
        <v>24</v>
      </c>
      <c r="F7099" t="s">
        <v>210</v>
      </c>
      <c r="G7099" t="s">
        <v>211</v>
      </c>
      <c r="H7099" t="s">
        <v>167</v>
      </c>
      <c r="I7099">
        <v>267.43</v>
      </c>
      <c r="J7099" s="7">
        <v>830151</v>
      </c>
      <c r="K7099" s="7"/>
      <c r="L7099" s="7">
        <v>830855</v>
      </c>
      <c r="M7099" s="10" t="e">
        <f t="shared" si="440"/>
        <v>#DIV/0!</v>
      </c>
    </row>
    <row r="7100" spans="1:13" hidden="1" x14ac:dyDescent="0.3">
      <c r="B7100" t="s">
        <v>359</v>
      </c>
      <c r="C7100" s="25">
        <v>44566</v>
      </c>
      <c r="D7100" s="26">
        <v>0.99649305555555545</v>
      </c>
      <c r="E7100" t="s">
        <v>24</v>
      </c>
      <c r="F7100" t="s">
        <v>210</v>
      </c>
      <c r="G7100" t="s">
        <v>211</v>
      </c>
      <c r="H7100" t="s">
        <v>167</v>
      </c>
      <c r="I7100">
        <v>355.06</v>
      </c>
      <c r="J7100" s="34">
        <v>830855</v>
      </c>
      <c r="K7100" s="7"/>
      <c r="L7100" s="7">
        <v>831933</v>
      </c>
      <c r="M7100" s="10" t="e">
        <f t="shared" si="440"/>
        <v>#DIV/0!</v>
      </c>
    </row>
    <row r="7101" spans="1:13" hidden="1" x14ac:dyDescent="0.3">
      <c r="B7101" t="s">
        <v>359</v>
      </c>
      <c r="C7101" s="25">
        <v>44568</v>
      </c>
      <c r="D7101" s="26">
        <v>0.90534722222222219</v>
      </c>
      <c r="E7101" t="s">
        <v>24</v>
      </c>
      <c r="F7101" t="s">
        <v>205</v>
      </c>
      <c r="G7101" t="s">
        <v>206</v>
      </c>
      <c r="H7101" t="s">
        <v>167</v>
      </c>
      <c r="I7101">
        <v>379.5</v>
      </c>
      <c r="J7101" s="7">
        <v>831933</v>
      </c>
      <c r="K7101" s="7"/>
      <c r="L7101" s="7">
        <v>833070</v>
      </c>
      <c r="M7101" s="10" t="e">
        <f t="shared" si="440"/>
        <v>#DIV/0!</v>
      </c>
    </row>
    <row r="7102" spans="1:13" hidden="1" x14ac:dyDescent="0.3">
      <c r="B7102" t="s">
        <v>359</v>
      </c>
      <c r="C7102" s="25">
        <v>44569</v>
      </c>
      <c r="D7102" s="26">
        <v>0.8401967592592593</v>
      </c>
      <c r="E7102" t="s">
        <v>24</v>
      </c>
      <c r="F7102" t="s">
        <v>210</v>
      </c>
      <c r="G7102" t="s">
        <v>211</v>
      </c>
      <c r="H7102" t="s">
        <v>167</v>
      </c>
      <c r="I7102">
        <v>269.56</v>
      </c>
      <c r="J7102" s="7">
        <v>833070</v>
      </c>
      <c r="K7102" s="7"/>
      <c r="L7102" s="7">
        <v>833796</v>
      </c>
      <c r="M7102" s="10" t="e">
        <f t="shared" si="440"/>
        <v>#DIV/0!</v>
      </c>
    </row>
    <row r="7103" spans="1:13" hidden="1" x14ac:dyDescent="0.3">
      <c r="B7103" t="s">
        <v>359</v>
      </c>
      <c r="C7103" s="25">
        <v>44570</v>
      </c>
      <c r="D7103" s="26">
        <v>0.73393518518518519</v>
      </c>
      <c r="E7103" t="s">
        <v>24</v>
      </c>
      <c r="F7103" t="s">
        <v>210</v>
      </c>
      <c r="G7103" t="s">
        <v>211</v>
      </c>
      <c r="H7103" t="s">
        <v>167</v>
      </c>
      <c r="I7103">
        <v>361.28</v>
      </c>
      <c r="J7103" s="7">
        <v>833796</v>
      </c>
      <c r="K7103" s="7"/>
      <c r="L7103" s="7">
        <v>834872</v>
      </c>
      <c r="M7103" s="10" t="e">
        <f t="shared" si="440"/>
        <v>#DIV/0!</v>
      </c>
    </row>
    <row r="7104" spans="1:13" hidden="1" x14ac:dyDescent="0.3">
      <c r="B7104" t="s">
        <v>359</v>
      </c>
      <c r="C7104" s="25">
        <v>44572</v>
      </c>
      <c r="D7104" s="26">
        <v>0.51081018518518517</v>
      </c>
      <c r="E7104" t="s">
        <v>24</v>
      </c>
      <c r="F7104" t="s">
        <v>175</v>
      </c>
      <c r="G7104" t="s">
        <v>172</v>
      </c>
      <c r="H7104" t="s">
        <v>167</v>
      </c>
      <c r="I7104">
        <v>294.14</v>
      </c>
      <c r="J7104" s="7">
        <v>0</v>
      </c>
      <c r="K7104" s="7"/>
      <c r="L7104" s="7">
        <v>926.12</v>
      </c>
      <c r="M7104" s="36" t="e">
        <f t="shared" si="440"/>
        <v>#DIV/0!</v>
      </c>
    </row>
    <row r="7105" spans="2:13" hidden="1" x14ac:dyDescent="0.3">
      <c r="B7105" t="s">
        <v>359</v>
      </c>
      <c r="C7105" s="25">
        <v>44573</v>
      </c>
      <c r="D7105" s="26">
        <v>0.49707175925925928</v>
      </c>
      <c r="E7105" t="s">
        <v>24</v>
      </c>
      <c r="F7105" t="s">
        <v>210</v>
      </c>
      <c r="G7105" t="s">
        <v>211</v>
      </c>
      <c r="H7105" t="s">
        <v>167</v>
      </c>
      <c r="I7105">
        <v>316.93</v>
      </c>
      <c r="J7105" s="7">
        <v>0</v>
      </c>
      <c r="K7105" s="51"/>
      <c r="L7105" s="51">
        <v>855.39</v>
      </c>
      <c r="M7105" s="10" t="e">
        <f t="shared" si="440"/>
        <v>#DIV/0!</v>
      </c>
    </row>
    <row r="7106" spans="2:13" hidden="1" x14ac:dyDescent="0.3">
      <c r="B7106" t="s">
        <v>359</v>
      </c>
      <c r="C7106" s="25">
        <v>44575</v>
      </c>
      <c r="D7106" s="26">
        <v>0.32215277777777779</v>
      </c>
      <c r="E7106" t="s">
        <v>24</v>
      </c>
      <c r="F7106" t="s">
        <v>210</v>
      </c>
      <c r="G7106" t="s">
        <v>211</v>
      </c>
      <c r="H7106" t="s">
        <v>167</v>
      </c>
      <c r="I7106">
        <v>414.06</v>
      </c>
      <c r="J7106" s="7">
        <v>0</v>
      </c>
      <c r="K7106" s="51"/>
      <c r="L7106" s="51">
        <v>1109.1400000000001</v>
      </c>
      <c r="M7106" s="10" t="e">
        <f t="shared" si="440"/>
        <v>#DIV/0!</v>
      </c>
    </row>
    <row r="7107" spans="2:13" hidden="1" x14ac:dyDescent="0.3">
      <c r="B7107" t="s">
        <v>359</v>
      </c>
      <c r="C7107" s="25">
        <v>44576</v>
      </c>
      <c r="D7107" s="26">
        <v>0.4806597222222222</v>
      </c>
      <c r="E7107" t="s">
        <v>24</v>
      </c>
      <c r="F7107" t="s">
        <v>205</v>
      </c>
      <c r="G7107" t="s">
        <v>206</v>
      </c>
      <c r="H7107" t="s">
        <v>167</v>
      </c>
      <c r="I7107">
        <v>299.55</v>
      </c>
      <c r="J7107" s="31">
        <v>837814</v>
      </c>
      <c r="K7107" s="51"/>
      <c r="L7107" s="51">
        <v>838735</v>
      </c>
      <c r="M7107" s="10" t="e">
        <f t="shared" si="440"/>
        <v>#DIV/0!</v>
      </c>
    </row>
    <row r="7108" spans="2:13" hidden="1" x14ac:dyDescent="0.3">
      <c r="B7108" t="s">
        <v>359</v>
      </c>
      <c r="C7108" s="25">
        <v>44577</v>
      </c>
      <c r="D7108" s="26">
        <v>0.48535879629629625</v>
      </c>
      <c r="E7108" t="s">
        <v>24</v>
      </c>
      <c r="F7108" t="s">
        <v>210</v>
      </c>
      <c r="G7108" t="s">
        <v>211</v>
      </c>
      <c r="H7108" t="s">
        <v>167</v>
      </c>
      <c r="I7108">
        <v>307.31</v>
      </c>
      <c r="J7108" s="7">
        <v>838735</v>
      </c>
      <c r="K7108" s="7"/>
      <c r="L7108" s="7">
        <v>839488</v>
      </c>
      <c r="M7108" s="10" t="e">
        <f t="shared" si="440"/>
        <v>#DIV/0!</v>
      </c>
    </row>
    <row r="7109" spans="2:13" hidden="1" x14ac:dyDescent="0.3">
      <c r="B7109" t="s">
        <v>359</v>
      </c>
      <c r="C7109" s="25">
        <v>44579</v>
      </c>
      <c r="D7109" s="26">
        <v>0.36833333333333335</v>
      </c>
      <c r="E7109" t="s">
        <v>24</v>
      </c>
      <c r="F7109" t="s">
        <v>210</v>
      </c>
      <c r="G7109" t="s">
        <v>211</v>
      </c>
      <c r="H7109" t="s">
        <v>167</v>
      </c>
      <c r="I7109">
        <v>449.44</v>
      </c>
      <c r="J7109" s="7">
        <v>839488</v>
      </c>
      <c r="K7109" s="7"/>
      <c r="L7109" s="7">
        <v>840628</v>
      </c>
      <c r="M7109" s="10" t="e">
        <f t="shared" si="440"/>
        <v>#DIV/0!</v>
      </c>
    </row>
    <row r="7110" spans="2:13" hidden="1" x14ac:dyDescent="0.3">
      <c r="B7110" t="s">
        <v>359</v>
      </c>
      <c r="C7110" s="25">
        <v>44580</v>
      </c>
      <c r="D7110" s="26">
        <v>0.64525462962962965</v>
      </c>
      <c r="E7110" t="s">
        <v>24</v>
      </c>
      <c r="F7110" t="s">
        <v>175</v>
      </c>
      <c r="G7110" t="s">
        <v>172</v>
      </c>
      <c r="H7110" t="s">
        <v>167</v>
      </c>
      <c r="I7110">
        <v>347.17</v>
      </c>
      <c r="J7110" s="7">
        <v>840628</v>
      </c>
      <c r="K7110" s="51"/>
      <c r="L7110" s="51">
        <v>841575</v>
      </c>
      <c r="M7110" s="10" t="e">
        <f t="shared" si="440"/>
        <v>#DIV/0!</v>
      </c>
    </row>
    <row r="7111" spans="2:13" hidden="1" x14ac:dyDescent="0.3">
      <c r="B7111" t="s">
        <v>359</v>
      </c>
      <c r="C7111" s="25">
        <v>44582</v>
      </c>
      <c r="D7111" s="26">
        <v>0.16495370370370369</v>
      </c>
      <c r="E7111" t="s">
        <v>24</v>
      </c>
      <c r="F7111" t="s">
        <v>210</v>
      </c>
      <c r="G7111" t="s">
        <v>211</v>
      </c>
      <c r="H7111" t="s">
        <v>167</v>
      </c>
      <c r="I7111">
        <v>307.45999999999998</v>
      </c>
      <c r="J7111" s="7">
        <v>841575</v>
      </c>
      <c r="K7111" s="7"/>
      <c r="L7111" s="7">
        <v>842423</v>
      </c>
      <c r="M7111" s="10" t="e">
        <f t="shared" si="440"/>
        <v>#DIV/0!</v>
      </c>
    </row>
    <row r="7112" spans="2:13" hidden="1" x14ac:dyDescent="0.3">
      <c r="B7112" t="s">
        <v>359</v>
      </c>
      <c r="C7112" s="25">
        <v>44582</v>
      </c>
      <c r="D7112" s="26">
        <v>0.77387731481481481</v>
      </c>
      <c r="E7112" t="s">
        <v>24</v>
      </c>
      <c r="F7112" t="s">
        <v>165</v>
      </c>
      <c r="G7112" t="s">
        <v>185</v>
      </c>
      <c r="H7112" t="s">
        <v>167</v>
      </c>
      <c r="I7112">
        <v>225.67</v>
      </c>
      <c r="J7112" s="7">
        <v>842423</v>
      </c>
      <c r="K7112" s="34"/>
      <c r="L7112" s="34">
        <v>842980</v>
      </c>
      <c r="M7112" s="10" t="e">
        <f t="shared" si="440"/>
        <v>#DIV/0!</v>
      </c>
    </row>
    <row r="7113" spans="2:13" hidden="1" x14ac:dyDescent="0.3">
      <c r="B7113" t="s">
        <v>359</v>
      </c>
      <c r="C7113" s="25">
        <v>44583</v>
      </c>
      <c r="D7113" s="26">
        <v>0.61225694444444445</v>
      </c>
      <c r="E7113" t="s">
        <v>24</v>
      </c>
      <c r="F7113" t="s">
        <v>340</v>
      </c>
      <c r="G7113" t="s">
        <v>337</v>
      </c>
      <c r="H7113" t="s">
        <v>167</v>
      </c>
      <c r="I7113">
        <v>213.42</v>
      </c>
      <c r="J7113" s="7">
        <v>842980</v>
      </c>
      <c r="K7113" s="7"/>
      <c r="L7113" s="7">
        <v>843816</v>
      </c>
      <c r="M7113" s="10" t="e">
        <f t="shared" si="440"/>
        <v>#DIV/0!</v>
      </c>
    </row>
    <row r="7114" spans="2:13" hidden="1" x14ac:dyDescent="0.3">
      <c r="B7114" t="s">
        <v>359</v>
      </c>
      <c r="C7114" s="25">
        <v>44585</v>
      </c>
      <c r="D7114" s="26">
        <v>0.52681712962962968</v>
      </c>
      <c r="E7114" t="s">
        <v>24</v>
      </c>
      <c r="F7114" t="s">
        <v>210</v>
      </c>
      <c r="G7114" t="s">
        <v>211</v>
      </c>
      <c r="H7114" t="s">
        <v>167</v>
      </c>
      <c r="I7114">
        <v>432.69</v>
      </c>
      <c r="J7114" s="34">
        <v>843816</v>
      </c>
      <c r="K7114" s="34"/>
      <c r="L7114" s="34">
        <v>845156</v>
      </c>
      <c r="M7114" s="10" t="e">
        <f t="shared" si="440"/>
        <v>#DIV/0!</v>
      </c>
    </row>
    <row r="7115" spans="2:13" hidden="1" x14ac:dyDescent="0.3">
      <c r="B7115" t="s">
        <v>359</v>
      </c>
      <c r="C7115" s="25">
        <v>44586</v>
      </c>
      <c r="D7115" s="26">
        <v>0.87137731481481484</v>
      </c>
      <c r="E7115" t="s">
        <v>24</v>
      </c>
      <c r="F7115" t="s">
        <v>175</v>
      </c>
      <c r="G7115" t="s">
        <v>172</v>
      </c>
      <c r="H7115" t="s">
        <v>167</v>
      </c>
      <c r="I7115">
        <v>308.67</v>
      </c>
      <c r="J7115" s="7">
        <v>845156</v>
      </c>
      <c r="K7115" s="7"/>
      <c r="L7115" s="7">
        <v>846250</v>
      </c>
      <c r="M7115" s="10" t="e">
        <f t="shared" si="440"/>
        <v>#DIV/0!</v>
      </c>
    </row>
    <row r="7116" spans="2:13" hidden="1" x14ac:dyDescent="0.3">
      <c r="B7116" t="s">
        <v>359</v>
      </c>
      <c r="C7116" s="25">
        <v>44587</v>
      </c>
      <c r="D7116" s="26">
        <v>0.7852662037037037</v>
      </c>
      <c r="E7116" t="s">
        <v>24</v>
      </c>
      <c r="F7116" t="s">
        <v>210</v>
      </c>
      <c r="G7116" t="s">
        <v>211</v>
      </c>
      <c r="H7116" t="s">
        <v>167</v>
      </c>
      <c r="I7116">
        <v>333.83</v>
      </c>
      <c r="J7116" s="7">
        <v>846250</v>
      </c>
      <c r="K7116" s="7"/>
      <c r="L7116" s="32">
        <v>847099</v>
      </c>
      <c r="M7116" s="10" t="e">
        <f t="shared" si="440"/>
        <v>#DIV/0!</v>
      </c>
    </row>
    <row r="7117" spans="2:13" hidden="1" x14ac:dyDescent="0.3">
      <c r="B7117" t="s">
        <v>359</v>
      </c>
      <c r="C7117" s="25">
        <v>44589</v>
      </c>
      <c r="D7117" s="26">
        <v>5.8391203703703702E-2</v>
      </c>
      <c r="E7117" t="s">
        <v>24</v>
      </c>
      <c r="F7117" t="s">
        <v>210</v>
      </c>
      <c r="G7117" t="s">
        <v>211</v>
      </c>
      <c r="H7117" t="s">
        <v>167</v>
      </c>
      <c r="I7117">
        <v>356.35</v>
      </c>
      <c r="J7117" s="34">
        <v>847099</v>
      </c>
      <c r="K7117" s="30"/>
      <c r="L7117" s="34">
        <v>848180</v>
      </c>
      <c r="M7117" s="10" t="e">
        <f t="shared" si="440"/>
        <v>#DIV/0!</v>
      </c>
    </row>
    <row r="7118" spans="2:13" hidden="1" x14ac:dyDescent="0.3">
      <c r="B7118" t="s">
        <v>359</v>
      </c>
      <c r="C7118" s="25">
        <v>44590</v>
      </c>
      <c r="D7118" s="26">
        <v>0.75787037037037042</v>
      </c>
      <c r="E7118" t="s">
        <v>24</v>
      </c>
      <c r="F7118" t="s">
        <v>175</v>
      </c>
      <c r="G7118" t="s">
        <v>172</v>
      </c>
      <c r="H7118" t="s">
        <v>167</v>
      </c>
      <c r="I7118">
        <v>163.61000000000001</v>
      </c>
      <c r="J7118" s="7">
        <v>848180</v>
      </c>
      <c r="K7118" s="7"/>
      <c r="L7118" s="7">
        <v>849281</v>
      </c>
      <c r="M7118" s="10" t="e">
        <f t="shared" si="440"/>
        <v>#DIV/0!</v>
      </c>
    </row>
    <row r="7119" spans="2:13" hidden="1" x14ac:dyDescent="0.3">
      <c r="B7119" t="s">
        <v>359</v>
      </c>
      <c r="C7119" s="25">
        <v>44591</v>
      </c>
      <c r="D7119" s="26">
        <v>0.5062268518518519</v>
      </c>
      <c r="E7119" t="s">
        <v>24</v>
      </c>
      <c r="F7119" t="s">
        <v>210</v>
      </c>
      <c r="G7119" t="s">
        <v>211</v>
      </c>
      <c r="H7119" t="s">
        <v>167</v>
      </c>
      <c r="I7119">
        <v>439.54</v>
      </c>
      <c r="J7119" s="7">
        <v>849281</v>
      </c>
      <c r="K7119" s="7"/>
      <c r="L7119" s="7">
        <v>849990</v>
      </c>
      <c r="M7119" s="10" t="e">
        <f t="shared" si="440"/>
        <v>#DIV/0!</v>
      </c>
    </row>
    <row r="7120" spans="2:13" hidden="1" x14ac:dyDescent="0.3">
      <c r="B7120" t="s">
        <v>359</v>
      </c>
      <c r="C7120" s="25">
        <v>44592</v>
      </c>
      <c r="D7120" s="26">
        <v>0.77259259259259261</v>
      </c>
      <c r="E7120" t="s">
        <v>24</v>
      </c>
      <c r="F7120" t="s">
        <v>210</v>
      </c>
      <c r="G7120" t="s">
        <v>211</v>
      </c>
      <c r="H7120" t="s">
        <v>167</v>
      </c>
      <c r="I7120">
        <v>362.22</v>
      </c>
      <c r="J7120" s="7">
        <v>849990</v>
      </c>
      <c r="K7120" s="7"/>
      <c r="L7120" s="7">
        <v>851070</v>
      </c>
      <c r="M7120" s="10" t="e">
        <f t="shared" si="440"/>
        <v>#DIV/0!</v>
      </c>
    </row>
    <row r="7121" spans="1:13" hidden="1" x14ac:dyDescent="0.3">
      <c r="A7121" s="9">
        <v>141</v>
      </c>
      <c r="B7121" t="s">
        <v>359</v>
      </c>
      <c r="C7121" s="25">
        <v>44594</v>
      </c>
      <c r="D7121" s="26">
        <v>0.70817129629629638</v>
      </c>
      <c r="E7121" t="s">
        <v>25</v>
      </c>
      <c r="F7121" t="s">
        <v>175</v>
      </c>
      <c r="G7121" t="s">
        <v>172</v>
      </c>
      <c r="H7121" t="s">
        <v>167</v>
      </c>
      <c r="I7121">
        <v>158.07</v>
      </c>
      <c r="J7121" s="32">
        <v>851070</v>
      </c>
      <c r="K7121" s="65">
        <f t="shared" ref="K7121:K7162" si="441">+L7121-J7121</f>
        <v>964</v>
      </c>
      <c r="L7121" s="34">
        <v>852034</v>
      </c>
      <c r="M7121" s="10">
        <f t="shared" si="440"/>
        <v>16.397302904564313</v>
      </c>
    </row>
    <row r="7122" spans="1:13" hidden="1" x14ac:dyDescent="0.3">
      <c r="A7122" s="9">
        <v>142</v>
      </c>
      <c r="B7122" t="s">
        <v>359</v>
      </c>
      <c r="C7122" s="25">
        <v>44595</v>
      </c>
      <c r="D7122" s="26">
        <v>0.51520833333333338</v>
      </c>
      <c r="E7122" t="s">
        <v>25</v>
      </c>
      <c r="F7122" t="s">
        <v>210</v>
      </c>
      <c r="G7122" t="s">
        <v>211</v>
      </c>
      <c r="H7122" t="s">
        <v>167</v>
      </c>
      <c r="I7122">
        <v>483</v>
      </c>
      <c r="J7122" s="32">
        <v>852034</v>
      </c>
      <c r="K7122" s="32">
        <f t="shared" si="441"/>
        <v>848</v>
      </c>
      <c r="L7122" s="34">
        <v>852882</v>
      </c>
      <c r="M7122" s="10">
        <f t="shared" si="440"/>
        <v>56.95754716981132</v>
      </c>
    </row>
    <row r="7123" spans="1:13" hidden="1" x14ac:dyDescent="0.3">
      <c r="A7123" s="9">
        <v>143</v>
      </c>
      <c r="B7123" t="s">
        <v>359</v>
      </c>
      <c r="C7123" s="25">
        <v>44597</v>
      </c>
      <c r="D7123" s="26">
        <v>0.53546296296296292</v>
      </c>
      <c r="E7123" t="s">
        <v>25</v>
      </c>
      <c r="F7123" t="s">
        <v>340</v>
      </c>
      <c r="G7123" t="s">
        <v>337</v>
      </c>
      <c r="H7123" t="s">
        <v>167</v>
      </c>
      <c r="I7123">
        <v>452.07</v>
      </c>
      <c r="J7123" s="32">
        <v>852882</v>
      </c>
      <c r="K7123" s="55">
        <f t="shared" si="441"/>
        <v>1395</v>
      </c>
      <c r="L7123" s="31">
        <v>854277</v>
      </c>
      <c r="M7123" s="10">
        <f t="shared" si="440"/>
        <v>32.406451612903226</v>
      </c>
    </row>
    <row r="7124" spans="1:13" hidden="1" x14ac:dyDescent="0.3">
      <c r="A7124" s="9">
        <v>144</v>
      </c>
      <c r="B7124" t="s">
        <v>359</v>
      </c>
      <c r="C7124" s="25">
        <v>44598</v>
      </c>
      <c r="D7124" s="26">
        <v>0.93274305555555559</v>
      </c>
      <c r="E7124" t="s">
        <v>25</v>
      </c>
      <c r="F7124" t="s">
        <v>210</v>
      </c>
      <c r="G7124" t="s">
        <v>211</v>
      </c>
      <c r="H7124" t="s">
        <v>167</v>
      </c>
      <c r="I7124">
        <v>457.11</v>
      </c>
      <c r="J7124" s="32">
        <v>854277</v>
      </c>
      <c r="K7124" s="32">
        <f t="shared" si="441"/>
        <v>1339</v>
      </c>
      <c r="L7124" s="7">
        <v>855616</v>
      </c>
      <c r="M7124" s="10">
        <f t="shared" si="440"/>
        <v>34.138162808065722</v>
      </c>
    </row>
    <row r="7125" spans="1:13" hidden="1" x14ac:dyDescent="0.3">
      <c r="A7125" s="9">
        <v>145</v>
      </c>
      <c r="B7125" t="s">
        <v>359</v>
      </c>
      <c r="C7125" s="25">
        <v>44599</v>
      </c>
      <c r="D7125" s="26">
        <v>0.76260416666666664</v>
      </c>
      <c r="E7125" t="s">
        <v>25</v>
      </c>
      <c r="F7125" t="s">
        <v>175</v>
      </c>
      <c r="G7125" t="s">
        <v>172</v>
      </c>
      <c r="H7125" t="s">
        <v>167</v>
      </c>
      <c r="I7125">
        <v>303.23</v>
      </c>
      <c r="J7125" s="34">
        <v>855616</v>
      </c>
      <c r="K7125" s="35">
        <f t="shared" si="441"/>
        <v>963</v>
      </c>
      <c r="L7125" s="34">
        <v>856579</v>
      </c>
      <c r="M7125" s="10">
        <f t="shared" si="440"/>
        <v>31.488058151609554</v>
      </c>
    </row>
    <row r="7126" spans="1:13" hidden="1" x14ac:dyDescent="0.3">
      <c r="A7126" s="9">
        <v>146</v>
      </c>
      <c r="B7126" t="s">
        <v>359</v>
      </c>
      <c r="C7126" s="25">
        <v>44607</v>
      </c>
      <c r="D7126" s="26">
        <v>0.70655092592592583</v>
      </c>
      <c r="E7126" t="s">
        <v>25</v>
      </c>
      <c r="F7126" t="s">
        <v>175</v>
      </c>
      <c r="G7126" t="s">
        <v>172</v>
      </c>
      <c r="H7126" t="s">
        <v>167</v>
      </c>
      <c r="I7126">
        <v>123.6</v>
      </c>
      <c r="J7126" s="7">
        <v>0</v>
      </c>
      <c r="K7126" s="7">
        <f t="shared" si="441"/>
        <v>401.58</v>
      </c>
      <c r="L7126" s="7">
        <v>401.58</v>
      </c>
      <c r="M7126" s="10">
        <f t="shared" si="440"/>
        <v>30.778425220379503</v>
      </c>
    </row>
    <row r="7127" spans="1:13" hidden="1" x14ac:dyDescent="0.3">
      <c r="A7127" s="9">
        <v>147</v>
      </c>
      <c r="B7127" t="s">
        <v>359</v>
      </c>
      <c r="C7127" s="25">
        <v>44608</v>
      </c>
      <c r="D7127" s="26">
        <v>0.86564814814814817</v>
      </c>
      <c r="E7127" t="s">
        <v>25</v>
      </c>
      <c r="F7127" t="s">
        <v>210</v>
      </c>
      <c r="G7127" t="s">
        <v>211</v>
      </c>
      <c r="H7127" t="s">
        <v>167</v>
      </c>
      <c r="I7127">
        <v>332.14</v>
      </c>
      <c r="J7127" s="7">
        <v>0</v>
      </c>
      <c r="K7127" s="7">
        <f t="shared" si="441"/>
        <v>817.91</v>
      </c>
      <c r="L7127" s="7">
        <v>817.91</v>
      </c>
      <c r="M7127" s="10">
        <f t="shared" si="440"/>
        <v>40.608379895098487</v>
      </c>
    </row>
    <row r="7128" spans="1:13" hidden="1" x14ac:dyDescent="0.3">
      <c r="A7128" s="9">
        <v>148</v>
      </c>
      <c r="B7128" t="s">
        <v>359</v>
      </c>
      <c r="C7128" s="25">
        <v>44610</v>
      </c>
      <c r="D7128" s="26">
        <v>0.37164351851851851</v>
      </c>
      <c r="E7128" t="s">
        <v>25</v>
      </c>
      <c r="F7128" t="s">
        <v>210</v>
      </c>
      <c r="G7128" t="s">
        <v>211</v>
      </c>
      <c r="H7128" t="s">
        <v>167</v>
      </c>
      <c r="I7128">
        <v>430.09</v>
      </c>
      <c r="J7128" s="7">
        <v>0</v>
      </c>
      <c r="K7128" s="34">
        <f t="shared" si="441"/>
        <v>1106.49</v>
      </c>
      <c r="L7128" s="34">
        <v>1106.49</v>
      </c>
      <c r="M7128" s="10">
        <f t="shared" si="440"/>
        <v>38.869759329049515</v>
      </c>
    </row>
    <row r="7129" spans="1:13" hidden="1" x14ac:dyDescent="0.3">
      <c r="A7129" s="9">
        <v>149</v>
      </c>
      <c r="B7129" t="s">
        <v>359</v>
      </c>
      <c r="C7129" s="25">
        <v>44611</v>
      </c>
      <c r="D7129" s="26">
        <v>0.73870370370370375</v>
      </c>
      <c r="E7129" t="s">
        <v>25</v>
      </c>
      <c r="F7129" t="s">
        <v>452</v>
      </c>
      <c r="G7129" t="s">
        <v>449</v>
      </c>
      <c r="H7129" t="s">
        <v>167</v>
      </c>
      <c r="I7129">
        <v>196.07</v>
      </c>
      <c r="J7129" s="7">
        <v>0</v>
      </c>
      <c r="K7129" s="7">
        <f t="shared" si="441"/>
        <v>1152.45</v>
      </c>
      <c r="L7129" s="7">
        <v>1152.45</v>
      </c>
      <c r="M7129" s="10">
        <f t="shared" si="440"/>
        <v>17.013319449867673</v>
      </c>
    </row>
    <row r="7130" spans="1:13" hidden="1" x14ac:dyDescent="0.3">
      <c r="A7130" s="9">
        <v>150</v>
      </c>
      <c r="B7130" t="s">
        <v>359</v>
      </c>
      <c r="C7130" s="25">
        <v>44612</v>
      </c>
      <c r="D7130" s="26">
        <v>0.61076388888888888</v>
      </c>
      <c r="E7130" t="s">
        <v>25</v>
      </c>
      <c r="F7130" t="s">
        <v>210</v>
      </c>
      <c r="G7130" t="s">
        <v>211</v>
      </c>
      <c r="H7130" t="s">
        <v>167</v>
      </c>
      <c r="I7130">
        <v>457.89</v>
      </c>
      <c r="J7130" s="7">
        <v>0</v>
      </c>
      <c r="K7130" s="7">
        <f t="shared" si="441"/>
        <v>622.6</v>
      </c>
      <c r="L7130" s="32">
        <v>622.6</v>
      </c>
      <c r="M7130" s="10">
        <f t="shared" ref="M7130:M7161" si="442">I7130/K7130*100</f>
        <v>73.544812078380986</v>
      </c>
    </row>
    <row r="7131" spans="1:13" hidden="1" x14ac:dyDescent="0.3">
      <c r="A7131" s="9">
        <v>151</v>
      </c>
      <c r="B7131" t="s">
        <v>359</v>
      </c>
      <c r="C7131" s="25">
        <v>44614</v>
      </c>
      <c r="D7131" s="26">
        <v>0.51067129629629626</v>
      </c>
      <c r="E7131" t="s">
        <v>25</v>
      </c>
      <c r="F7131" t="s">
        <v>210</v>
      </c>
      <c r="G7131" t="s">
        <v>211</v>
      </c>
      <c r="H7131" t="s">
        <v>167</v>
      </c>
      <c r="I7131">
        <v>405.73</v>
      </c>
      <c r="J7131" s="7">
        <v>0</v>
      </c>
      <c r="K7131" s="7">
        <f t="shared" si="441"/>
        <v>1061.69</v>
      </c>
      <c r="L7131" s="7">
        <v>1061.69</v>
      </c>
      <c r="M7131" s="10">
        <f t="shared" si="442"/>
        <v>38.215486629807195</v>
      </c>
    </row>
    <row r="7132" spans="1:13" hidden="1" x14ac:dyDescent="0.3">
      <c r="A7132" s="9">
        <v>152</v>
      </c>
      <c r="B7132" t="s">
        <v>359</v>
      </c>
      <c r="C7132" s="25">
        <v>44616</v>
      </c>
      <c r="D7132" s="26">
        <v>0.82011574074074067</v>
      </c>
      <c r="E7132" t="s">
        <v>25</v>
      </c>
      <c r="F7132" t="s">
        <v>175</v>
      </c>
      <c r="G7132" t="s">
        <v>172</v>
      </c>
      <c r="H7132" t="s">
        <v>167</v>
      </c>
      <c r="I7132">
        <v>287.13</v>
      </c>
      <c r="J7132" s="7">
        <v>0</v>
      </c>
      <c r="K7132" s="7">
        <f t="shared" si="441"/>
        <v>943.68</v>
      </c>
      <c r="L7132" s="7">
        <v>943.68</v>
      </c>
      <c r="M7132" s="10">
        <f t="shared" si="442"/>
        <v>30.426627670396744</v>
      </c>
    </row>
    <row r="7133" spans="1:13" hidden="1" x14ac:dyDescent="0.3">
      <c r="A7133" s="9">
        <v>153</v>
      </c>
      <c r="B7133" t="s">
        <v>359</v>
      </c>
      <c r="C7133" s="25">
        <v>44618</v>
      </c>
      <c r="D7133" s="26">
        <v>0.83521990740740737</v>
      </c>
      <c r="E7133" t="s">
        <v>25</v>
      </c>
      <c r="F7133" t="s">
        <v>210</v>
      </c>
      <c r="G7133" t="s">
        <v>211</v>
      </c>
      <c r="H7133" t="s">
        <v>167</v>
      </c>
      <c r="I7133">
        <v>457.24</v>
      </c>
      <c r="J7133" s="7">
        <v>0</v>
      </c>
      <c r="K7133" s="34">
        <f t="shared" si="441"/>
        <v>1164.72</v>
      </c>
      <c r="L7133" s="34">
        <v>1164.72</v>
      </c>
      <c r="M7133" s="10">
        <f t="shared" si="442"/>
        <v>39.257503949447077</v>
      </c>
    </row>
    <row r="7134" spans="1:13" hidden="1" x14ac:dyDescent="0.3">
      <c r="A7134" s="9">
        <v>154</v>
      </c>
      <c r="B7134" t="s">
        <v>359</v>
      </c>
      <c r="C7134" s="25">
        <v>44620</v>
      </c>
      <c r="D7134" s="26">
        <v>0.74967592592592591</v>
      </c>
      <c r="E7134" t="s">
        <v>25</v>
      </c>
      <c r="F7134" t="s">
        <v>210</v>
      </c>
      <c r="G7134" t="s">
        <v>211</v>
      </c>
      <c r="H7134" t="s">
        <v>167</v>
      </c>
      <c r="I7134">
        <v>431.72</v>
      </c>
      <c r="J7134" s="34">
        <v>0</v>
      </c>
      <c r="K7134" s="50">
        <f t="shared" si="441"/>
        <v>1108.6099999999999</v>
      </c>
      <c r="L7134" s="34">
        <v>1108.6099999999999</v>
      </c>
      <c r="M7134" s="10">
        <f t="shared" si="442"/>
        <v>38.942459476281115</v>
      </c>
    </row>
    <row r="7135" spans="1:13" hidden="1" x14ac:dyDescent="0.3">
      <c r="A7135" s="9">
        <v>1239</v>
      </c>
      <c r="B7135" t="s">
        <v>359</v>
      </c>
      <c r="C7135" s="25">
        <v>44621</v>
      </c>
      <c r="D7135" s="26">
        <v>0.62034722222222227</v>
      </c>
      <c r="E7135" t="s">
        <v>26</v>
      </c>
      <c r="F7135" t="s">
        <v>171</v>
      </c>
      <c r="G7135" t="s">
        <v>172</v>
      </c>
      <c r="H7135" t="s">
        <v>167</v>
      </c>
      <c r="I7135">
        <v>111.88</v>
      </c>
      <c r="J7135" s="7">
        <v>0</v>
      </c>
      <c r="K7135" s="90">
        <f t="shared" si="441"/>
        <v>820.98</v>
      </c>
      <c r="L7135" s="7">
        <v>820.98</v>
      </c>
      <c r="M7135" s="10">
        <f t="shared" si="442"/>
        <v>13.627615776267387</v>
      </c>
    </row>
    <row r="7136" spans="1:13" hidden="1" x14ac:dyDescent="0.3">
      <c r="A7136" s="9">
        <v>1240</v>
      </c>
      <c r="B7136" t="s">
        <v>359</v>
      </c>
      <c r="C7136" s="25">
        <v>44622</v>
      </c>
      <c r="D7136" s="26">
        <v>0.52613425925925927</v>
      </c>
      <c r="E7136" t="s">
        <v>26</v>
      </c>
      <c r="F7136" t="s">
        <v>210</v>
      </c>
      <c r="G7136" t="s">
        <v>211</v>
      </c>
      <c r="H7136" t="s">
        <v>167</v>
      </c>
      <c r="I7136">
        <v>398.95</v>
      </c>
      <c r="J7136" s="7">
        <v>0</v>
      </c>
      <c r="K7136" s="97">
        <f t="shared" si="441"/>
        <v>686.33</v>
      </c>
      <c r="L7136" s="30">
        <v>686.33</v>
      </c>
      <c r="M7136" s="10">
        <f t="shared" si="442"/>
        <v>58.128014220564452</v>
      </c>
    </row>
    <row r="7137" spans="1:13" hidden="1" x14ac:dyDescent="0.3">
      <c r="A7137" s="9">
        <v>1241</v>
      </c>
      <c r="B7137" t="s">
        <v>359</v>
      </c>
      <c r="C7137" s="25">
        <v>44624</v>
      </c>
      <c r="D7137" s="26">
        <v>0.70259259259259255</v>
      </c>
      <c r="E7137" t="s">
        <v>26</v>
      </c>
      <c r="F7137" t="s">
        <v>210</v>
      </c>
      <c r="G7137" t="s">
        <v>211</v>
      </c>
      <c r="H7137" t="s">
        <v>167</v>
      </c>
      <c r="I7137">
        <v>425.37</v>
      </c>
      <c r="J7137" s="7">
        <v>0</v>
      </c>
      <c r="K7137" s="90">
        <f t="shared" si="441"/>
        <v>1105.5999999999999</v>
      </c>
      <c r="L7137" s="11">
        <v>1105.5999999999999</v>
      </c>
      <c r="M7137" s="10">
        <f t="shared" si="442"/>
        <v>38.474131693198267</v>
      </c>
    </row>
    <row r="7138" spans="1:13" hidden="1" x14ac:dyDescent="0.3">
      <c r="A7138" s="9">
        <v>1242</v>
      </c>
      <c r="B7138" t="s">
        <v>359</v>
      </c>
      <c r="C7138" s="25">
        <v>44626</v>
      </c>
      <c r="D7138" s="26">
        <v>0.33295138888888892</v>
      </c>
      <c r="E7138" t="s">
        <v>26</v>
      </c>
      <c r="F7138" t="s">
        <v>343</v>
      </c>
      <c r="G7138" t="s">
        <v>344</v>
      </c>
      <c r="H7138" t="s">
        <v>167</v>
      </c>
      <c r="I7138">
        <v>467.45</v>
      </c>
      <c r="J7138" s="7">
        <v>0</v>
      </c>
      <c r="K7138" s="90">
        <f t="shared" si="441"/>
        <v>1324.63</v>
      </c>
      <c r="L7138" s="7">
        <v>1324.63</v>
      </c>
      <c r="M7138" s="10">
        <f t="shared" si="442"/>
        <v>35.289099597623483</v>
      </c>
    </row>
    <row r="7139" spans="1:13" hidden="1" x14ac:dyDescent="0.3">
      <c r="A7139" s="9">
        <v>1243</v>
      </c>
      <c r="B7139" t="s">
        <v>359</v>
      </c>
      <c r="C7139" s="25">
        <v>44626</v>
      </c>
      <c r="D7139" s="26">
        <v>0.79145833333333337</v>
      </c>
      <c r="E7139" t="s">
        <v>26</v>
      </c>
      <c r="F7139" t="s">
        <v>210</v>
      </c>
      <c r="G7139" t="s">
        <v>211</v>
      </c>
      <c r="H7139" t="s">
        <v>167</v>
      </c>
      <c r="I7139">
        <v>207.38</v>
      </c>
      <c r="J7139" s="7">
        <v>0</v>
      </c>
      <c r="K7139" s="97">
        <f t="shared" si="441"/>
        <v>504.28</v>
      </c>
      <c r="L7139" s="7">
        <v>504.28</v>
      </c>
      <c r="M7139" s="10">
        <f t="shared" si="442"/>
        <v>41.123978741968749</v>
      </c>
    </row>
    <row r="7140" spans="1:13" hidden="1" x14ac:dyDescent="0.3">
      <c r="A7140" s="9">
        <v>1244</v>
      </c>
      <c r="B7140" t="s">
        <v>359</v>
      </c>
      <c r="C7140" s="25">
        <v>44628</v>
      </c>
      <c r="D7140" s="26">
        <v>7.6805555555555557E-2</v>
      </c>
      <c r="E7140" t="s">
        <v>26</v>
      </c>
      <c r="F7140" t="s">
        <v>210</v>
      </c>
      <c r="G7140" t="s">
        <v>211</v>
      </c>
      <c r="H7140" t="s">
        <v>167</v>
      </c>
      <c r="I7140">
        <v>392.56</v>
      </c>
      <c r="J7140" s="34">
        <v>0</v>
      </c>
      <c r="K7140" s="97">
        <f t="shared" si="441"/>
        <v>1056.8900000000001</v>
      </c>
      <c r="L7140" s="34">
        <v>1056.8900000000001</v>
      </c>
      <c r="M7140" s="10">
        <f t="shared" si="442"/>
        <v>37.142938243336573</v>
      </c>
    </row>
    <row r="7141" spans="1:13" hidden="1" x14ac:dyDescent="0.3">
      <c r="A7141" s="9">
        <v>1245</v>
      </c>
      <c r="B7141" t="s">
        <v>359</v>
      </c>
      <c r="C7141" s="25">
        <v>44629</v>
      </c>
      <c r="D7141" s="26">
        <v>0.45401620370370371</v>
      </c>
      <c r="E7141" t="s">
        <v>26</v>
      </c>
      <c r="F7141" t="s">
        <v>205</v>
      </c>
      <c r="G7141" t="s">
        <v>206</v>
      </c>
      <c r="H7141" t="s">
        <v>167</v>
      </c>
      <c r="I7141">
        <v>163.98</v>
      </c>
      <c r="J7141" s="7">
        <v>0</v>
      </c>
      <c r="K7141" s="90">
        <f t="shared" si="441"/>
        <v>970.57</v>
      </c>
      <c r="L7141" s="7">
        <v>970.57</v>
      </c>
      <c r="M7141" s="10">
        <f t="shared" si="442"/>
        <v>16.895226516376972</v>
      </c>
    </row>
    <row r="7142" spans="1:13" hidden="1" x14ac:dyDescent="0.3">
      <c r="A7142" s="9">
        <v>1246</v>
      </c>
      <c r="B7142" t="s">
        <v>359</v>
      </c>
      <c r="C7142" s="25">
        <v>44630</v>
      </c>
      <c r="D7142" s="26">
        <v>0.70417824074074076</v>
      </c>
      <c r="E7142" t="s">
        <v>26</v>
      </c>
      <c r="F7142" t="s">
        <v>210</v>
      </c>
      <c r="G7142" t="s">
        <v>211</v>
      </c>
      <c r="H7142" t="s">
        <v>167</v>
      </c>
      <c r="I7142">
        <v>441.76</v>
      </c>
      <c r="J7142" s="7">
        <v>0</v>
      </c>
      <c r="K7142" s="97">
        <f t="shared" si="441"/>
        <v>727.99</v>
      </c>
      <c r="L7142" s="7">
        <v>727.99</v>
      </c>
      <c r="M7142" s="36">
        <f t="shared" si="442"/>
        <v>60.682152227365762</v>
      </c>
    </row>
    <row r="7143" spans="1:13" hidden="1" x14ac:dyDescent="0.3">
      <c r="A7143" s="9">
        <v>1247</v>
      </c>
      <c r="B7143" t="s">
        <v>359</v>
      </c>
      <c r="C7143" s="25">
        <v>44632</v>
      </c>
      <c r="D7143" s="26">
        <v>0.83087962962962969</v>
      </c>
      <c r="E7143" t="s">
        <v>26</v>
      </c>
      <c r="F7143" t="s">
        <v>210</v>
      </c>
      <c r="G7143" t="s">
        <v>211</v>
      </c>
      <c r="H7143" t="s">
        <v>167</v>
      </c>
      <c r="I7143">
        <v>448.33</v>
      </c>
      <c r="J7143" s="31">
        <v>0</v>
      </c>
      <c r="K7143" s="90">
        <f t="shared" si="441"/>
        <v>1110.5</v>
      </c>
      <c r="L7143" s="7">
        <v>1110.5</v>
      </c>
      <c r="M7143" s="10">
        <f t="shared" si="442"/>
        <v>40.371904547501124</v>
      </c>
    </row>
    <row r="7144" spans="1:13" hidden="1" x14ac:dyDescent="0.3">
      <c r="A7144" s="9">
        <v>1248</v>
      </c>
      <c r="B7144" t="s">
        <v>359</v>
      </c>
      <c r="C7144" s="25">
        <v>44634</v>
      </c>
      <c r="D7144" s="26">
        <v>0.69200231481481478</v>
      </c>
      <c r="E7144" t="s">
        <v>26</v>
      </c>
      <c r="F7144" t="s">
        <v>175</v>
      </c>
      <c r="G7144" t="s">
        <v>172</v>
      </c>
      <c r="H7144" t="s">
        <v>167</v>
      </c>
      <c r="I7144">
        <v>310.73</v>
      </c>
      <c r="J7144" s="7">
        <v>0</v>
      </c>
      <c r="K7144" s="90">
        <f t="shared" si="441"/>
        <v>988.44</v>
      </c>
      <c r="L7144" s="7">
        <v>988.44</v>
      </c>
      <c r="M7144" s="10">
        <f t="shared" si="442"/>
        <v>31.436404839949823</v>
      </c>
    </row>
    <row r="7145" spans="1:13" hidden="1" x14ac:dyDescent="0.3">
      <c r="A7145" s="9">
        <v>1249</v>
      </c>
      <c r="B7145" t="s">
        <v>359</v>
      </c>
      <c r="C7145" s="25">
        <v>44645</v>
      </c>
      <c r="D7145" s="26">
        <v>0.54357638888888882</v>
      </c>
      <c r="E7145" t="s">
        <v>26</v>
      </c>
      <c r="F7145" t="s">
        <v>166</v>
      </c>
      <c r="G7145" t="s">
        <v>161</v>
      </c>
      <c r="H7145" t="s">
        <v>167</v>
      </c>
      <c r="I7145">
        <v>366.24</v>
      </c>
      <c r="J7145" s="7">
        <v>0</v>
      </c>
      <c r="K7145" s="90">
        <f t="shared" si="441"/>
        <v>779.97</v>
      </c>
      <c r="L7145" s="32">
        <v>779.97</v>
      </c>
      <c r="M7145" s="10">
        <f t="shared" si="442"/>
        <v>46.955652140466938</v>
      </c>
    </row>
    <row r="7146" spans="1:13" hidden="1" x14ac:dyDescent="0.3">
      <c r="A7146" s="9">
        <v>2444</v>
      </c>
      <c r="B7146" t="s">
        <v>359</v>
      </c>
      <c r="C7146" s="25">
        <v>44653</v>
      </c>
      <c r="D7146" s="26">
        <v>0.79489583333333336</v>
      </c>
      <c r="E7146" t="s">
        <v>27</v>
      </c>
      <c r="F7146" t="s">
        <v>396</v>
      </c>
      <c r="G7146" t="s">
        <v>397</v>
      </c>
      <c r="H7146" t="s">
        <v>167</v>
      </c>
      <c r="I7146" s="4"/>
      <c r="J7146" s="40">
        <v>0</v>
      </c>
      <c r="K7146" s="102">
        <f t="shared" si="441"/>
        <v>861.84</v>
      </c>
      <c r="L7146" s="34">
        <v>861.84</v>
      </c>
      <c r="M7146" s="10">
        <f t="shared" si="442"/>
        <v>0</v>
      </c>
    </row>
    <row r="7147" spans="1:13" hidden="1" x14ac:dyDescent="0.3">
      <c r="A7147" s="9">
        <v>2445</v>
      </c>
      <c r="B7147" t="s">
        <v>359</v>
      </c>
      <c r="C7147" s="25">
        <v>44654</v>
      </c>
      <c r="D7147" s="26">
        <v>0.46680555555555553</v>
      </c>
      <c r="E7147" t="s">
        <v>27</v>
      </c>
      <c r="F7147" t="s">
        <v>210</v>
      </c>
      <c r="G7147" t="s">
        <v>211</v>
      </c>
      <c r="H7147" t="s">
        <v>167</v>
      </c>
      <c r="I7147" s="4">
        <v>360.16</v>
      </c>
      <c r="J7147" s="39">
        <v>0</v>
      </c>
      <c r="K7147" s="90">
        <f t="shared" si="441"/>
        <v>323.7</v>
      </c>
      <c r="L7147" s="218">
        <v>323.7</v>
      </c>
      <c r="M7147" s="10">
        <f t="shared" si="442"/>
        <v>111.26351560086501</v>
      </c>
    </row>
    <row r="7148" spans="1:13" hidden="1" x14ac:dyDescent="0.3">
      <c r="A7148" s="9">
        <v>2446</v>
      </c>
      <c r="B7148" t="s">
        <v>359</v>
      </c>
      <c r="C7148" s="25">
        <v>44655</v>
      </c>
      <c r="D7148" s="26">
        <v>0.96660879629629637</v>
      </c>
      <c r="E7148" t="s">
        <v>27</v>
      </c>
      <c r="F7148" t="s">
        <v>534</v>
      </c>
      <c r="G7148" t="s">
        <v>535</v>
      </c>
      <c r="H7148" t="s">
        <v>167</v>
      </c>
      <c r="I7148" s="4">
        <v>300.20999999999998</v>
      </c>
      <c r="J7148" s="7">
        <v>0</v>
      </c>
      <c r="K7148" s="102">
        <f t="shared" si="441"/>
        <v>878.35</v>
      </c>
      <c r="L7148" s="37">
        <v>878.35</v>
      </c>
      <c r="M7148" s="10">
        <f t="shared" si="442"/>
        <v>34.17885808618432</v>
      </c>
    </row>
    <row r="7149" spans="1:13" hidden="1" x14ac:dyDescent="0.3">
      <c r="A7149" s="9">
        <v>2447</v>
      </c>
      <c r="B7149" t="s">
        <v>359</v>
      </c>
      <c r="C7149" s="25">
        <v>44657</v>
      </c>
      <c r="D7149" s="26">
        <v>0.861261574074074</v>
      </c>
      <c r="E7149" t="s">
        <v>27</v>
      </c>
      <c r="F7149" t="s">
        <v>210</v>
      </c>
      <c r="G7149" t="s">
        <v>211</v>
      </c>
      <c r="H7149" t="s">
        <v>167</v>
      </c>
      <c r="I7149" s="4">
        <v>446.28</v>
      </c>
      <c r="J7149" s="34">
        <v>0</v>
      </c>
      <c r="K7149" s="90">
        <f t="shared" si="441"/>
        <v>1220.92</v>
      </c>
      <c r="L7149" s="7">
        <v>1220.92</v>
      </c>
      <c r="M7149" s="10">
        <f t="shared" si="442"/>
        <v>36.552763489827342</v>
      </c>
    </row>
    <row r="7150" spans="1:13" hidden="1" x14ac:dyDescent="0.3">
      <c r="A7150" s="9">
        <v>2448</v>
      </c>
      <c r="B7150" t="s">
        <v>359</v>
      </c>
      <c r="C7150" s="25">
        <v>44659</v>
      </c>
      <c r="D7150" s="26">
        <v>0.67067129629629629</v>
      </c>
      <c r="E7150" t="s">
        <v>27</v>
      </c>
      <c r="F7150" t="s">
        <v>340</v>
      </c>
      <c r="G7150" t="s">
        <v>337</v>
      </c>
      <c r="H7150" t="s">
        <v>167</v>
      </c>
      <c r="I7150" s="4">
        <f>151.25+284.24</f>
        <v>435.49</v>
      </c>
      <c r="J7150" s="7">
        <v>0</v>
      </c>
      <c r="K7150" s="90">
        <f t="shared" si="441"/>
        <v>1358.46</v>
      </c>
      <c r="L7150" s="34">
        <v>1358.46</v>
      </c>
      <c r="M7150" s="10">
        <f t="shared" si="442"/>
        <v>32.057624074319449</v>
      </c>
    </row>
    <row r="7151" spans="1:13" hidden="1" x14ac:dyDescent="0.3">
      <c r="A7151" s="9">
        <v>2449</v>
      </c>
      <c r="B7151" t="s">
        <v>359</v>
      </c>
      <c r="C7151" s="25">
        <v>44661</v>
      </c>
      <c r="D7151" s="26">
        <v>0.45391203703703703</v>
      </c>
      <c r="E7151" t="s">
        <v>27</v>
      </c>
      <c r="F7151" t="s">
        <v>210</v>
      </c>
      <c r="G7151" t="s">
        <v>211</v>
      </c>
      <c r="H7151" t="s">
        <v>167</v>
      </c>
      <c r="I7151" s="4">
        <v>432.15</v>
      </c>
      <c r="J7151" s="7">
        <v>0</v>
      </c>
      <c r="K7151" s="90">
        <f t="shared" si="441"/>
        <v>1308.51</v>
      </c>
      <c r="L7151" s="7">
        <v>1308.51</v>
      </c>
      <c r="M7151" s="10">
        <f t="shared" si="442"/>
        <v>33.026113671274956</v>
      </c>
    </row>
    <row r="7152" spans="1:13" hidden="1" x14ac:dyDescent="0.3">
      <c r="A7152" s="9">
        <v>2450</v>
      </c>
      <c r="B7152" t="s">
        <v>359</v>
      </c>
      <c r="C7152" s="25">
        <v>44662</v>
      </c>
      <c r="D7152" s="26">
        <v>0.73868055555555545</v>
      </c>
      <c r="E7152" t="s">
        <v>27</v>
      </c>
      <c r="F7152" t="s">
        <v>175</v>
      </c>
      <c r="G7152" t="s">
        <v>172</v>
      </c>
      <c r="H7152" t="s">
        <v>167</v>
      </c>
      <c r="I7152" s="4">
        <v>150</v>
      </c>
      <c r="J7152" s="34">
        <v>0</v>
      </c>
      <c r="K7152" s="97">
        <f t="shared" si="441"/>
        <v>1031.82</v>
      </c>
      <c r="L7152" s="37">
        <v>1031.82</v>
      </c>
      <c r="M7152" s="10">
        <f t="shared" si="442"/>
        <v>14.537419317322788</v>
      </c>
    </row>
    <row r="7153" spans="1:13" hidden="1" x14ac:dyDescent="0.3">
      <c r="A7153" s="9">
        <v>2451</v>
      </c>
      <c r="B7153" t="s">
        <v>359</v>
      </c>
      <c r="C7153" s="25">
        <v>44663</v>
      </c>
      <c r="D7153" s="26">
        <v>0.6774768518518518</v>
      </c>
      <c r="E7153" t="s">
        <v>27</v>
      </c>
      <c r="F7153" t="s">
        <v>488</v>
      </c>
      <c r="G7153" t="s">
        <v>489</v>
      </c>
      <c r="H7153" t="s">
        <v>167</v>
      </c>
      <c r="I7153" s="4">
        <v>100</v>
      </c>
      <c r="J7153" s="7">
        <v>0</v>
      </c>
      <c r="K7153" s="90">
        <f t="shared" si="441"/>
        <v>571.44000000000005</v>
      </c>
      <c r="L7153" s="7">
        <v>571.44000000000005</v>
      </c>
      <c r="M7153" s="10">
        <f t="shared" si="442"/>
        <v>17.499650006999858</v>
      </c>
    </row>
    <row r="7154" spans="1:13" hidden="1" x14ac:dyDescent="0.3">
      <c r="A7154" s="9">
        <v>2452</v>
      </c>
      <c r="B7154" t="s">
        <v>359</v>
      </c>
      <c r="C7154" s="25">
        <v>44663</v>
      </c>
      <c r="D7154" s="26">
        <v>0.83964120370370365</v>
      </c>
      <c r="E7154" t="s">
        <v>27</v>
      </c>
      <c r="F7154" t="s">
        <v>210</v>
      </c>
      <c r="G7154" t="s">
        <v>211</v>
      </c>
      <c r="H7154" t="s">
        <v>167</v>
      </c>
      <c r="I7154" s="4">
        <v>455.29</v>
      </c>
      <c r="J7154" s="7">
        <v>0</v>
      </c>
      <c r="K7154" s="90">
        <f t="shared" si="441"/>
        <v>818.8</v>
      </c>
      <c r="L7154" s="7">
        <v>818.8</v>
      </c>
      <c r="M7154" s="10">
        <f t="shared" si="442"/>
        <v>55.604543234000978</v>
      </c>
    </row>
    <row r="7155" spans="1:13" hidden="1" x14ac:dyDescent="0.3">
      <c r="A7155" s="9">
        <v>2453</v>
      </c>
      <c r="B7155" t="s">
        <v>359</v>
      </c>
      <c r="C7155" s="25">
        <v>44665</v>
      </c>
      <c r="D7155" s="26">
        <v>0.81706018518518519</v>
      </c>
      <c r="E7155" t="s">
        <v>27</v>
      </c>
      <c r="F7155" t="s">
        <v>210</v>
      </c>
      <c r="G7155" t="s">
        <v>211</v>
      </c>
      <c r="H7155" t="s">
        <v>167</v>
      </c>
      <c r="I7155" s="4">
        <v>460.36</v>
      </c>
      <c r="J7155" s="7">
        <v>0</v>
      </c>
      <c r="K7155" s="97">
        <f t="shared" si="441"/>
        <v>1353.39</v>
      </c>
      <c r="L7155" s="34">
        <v>1353.39</v>
      </c>
      <c r="M7155" s="10">
        <f t="shared" si="442"/>
        <v>34.015324481487227</v>
      </c>
    </row>
    <row r="7156" spans="1:13" hidden="1" x14ac:dyDescent="0.3">
      <c r="A7156" s="9">
        <v>2454</v>
      </c>
      <c r="B7156" t="s">
        <v>359</v>
      </c>
      <c r="C7156" s="25">
        <v>44666</v>
      </c>
      <c r="D7156" s="26">
        <v>0.77890046296296289</v>
      </c>
      <c r="E7156" t="s">
        <v>27</v>
      </c>
      <c r="F7156" t="s">
        <v>175</v>
      </c>
      <c r="G7156" t="s">
        <v>172</v>
      </c>
      <c r="H7156" t="s">
        <v>167</v>
      </c>
      <c r="I7156" s="4">
        <v>312.98</v>
      </c>
      <c r="J7156" s="7">
        <v>0</v>
      </c>
      <c r="K7156" s="90">
        <f t="shared" si="441"/>
        <v>921.44</v>
      </c>
      <c r="L7156" s="7">
        <v>921.44</v>
      </c>
      <c r="M7156" s="10">
        <f t="shared" si="442"/>
        <v>33.96640041673902</v>
      </c>
    </row>
    <row r="7157" spans="1:13" hidden="1" x14ac:dyDescent="0.3">
      <c r="A7157" s="9">
        <v>2455</v>
      </c>
      <c r="B7157" t="s">
        <v>359</v>
      </c>
      <c r="C7157" s="25">
        <v>44674</v>
      </c>
      <c r="D7157" s="26">
        <v>0.70584490740740735</v>
      </c>
      <c r="E7157" t="s">
        <v>27</v>
      </c>
      <c r="F7157" t="s">
        <v>210</v>
      </c>
      <c r="G7157" t="s">
        <v>211</v>
      </c>
      <c r="H7157" t="s">
        <v>167</v>
      </c>
      <c r="I7157" s="4">
        <v>523.69000000000005</v>
      </c>
      <c r="J7157" s="34">
        <v>0</v>
      </c>
      <c r="K7157" s="90">
        <f t="shared" si="441"/>
        <v>1212.8</v>
      </c>
      <c r="L7157" s="11">
        <v>1212.8</v>
      </c>
      <c r="M7157" s="10">
        <f t="shared" si="442"/>
        <v>43.180244063324544</v>
      </c>
    </row>
    <row r="7158" spans="1:13" hidden="1" x14ac:dyDescent="0.3">
      <c r="A7158" s="9">
        <v>2456</v>
      </c>
      <c r="B7158" t="s">
        <v>359</v>
      </c>
      <c r="C7158" s="25">
        <v>44675</v>
      </c>
      <c r="D7158" s="26">
        <v>0.79232638888888884</v>
      </c>
      <c r="E7158" t="s">
        <v>27</v>
      </c>
      <c r="F7158" t="s">
        <v>210</v>
      </c>
      <c r="G7158" t="s">
        <v>211</v>
      </c>
      <c r="H7158" t="s">
        <v>167</v>
      </c>
      <c r="I7158" s="4">
        <v>394.7</v>
      </c>
      <c r="J7158" s="7">
        <v>0</v>
      </c>
      <c r="K7158" s="90">
        <f t="shared" si="441"/>
        <v>1095</v>
      </c>
      <c r="L7158" s="53">
        <v>1095</v>
      </c>
      <c r="M7158" s="10">
        <f t="shared" si="442"/>
        <v>36.045662100456624</v>
      </c>
    </row>
    <row r="7159" spans="1:13" hidden="1" x14ac:dyDescent="0.3">
      <c r="A7159" s="9">
        <v>2457</v>
      </c>
      <c r="B7159" t="s">
        <v>359</v>
      </c>
      <c r="C7159" s="25">
        <v>44677</v>
      </c>
      <c r="D7159" s="26">
        <v>0.79800925925925925</v>
      </c>
      <c r="E7159" t="s">
        <v>27</v>
      </c>
      <c r="F7159" t="s">
        <v>197</v>
      </c>
      <c r="G7159" t="s">
        <v>44</v>
      </c>
      <c r="H7159" t="s">
        <v>167</v>
      </c>
      <c r="I7159">
        <v>106.29</v>
      </c>
      <c r="J7159" s="7">
        <v>0</v>
      </c>
      <c r="K7159" s="90">
        <f t="shared" si="441"/>
        <v>1265.55</v>
      </c>
      <c r="L7159" s="7">
        <v>1265.55</v>
      </c>
      <c r="M7159" s="36">
        <f t="shared" si="442"/>
        <v>8.3987199241436539</v>
      </c>
    </row>
    <row r="7160" spans="1:13" hidden="1" x14ac:dyDescent="0.3">
      <c r="A7160" s="9">
        <v>2458</v>
      </c>
      <c r="B7160" t="s">
        <v>359</v>
      </c>
      <c r="C7160" s="25">
        <v>44677</v>
      </c>
      <c r="D7160" s="26">
        <v>0.84253472222222225</v>
      </c>
      <c r="E7160" t="s">
        <v>27</v>
      </c>
      <c r="F7160" t="s">
        <v>541</v>
      </c>
      <c r="G7160" t="s">
        <v>542</v>
      </c>
      <c r="H7160" t="s">
        <v>167</v>
      </c>
      <c r="I7160">
        <v>70</v>
      </c>
      <c r="J7160" s="7">
        <v>0</v>
      </c>
      <c r="K7160" s="90">
        <f t="shared" si="441"/>
        <v>55</v>
      </c>
      <c r="L7160" s="51">
        <v>55</v>
      </c>
      <c r="M7160" s="10">
        <f t="shared" si="442"/>
        <v>127.27272727272727</v>
      </c>
    </row>
    <row r="7161" spans="1:13" hidden="1" x14ac:dyDescent="0.3">
      <c r="A7161" s="9">
        <v>2459</v>
      </c>
      <c r="B7161" t="s">
        <v>359</v>
      </c>
      <c r="C7161" s="25">
        <v>44678</v>
      </c>
      <c r="D7161" s="26">
        <v>0.46055555555555555</v>
      </c>
      <c r="E7161" t="s">
        <v>27</v>
      </c>
      <c r="F7161" t="s">
        <v>488</v>
      </c>
      <c r="G7161" t="s">
        <v>489</v>
      </c>
      <c r="H7161" t="s">
        <v>167</v>
      </c>
      <c r="I7161">
        <v>100</v>
      </c>
      <c r="J7161" s="7">
        <v>0</v>
      </c>
      <c r="K7161" s="90">
        <f t="shared" si="441"/>
        <v>285.11</v>
      </c>
      <c r="L7161" s="51">
        <v>285.11</v>
      </c>
      <c r="M7161" s="10">
        <f t="shared" si="442"/>
        <v>35.074181894707309</v>
      </c>
    </row>
    <row r="7162" spans="1:13" hidden="1" x14ac:dyDescent="0.3">
      <c r="A7162" s="9">
        <v>2460</v>
      </c>
      <c r="B7162" t="s">
        <v>359</v>
      </c>
      <c r="C7162" s="25">
        <v>44678</v>
      </c>
      <c r="D7162" s="26">
        <v>0.61978009259259259</v>
      </c>
      <c r="E7162" t="s">
        <v>27</v>
      </c>
      <c r="F7162" t="s">
        <v>210</v>
      </c>
      <c r="G7162" t="s">
        <v>211</v>
      </c>
      <c r="H7162" t="s">
        <v>167</v>
      </c>
      <c r="I7162">
        <v>420.77</v>
      </c>
      <c r="J7162" s="7">
        <v>0</v>
      </c>
      <c r="K7162" s="90">
        <f t="shared" si="441"/>
        <v>246.3</v>
      </c>
      <c r="L7162" s="51">
        <v>246.3</v>
      </c>
      <c r="M7162" s="10">
        <f t="shared" ref="M7162:M7193" si="443">I7162/K7162*100</f>
        <v>170.8363784003248</v>
      </c>
    </row>
    <row r="7163" spans="1:13" hidden="1" x14ac:dyDescent="0.3">
      <c r="A7163" s="9">
        <v>2461</v>
      </c>
      <c r="B7163" t="s">
        <v>359</v>
      </c>
      <c r="C7163" s="25">
        <v>44679</v>
      </c>
      <c r="D7163" s="26">
        <v>0.69657407407407401</v>
      </c>
      <c r="E7163" t="s">
        <v>27</v>
      </c>
      <c r="F7163" t="s">
        <v>210</v>
      </c>
      <c r="G7163" t="s">
        <v>211</v>
      </c>
      <c r="H7163" t="s">
        <v>167</v>
      </c>
      <c r="I7163">
        <v>426.68</v>
      </c>
      <c r="J7163" s="31">
        <v>0</v>
      </c>
      <c r="K7163" s="99">
        <v>1057</v>
      </c>
      <c r="L7163" s="51">
        <v>1057</v>
      </c>
      <c r="M7163" s="10">
        <f t="shared" si="443"/>
        <v>40.367076631977298</v>
      </c>
    </row>
    <row r="7164" spans="1:13" hidden="1" x14ac:dyDescent="0.3">
      <c r="A7164" s="9">
        <v>3710</v>
      </c>
      <c r="B7164" t="s">
        <v>359</v>
      </c>
      <c r="C7164" s="25">
        <v>44683</v>
      </c>
      <c r="D7164" s="26">
        <v>3.622685185185185E-2</v>
      </c>
      <c r="E7164" t="s">
        <v>28</v>
      </c>
      <c r="F7164" t="s">
        <v>210</v>
      </c>
      <c r="G7164" t="s">
        <v>211</v>
      </c>
      <c r="H7164" t="s">
        <v>167</v>
      </c>
      <c r="I7164">
        <v>395.25</v>
      </c>
      <c r="J7164" s="7">
        <v>0</v>
      </c>
      <c r="K7164" s="90">
        <f>+L7164-J7292</f>
        <v>1056.6400000000001</v>
      </c>
      <c r="L7164" s="7">
        <v>1056.6400000000001</v>
      </c>
      <c r="M7164" s="131">
        <f t="shared" si="443"/>
        <v>37.406306783767413</v>
      </c>
    </row>
    <row r="7165" spans="1:13" hidden="1" x14ac:dyDescent="0.3">
      <c r="A7165" s="9">
        <v>3791</v>
      </c>
      <c r="B7165" t="s">
        <v>359</v>
      </c>
      <c r="C7165" s="25">
        <v>44685</v>
      </c>
      <c r="D7165" s="26">
        <v>0.5854166666666667</v>
      </c>
      <c r="E7165" t="s">
        <v>28</v>
      </c>
      <c r="F7165" t="s">
        <v>459</v>
      </c>
      <c r="G7165" t="s">
        <v>303</v>
      </c>
      <c r="H7165" t="s">
        <v>167</v>
      </c>
      <c r="I7165">
        <v>249.4</v>
      </c>
      <c r="J7165" s="7">
        <v>0</v>
      </c>
      <c r="K7165" s="90">
        <f>+L7165-J7292</f>
        <v>1329.53</v>
      </c>
      <c r="L7165" s="174">
        <v>1329.53</v>
      </c>
      <c r="M7165" s="91">
        <f t="shared" si="443"/>
        <v>18.758508645912467</v>
      </c>
    </row>
    <row r="7166" spans="1:13" hidden="1" x14ac:dyDescent="0.3">
      <c r="A7166" s="9">
        <v>3792</v>
      </c>
      <c r="B7166" t="s">
        <v>359</v>
      </c>
      <c r="C7166" s="25">
        <v>44685</v>
      </c>
      <c r="D7166" s="26">
        <v>0.92618055555555545</v>
      </c>
      <c r="E7166" t="s">
        <v>28</v>
      </c>
      <c r="F7166" t="s">
        <v>210</v>
      </c>
      <c r="G7166" t="s">
        <v>211</v>
      </c>
      <c r="H7166" t="s">
        <v>167</v>
      </c>
      <c r="I7166">
        <v>431.1</v>
      </c>
      <c r="J7166" s="7">
        <v>0</v>
      </c>
      <c r="K7166" s="90">
        <f>+L7166-J7293</f>
        <v>429</v>
      </c>
      <c r="L7166" s="32">
        <v>429</v>
      </c>
      <c r="M7166" s="10">
        <f t="shared" si="443"/>
        <v>100.48951048951049</v>
      </c>
    </row>
    <row r="7167" spans="1:13" hidden="1" x14ac:dyDescent="0.3">
      <c r="A7167" s="9">
        <v>3907</v>
      </c>
      <c r="B7167" t="s">
        <v>359</v>
      </c>
      <c r="C7167" s="25">
        <v>44687</v>
      </c>
      <c r="D7167" s="26">
        <v>8.3796296296296292E-3</v>
      </c>
      <c r="E7167" t="s">
        <v>28</v>
      </c>
      <c r="F7167" t="s">
        <v>210</v>
      </c>
      <c r="G7167" t="s">
        <v>211</v>
      </c>
      <c r="H7167" t="s">
        <v>167</v>
      </c>
      <c r="I7167">
        <v>381.13</v>
      </c>
      <c r="J7167" s="7">
        <v>0</v>
      </c>
      <c r="K7167" s="97">
        <f>+L7167-J7167</f>
        <v>1057</v>
      </c>
      <c r="L7167" s="67">
        <v>1057</v>
      </c>
      <c r="M7167" s="10">
        <f t="shared" si="443"/>
        <v>36.057710501419109</v>
      </c>
    </row>
    <row r="7168" spans="1:13" hidden="1" x14ac:dyDescent="0.3">
      <c r="A7168" s="9">
        <v>3908</v>
      </c>
      <c r="B7168" t="s">
        <v>359</v>
      </c>
      <c r="C7168" s="25">
        <v>44687</v>
      </c>
      <c r="D7168" s="26">
        <v>0.83828703703703711</v>
      </c>
      <c r="E7168" t="s">
        <v>28</v>
      </c>
      <c r="F7168" t="s">
        <v>428</v>
      </c>
      <c r="G7168" t="s">
        <v>429</v>
      </c>
      <c r="H7168" t="s">
        <v>167</v>
      </c>
      <c r="I7168">
        <f>100.31+200.2</f>
        <v>300.51</v>
      </c>
      <c r="J7168" s="7">
        <v>0</v>
      </c>
      <c r="K7168" s="90">
        <f>+L7168-J7168</f>
        <v>881</v>
      </c>
      <c r="L7168" s="32">
        <v>881</v>
      </c>
      <c r="M7168" s="91">
        <f t="shared" si="443"/>
        <v>34.110102156640181</v>
      </c>
    </row>
    <row r="7169" spans="1:13" hidden="1" x14ac:dyDescent="0.3">
      <c r="A7169" s="9">
        <v>4012</v>
      </c>
      <c r="B7169" t="s">
        <v>359</v>
      </c>
      <c r="C7169" s="25">
        <v>44689</v>
      </c>
      <c r="D7169" s="26">
        <v>0.44512731481481477</v>
      </c>
      <c r="E7169" t="s">
        <v>28</v>
      </c>
      <c r="F7169" t="s">
        <v>210</v>
      </c>
      <c r="G7169" t="s">
        <v>211</v>
      </c>
      <c r="H7169" t="s">
        <v>167</v>
      </c>
      <c r="I7169">
        <v>396.23</v>
      </c>
      <c r="J7169" s="34">
        <v>0</v>
      </c>
      <c r="K7169" s="90">
        <f>+L7169-J7169</f>
        <v>970</v>
      </c>
      <c r="L7169" s="67">
        <v>970</v>
      </c>
      <c r="M7169" s="10">
        <f t="shared" si="443"/>
        <v>40.848453608247425</v>
      </c>
    </row>
    <row r="7170" spans="1:13" hidden="1" x14ac:dyDescent="0.3">
      <c r="A7170" s="9">
        <v>4062</v>
      </c>
      <c r="B7170" t="s">
        <v>359</v>
      </c>
      <c r="C7170" s="25">
        <v>44690</v>
      </c>
      <c r="D7170" s="26">
        <v>0.49158564814814815</v>
      </c>
      <c r="E7170" t="s">
        <v>28</v>
      </c>
      <c r="F7170" t="s">
        <v>210</v>
      </c>
      <c r="G7170" t="s">
        <v>211</v>
      </c>
      <c r="H7170" t="s">
        <v>167</v>
      </c>
      <c r="I7170">
        <v>392.93</v>
      </c>
      <c r="J7170" s="7">
        <v>0</v>
      </c>
      <c r="K7170" s="90">
        <f>+L7170-J7170</f>
        <v>1051</v>
      </c>
      <c r="L7170" s="53">
        <v>1051</v>
      </c>
      <c r="M7170" s="10">
        <f t="shared" si="443"/>
        <v>37.386298763082785</v>
      </c>
    </row>
    <row r="7171" spans="1:13" hidden="1" x14ac:dyDescent="0.3">
      <c r="A7171" s="9">
        <v>4151</v>
      </c>
      <c r="B7171" t="s">
        <v>359</v>
      </c>
      <c r="C7171" s="25">
        <v>44692</v>
      </c>
      <c r="D7171" s="26">
        <v>0.5425578703703704</v>
      </c>
      <c r="E7171" t="s">
        <v>28</v>
      </c>
      <c r="F7171" t="s">
        <v>197</v>
      </c>
      <c r="G7171" t="s">
        <v>44</v>
      </c>
      <c r="H7171" t="s">
        <v>167</v>
      </c>
      <c r="I7171">
        <v>118.11</v>
      </c>
      <c r="J7171" s="7">
        <v>0</v>
      </c>
      <c r="K7171" s="90">
        <f>+L7171-J7299</f>
        <v>711.99</v>
      </c>
      <c r="L7171" s="53">
        <v>711.99</v>
      </c>
      <c r="M7171" s="10">
        <f t="shared" si="443"/>
        <v>16.588716133653563</v>
      </c>
    </row>
    <row r="7172" spans="1:13" ht="3" hidden="1" customHeight="1" x14ac:dyDescent="0.3">
      <c r="A7172" s="9">
        <v>4152</v>
      </c>
      <c r="B7172" t="s">
        <v>359</v>
      </c>
      <c r="C7172" s="25">
        <v>44692</v>
      </c>
      <c r="D7172" s="26">
        <v>0.58769675925925924</v>
      </c>
      <c r="E7172" t="s">
        <v>28</v>
      </c>
      <c r="F7172" t="s">
        <v>541</v>
      </c>
      <c r="G7172" t="s">
        <v>542</v>
      </c>
      <c r="H7172" t="s">
        <v>167</v>
      </c>
      <c r="I7172">
        <f>50+100</f>
        <v>150</v>
      </c>
      <c r="J7172" s="7">
        <v>0</v>
      </c>
      <c r="K7172" s="90">
        <f>+L7172-J7300</f>
        <v>51</v>
      </c>
      <c r="L7172" s="53">
        <v>51</v>
      </c>
      <c r="M7172" s="10">
        <f t="shared" si="443"/>
        <v>294.11764705882354</v>
      </c>
    </row>
    <row r="7173" spans="1:13" hidden="1" x14ac:dyDescent="0.3">
      <c r="A7173" s="9">
        <v>4153</v>
      </c>
      <c r="B7173" t="s">
        <v>359</v>
      </c>
      <c r="C7173" s="25">
        <v>44692</v>
      </c>
      <c r="D7173" s="26">
        <v>0.95789351851851856</v>
      </c>
      <c r="E7173" t="s">
        <v>28</v>
      </c>
      <c r="F7173" t="s">
        <v>210</v>
      </c>
      <c r="G7173" t="s">
        <v>211</v>
      </c>
      <c r="H7173" t="s">
        <v>167</v>
      </c>
      <c r="I7173">
        <v>425.91</v>
      </c>
      <c r="J7173" s="31">
        <v>0</v>
      </c>
      <c r="K7173" s="90">
        <f>+L7173-J7301</f>
        <v>534</v>
      </c>
      <c r="L7173" s="68">
        <v>534</v>
      </c>
      <c r="M7173" s="10">
        <f t="shared" si="443"/>
        <v>79.758426966292134</v>
      </c>
    </row>
    <row r="7174" spans="1:13" hidden="1" x14ac:dyDescent="0.3">
      <c r="A7174" s="9">
        <v>4248</v>
      </c>
      <c r="B7174" t="s">
        <v>359</v>
      </c>
      <c r="C7174" s="25">
        <v>44694</v>
      </c>
      <c r="D7174" s="26">
        <v>0.36560185185185184</v>
      </c>
      <c r="E7174" t="s">
        <v>28</v>
      </c>
      <c r="F7174" t="s">
        <v>210</v>
      </c>
      <c r="G7174" t="s">
        <v>211</v>
      </c>
      <c r="H7174" t="s">
        <v>167</v>
      </c>
      <c r="I7174">
        <v>405.9</v>
      </c>
      <c r="J7174" s="7">
        <v>0</v>
      </c>
      <c r="K7174" s="90">
        <f>+L7174-J7301</f>
        <v>1055</v>
      </c>
      <c r="L7174" s="53">
        <v>1055</v>
      </c>
      <c r="M7174" s="10">
        <f t="shared" si="443"/>
        <v>38.473933649289101</v>
      </c>
    </row>
    <row r="7175" spans="1:13" hidden="1" x14ac:dyDescent="0.3">
      <c r="A7175" s="9">
        <v>4295</v>
      </c>
      <c r="B7175" t="s">
        <v>359</v>
      </c>
      <c r="C7175" s="25">
        <v>44695</v>
      </c>
      <c r="D7175" s="26">
        <v>0.60065972222222219</v>
      </c>
      <c r="E7175" t="s">
        <v>28</v>
      </c>
      <c r="F7175" t="s">
        <v>612</v>
      </c>
      <c r="G7175" t="s">
        <v>613</v>
      </c>
      <c r="H7175" t="s">
        <v>167</v>
      </c>
      <c r="I7175">
        <v>298.73</v>
      </c>
      <c r="J7175" s="34">
        <v>0</v>
      </c>
      <c r="K7175" s="90">
        <f>+L7175-J7302</f>
        <v>818</v>
      </c>
      <c r="L7175" s="53">
        <v>818</v>
      </c>
      <c r="M7175" s="10">
        <f t="shared" si="443"/>
        <v>36.519559902200491</v>
      </c>
    </row>
    <row r="7176" spans="1:13" hidden="1" x14ac:dyDescent="0.3">
      <c r="A7176" s="9">
        <v>4696</v>
      </c>
      <c r="B7176" t="s">
        <v>359</v>
      </c>
      <c r="C7176" s="25">
        <v>44702</v>
      </c>
      <c r="D7176" s="26">
        <v>0.94586805555555553</v>
      </c>
      <c r="E7176" t="s">
        <v>28</v>
      </c>
      <c r="F7176" t="s">
        <v>210</v>
      </c>
      <c r="G7176" t="s">
        <v>211</v>
      </c>
      <c r="H7176" t="s">
        <v>167</v>
      </c>
      <c r="I7176">
        <v>389.33</v>
      </c>
      <c r="J7176" s="7">
        <v>0</v>
      </c>
      <c r="K7176" s="90">
        <f>+L7176-J7443</f>
        <v>929</v>
      </c>
      <c r="L7176" s="53">
        <v>929</v>
      </c>
      <c r="M7176" s="10">
        <f t="shared" si="443"/>
        <v>41.908503767491922</v>
      </c>
    </row>
    <row r="7177" spans="1:13" hidden="1" x14ac:dyDescent="0.3">
      <c r="A7177" s="9">
        <v>4808</v>
      </c>
      <c r="B7177" t="s">
        <v>359</v>
      </c>
      <c r="C7177" s="25">
        <v>44704</v>
      </c>
      <c r="D7177" s="26">
        <v>2.0208333333333335E-2</v>
      </c>
      <c r="E7177" t="s">
        <v>28</v>
      </c>
      <c r="F7177" t="s">
        <v>210</v>
      </c>
      <c r="G7177" t="s">
        <v>211</v>
      </c>
      <c r="H7177" t="s">
        <v>167</v>
      </c>
      <c r="I7177">
        <v>410.32</v>
      </c>
      <c r="J7177" s="7">
        <v>0</v>
      </c>
      <c r="K7177" s="90">
        <f>+L7177-J7444</f>
        <v>1057</v>
      </c>
      <c r="L7177" s="53">
        <v>1057</v>
      </c>
      <c r="M7177" s="10">
        <f t="shared" si="443"/>
        <v>38.819299905392619</v>
      </c>
    </row>
    <row r="7178" spans="1:13" hidden="1" x14ac:dyDescent="0.3">
      <c r="A7178" s="9">
        <v>4861</v>
      </c>
      <c r="B7178" t="s">
        <v>359</v>
      </c>
      <c r="C7178" s="25">
        <v>44705</v>
      </c>
      <c r="D7178" s="26">
        <v>0.46642361111111108</v>
      </c>
      <c r="E7178" t="s">
        <v>28</v>
      </c>
      <c r="F7178" t="s">
        <v>612</v>
      </c>
      <c r="G7178" t="s">
        <v>613</v>
      </c>
      <c r="H7178" t="s">
        <v>167</v>
      </c>
      <c r="I7178">
        <v>284.33999999999997</v>
      </c>
      <c r="J7178" s="34">
        <v>0</v>
      </c>
      <c r="K7178" s="90">
        <f>+L7178-J7445</f>
        <v>843</v>
      </c>
      <c r="L7178" s="67">
        <v>843</v>
      </c>
      <c r="M7178" s="10">
        <f t="shared" si="443"/>
        <v>33.729537366548037</v>
      </c>
    </row>
    <row r="7179" spans="1:13" hidden="1" x14ac:dyDescent="0.3">
      <c r="A7179" s="9">
        <v>4929</v>
      </c>
      <c r="B7179" t="s">
        <v>359</v>
      </c>
      <c r="C7179" s="25">
        <v>44706</v>
      </c>
      <c r="D7179" s="26">
        <v>0.59775462962962966</v>
      </c>
      <c r="E7179" t="s">
        <v>28</v>
      </c>
      <c r="F7179" t="s">
        <v>166</v>
      </c>
      <c r="G7179" t="s">
        <v>161</v>
      </c>
      <c r="H7179" t="s">
        <v>167</v>
      </c>
      <c r="I7179">
        <v>388.29</v>
      </c>
      <c r="J7179" s="7">
        <v>0</v>
      </c>
      <c r="K7179" s="90">
        <f>+L7179-J7446</f>
        <v>841</v>
      </c>
      <c r="L7179" s="53">
        <v>841</v>
      </c>
      <c r="M7179" s="10">
        <f t="shared" si="443"/>
        <v>46.170035671819264</v>
      </c>
    </row>
    <row r="7180" spans="1:13" hidden="1" x14ac:dyDescent="0.3">
      <c r="A7180" s="9">
        <v>4972</v>
      </c>
      <c r="B7180" t="s">
        <v>359</v>
      </c>
      <c r="C7180" s="25">
        <v>44707</v>
      </c>
      <c r="D7180" s="26">
        <v>0.79630787037037043</v>
      </c>
      <c r="E7180" t="s">
        <v>28</v>
      </c>
      <c r="F7180" t="s">
        <v>633</v>
      </c>
      <c r="G7180" t="s">
        <v>322</v>
      </c>
      <c r="H7180" t="s">
        <v>167</v>
      </c>
      <c r="I7180">
        <v>201.5</v>
      </c>
      <c r="J7180" s="7">
        <v>0</v>
      </c>
      <c r="K7180" s="90">
        <f>+L7180-J7446</f>
        <v>1153</v>
      </c>
      <c r="L7180" s="53">
        <v>1153</v>
      </c>
      <c r="M7180" s="10">
        <f t="shared" si="443"/>
        <v>17.476149176062446</v>
      </c>
    </row>
    <row r="7181" spans="1:13" hidden="1" x14ac:dyDescent="0.3">
      <c r="A7181" s="9">
        <v>5012</v>
      </c>
      <c r="B7181" t="s">
        <v>359</v>
      </c>
      <c r="C7181" s="25">
        <v>44708</v>
      </c>
      <c r="D7181" s="26">
        <v>6.5740740740740733E-3</v>
      </c>
      <c r="E7181" t="s">
        <v>28</v>
      </c>
      <c r="F7181" t="s">
        <v>632</v>
      </c>
      <c r="G7181" t="s">
        <v>161</v>
      </c>
      <c r="H7181" t="s">
        <v>167</v>
      </c>
      <c r="I7181">
        <v>343.19</v>
      </c>
      <c r="J7181" s="7">
        <v>0</v>
      </c>
      <c r="K7181" s="90">
        <f>+L7181-J7383</f>
        <v>-554002</v>
      </c>
      <c r="L7181" s="53">
        <v>107</v>
      </c>
      <c r="M7181" s="10">
        <f t="shared" si="443"/>
        <v>-6.1947429792672232E-2</v>
      </c>
    </row>
    <row r="7182" spans="1:13" hidden="1" x14ac:dyDescent="0.3">
      <c r="A7182" s="9">
        <v>5071</v>
      </c>
      <c r="B7182" t="s">
        <v>359</v>
      </c>
      <c r="C7182" s="25">
        <v>44709</v>
      </c>
      <c r="D7182" s="26">
        <v>0.40361111111111114</v>
      </c>
      <c r="E7182" t="s">
        <v>28</v>
      </c>
      <c r="F7182" t="s">
        <v>652</v>
      </c>
      <c r="G7182" t="s">
        <v>535</v>
      </c>
      <c r="H7182" t="s">
        <v>167</v>
      </c>
      <c r="I7182">
        <v>305.64999999999998</v>
      </c>
      <c r="J7182" s="7">
        <v>0</v>
      </c>
      <c r="K7182" s="90">
        <f>+L7182-J7384</f>
        <v>-554655</v>
      </c>
      <c r="L7182" s="11">
        <v>804</v>
      </c>
      <c r="M7182" s="10">
        <f t="shared" si="443"/>
        <v>-5.5106327356645113E-2</v>
      </c>
    </row>
    <row r="7183" spans="1:13" hidden="1" x14ac:dyDescent="0.3">
      <c r="A7183" s="9">
        <v>5122</v>
      </c>
      <c r="B7183" t="s">
        <v>359</v>
      </c>
      <c r="C7183" s="25">
        <v>44710</v>
      </c>
      <c r="D7183" s="26">
        <v>0.61660879629629628</v>
      </c>
      <c r="E7183" t="s">
        <v>28</v>
      </c>
      <c r="F7183" t="s">
        <v>632</v>
      </c>
      <c r="G7183" t="s">
        <v>161</v>
      </c>
      <c r="H7183" t="s">
        <v>167</v>
      </c>
      <c r="I7183">
        <v>368</v>
      </c>
      <c r="J7183" s="7">
        <v>0</v>
      </c>
      <c r="K7183" s="90">
        <f>+L7183-J7385</f>
        <v>-555650</v>
      </c>
      <c r="L7183" s="7">
        <v>792</v>
      </c>
      <c r="M7183" s="10">
        <f t="shared" si="443"/>
        <v>-6.6228741114010614E-2</v>
      </c>
    </row>
    <row r="7184" spans="1:13" hidden="1" x14ac:dyDescent="0.3">
      <c r="A7184" s="9">
        <v>5180</v>
      </c>
      <c r="B7184" t="s">
        <v>359</v>
      </c>
      <c r="C7184" s="25">
        <v>44711</v>
      </c>
      <c r="D7184" s="26">
        <v>0.64509259259259266</v>
      </c>
      <c r="E7184" t="s">
        <v>28</v>
      </c>
      <c r="F7184" t="s">
        <v>634</v>
      </c>
      <c r="G7184" t="s">
        <v>211</v>
      </c>
      <c r="H7184" t="s">
        <v>167</v>
      </c>
      <c r="I7184">
        <v>455.2</v>
      </c>
      <c r="J7184" s="32">
        <v>0</v>
      </c>
      <c r="K7184" s="97">
        <f>+L7184-J7406</f>
        <v>1129</v>
      </c>
      <c r="L7184" s="30">
        <v>1129</v>
      </c>
      <c r="M7184" s="10">
        <f t="shared" si="443"/>
        <v>40.318866253321524</v>
      </c>
    </row>
    <row r="7185" spans="1:13" hidden="1" x14ac:dyDescent="0.3">
      <c r="A7185" s="9">
        <v>6192</v>
      </c>
      <c r="B7185" t="s">
        <v>359</v>
      </c>
      <c r="C7185" s="25">
        <v>44730</v>
      </c>
      <c r="D7185" s="26">
        <v>0.95160879629629624</v>
      </c>
      <c r="E7185" t="s">
        <v>29</v>
      </c>
      <c r="F7185" t="s">
        <v>632</v>
      </c>
      <c r="G7185" t="s">
        <v>161</v>
      </c>
      <c r="H7185" t="s">
        <v>167</v>
      </c>
      <c r="I7185">
        <v>226.18</v>
      </c>
      <c r="J7185" s="37">
        <v>0</v>
      </c>
      <c r="K7185" s="97">
        <f>+L7185-J6756</f>
        <v>518</v>
      </c>
      <c r="L7185" s="34">
        <v>518</v>
      </c>
      <c r="M7185" s="10">
        <f t="shared" si="443"/>
        <v>43.664092664092664</v>
      </c>
    </row>
    <row r="7186" spans="1:13" hidden="1" x14ac:dyDescent="0.3">
      <c r="A7186" s="9">
        <v>6255</v>
      </c>
      <c r="B7186" t="s">
        <v>359</v>
      </c>
      <c r="C7186" s="25">
        <v>44732</v>
      </c>
      <c r="D7186" s="26">
        <v>0.65612268518518524</v>
      </c>
      <c r="E7186" t="s">
        <v>29</v>
      </c>
      <c r="F7186" t="s">
        <v>634</v>
      </c>
      <c r="G7186" t="s">
        <v>211</v>
      </c>
      <c r="H7186" t="s">
        <v>167</v>
      </c>
      <c r="I7186">
        <v>435.16</v>
      </c>
      <c r="J7186" s="32">
        <v>0</v>
      </c>
      <c r="K7186" s="90">
        <f>+L7186-J6757</f>
        <v>1184</v>
      </c>
      <c r="L7186" s="7">
        <v>1184</v>
      </c>
      <c r="M7186" s="10">
        <f t="shared" si="443"/>
        <v>36.753378378378379</v>
      </c>
    </row>
    <row r="7187" spans="1:13" hidden="1" x14ac:dyDescent="0.3">
      <c r="A7187" s="9">
        <v>6364</v>
      </c>
      <c r="B7187" t="s">
        <v>359</v>
      </c>
      <c r="C7187" s="25">
        <v>44735</v>
      </c>
      <c r="D7187" s="26">
        <v>0.34920138888888891</v>
      </c>
      <c r="E7187" t="s">
        <v>29</v>
      </c>
      <c r="F7187" t="s">
        <v>639</v>
      </c>
      <c r="G7187" t="s">
        <v>44</v>
      </c>
      <c r="H7187" t="s">
        <v>167</v>
      </c>
      <c r="I7187">
        <v>419.77</v>
      </c>
      <c r="J7187" s="32">
        <v>0</v>
      </c>
      <c r="K7187" s="90">
        <v>1183</v>
      </c>
      <c r="L7187" s="7">
        <v>1183</v>
      </c>
      <c r="M7187" s="10">
        <f t="shared" si="443"/>
        <v>35.483516483516482</v>
      </c>
    </row>
    <row r="7188" spans="1:13" hidden="1" x14ac:dyDescent="0.3">
      <c r="A7188" s="9">
        <v>6365</v>
      </c>
      <c r="B7188" t="s">
        <v>359</v>
      </c>
      <c r="C7188" s="25">
        <v>44735</v>
      </c>
      <c r="D7188" s="26">
        <v>0.81023148148148139</v>
      </c>
      <c r="E7188" t="s">
        <v>29</v>
      </c>
      <c r="F7188" t="s">
        <v>634</v>
      </c>
      <c r="G7188" t="s">
        <v>211</v>
      </c>
      <c r="H7188" t="s">
        <v>167</v>
      </c>
      <c r="I7188">
        <v>269.52999999999997</v>
      </c>
      <c r="J7188" s="32">
        <v>0</v>
      </c>
      <c r="K7188" s="90">
        <v>584</v>
      </c>
      <c r="L7188" s="7">
        <v>584</v>
      </c>
      <c r="M7188" s="10">
        <f t="shared" si="443"/>
        <v>46.152397260273972</v>
      </c>
    </row>
    <row r="7189" spans="1:13" hidden="1" x14ac:dyDescent="0.3">
      <c r="A7189" s="9">
        <v>6469</v>
      </c>
      <c r="B7189" t="s">
        <v>359</v>
      </c>
      <c r="C7189" s="25">
        <v>44737</v>
      </c>
      <c r="D7189" s="26">
        <v>0.27425925925925926</v>
      </c>
      <c r="E7189" t="s">
        <v>29</v>
      </c>
      <c r="F7189" t="s">
        <v>632</v>
      </c>
      <c r="G7189" t="s">
        <v>161</v>
      </c>
      <c r="H7189" t="s">
        <v>167</v>
      </c>
      <c r="I7189">
        <v>417.44</v>
      </c>
      <c r="J7189" s="37">
        <v>0</v>
      </c>
      <c r="K7189" s="90">
        <v>1143</v>
      </c>
      <c r="L7189" s="123">
        <v>1143</v>
      </c>
      <c r="M7189" s="36">
        <f t="shared" si="443"/>
        <v>36.521434820647421</v>
      </c>
    </row>
    <row r="7190" spans="1:13" hidden="1" x14ac:dyDescent="0.3">
      <c r="A7190" s="9">
        <v>6521</v>
      </c>
      <c r="B7190" t="s">
        <v>359</v>
      </c>
      <c r="C7190" s="25">
        <v>44738</v>
      </c>
      <c r="D7190" s="26">
        <v>4.5659722222222227E-2</v>
      </c>
      <c r="E7190" t="s">
        <v>29</v>
      </c>
      <c r="F7190" t="s">
        <v>639</v>
      </c>
      <c r="G7190" t="s">
        <v>44</v>
      </c>
      <c r="H7190" t="s">
        <v>167</v>
      </c>
      <c r="I7190">
        <v>202</v>
      </c>
      <c r="J7190" s="32">
        <v>0</v>
      </c>
      <c r="K7190" s="92">
        <v>1038</v>
      </c>
      <c r="L7190" s="34">
        <v>1038</v>
      </c>
      <c r="M7190" s="10">
        <f t="shared" si="443"/>
        <v>19.460500963391137</v>
      </c>
    </row>
    <row r="7191" spans="1:13" hidden="1" x14ac:dyDescent="0.3">
      <c r="A7191" s="9">
        <v>6522</v>
      </c>
      <c r="B7191" t="s">
        <v>359</v>
      </c>
      <c r="C7191" s="25">
        <v>44738</v>
      </c>
      <c r="D7191" s="26">
        <v>0.82556712962962964</v>
      </c>
      <c r="E7191" t="s">
        <v>29</v>
      </c>
      <c r="F7191" t="s">
        <v>634</v>
      </c>
      <c r="G7191" t="s">
        <v>211</v>
      </c>
      <c r="H7191" t="s">
        <v>167</v>
      </c>
      <c r="I7191">
        <v>400.89</v>
      </c>
      <c r="J7191" s="32">
        <v>0</v>
      </c>
      <c r="K7191" s="89">
        <v>585</v>
      </c>
      <c r="L7191" s="7">
        <v>585</v>
      </c>
      <c r="M7191" s="10">
        <f t="shared" si="443"/>
        <v>68.528205128205116</v>
      </c>
    </row>
    <row r="7192" spans="1:13" hidden="1" x14ac:dyDescent="0.3">
      <c r="A7192" s="9">
        <v>6630</v>
      </c>
      <c r="B7192" t="s">
        <v>359</v>
      </c>
      <c r="C7192" s="25">
        <v>44740</v>
      </c>
      <c r="D7192" s="26">
        <v>4.6041666666666668E-2</v>
      </c>
      <c r="E7192" t="s">
        <v>29</v>
      </c>
      <c r="F7192" t="s">
        <v>634</v>
      </c>
      <c r="G7192" t="s">
        <v>211</v>
      </c>
      <c r="H7192" t="s">
        <v>167</v>
      </c>
      <c r="I7192">
        <v>376.66</v>
      </c>
      <c r="J7192" s="32">
        <v>0</v>
      </c>
      <c r="K7192" s="90">
        <v>1060</v>
      </c>
      <c r="L7192" s="7">
        <v>1060</v>
      </c>
      <c r="M7192" s="36">
        <f t="shared" si="443"/>
        <v>35.533962264150951</v>
      </c>
    </row>
    <row r="7193" spans="1:13" hidden="1" x14ac:dyDescent="0.3">
      <c r="A7193" s="9">
        <v>6698</v>
      </c>
      <c r="B7193" t="s">
        <v>359</v>
      </c>
      <c r="C7193" s="25">
        <v>44741</v>
      </c>
      <c r="D7193" s="26">
        <v>0.39004629629629628</v>
      </c>
      <c r="E7193" t="s">
        <v>29</v>
      </c>
      <c r="F7193" t="s">
        <v>693</v>
      </c>
      <c r="G7193" t="s">
        <v>277</v>
      </c>
      <c r="H7193" t="s">
        <v>167</v>
      </c>
      <c r="I7193">
        <v>428</v>
      </c>
      <c r="J7193" s="32">
        <v>0</v>
      </c>
      <c r="K7193" s="90">
        <v>777</v>
      </c>
      <c r="L7193" s="7">
        <v>777</v>
      </c>
      <c r="M7193" s="10">
        <f t="shared" si="443"/>
        <v>55.083655083655081</v>
      </c>
    </row>
    <row r="7194" spans="1:13" hidden="1" x14ac:dyDescent="0.3">
      <c r="B7194" t="s">
        <v>1075</v>
      </c>
      <c r="C7194" s="25">
        <v>44765</v>
      </c>
      <c r="D7194" s="26">
        <v>0.6051967592592592</v>
      </c>
      <c r="E7194" t="s">
        <v>30</v>
      </c>
      <c r="F7194" t="s">
        <v>541</v>
      </c>
      <c r="G7194" t="s">
        <v>542</v>
      </c>
      <c r="H7194" t="s">
        <v>167</v>
      </c>
      <c r="I7194" s="148">
        <v>50</v>
      </c>
      <c r="J7194" s="8"/>
      <c r="K7194" s="8"/>
      <c r="L7194" s="8"/>
      <c r="M7194" s="269"/>
    </row>
    <row r="7195" spans="1:13" hidden="1" x14ac:dyDescent="0.3">
      <c r="B7195" t="s">
        <v>1075</v>
      </c>
      <c r="C7195" s="25">
        <v>44765</v>
      </c>
      <c r="D7195" s="26">
        <v>0.71642361111111119</v>
      </c>
      <c r="E7195" t="s">
        <v>30</v>
      </c>
      <c r="F7195" t="s">
        <v>311</v>
      </c>
      <c r="G7195" t="s">
        <v>303</v>
      </c>
      <c r="H7195" t="s">
        <v>167</v>
      </c>
      <c r="I7195" s="148">
        <v>150</v>
      </c>
      <c r="J7195" s="8"/>
      <c r="K7195" s="8"/>
      <c r="L7195" s="8"/>
      <c r="M7195" s="269"/>
    </row>
    <row r="7196" spans="1:13" hidden="1" x14ac:dyDescent="0.3">
      <c r="B7196" t="s">
        <v>1075</v>
      </c>
      <c r="C7196" s="25">
        <v>44766</v>
      </c>
      <c r="D7196" s="26">
        <v>0.32974537037037038</v>
      </c>
      <c r="E7196" t="s">
        <v>30</v>
      </c>
      <c r="F7196" t="s">
        <v>166</v>
      </c>
      <c r="G7196" t="s">
        <v>161</v>
      </c>
      <c r="H7196" t="s">
        <v>167</v>
      </c>
      <c r="I7196" s="148">
        <v>306.73</v>
      </c>
      <c r="J7196" s="44"/>
      <c r="K7196" s="44"/>
      <c r="L7196" s="44"/>
      <c r="M7196" s="269"/>
    </row>
    <row r="7197" spans="1:13" hidden="1" x14ac:dyDescent="0.3">
      <c r="B7197" t="s">
        <v>1075</v>
      </c>
      <c r="C7197" s="25">
        <v>44768</v>
      </c>
      <c r="D7197" s="26">
        <v>0.32974537037037038</v>
      </c>
      <c r="E7197" t="s">
        <v>30</v>
      </c>
      <c r="F7197" t="s">
        <v>210</v>
      </c>
      <c r="G7197" t="s">
        <v>211</v>
      </c>
      <c r="H7197" t="s">
        <v>167</v>
      </c>
      <c r="I7197" s="148">
        <v>417</v>
      </c>
      <c r="J7197" s="8"/>
      <c r="K7197" s="8"/>
      <c r="L7197" s="8"/>
      <c r="M7197" s="269"/>
    </row>
    <row r="7198" spans="1:13" hidden="1" x14ac:dyDescent="0.3">
      <c r="B7198" t="s">
        <v>1075</v>
      </c>
      <c r="C7198" s="25">
        <v>44768</v>
      </c>
      <c r="D7198" s="26">
        <v>0.83636574074074066</v>
      </c>
      <c r="E7198" t="s">
        <v>30</v>
      </c>
      <c r="F7198" t="s">
        <v>169</v>
      </c>
      <c r="G7198" t="s">
        <v>196</v>
      </c>
      <c r="H7198" t="s">
        <v>167</v>
      </c>
      <c r="I7198" s="148">
        <v>165.15</v>
      </c>
      <c r="J7198" s="8"/>
      <c r="K7198" s="8"/>
      <c r="L7198" s="8"/>
      <c r="M7198" s="269"/>
    </row>
    <row r="7199" spans="1:13" hidden="1" x14ac:dyDescent="0.3">
      <c r="B7199" t="s">
        <v>1075</v>
      </c>
      <c r="C7199" s="25">
        <v>44770</v>
      </c>
      <c r="D7199" s="26">
        <v>0.5479398148148148</v>
      </c>
      <c r="E7199" t="s">
        <v>30</v>
      </c>
      <c r="F7199" t="s">
        <v>171</v>
      </c>
      <c r="G7199" t="s">
        <v>172</v>
      </c>
      <c r="H7199" t="s">
        <v>167</v>
      </c>
      <c r="I7199" s="148">
        <v>341.73</v>
      </c>
      <c r="J7199" s="160">
        <f>342+165+417+307+150</f>
        <v>1381</v>
      </c>
      <c r="K7199" s="160"/>
      <c r="L7199" s="160">
        <v>3649</v>
      </c>
      <c r="M7199" s="304">
        <f>+J7199/L7199*100</f>
        <v>37.845985201425044</v>
      </c>
    </row>
    <row r="7200" spans="1:13" hidden="1" x14ac:dyDescent="0.3">
      <c r="B7200" t="s">
        <v>1075</v>
      </c>
      <c r="C7200" s="25">
        <v>44771</v>
      </c>
      <c r="D7200" s="26">
        <v>0.76354166666666667</v>
      </c>
      <c r="E7200" t="s">
        <v>30</v>
      </c>
      <c r="F7200" t="s">
        <v>311</v>
      </c>
      <c r="G7200" t="s">
        <v>303</v>
      </c>
      <c r="H7200" t="s">
        <v>167</v>
      </c>
      <c r="I7200" s="148">
        <v>122.67</v>
      </c>
      <c r="J7200" s="8"/>
      <c r="K7200" s="8"/>
      <c r="L7200" s="8"/>
      <c r="M7200" s="269"/>
    </row>
    <row r="7201" spans="1:13" hidden="1" x14ac:dyDescent="0.3">
      <c r="B7201" t="s">
        <v>1075</v>
      </c>
      <c r="C7201" s="25">
        <v>44772</v>
      </c>
      <c r="D7201" s="26">
        <v>0.36378472222222219</v>
      </c>
      <c r="E7201" t="s">
        <v>30</v>
      </c>
      <c r="F7201" t="s">
        <v>166</v>
      </c>
      <c r="G7201" t="s">
        <v>161</v>
      </c>
      <c r="H7201" t="s">
        <v>167</v>
      </c>
      <c r="I7201" s="148">
        <v>158.91999999999999</v>
      </c>
      <c r="J7201" s="54"/>
      <c r="K7201" s="54"/>
      <c r="L7201" s="54"/>
      <c r="M7201" s="242"/>
    </row>
    <row r="7202" spans="1:13" hidden="1" x14ac:dyDescent="0.3">
      <c r="A7202" s="9">
        <v>6796</v>
      </c>
      <c r="B7202" t="s">
        <v>348</v>
      </c>
      <c r="C7202" s="25">
        <v>44754</v>
      </c>
      <c r="D7202" s="26">
        <v>0.47530092592592593</v>
      </c>
      <c r="E7202" t="s">
        <v>30</v>
      </c>
      <c r="F7202" t="s">
        <v>197</v>
      </c>
      <c r="G7202" t="s">
        <v>44</v>
      </c>
      <c r="H7202" t="s">
        <v>204</v>
      </c>
      <c r="I7202" s="173" t="s">
        <v>925</v>
      </c>
      <c r="J7202" s="23"/>
      <c r="K7202" s="23"/>
      <c r="L7202" s="23"/>
      <c r="M7202" s="254"/>
    </row>
    <row r="7203" spans="1:13" hidden="1" x14ac:dyDescent="0.3">
      <c r="A7203" s="9">
        <v>6772</v>
      </c>
      <c r="B7203" t="s">
        <v>348</v>
      </c>
      <c r="C7203" s="25">
        <v>44755</v>
      </c>
      <c r="D7203" s="26">
        <v>9.5081018518518523E-2</v>
      </c>
      <c r="E7203" t="s">
        <v>30</v>
      </c>
      <c r="F7203" t="s">
        <v>210</v>
      </c>
      <c r="G7203" t="s">
        <v>211</v>
      </c>
      <c r="H7203" t="s">
        <v>204</v>
      </c>
      <c r="I7203" s="173" t="s">
        <v>1059</v>
      </c>
      <c r="J7203" s="231">
        <f>292+323+17+100</f>
        <v>732</v>
      </c>
      <c r="K7203" s="151"/>
      <c r="L7203" s="231">
        <v>1763</v>
      </c>
      <c r="M7203" s="150">
        <f>+J7203/ L7203 *100</f>
        <v>41.52013613159388</v>
      </c>
    </row>
    <row r="7204" spans="1:13" hidden="1" x14ac:dyDescent="0.3">
      <c r="A7204" s="9">
        <v>6759</v>
      </c>
      <c r="B7204" t="s">
        <v>348</v>
      </c>
      <c r="C7204" s="25">
        <v>44755</v>
      </c>
      <c r="D7204" s="26">
        <v>0.73837962962962955</v>
      </c>
      <c r="E7204" t="s">
        <v>30</v>
      </c>
      <c r="F7204" t="s">
        <v>165</v>
      </c>
      <c r="G7204" t="s">
        <v>185</v>
      </c>
      <c r="H7204" t="s">
        <v>204</v>
      </c>
      <c r="I7204" s="173" t="s">
        <v>1058</v>
      </c>
      <c r="J7204" s="23"/>
      <c r="K7204" s="23"/>
      <c r="L7204" s="23"/>
      <c r="M7204" s="254"/>
    </row>
    <row r="7205" spans="1:13" hidden="1" x14ac:dyDescent="0.3">
      <c r="A7205" s="9">
        <v>6814</v>
      </c>
      <c r="B7205" t="s">
        <v>348</v>
      </c>
      <c r="C7205" s="25">
        <v>44756</v>
      </c>
      <c r="D7205" s="26">
        <v>0.84773148148148147</v>
      </c>
      <c r="E7205" t="s">
        <v>30</v>
      </c>
      <c r="F7205" t="s">
        <v>210</v>
      </c>
      <c r="G7205" t="s">
        <v>211</v>
      </c>
      <c r="H7205" t="s">
        <v>204</v>
      </c>
      <c r="I7205" s="173" t="s">
        <v>1057</v>
      </c>
      <c r="J7205" s="23"/>
      <c r="K7205" s="23"/>
      <c r="L7205" s="23"/>
      <c r="M7205" s="254"/>
    </row>
    <row r="7206" spans="1:13" hidden="1" x14ac:dyDescent="0.3">
      <c r="A7206" s="9">
        <v>6776</v>
      </c>
      <c r="B7206" t="s">
        <v>348</v>
      </c>
      <c r="C7206" s="25">
        <v>44757</v>
      </c>
      <c r="D7206" s="26">
        <v>0.5216898148148148</v>
      </c>
      <c r="E7206" t="s">
        <v>30</v>
      </c>
      <c r="F7206" t="s">
        <v>169</v>
      </c>
      <c r="G7206" t="s">
        <v>196</v>
      </c>
      <c r="H7206" t="s">
        <v>204</v>
      </c>
      <c r="I7206" s="173" t="s">
        <v>1056</v>
      </c>
      <c r="J7206" s="23"/>
      <c r="K7206" s="23"/>
      <c r="L7206" s="23"/>
      <c r="M7206" s="254"/>
    </row>
    <row r="7207" spans="1:13" hidden="1" x14ac:dyDescent="0.3">
      <c r="B7207" t="s">
        <v>348</v>
      </c>
      <c r="C7207" s="25">
        <v>44763</v>
      </c>
      <c r="D7207" s="26">
        <v>2.3530092592592592E-2</v>
      </c>
      <c r="E7207" t="s">
        <v>30</v>
      </c>
      <c r="F7207" t="s">
        <v>197</v>
      </c>
      <c r="G7207" t="s">
        <v>44</v>
      </c>
      <c r="H7207" t="s">
        <v>204</v>
      </c>
      <c r="I7207" s="160">
        <v>99.36</v>
      </c>
      <c r="J7207" s="8"/>
      <c r="K7207" s="8"/>
      <c r="L7207" s="8"/>
      <c r="M7207" s="254"/>
    </row>
    <row r="7208" spans="1:13" hidden="1" x14ac:dyDescent="0.3">
      <c r="B7208" t="s">
        <v>348</v>
      </c>
      <c r="C7208" s="25">
        <v>44763</v>
      </c>
      <c r="D7208" s="26">
        <v>0.43012731481481481</v>
      </c>
      <c r="E7208" t="s">
        <v>30</v>
      </c>
      <c r="F7208" t="s">
        <v>311</v>
      </c>
      <c r="G7208" t="s">
        <v>303</v>
      </c>
      <c r="H7208" t="s">
        <v>204</v>
      </c>
      <c r="I7208" s="160">
        <v>150</v>
      </c>
      <c r="J7208" s="8"/>
      <c r="K7208" s="8"/>
      <c r="L7208" s="8"/>
      <c r="M7208" s="254"/>
    </row>
    <row r="7209" spans="1:13" hidden="1" x14ac:dyDescent="0.3">
      <c r="A7209" s="9">
        <v>6569</v>
      </c>
      <c r="B7209" t="s">
        <v>636</v>
      </c>
      <c r="C7209" s="25">
        <v>44738</v>
      </c>
      <c r="D7209" s="26">
        <v>0.68033564814814806</v>
      </c>
      <c r="E7209" t="s">
        <v>29</v>
      </c>
      <c r="F7209" t="s">
        <v>632</v>
      </c>
      <c r="G7209" t="s">
        <v>161</v>
      </c>
      <c r="H7209" t="s">
        <v>133</v>
      </c>
      <c r="I7209" s="148">
        <v>389.97</v>
      </c>
      <c r="J7209" s="152">
        <f>390+117+186+181+306</f>
        <v>1180</v>
      </c>
      <c r="K7209" s="241">
        <v>511</v>
      </c>
      <c r="L7209" s="216">
        <v>2833</v>
      </c>
      <c r="M7209" s="227">
        <f>+J7209/L7209*100</f>
        <v>41.651959054006355</v>
      </c>
    </row>
    <row r="7210" spans="1:13" hidden="1" x14ac:dyDescent="0.3">
      <c r="A7210" s="9">
        <v>4978</v>
      </c>
      <c r="B7210" t="s">
        <v>636</v>
      </c>
      <c r="C7210" s="25">
        <v>44707</v>
      </c>
      <c r="D7210" s="26">
        <v>0.87040509259259258</v>
      </c>
      <c r="E7210" t="s">
        <v>28</v>
      </c>
      <c r="F7210" t="s">
        <v>634</v>
      </c>
      <c r="G7210" t="s">
        <v>211</v>
      </c>
      <c r="H7210" t="s">
        <v>193</v>
      </c>
      <c r="I7210">
        <v>473.35</v>
      </c>
      <c r="J7210" s="7">
        <v>0</v>
      </c>
      <c r="K7210" s="90">
        <f>+L7210-J7337</f>
        <v>1092</v>
      </c>
      <c r="L7210" s="7">
        <v>1092</v>
      </c>
      <c r="M7210" s="10">
        <f t="shared" ref="M7210:M7243" si="444">I7210/K7210*100</f>
        <v>43.347069597069599</v>
      </c>
    </row>
    <row r="7211" spans="1:13" hidden="1" x14ac:dyDescent="0.3">
      <c r="A7211" s="9">
        <v>5080</v>
      </c>
      <c r="B7211" t="s">
        <v>636</v>
      </c>
      <c r="C7211" s="25">
        <v>44709</v>
      </c>
      <c r="D7211" s="26">
        <v>0.86722222222222223</v>
      </c>
      <c r="E7211" t="s">
        <v>28</v>
      </c>
      <c r="F7211" t="s">
        <v>634</v>
      </c>
      <c r="G7211" t="s">
        <v>211</v>
      </c>
      <c r="H7211" t="s">
        <v>193</v>
      </c>
      <c r="I7211">
        <v>375.07</v>
      </c>
      <c r="J7211" s="7">
        <v>0</v>
      </c>
      <c r="K7211" s="90">
        <f>+L7211-J7338</f>
        <v>958</v>
      </c>
      <c r="L7211" s="7">
        <v>958</v>
      </c>
      <c r="M7211" s="10">
        <f t="shared" si="444"/>
        <v>39.151356993736954</v>
      </c>
    </row>
    <row r="7212" spans="1:13" hidden="1" x14ac:dyDescent="0.3">
      <c r="A7212" s="9">
        <v>5133</v>
      </c>
      <c r="B7212" t="s">
        <v>636</v>
      </c>
      <c r="C7212" s="25">
        <v>44710</v>
      </c>
      <c r="D7212" s="26">
        <v>0.76317129629629632</v>
      </c>
      <c r="E7212" t="s">
        <v>28</v>
      </c>
      <c r="F7212" t="s">
        <v>637</v>
      </c>
      <c r="G7212" t="s">
        <v>196</v>
      </c>
      <c r="H7212" t="s">
        <v>193</v>
      </c>
      <c r="I7212">
        <v>100.01</v>
      </c>
      <c r="J7212" s="7">
        <v>0</v>
      </c>
      <c r="K7212" s="90">
        <f>+L7212-J7339</f>
        <v>484</v>
      </c>
      <c r="L7212" s="7">
        <v>484</v>
      </c>
      <c r="M7212" s="10">
        <f t="shared" si="444"/>
        <v>20.663223140495866</v>
      </c>
    </row>
    <row r="7213" spans="1:13" hidden="1" x14ac:dyDescent="0.3">
      <c r="A7213" s="9">
        <v>5187</v>
      </c>
      <c r="B7213" t="s">
        <v>636</v>
      </c>
      <c r="C7213" s="25">
        <v>44711</v>
      </c>
      <c r="D7213" s="26">
        <v>0.844212962962963</v>
      </c>
      <c r="E7213" t="s">
        <v>28</v>
      </c>
      <c r="F7213" t="s">
        <v>638</v>
      </c>
      <c r="G7213" t="s">
        <v>263</v>
      </c>
      <c r="H7213" t="s">
        <v>193</v>
      </c>
      <c r="I7213">
        <v>200</v>
      </c>
      <c r="J7213" s="32">
        <v>0</v>
      </c>
      <c r="K7213" s="90">
        <f>+L7213-J7339</f>
        <v>405</v>
      </c>
      <c r="L7213" s="7">
        <v>405</v>
      </c>
      <c r="M7213" s="10">
        <f t="shared" si="444"/>
        <v>49.382716049382715</v>
      </c>
    </row>
    <row r="7214" spans="1:13" hidden="1" x14ac:dyDescent="0.3">
      <c r="A7214" s="9">
        <v>5261</v>
      </c>
      <c r="B7214" t="s">
        <v>636</v>
      </c>
      <c r="C7214" s="25">
        <v>44712</v>
      </c>
      <c r="D7214" s="26">
        <v>0.50339120370370372</v>
      </c>
      <c r="E7214" t="s">
        <v>28</v>
      </c>
      <c r="F7214" t="s">
        <v>651</v>
      </c>
      <c r="G7214" t="s">
        <v>172</v>
      </c>
      <c r="H7214" t="s">
        <v>133</v>
      </c>
      <c r="I7214">
        <v>360.13</v>
      </c>
      <c r="J7214" s="37">
        <v>0</v>
      </c>
      <c r="K7214" s="97">
        <f>+L7214-J7477</f>
        <v>-646753</v>
      </c>
      <c r="L7214" s="34">
        <v>892</v>
      </c>
      <c r="M7214" s="10">
        <f t="shared" si="444"/>
        <v>-5.568277224844724E-2</v>
      </c>
    </row>
    <row r="7215" spans="1:13" hidden="1" x14ac:dyDescent="0.3">
      <c r="A7215" s="9">
        <v>5312</v>
      </c>
      <c r="B7215" t="s">
        <v>636</v>
      </c>
      <c r="C7215" s="25">
        <v>44713</v>
      </c>
      <c r="D7215" s="26">
        <v>0.49074074074074076</v>
      </c>
      <c r="E7215" t="s">
        <v>29</v>
      </c>
      <c r="F7215" t="s">
        <v>632</v>
      </c>
      <c r="G7215" t="s">
        <v>161</v>
      </c>
      <c r="H7215" t="s">
        <v>133</v>
      </c>
      <c r="I7215">
        <v>352.04</v>
      </c>
      <c r="J7215" s="37">
        <v>0</v>
      </c>
      <c r="K7215" s="97">
        <f>+L7215-J7384</f>
        <v>-554714</v>
      </c>
      <c r="L7215" s="34">
        <v>745</v>
      </c>
      <c r="M7215" s="10">
        <f t="shared" si="444"/>
        <v>-6.3463334258735141E-2</v>
      </c>
    </row>
    <row r="7216" spans="1:13" hidden="1" x14ac:dyDescent="0.3">
      <c r="A7216" s="9">
        <v>5381</v>
      </c>
      <c r="B7216" t="s">
        <v>636</v>
      </c>
      <c r="C7216" s="25">
        <v>44714</v>
      </c>
      <c r="D7216" s="26">
        <v>0.83240740740740737</v>
      </c>
      <c r="E7216" t="s">
        <v>29</v>
      </c>
      <c r="F7216" t="s">
        <v>634</v>
      </c>
      <c r="G7216" t="s">
        <v>211</v>
      </c>
      <c r="H7216" t="s">
        <v>133</v>
      </c>
      <c r="I7216">
        <v>164.11</v>
      </c>
      <c r="J7216" s="32">
        <v>0</v>
      </c>
      <c r="K7216" s="95">
        <f>+L7216-J7427</f>
        <v>514</v>
      </c>
      <c r="L7216" s="7">
        <v>514</v>
      </c>
      <c r="M7216" s="36">
        <f t="shared" si="444"/>
        <v>31.92801556420234</v>
      </c>
    </row>
    <row r="7217" spans="1:19" hidden="1" x14ac:dyDescent="0.3">
      <c r="A7217" s="9">
        <v>5434</v>
      </c>
      <c r="B7217" t="s">
        <v>636</v>
      </c>
      <c r="C7217" s="25">
        <v>44715</v>
      </c>
      <c r="D7217" s="26">
        <v>0.69542824074074072</v>
      </c>
      <c r="E7217" t="s">
        <v>29</v>
      </c>
      <c r="F7217" t="s">
        <v>637</v>
      </c>
      <c r="G7217" t="s">
        <v>196</v>
      </c>
      <c r="H7217" t="s">
        <v>133</v>
      </c>
      <c r="I7217">
        <v>171.02</v>
      </c>
      <c r="J7217" s="33">
        <v>0</v>
      </c>
      <c r="K7217" s="104">
        <f>+L7217-J7381</f>
        <v>-551404</v>
      </c>
      <c r="L7217" s="31">
        <v>456</v>
      </c>
      <c r="M7217" s="121">
        <f t="shared" si="444"/>
        <v>-3.1015371669411179E-2</v>
      </c>
    </row>
    <row r="7218" spans="1:19" hidden="1" x14ac:dyDescent="0.3">
      <c r="A7218" s="9">
        <v>5630</v>
      </c>
      <c r="B7218" t="s">
        <v>636</v>
      </c>
      <c r="C7218" s="25">
        <v>44719</v>
      </c>
      <c r="D7218" s="26">
        <v>0.1353125</v>
      </c>
      <c r="E7218" t="s">
        <v>29</v>
      </c>
      <c r="F7218" t="s">
        <v>639</v>
      </c>
      <c r="G7218" t="s">
        <v>44</v>
      </c>
      <c r="H7218" t="s">
        <v>133</v>
      </c>
      <c r="I7218">
        <v>115.68</v>
      </c>
      <c r="J7218" s="33">
        <v>0</v>
      </c>
      <c r="K7218" s="99">
        <f t="shared" ref="K7218:K7223" si="445">+L7218-J6786</f>
        <v>-779345</v>
      </c>
      <c r="L7218" s="31">
        <v>700</v>
      </c>
      <c r="M7218" s="139">
        <f t="shared" si="444"/>
        <v>-1.484323374115443E-2</v>
      </c>
    </row>
    <row r="7219" spans="1:19" hidden="1" x14ac:dyDescent="0.3">
      <c r="A7219" s="9">
        <v>5631</v>
      </c>
      <c r="B7219" t="s">
        <v>636</v>
      </c>
      <c r="C7219" s="25">
        <v>44719</v>
      </c>
      <c r="D7219" s="26">
        <v>0.73283564814814817</v>
      </c>
      <c r="E7219" t="s">
        <v>29</v>
      </c>
      <c r="F7219" t="s">
        <v>632</v>
      </c>
      <c r="G7219" t="s">
        <v>161</v>
      </c>
      <c r="H7219" t="s">
        <v>133</v>
      </c>
      <c r="I7219">
        <v>224.01</v>
      </c>
      <c r="J7219" s="32">
        <v>0</v>
      </c>
      <c r="K7219" s="90">
        <f t="shared" si="445"/>
        <v>-780051</v>
      </c>
      <c r="L7219" s="7">
        <v>510</v>
      </c>
      <c r="M7219" s="139">
        <f t="shared" si="444"/>
        <v>-2.8717353096143716E-2</v>
      </c>
    </row>
    <row r="7220" spans="1:19" hidden="1" x14ac:dyDescent="0.3">
      <c r="A7220" s="9">
        <v>5693</v>
      </c>
      <c r="B7220" t="s">
        <v>636</v>
      </c>
      <c r="C7220" s="25">
        <v>44720</v>
      </c>
      <c r="D7220" s="26">
        <v>0.38670138888888889</v>
      </c>
      <c r="E7220" t="s">
        <v>29</v>
      </c>
      <c r="F7220" t="s">
        <v>635</v>
      </c>
      <c r="G7220" t="s">
        <v>185</v>
      </c>
      <c r="H7220" t="s">
        <v>133</v>
      </c>
      <c r="I7220">
        <v>301.38</v>
      </c>
      <c r="J7220" s="32">
        <v>0</v>
      </c>
      <c r="K7220" s="97">
        <f t="shared" si="445"/>
        <v>-780538</v>
      </c>
      <c r="L7220" s="40">
        <v>630</v>
      </c>
      <c r="M7220" s="91">
        <f t="shared" si="444"/>
        <v>-3.8611829276729639E-2</v>
      </c>
    </row>
    <row r="7221" spans="1:19" hidden="1" x14ac:dyDescent="0.3">
      <c r="A7221" s="9">
        <v>5783</v>
      </c>
      <c r="B7221" t="s">
        <v>636</v>
      </c>
      <c r="C7221" s="25">
        <v>44722</v>
      </c>
      <c r="D7221" s="26">
        <v>0.82732638888888888</v>
      </c>
      <c r="E7221" t="s">
        <v>29</v>
      </c>
      <c r="F7221" t="s">
        <v>635</v>
      </c>
      <c r="G7221" t="s">
        <v>185</v>
      </c>
      <c r="H7221" t="s">
        <v>133</v>
      </c>
      <c r="I7221">
        <v>387.38</v>
      </c>
      <c r="J7221" s="32">
        <v>0</v>
      </c>
      <c r="K7221" s="90">
        <f t="shared" si="445"/>
        <v>-781330</v>
      </c>
      <c r="L7221" s="7">
        <v>787</v>
      </c>
      <c r="M7221" s="91">
        <f t="shared" si="444"/>
        <v>-4.95795630527434E-2</v>
      </c>
    </row>
    <row r="7222" spans="1:19" hidden="1" x14ac:dyDescent="0.3">
      <c r="A7222" s="9">
        <v>5849</v>
      </c>
      <c r="B7222" t="s">
        <v>636</v>
      </c>
      <c r="C7222" s="25">
        <v>44723</v>
      </c>
      <c r="D7222" s="26">
        <v>0.83344907407407398</v>
      </c>
      <c r="E7222" t="s">
        <v>29</v>
      </c>
      <c r="F7222" t="s">
        <v>635</v>
      </c>
      <c r="G7222" t="s">
        <v>185</v>
      </c>
      <c r="H7222" t="s">
        <v>133</v>
      </c>
      <c r="I7222">
        <v>187.57</v>
      </c>
      <c r="J7222" s="37">
        <v>0</v>
      </c>
      <c r="K7222" s="102">
        <f t="shared" si="445"/>
        <v>-782513</v>
      </c>
      <c r="L7222" s="34">
        <v>438</v>
      </c>
      <c r="M7222" s="118">
        <f t="shared" si="444"/>
        <v>-2.3970208801642912E-2</v>
      </c>
    </row>
    <row r="7223" spans="1:19" hidden="1" x14ac:dyDescent="0.3">
      <c r="A7223" s="9">
        <v>5899</v>
      </c>
      <c r="B7223" t="s">
        <v>636</v>
      </c>
      <c r="C7223" s="25">
        <v>44724</v>
      </c>
      <c r="D7223" s="26">
        <v>0.63782407407407404</v>
      </c>
      <c r="E7223" t="s">
        <v>29</v>
      </c>
      <c r="F7223" t="s">
        <v>642</v>
      </c>
      <c r="G7223" t="s">
        <v>203</v>
      </c>
      <c r="H7223" t="s">
        <v>133</v>
      </c>
      <c r="I7223">
        <v>189.96</v>
      </c>
      <c r="J7223" s="32">
        <v>0</v>
      </c>
      <c r="K7223" s="95">
        <f t="shared" si="445"/>
        <v>-782963</v>
      </c>
      <c r="L7223" s="7">
        <v>541</v>
      </c>
      <c r="M7223" s="36">
        <f t="shared" si="444"/>
        <v>-2.4261682863685768E-2</v>
      </c>
    </row>
    <row r="7224" spans="1:19" hidden="1" x14ac:dyDescent="0.3">
      <c r="A7224" s="9">
        <v>5958</v>
      </c>
      <c r="B7224" t="s">
        <v>636</v>
      </c>
      <c r="C7224" s="25">
        <v>44725</v>
      </c>
      <c r="D7224" s="26">
        <v>0.61465277777777783</v>
      </c>
      <c r="E7224" t="s">
        <v>29</v>
      </c>
      <c r="F7224" t="s">
        <v>642</v>
      </c>
      <c r="G7224" t="s">
        <v>203</v>
      </c>
      <c r="H7224" t="s">
        <v>133</v>
      </c>
      <c r="I7224">
        <v>184.89</v>
      </c>
      <c r="J7224" s="32">
        <v>0</v>
      </c>
      <c r="K7224" s="97">
        <f>+L7224-J6796</f>
        <v>509</v>
      </c>
      <c r="L7224" s="34">
        <v>509</v>
      </c>
      <c r="M7224" s="36">
        <f t="shared" si="444"/>
        <v>36.324165029469548</v>
      </c>
      <c r="N7224" s="2"/>
      <c r="O7224" s="2"/>
      <c r="P7224" s="2"/>
      <c r="Q7224" s="2"/>
      <c r="R7224" s="2"/>
      <c r="S7224" s="2"/>
    </row>
    <row r="7225" spans="1:19" hidden="1" x14ac:dyDescent="0.3">
      <c r="A7225" s="9">
        <v>6014</v>
      </c>
      <c r="B7225" t="s">
        <v>636</v>
      </c>
      <c r="C7225" s="25">
        <v>44726</v>
      </c>
      <c r="D7225" s="26">
        <v>0.22089120370370371</v>
      </c>
      <c r="E7225" t="s">
        <v>29</v>
      </c>
      <c r="F7225" t="s">
        <v>635</v>
      </c>
      <c r="G7225" t="s">
        <v>185</v>
      </c>
      <c r="H7225" t="s">
        <v>133</v>
      </c>
      <c r="I7225">
        <v>225.05</v>
      </c>
      <c r="J7225" s="32">
        <v>0</v>
      </c>
      <c r="K7225" s="90">
        <v>567</v>
      </c>
      <c r="L7225" s="7">
        <v>567</v>
      </c>
      <c r="M7225" s="36">
        <f t="shared" si="444"/>
        <v>39.691358024691361</v>
      </c>
    </row>
    <row r="7226" spans="1:19" hidden="1" x14ac:dyDescent="0.3">
      <c r="A7226" s="9">
        <v>6015</v>
      </c>
      <c r="B7226" t="s">
        <v>636</v>
      </c>
      <c r="C7226" s="25">
        <v>44726</v>
      </c>
      <c r="D7226" s="26">
        <v>0.69153935185185189</v>
      </c>
      <c r="E7226" t="s">
        <v>29</v>
      </c>
      <c r="F7226" t="s">
        <v>634</v>
      </c>
      <c r="G7226" t="s">
        <v>211</v>
      </c>
      <c r="H7226" t="s">
        <v>133</v>
      </c>
      <c r="I7226">
        <v>178.31</v>
      </c>
      <c r="J7226" s="32">
        <v>0</v>
      </c>
      <c r="K7226" s="90">
        <v>514</v>
      </c>
      <c r="L7226" s="7">
        <v>514</v>
      </c>
      <c r="M7226" s="36">
        <f t="shared" si="444"/>
        <v>34.690661478599225</v>
      </c>
    </row>
    <row r="7227" spans="1:19" hidden="1" x14ac:dyDescent="0.3">
      <c r="A7227" s="9">
        <v>6127</v>
      </c>
      <c r="B7227" t="s">
        <v>636</v>
      </c>
      <c r="C7227" s="25">
        <v>44728</v>
      </c>
      <c r="D7227" s="26">
        <v>0.42659722222222224</v>
      </c>
      <c r="E7227" t="s">
        <v>29</v>
      </c>
      <c r="F7227" t="s">
        <v>654</v>
      </c>
      <c r="G7227" t="s">
        <v>303</v>
      </c>
      <c r="H7227" t="s">
        <v>133</v>
      </c>
      <c r="I7227">
        <v>250</v>
      </c>
      <c r="J7227" s="32">
        <v>0</v>
      </c>
      <c r="K7227" s="90">
        <v>480</v>
      </c>
      <c r="L7227" s="7">
        <v>480</v>
      </c>
      <c r="M7227" s="36">
        <f t="shared" si="444"/>
        <v>52.083333333333336</v>
      </c>
    </row>
    <row r="7228" spans="1:19" hidden="1" x14ac:dyDescent="0.3">
      <c r="A7228" s="9">
        <v>6128</v>
      </c>
      <c r="B7228" t="s">
        <v>636</v>
      </c>
      <c r="C7228" s="25">
        <v>44728</v>
      </c>
      <c r="D7228" s="26">
        <v>0.8852430555555556</v>
      </c>
      <c r="E7228" t="s">
        <v>29</v>
      </c>
      <c r="F7228" t="s">
        <v>637</v>
      </c>
      <c r="G7228" t="s">
        <v>196</v>
      </c>
      <c r="H7228" t="s">
        <v>133</v>
      </c>
      <c r="I7228">
        <v>187.44</v>
      </c>
      <c r="J7228" s="32">
        <v>0</v>
      </c>
      <c r="K7228" s="90">
        <v>32</v>
      </c>
      <c r="L7228" s="7">
        <v>32</v>
      </c>
      <c r="M7228" s="36">
        <f t="shared" si="444"/>
        <v>585.75</v>
      </c>
    </row>
    <row r="7229" spans="1:19" hidden="1" x14ac:dyDescent="0.3">
      <c r="A7229" s="9">
        <v>6179</v>
      </c>
      <c r="B7229" t="s">
        <v>636</v>
      </c>
      <c r="C7229" s="25">
        <v>44729</v>
      </c>
      <c r="D7229" s="26">
        <v>0.54918981481481477</v>
      </c>
      <c r="E7229" t="s">
        <v>29</v>
      </c>
      <c r="F7229" t="s">
        <v>651</v>
      </c>
      <c r="G7229" t="s">
        <v>172</v>
      </c>
      <c r="H7229" t="s">
        <v>133</v>
      </c>
      <c r="I7229">
        <v>190.92</v>
      </c>
      <c r="J7229" s="32">
        <v>0</v>
      </c>
      <c r="K7229" s="90">
        <v>463</v>
      </c>
      <c r="L7229" s="7">
        <v>463</v>
      </c>
      <c r="M7229" s="36">
        <f t="shared" si="444"/>
        <v>41.235421166306693</v>
      </c>
    </row>
    <row r="7230" spans="1:19" hidden="1" x14ac:dyDescent="0.3">
      <c r="A7230" s="9">
        <v>6180</v>
      </c>
      <c r="B7230" t="s">
        <v>636</v>
      </c>
      <c r="C7230" s="25">
        <v>44729</v>
      </c>
      <c r="D7230" s="26">
        <v>0.93768518518518518</v>
      </c>
      <c r="E7230" t="s">
        <v>29</v>
      </c>
      <c r="F7230" t="s">
        <v>639</v>
      </c>
      <c r="G7230" t="s">
        <v>44</v>
      </c>
      <c r="H7230" t="s">
        <v>133</v>
      </c>
      <c r="I7230">
        <v>107.82</v>
      </c>
      <c r="J7230" s="32">
        <v>0</v>
      </c>
      <c r="K7230" s="90">
        <v>243</v>
      </c>
      <c r="L7230" s="7">
        <v>243</v>
      </c>
      <c r="M7230" s="36">
        <f t="shared" si="444"/>
        <v>44.370370370370367</v>
      </c>
    </row>
    <row r="7231" spans="1:19" hidden="1" x14ac:dyDescent="0.3">
      <c r="A7231" s="9">
        <v>6227</v>
      </c>
      <c r="B7231" t="s">
        <v>636</v>
      </c>
      <c r="C7231" s="25">
        <v>44730</v>
      </c>
      <c r="D7231" s="26">
        <v>0.66841435185185183</v>
      </c>
      <c r="E7231" t="s">
        <v>29</v>
      </c>
      <c r="F7231" t="s">
        <v>632</v>
      </c>
      <c r="G7231" t="s">
        <v>161</v>
      </c>
      <c r="H7231" t="s">
        <v>133</v>
      </c>
      <c r="I7231" s="126">
        <v>232.96</v>
      </c>
      <c r="J7231" s="32">
        <v>0</v>
      </c>
      <c r="K7231" s="90">
        <v>506</v>
      </c>
      <c r="L7231" s="7">
        <v>506</v>
      </c>
      <c r="M7231" s="36">
        <f t="shared" si="444"/>
        <v>46.039525691699609</v>
      </c>
    </row>
    <row r="7232" spans="1:19" hidden="1" x14ac:dyDescent="0.3">
      <c r="A7232" s="9">
        <v>6250</v>
      </c>
      <c r="B7232" t="s">
        <v>636</v>
      </c>
      <c r="C7232" s="25">
        <v>44731</v>
      </c>
      <c r="D7232" s="26">
        <v>0.28577546296296297</v>
      </c>
      <c r="E7232" t="s">
        <v>29</v>
      </c>
      <c r="F7232" t="s">
        <v>640</v>
      </c>
      <c r="G7232" t="s">
        <v>185</v>
      </c>
      <c r="H7232" t="s">
        <v>133</v>
      </c>
      <c r="I7232" s="126">
        <v>297.01</v>
      </c>
      <c r="J7232" s="32">
        <v>0</v>
      </c>
      <c r="K7232" s="90">
        <v>632</v>
      </c>
      <c r="L7232" s="7">
        <v>632</v>
      </c>
      <c r="M7232" s="36">
        <f t="shared" si="444"/>
        <v>46.995253164556964</v>
      </c>
    </row>
    <row r="7233" spans="1:13" hidden="1" x14ac:dyDescent="0.3">
      <c r="A7233" s="9">
        <v>6251</v>
      </c>
      <c r="B7233" t="s">
        <v>636</v>
      </c>
      <c r="C7233" s="25">
        <v>44731</v>
      </c>
      <c r="D7233" s="26">
        <v>0.87621527777777775</v>
      </c>
      <c r="E7233" t="s">
        <v>29</v>
      </c>
      <c r="F7233" t="s">
        <v>634</v>
      </c>
      <c r="G7233" t="s">
        <v>211</v>
      </c>
      <c r="H7233" t="s">
        <v>133</v>
      </c>
      <c r="I7233" s="126">
        <v>141</v>
      </c>
      <c r="J7233" s="32">
        <v>0</v>
      </c>
      <c r="K7233" s="90">
        <v>512</v>
      </c>
      <c r="L7233" s="7">
        <v>512</v>
      </c>
      <c r="M7233" s="36">
        <f t="shared" si="444"/>
        <v>27.5390625</v>
      </c>
    </row>
    <row r="7234" spans="1:13" hidden="1" x14ac:dyDescent="0.3">
      <c r="A7234" s="9">
        <v>6280</v>
      </c>
      <c r="B7234" t="s">
        <v>636</v>
      </c>
      <c r="C7234" s="25">
        <v>44732</v>
      </c>
      <c r="D7234" s="26">
        <v>0.5600694444444444</v>
      </c>
      <c r="E7234" t="s">
        <v>29</v>
      </c>
      <c r="F7234" t="s">
        <v>637</v>
      </c>
      <c r="G7234" t="s">
        <v>196</v>
      </c>
      <c r="H7234" t="s">
        <v>133</v>
      </c>
      <c r="I7234" s="126">
        <v>150</v>
      </c>
      <c r="J7234" s="32">
        <v>0</v>
      </c>
      <c r="K7234" s="90">
        <v>467</v>
      </c>
      <c r="L7234" s="7">
        <v>467</v>
      </c>
      <c r="M7234" s="91">
        <f t="shared" si="444"/>
        <v>32.119914346895072</v>
      </c>
    </row>
    <row r="7235" spans="1:13" hidden="1" x14ac:dyDescent="0.3">
      <c r="A7235" s="9">
        <v>6312</v>
      </c>
      <c r="B7235" t="s">
        <v>636</v>
      </c>
      <c r="C7235" s="25">
        <v>44733</v>
      </c>
      <c r="D7235" s="26">
        <v>0.69339120370370377</v>
      </c>
      <c r="E7235" t="s">
        <v>29</v>
      </c>
      <c r="F7235" t="s">
        <v>652</v>
      </c>
      <c r="G7235" t="s">
        <v>535</v>
      </c>
      <c r="H7235" t="s">
        <v>133</v>
      </c>
      <c r="I7235" s="126">
        <v>183.41</v>
      </c>
      <c r="J7235" s="32">
        <v>0</v>
      </c>
      <c r="K7235" s="90">
        <v>433</v>
      </c>
      <c r="L7235" s="123">
        <v>433</v>
      </c>
      <c r="M7235" s="91">
        <f t="shared" si="444"/>
        <v>42.35796766743649</v>
      </c>
    </row>
    <row r="7236" spans="1:13" hidden="1" x14ac:dyDescent="0.3">
      <c r="A7236" s="9">
        <v>6360</v>
      </c>
      <c r="B7236" t="s">
        <v>636</v>
      </c>
      <c r="C7236" s="25">
        <v>44734</v>
      </c>
      <c r="D7236" s="26">
        <v>0.95130787037037035</v>
      </c>
      <c r="E7236" t="s">
        <v>29</v>
      </c>
      <c r="F7236" t="s">
        <v>632</v>
      </c>
      <c r="G7236" t="s">
        <v>161</v>
      </c>
      <c r="H7236" t="s">
        <v>133</v>
      </c>
      <c r="I7236">
        <v>355.1</v>
      </c>
      <c r="J7236" s="37">
        <v>0</v>
      </c>
      <c r="K7236" s="90">
        <v>799</v>
      </c>
      <c r="L7236" s="123">
        <v>799</v>
      </c>
      <c r="M7236" s="91">
        <f t="shared" si="444"/>
        <v>44.443053817271597</v>
      </c>
    </row>
    <row r="7237" spans="1:13" hidden="1" x14ac:dyDescent="0.3">
      <c r="A7237" s="9">
        <v>6407</v>
      </c>
      <c r="B7237" t="s">
        <v>636</v>
      </c>
      <c r="C7237" s="25">
        <v>44735</v>
      </c>
      <c r="D7237" s="26">
        <v>0.81913194444444448</v>
      </c>
      <c r="E7237" t="s">
        <v>29</v>
      </c>
      <c r="F7237" t="s">
        <v>635</v>
      </c>
      <c r="G7237" t="s">
        <v>185</v>
      </c>
      <c r="H7237" t="s">
        <v>133</v>
      </c>
      <c r="I7237" s="148">
        <v>306.52999999999997</v>
      </c>
      <c r="J7237" s="32">
        <v>0</v>
      </c>
      <c r="K7237" s="90">
        <v>630</v>
      </c>
      <c r="L7237" s="123">
        <v>630</v>
      </c>
      <c r="M7237" s="91">
        <f t="shared" si="444"/>
        <v>48.655555555555551</v>
      </c>
    </row>
    <row r="7238" spans="1:13" hidden="1" x14ac:dyDescent="0.3">
      <c r="A7238" s="9">
        <v>6465</v>
      </c>
      <c r="B7238" t="s">
        <v>636</v>
      </c>
      <c r="C7238" s="25">
        <v>44736</v>
      </c>
      <c r="D7238" s="26">
        <v>0.50778935185185181</v>
      </c>
      <c r="E7238" t="s">
        <v>29</v>
      </c>
      <c r="F7238" t="s">
        <v>634</v>
      </c>
      <c r="G7238" t="s">
        <v>211</v>
      </c>
      <c r="H7238" t="s">
        <v>133</v>
      </c>
      <c r="I7238" s="148">
        <v>181.24</v>
      </c>
      <c r="J7238" s="32">
        <v>0</v>
      </c>
      <c r="K7238" s="141">
        <v>514</v>
      </c>
      <c r="L7238" s="123">
        <v>514</v>
      </c>
      <c r="M7238" s="91">
        <f t="shared" si="444"/>
        <v>35.260700389105061</v>
      </c>
    </row>
    <row r="7239" spans="1:13" hidden="1" x14ac:dyDescent="0.3">
      <c r="A7239" s="9">
        <v>6516</v>
      </c>
      <c r="B7239" t="s">
        <v>636</v>
      </c>
      <c r="C7239" s="25">
        <v>44737</v>
      </c>
      <c r="D7239" s="26">
        <v>0.35185185185185186</v>
      </c>
      <c r="E7239" t="s">
        <v>29</v>
      </c>
      <c r="F7239" t="s">
        <v>637</v>
      </c>
      <c r="G7239" t="s">
        <v>196</v>
      </c>
      <c r="H7239" t="s">
        <v>133</v>
      </c>
      <c r="I7239" s="148">
        <v>186.52</v>
      </c>
      <c r="J7239" s="32">
        <v>0</v>
      </c>
      <c r="K7239" s="144">
        <v>495</v>
      </c>
      <c r="L7239" s="124">
        <v>495</v>
      </c>
      <c r="M7239" s="118">
        <f t="shared" si="444"/>
        <v>37.680808080808085</v>
      </c>
    </row>
    <row r="7240" spans="1:13" hidden="1" x14ac:dyDescent="0.3">
      <c r="A7240" s="9">
        <v>6568</v>
      </c>
      <c r="B7240" t="s">
        <v>636</v>
      </c>
      <c r="C7240" s="25">
        <v>44738</v>
      </c>
      <c r="D7240" s="26">
        <v>0.14875000000000002</v>
      </c>
      <c r="E7240" t="s">
        <v>29</v>
      </c>
      <c r="F7240" t="s">
        <v>639</v>
      </c>
      <c r="G7240" t="s">
        <v>44</v>
      </c>
      <c r="H7240" t="s">
        <v>133</v>
      </c>
      <c r="I7240" s="148">
        <v>117</v>
      </c>
      <c r="J7240" s="32">
        <v>0</v>
      </c>
      <c r="K7240" s="141">
        <v>681</v>
      </c>
      <c r="L7240" s="123">
        <v>681</v>
      </c>
      <c r="M7240" s="36">
        <f t="shared" si="444"/>
        <v>17.180616740088105</v>
      </c>
    </row>
    <row r="7241" spans="1:13" hidden="1" x14ac:dyDescent="0.3">
      <c r="A7241" s="9">
        <v>6622</v>
      </c>
      <c r="B7241" t="s">
        <v>636</v>
      </c>
      <c r="C7241" s="25">
        <v>44739</v>
      </c>
      <c r="D7241" s="26">
        <v>0.22835648148148147</v>
      </c>
      <c r="E7241" t="s">
        <v>29</v>
      </c>
      <c r="F7241" t="s">
        <v>635</v>
      </c>
      <c r="G7241" t="s">
        <v>185</v>
      </c>
      <c r="H7241" t="s">
        <v>133</v>
      </c>
      <c r="I7241" s="148">
        <v>298.31</v>
      </c>
      <c r="J7241" s="32">
        <v>0</v>
      </c>
      <c r="K7241" s="141">
        <v>630</v>
      </c>
      <c r="L7241" s="123">
        <v>630</v>
      </c>
      <c r="M7241" s="36">
        <f t="shared" si="444"/>
        <v>47.350793650793648</v>
      </c>
    </row>
    <row r="7242" spans="1:13" hidden="1" x14ac:dyDescent="0.3">
      <c r="A7242" s="9">
        <v>6687</v>
      </c>
      <c r="B7242" t="s">
        <v>636</v>
      </c>
      <c r="C7242" s="25">
        <v>44740</v>
      </c>
      <c r="D7242" s="26">
        <v>3.8321759259259257E-2</v>
      </c>
      <c r="E7242" t="s">
        <v>29</v>
      </c>
      <c r="F7242" t="s">
        <v>634</v>
      </c>
      <c r="G7242" t="s">
        <v>211</v>
      </c>
      <c r="H7242" t="s">
        <v>133</v>
      </c>
      <c r="I7242" s="148">
        <v>151.36000000000001</v>
      </c>
      <c r="J7242" s="32">
        <v>0</v>
      </c>
      <c r="K7242" s="90">
        <v>514</v>
      </c>
      <c r="L7242" s="7">
        <v>514</v>
      </c>
      <c r="M7242" s="36">
        <f t="shared" si="444"/>
        <v>29.447470817120625</v>
      </c>
    </row>
    <row r="7243" spans="1:13" hidden="1" x14ac:dyDescent="0.3">
      <c r="A7243" s="9">
        <v>6688</v>
      </c>
      <c r="B7243" t="s">
        <v>636</v>
      </c>
      <c r="C7243" s="25">
        <v>44740</v>
      </c>
      <c r="D7243" s="26">
        <v>0.79371527777777784</v>
      </c>
      <c r="E7243" t="s">
        <v>29</v>
      </c>
      <c r="F7243" t="s">
        <v>637</v>
      </c>
      <c r="G7243" t="s">
        <v>196</v>
      </c>
      <c r="H7243" t="s">
        <v>133</v>
      </c>
      <c r="I7243" s="148">
        <v>158.76</v>
      </c>
      <c r="J7243" s="32">
        <v>0</v>
      </c>
      <c r="K7243" s="90">
        <v>484</v>
      </c>
      <c r="L7243" s="7">
        <v>484</v>
      </c>
      <c r="M7243" s="36">
        <f t="shared" si="444"/>
        <v>32.801652892561982</v>
      </c>
    </row>
    <row r="7244" spans="1:13" hidden="1" x14ac:dyDescent="0.3">
      <c r="A7244" s="9">
        <v>6751</v>
      </c>
      <c r="B7244" t="s">
        <v>636</v>
      </c>
      <c r="C7244" s="25">
        <v>44742</v>
      </c>
      <c r="D7244" s="26">
        <v>0.39063657407407404</v>
      </c>
      <c r="E7244" t="s">
        <v>29</v>
      </c>
      <c r="F7244" t="s">
        <v>197</v>
      </c>
      <c r="G7244" t="s">
        <v>44</v>
      </c>
      <c r="H7244" t="s">
        <v>133</v>
      </c>
      <c r="I7244" s="148">
        <v>134.77000000000001</v>
      </c>
      <c r="J7244" s="44"/>
      <c r="K7244" s="8">
        <v>888999</v>
      </c>
      <c r="L7244" s="8">
        <f>+K7244-J7244</f>
        <v>888999</v>
      </c>
      <c r="M7244" s="36">
        <f>I7244/L7244*100</f>
        <v>1.5159747086329682E-2</v>
      </c>
    </row>
    <row r="7245" spans="1:13" hidden="1" x14ac:dyDescent="0.3">
      <c r="A7245" s="9">
        <v>6751</v>
      </c>
      <c r="B7245" t="s">
        <v>636</v>
      </c>
      <c r="C7245" s="25">
        <v>44742</v>
      </c>
      <c r="D7245" s="26">
        <v>0.71378472222222211</v>
      </c>
      <c r="E7245" t="s">
        <v>29</v>
      </c>
      <c r="F7245" t="s">
        <v>166</v>
      </c>
      <c r="G7245" t="s">
        <v>161</v>
      </c>
      <c r="H7245" t="s">
        <v>133</v>
      </c>
      <c r="I7245" s="148">
        <v>363.15</v>
      </c>
      <c r="J7245" s="54"/>
      <c r="K7245" s="54">
        <v>1234</v>
      </c>
      <c r="L7245" s="54">
        <f>+K7245-J7245</f>
        <v>1234</v>
      </c>
      <c r="M7245" s="121">
        <f>I7245/L7245*100</f>
        <v>29.428687196110211</v>
      </c>
    </row>
    <row r="7246" spans="1:13" hidden="1" x14ac:dyDescent="0.3">
      <c r="B7246" t="s">
        <v>348</v>
      </c>
      <c r="C7246" s="25">
        <v>44763</v>
      </c>
      <c r="D7246" s="26">
        <v>0.86212962962962969</v>
      </c>
      <c r="E7246" t="s">
        <v>30</v>
      </c>
      <c r="F7246" t="s">
        <v>210</v>
      </c>
      <c r="G7246" t="s">
        <v>211</v>
      </c>
      <c r="H7246" t="s">
        <v>204</v>
      </c>
      <c r="I7246" s="160">
        <v>419.74</v>
      </c>
      <c r="J7246" s="160">
        <f>420+150+99+250+379+155</f>
        <v>1453</v>
      </c>
      <c r="K7246" s="160">
        <v>9135</v>
      </c>
      <c r="L7246" s="160">
        <v>3032</v>
      </c>
      <c r="M7246" s="150">
        <f>+J7246/L7246*100</f>
        <v>47.922163588390504</v>
      </c>
    </row>
    <row r="7247" spans="1:13" hidden="1" x14ac:dyDescent="0.3">
      <c r="B7247" t="s">
        <v>348</v>
      </c>
      <c r="C7247" s="25">
        <v>44764</v>
      </c>
      <c r="D7247" s="26">
        <v>0.75687499999999996</v>
      </c>
      <c r="E7247" t="s">
        <v>30</v>
      </c>
      <c r="F7247" t="s">
        <v>278</v>
      </c>
      <c r="G7247" t="s">
        <v>279</v>
      </c>
      <c r="H7247" t="s">
        <v>204</v>
      </c>
      <c r="I7247" s="160">
        <v>183.88</v>
      </c>
      <c r="J7247" s="8"/>
      <c r="K7247" s="8"/>
      <c r="L7247" s="8"/>
      <c r="M7247" s="254"/>
    </row>
    <row r="7248" spans="1:13" hidden="1" x14ac:dyDescent="0.3">
      <c r="B7248" t="s">
        <v>348</v>
      </c>
      <c r="C7248" s="25">
        <v>44764</v>
      </c>
      <c r="D7248" s="26">
        <v>0.97729166666666656</v>
      </c>
      <c r="E7248" t="s">
        <v>30</v>
      </c>
      <c r="F7248" t="s">
        <v>210</v>
      </c>
      <c r="G7248" t="s">
        <v>211</v>
      </c>
      <c r="H7248" t="s">
        <v>204</v>
      </c>
      <c r="I7248" s="160">
        <v>268.37</v>
      </c>
      <c r="J7248" s="160">
        <f>269+184</f>
        <v>453</v>
      </c>
      <c r="K7248" s="160">
        <v>9135</v>
      </c>
      <c r="L7248" s="160">
        <v>1058</v>
      </c>
      <c r="M7248" s="150">
        <f>+J7248/L7248*100</f>
        <v>42.816635160680526</v>
      </c>
    </row>
    <row r="7249" spans="1:13" hidden="1" x14ac:dyDescent="0.3">
      <c r="A7249" s="9">
        <v>6654</v>
      </c>
      <c r="B7249" t="s">
        <v>221</v>
      </c>
      <c r="C7249" s="25">
        <v>44740</v>
      </c>
      <c r="D7249" s="26">
        <v>0.72221064814814817</v>
      </c>
      <c r="E7249" t="s">
        <v>29</v>
      </c>
      <c r="F7249" t="s">
        <v>634</v>
      </c>
      <c r="G7249" t="s">
        <v>211</v>
      </c>
      <c r="H7249" t="s">
        <v>222</v>
      </c>
      <c r="I7249" s="148">
        <v>375.47</v>
      </c>
      <c r="J7249" s="193">
        <f>376+496+200+258+460+273+478+135+348</f>
        <v>3024</v>
      </c>
      <c r="K7249" s="203">
        <v>992</v>
      </c>
      <c r="L7249" s="203">
        <v>7984</v>
      </c>
      <c r="M7249" s="252">
        <f>+J7249/L7249*100</f>
        <v>37.875751503006008</v>
      </c>
    </row>
    <row r="7250" spans="1:13" hidden="1" x14ac:dyDescent="0.3">
      <c r="B7250" t="s">
        <v>348</v>
      </c>
      <c r="C7250" s="25">
        <v>44765</v>
      </c>
      <c r="D7250" s="26">
        <v>0.66883101851851856</v>
      </c>
      <c r="E7250" t="s">
        <v>30</v>
      </c>
      <c r="F7250" t="s">
        <v>169</v>
      </c>
      <c r="G7250" t="s">
        <v>196</v>
      </c>
      <c r="H7250" t="s">
        <v>204</v>
      </c>
      <c r="I7250" s="160">
        <v>175.42</v>
      </c>
      <c r="J7250" s="8"/>
      <c r="K7250" s="8"/>
      <c r="L7250" s="8"/>
      <c r="M7250" s="254"/>
    </row>
    <row r="7251" spans="1:13" hidden="1" x14ac:dyDescent="0.3">
      <c r="B7251" t="s">
        <v>348</v>
      </c>
      <c r="C7251" s="25">
        <v>44767</v>
      </c>
      <c r="D7251" s="26">
        <v>0.7996064814814815</v>
      </c>
      <c r="E7251" t="s">
        <v>30</v>
      </c>
      <c r="F7251" t="s">
        <v>197</v>
      </c>
      <c r="G7251" t="s">
        <v>44</v>
      </c>
      <c r="H7251" t="s">
        <v>204</v>
      </c>
      <c r="I7251" s="160">
        <v>99.36</v>
      </c>
      <c r="J7251" s="8"/>
      <c r="K7251" s="8"/>
      <c r="L7251" s="8"/>
      <c r="M7251" s="254"/>
    </row>
    <row r="7252" spans="1:13" hidden="1" x14ac:dyDescent="0.3">
      <c r="B7252" t="s">
        <v>348</v>
      </c>
      <c r="C7252" s="25">
        <v>44768</v>
      </c>
      <c r="D7252" s="26">
        <v>0.28758101851851853</v>
      </c>
      <c r="E7252" t="s">
        <v>30</v>
      </c>
      <c r="F7252" t="s">
        <v>311</v>
      </c>
      <c r="G7252" t="s">
        <v>303</v>
      </c>
      <c r="H7252" t="s">
        <v>204</v>
      </c>
      <c r="I7252" s="160">
        <v>100</v>
      </c>
      <c r="J7252" s="8"/>
      <c r="K7252" s="8"/>
      <c r="L7252" s="8"/>
      <c r="M7252" s="254"/>
    </row>
    <row r="7253" spans="1:13" hidden="1" x14ac:dyDescent="0.3">
      <c r="B7253" t="s">
        <v>221</v>
      </c>
      <c r="C7253" s="25">
        <v>44563</v>
      </c>
      <c r="D7253" s="26">
        <v>0.55064814814814811</v>
      </c>
      <c r="E7253" t="s">
        <v>24</v>
      </c>
      <c r="F7253" t="s">
        <v>210</v>
      </c>
      <c r="G7253" t="s">
        <v>211</v>
      </c>
      <c r="H7253" t="s">
        <v>222</v>
      </c>
      <c r="I7253">
        <v>370.02</v>
      </c>
      <c r="J7253" s="34">
        <v>0</v>
      </c>
      <c r="K7253" s="34">
        <f t="shared" ref="K7253:K7284" si="446">+L7253-J7253</f>
        <v>895.67</v>
      </c>
      <c r="L7253" s="34">
        <v>895.67</v>
      </c>
      <c r="M7253" s="118">
        <f t="shared" ref="M7253:M7284" si="447">I7253/K7253*100</f>
        <v>41.312090390433973</v>
      </c>
    </row>
    <row r="7254" spans="1:13" hidden="1" x14ac:dyDescent="0.3">
      <c r="B7254" t="s">
        <v>221</v>
      </c>
      <c r="C7254" s="25">
        <v>44565</v>
      </c>
      <c r="D7254" s="26">
        <v>0.34459490740740745</v>
      </c>
      <c r="E7254" t="s">
        <v>24</v>
      </c>
      <c r="F7254" t="s">
        <v>210</v>
      </c>
      <c r="G7254" t="s">
        <v>211</v>
      </c>
      <c r="H7254" t="s">
        <v>222</v>
      </c>
      <c r="I7254">
        <v>393.31</v>
      </c>
      <c r="J7254" s="7">
        <v>0</v>
      </c>
      <c r="K7254" s="7">
        <f t="shared" si="446"/>
        <v>1063.3499999999999</v>
      </c>
      <c r="L7254" s="7">
        <v>1063.3499999999999</v>
      </c>
      <c r="M7254" s="36">
        <f t="shared" si="447"/>
        <v>36.987821507499888</v>
      </c>
    </row>
    <row r="7255" spans="1:13" hidden="1" x14ac:dyDescent="0.3">
      <c r="B7255" t="s">
        <v>221</v>
      </c>
      <c r="C7255" s="25">
        <v>44566</v>
      </c>
      <c r="D7255" s="26">
        <v>0.7047337962962964</v>
      </c>
      <c r="E7255" t="s">
        <v>24</v>
      </c>
      <c r="F7255" t="s">
        <v>205</v>
      </c>
      <c r="G7255" t="s">
        <v>206</v>
      </c>
      <c r="H7255" t="s">
        <v>222</v>
      </c>
      <c r="I7255">
        <v>374.64</v>
      </c>
      <c r="J7255" s="7">
        <v>0</v>
      </c>
      <c r="K7255" s="7">
        <f t="shared" si="446"/>
        <v>1320.73</v>
      </c>
      <c r="L7255" s="7">
        <v>1320.73</v>
      </c>
      <c r="M7255" s="36">
        <f t="shared" si="447"/>
        <v>28.366130851877369</v>
      </c>
    </row>
    <row r="7256" spans="1:13" hidden="1" x14ac:dyDescent="0.3">
      <c r="B7256" t="s">
        <v>221</v>
      </c>
      <c r="C7256" s="25">
        <v>44567</v>
      </c>
      <c r="D7256" s="26">
        <v>0.8653587962962962</v>
      </c>
      <c r="E7256" t="s">
        <v>24</v>
      </c>
      <c r="F7256" t="s">
        <v>210</v>
      </c>
      <c r="G7256" t="s">
        <v>211</v>
      </c>
      <c r="H7256" t="s">
        <v>222</v>
      </c>
      <c r="I7256">
        <v>302.95</v>
      </c>
      <c r="J7256" s="7">
        <v>0</v>
      </c>
      <c r="K7256" s="7">
        <f t="shared" si="446"/>
        <v>739.51</v>
      </c>
      <c r="L7256" s="11">
        <v>739.51</v>
      </c>
      <c r="M7256" s="36">
        <f t="shared" si="447"/>
        <v>40.966315533258509</v>
      </c>
    </row>
    <row r="7257" spans="1:13" hidden="1" x14ac:dyDescent="0.3">
      <c r="B7257" t="s">
        <v>221</v>
      </c>
      <c r="C7257" s="25">
        <v>44571</v>
      </c>
      <c r="D7257" s="26">
        <v>0.39380787037037041</v>
      </c>
      <c r="E7257" t="s">
        <v>24</v>
      </c>
      <c r="F7257" t="s">
        <v>340</v>
      </c>
      <c r="G7257" t="s">
        <v>337</v>
      </c>
      <c r="H7257" t="s">
        <v>222</v>
      </c>
      <c r="I7257">
        <v>481.65</v>
      </c>
      <c r="J7257" s="34">
        <v>0</v>
      </c>
      <c r="K7257" s="34">
        <f t="shared" si="446"/>
        <v>1430.32</v>
      </c>
      <c r="L7257" s="34">
        <v>1430.32</v>
      </c>
      <c r="M7257" s="36">
        <f t="shared" si="447"/>
        <v>33.674282678002129</v>
      </c>
    </row>
    <row r="7258" spans="1:13" hidden="1" x14ac:dyDescent="0.3">
      <c r="B7258" t="s">
        <v>221</v>
      </c>
      <c r="C7258" s="25">
        <v>44572</v>
      </c>
      <c r="D7258" s="26">
        <v>0.98240740740740751</v>
      </c>
      <c r="E7258" t="s">
        <v>24</v>
      </c>
      <c r="F7258" t="s">
        <v>210</v>
      </c>
      <c r="G7258" t="s">
        <v>211</v>
      </c>
      <c r="H7258" t="s">
        <v>222</v>
      </c>
      <c r="I7258">
        <v>478.44</v>
      </c>
      <c r="J7258" s="7">
        <v>0</v>
      </c>
      <c r="K7258" s="7">
        <f t="shared" si="446"/>
        <v>1416.95</v>
      </c>
      <c r="L7258" s="7">
        <v>1416.95</v>
      </c>
      <c r="M7258" s="36">
        <f t="shared" si="447"/>
        <v>33.765482197678111</v>
      </c>
    </row>
    <row r="7259" spans="1:13" hidden="1" x14ac:dyDescent="0.3">
      <c r="B7259" t="s">
        <v>221</v>
      </c>
      <c r="C7259" s="25">
        <v>44575</v>
      </c>
      <c r="D7259" s="26">
        <v>0.3699884259259259</v>
      </c>
      <c r="E7259" t="s">
        <v>24</v>
      </c>
      <c r="F7259" t="s">
        <v>175</v>
      </c>
      <c r="G7259" t="s">
        <v>172</v>
      </c>
      <c r="H7259" t="s">
        <v>222</v>
      </c>
      <c r="I7259">
        <v>477.32</v>
      </c>
      <c r="J7259" s="7">
        <v>0</v>
      </c>
      <c r="K7259" s="7">
        <f t="shared" si="446"/>
        <v>1343.53</v>
      </c>
      <c r="L7259" s="7">
        <v>1343.53</v>
      </c>
      <c r="M7259" s="91">
        <f t="shared" si="447"/>
        <v>35.527304935505718</v>
      </c>
    </row>
    <row r="7260" spans="1:13" hidden="1" x14ac:dyDescent="0.3">
      <c r="B7260" t="s">
        <v>221</v>
      </c>
      <c r="C7260" s="25">
        <v>44580</v>
      </c>
      <c r="D7260" s="26">
        <v>0.39612268518518517</v>
      </c>
      <c r="E7260" t="s">
        <v>24</v>
      </c>
      <c r="F7260" t="s">
        <v>210</v>
      </c>
      <c r="G7260" t="s">
        <v>211</v>
      </c>
      <c r="H7260" t="s">
        <v>222</v>
      </c>
      <c r="I7260">
        <v>337.02</v>
      </c>
      <c r="J7260" s="7">
        <v>0</v>
      </c>
      <c r="K7260" s="7">
        <f t="shared" si="446"/>
        <v>848.59</v>
      </c>
      <c r="L7260" s="7">
        <v>848.59</v>
      </c>
      <c r="M7260" s="91">
        <f t="shared" si="447"/>
        <v>39.715292426260028</v>
      </c>
    </row>
    <row r="7261" spans="1:13" hidden="1" x14ac:dyDescent="0.3">
      <c r="B7261" t="s">
        <v>221</v>
      </c>
      <c r="C7261" s="25">
        <v>44581</v>
      </c>
      <c r="D7261" s="26">
        <v>0.72028935185185183</v>
      </c>
      <c r="E7261" t="s">
        <v>24</v>
      </c>
      <c r="F7261" t="s">
        <v>210</v>
      </c>
      <c r="G7261" t="s">
        <v>211</v>
      </c>
      <c r="H7261" t="s">
        <v>222</v>
      </c>
      <c r="I7261">
        <v>380.28</v>
      </c>
      <c r="J7261" s="34">
        <v>0</v>
      </c>
      <c r="K7261" s="34">
        <f t="shared" si="446"/>
        <v>1062.54</v>
      </c>
      <c r="L7261" s="34">
        <v>1062.54</v>
      </c>
      <c r="M7261" s="118">
        <f t="shared" si="447"/>
        <v>35.78971144615732</v>
      </c>
    </row>
    <row r="7262" spans="1:13" hidden="1" x14ac:dyDescent="0.3">
      <c r="B7262" t="s">
        <v>221</v>
      </c>
      <c r="C7262" s="25">
        <v>44583</v>
      </c>
      <c r="D7262" s="26">
        <v>0.50673611111111116</v>
      </c>
      <c r="E7262" t="s">
        <v>24</v>
      </c>
      <c r="F7262" t="s">
        <v>175</v>
      </c>
      <c r="G7262" t="s">
        <v>172</v>
      </c>
      <c r="H7262" t="s">
        <v>222</v>
      </c>
      <c r="I7262">
        <v>351.71</v>
      </c>
      <c r="J7262" s="7">
        <v>0</v>
      </c>
      <c r="K7262" s="7">
        <f t="shared" si="446"/>
        <v>1012.75</v>
      </c>
      <c r="L7262" s="7">
        <v>1012.75</v>
      </c>
      <c r="M7262" s="36">
        <f t="shared" si="447"/>
        <v>34.728215255492465</v>
      </c>
    </row>
    <row r="7263" spans="1:13" hidden="1" x14ac:dyDescent="0.3">
      <c r="B7263" t="s">
        <v>221</v>
      </c>
      <c r="C7263" s="25">
        <v>44584</v>
      </c>
      <c r="D7263" s="26">
        <v>0.83075231481481471</v>
      </c>
      <c r="E7263" t="s">
        <v>24</v>
      </c>
      <c r="F7263" t="s">
        <v>210</v>
      </c>
      <c r="G7263" t="s">
        <v>211</v>
      </c>
      <c r="H7263" t="s">
        <v>222</v>
      </c>
      <c r="I7263">
        <v>330.76</v>
      </c>
      <c r="J7263" s="7">
        <v>0</v>
      </c>
      <c r="K7263" s="7">
        <f t="shared" si="446"/>
        <v>855.42</v>
      </c>
      <c r="L7263" s="7">
        <v>855.42</v>
      </c>
      <c r="M7263" s="91">
        <f t="shared" si="447"/>
        <v>38.666386102733163</v>
      </c>
    </row>
    <row r="7264" spans="1:13" hidden="1" x14ac:dyDescent="0.3">
      <c r="B7264" t="s">
        <v>221</v>
      </c>
      <c r="C7264" s="25">
        <v>44587</v>
      </c>
      <c r="D7264" s="26">
        <v>0.34687499999999999</v>
      </c>
      <c r="E7264" t="s">
        <v>24</v>
      </c>
      <c r="F7264" t="s">
        <v>210</v>
      </c>
      <c r="G7264" t="s">
        <v>211</v>
      </c>
      <c r="H7264" t="s">
        <v>222</v>
      </c>
      <c r="I7264">
        <v>462.59</v>
      </c>
      <c r="J7264" s="7">
        <v>0</v>
      </c>
      <c r="K7264" s="7">
        <f t="shared" si="446"/>
        <v>1109.6099999999999</v>
      </c>
      <c r="L7264" s="7">
        <v>1109.6099999999999</v>
      </c>
      <c r="M7264" s="91">
        <f t="shared" si="447"/>
        <v>41.689422409675473</v>
      </c>
    </row>
    <row r="7265" spans="1:13" hidden="1" x14ac:dyDescent="0.3">
      <c r="B7265" t="s">
        <v>221</v>
      </c>
      <c r="C7265" s="25">
        <v>44588</v>
      </c>
      <c r="D7265" s="26">
        <v>0.43157407407407405</v>
      </c>
      <c r="E7265" t="s">
        <v>24</v>
      </c>
      <c r="F7265" t="s">
        <v>175</v>
      </c>
      <c r="G7265" t="s">
        <v>172</v>
      </c>
      <c r="H7265" t="s">
        <v>222</v>
      </c>
      <c r="I7265">
        <v>340.37</v>
      </c>
      <c r="J7265" s="34">
        <v>0</v>
      </c>
      <c r="K7265" s="34">
        <f t="shared" si="446"/>
        <v>907.52</v>
      </c>
      <c r="L7265" s="40">
        <v>907.52</v>
      </c>
      <c r="M7265" s="91">
        <f t="shared" si="447"/>
        <v>37.505509520451341</v>
      </c>
    </row>
    <row r="7266" spans="1:13" hidden="1" x14ac:dyDescent="0.3">
      <c r="B7266" t="s">
        <v>221</v>
      </c>
      <c r="C7266" s="25">
        <v>44589</v>
      </c>
      <c r="D7266" s="26">
        <v>0.79390046296296291</v>
      </c>
      <c r="E7266" t="s">
        <v>24</v>
      </c>
      <c r="F7266" t="s">
        <v>210</v>
      </c>
      <c r="G7266" t="s">
        <v>211</v>
      </c>
      <c r="H7266" t="s">
        <v>222</v>
      </c>
      <c r="I7266">
        <v>331.38</v>
      </c>
      <c r="J7266" s="7">
        <v>0</v>
      </c>
      <c r="K7266" s="34">
        <f t="shared" si="446"/>
        <v>830.87</v>
      </c>
      <c r="L7266" s="40">
        <v>830.87</v>
      </c>
      <c r="M7266" s="91">
        <f t="shared" si="447"/>
        <v>39.883495613032125</v>
      </c>
    </row>
    <row r="7267" spans="1:13" hidden="1" x14ac:dyDescent="0.3">
      <c r="B7267" t="s">
        <v>221</v>
      </c>
      <c r="C7267" s="25">
        <v>44591</v>
      </c>
      <c r="D7267" s="26">
        <v>0.45406250000000004</v>
      </c>
      <c r="E7267" t="s">
        <v>24</v>
      </c>
      <c r="F7267" t="s">
        <v>210</v>
      </c>
      <c r="G7267" t="s">
        <v>211</v>
      </c>
      <c r="H7267" t="s">
        <v>222</v>
      </c>
      <c r="I7267">
        <v>365</v>
      </c>
      <c r="J7267" s="7">
        <v>0</v>
      </c>
      <c r="K7267" s="7">
        <f t="shared" si="446"/>
        <v>1062.29</v>
      </c>
      <c r="L7267" s="7">
        <v>1062.29</v>
      </c>
      <c r="M7267" s="134">
        <f t="shared" si="447"/>
        <v>34.359732276496999</v>
      </c>
    </row>
    <row r="7268" spans="1:13" hidden="1" x14ac:dyDescent="0.3">
      <c r="B7268" t="s">
        <v>221</v>
      </c>
      <c r="C7268" s="25">
        <v>44592</v>
      </c>
      <c r="D7268" s="26">
        <v>0.6821990740740741</v>
      </c>
      <c r="E7268" t="s">
        <v>24</v>
      </c>
      <c r="F7268" t="s">
        <v>175</v>
      </c>
      <c r="G7268" t="s">
        <v>172</v>
      </c>
      <c r="H7268" t="s">
        <v>222</v>
      </c>
      <c r="I7268">
        <v>318.49</v>
      </c>
      <c r="J7268" s="7">
        <v>0</v>
      </c>
      <c r="K7268" s="7">
        <f t="shared" si="446"/>
        <v>929.68</v>
      </c>
      <c r="L7268" s="7">
        <v>929.68</v>
      </c>
      <c r="M7268" s="134">
        <f t="shared" si="447"/>
        <v>34.258024266414253</v>
      </c>
    </row>
    <row r="7269" spans="1:13" hidden="1" x14ac:dyDescent="0.3">
      <c r="A7269" s="9">
        <v>577</v>
      </c>
      <c r="B7269" t="s">
        <v>221</v>
      </c>
      <c r="C7269" s="25">
        <v>44598</v>
      </c>
      <c r="D7269" s="26">
        <v>0.37456018518518519</v>
      </c>
      <c r="E7269" t="s">
        <v>25</v>
      </c>
      <c r="F7269" t="s">
        <v>210</v>
      </c>
      <c r="G7269" t="s">
        <v>211</v>
      </c>
      <c r="H7269" t="s">
        <v>222</v>
      </c>
      <c r="I7269">
        <v>523.16999999999996</v>
      </c>
      <c r="J7269" s="7">
        <v>0</v>
      </c>
      <c r="K7269" s="31">
        <f t="shared" si="446"/>
        <v>1736</v>
      </c>
      <c r="L7269" s="76">
        <v>1736</v>
      </c>
      <c r="M7269" s="91">
        <f t="shared" si="447"/>
        <v>30.136520737327189</v>
      </c>
    </row>
    <row r="7270" spans="1:13" hidden="1" x14ac:dyDescent="0.3">
      <c r="A7270" s="9">
        <v>578</v>
      </c>
      <c r="B7270" t="s">
        <v>221</v>
      </c>
      <c r="C7270" s="25">
        <v>44600</v>
      </c>
      <c r="D7270" s="26">
        <v>0.4417476851851852</v>
      </c>
      <c r="E7270" t="s">
        <v>25</v>
      </c>
      <c r="F7270" t="s">
        <v>340</v>
      </c>
      <c r="G7270" t="s">
        <v>337</v>
      </c>
      <c r="H7270" t="s">
        <v>222</v>
      </c>
      <c r="I7270">
        <v>492.39</v>
      </c>
      <c r="J7270" s="34">
        <v>0</v>
      </c>
      <c r="K7270" s="7">
        <f t="shared" si="446"/>
        <v>1379.43</v>
      </c>
      <c r="L7270" s="39">
        <v>1379.43</v>
      </c>
      <c r="M7270" s="91">
        <f t="shared" si="447"/>
        <v>35.695178443270045</v>
      </c>
    </row>
    <row r="7271" spans="1:13" hidden="1" x14ac:dyDescent="0.3">
      <c r="A7271" s="9">
        <v>579</v>
      </c>
      <c r="B7271" t="s">
        <v>221</v>
      </c>
      <c r="C7271" s="25">
        <v>44602</v>
      </c>
      <c r="D7271" s="26">
        <v>0.41364583333333332</v>
      </c>
      <c r="E7271" t="s">
        <v>25</v>
      </c>
      <c r="F7271" t="s">
        <v>210</v>
      </c>
      <c r="G7271" t="s">
        <v>211</v>
      </c>
      <c r="H7271" t="s">
        <v>222</v>
      </c>
      <c r="I7271">
        <v>455.08</v>
      </c>
      <c r="J7271" s="7">
        <v>0</v>
      </c>
      <c r="K7271" s="7">
        <f t="shared" si="446"/>
        <v>1316.81</v>
      </c>
      <c r="L7271" s="7">
        <v>1316.81</v>
      </c>
      <c r="M7271" s="91">
        <f t="shared" si="447"/>
        <v>34.559275825669609</v>
      </c>
    </row>
    <row r="7272" spans="1:13" hidden="1" x14ac:dyDescent="0.3">
      <c r="A7272" s="9">
        <v>580</v>
      </c>
      <c r="B7272" t="s">
        <v>221</v>
      </c>
      <c r="C7272" s="25">
        <v>44606</v>
      </c>
      <c r="D7272" s="26">
        <v>0.82428240740740744</v>
      </c>
      <c r="E7272" t="s">
        <v>25</v>
      </c>
      <c r="F7272" t="s">
        <v>175</v>
      </c>
      <c r="G7272" t="s">
        <v>172</v>
      </c>
      <c r="H7272" t="s">
        <v>222</v>
      </c>
      <c r="I7272">
        <v>345.01</v>
      </c>
      <c r="J7272" s="7">
        <v>0</v>
      </c>
      <c r="K7272" s="7">
        <f t="shared" si="446"/>
        <v>970.41</v>
      </c>
      <c r="L7272" s="7">
        <v>970.41</v>
      </c>
      <c r="M7272" s="91">
        <f t="shared" si="447"/>
        <v>35.553013674632375</v>
      </c>
    </row>
    <row r="7273" spans="1:13" hidden="1" x14ac:dyDescent="0.3">
      <c r="A7273" s="9">
        <v>581</v>
      </c>
      <c r="B7273" t="s">
        <v>221</v>
      </c>
      <c r="C7273" s="25">
        <v>44607</v>
      </c>
      <c r="D7273" s="26">
        <v>0.90476851851851858</v>
      </c>
      <c r="E7273" t="s">
        <v>25</v>
      </c>
      <c r="F7273" t="s">
        <v>210</v>
      </c>
      <c r="G7273" t="s">
        <v>211</v>
      </c>
      <c r="H7273" t="s">
        <v>222</v>
      </c>
      <c r="I7273">
        <v>324.86</v>
      </c>
      <c r="J7273" s="34">
        <v>0</v>
      </c>
      <c r="K7273" s="7">
        <f t="shared" si="446"/>
        <v>965.53</v>
      </c>
      <c r="L7273" s="32">
        <v>965.53</v>
      </c>
      <c r="M7273" s="91">
        <f t="shared" si="447"/>
        <v>33.645769680900649</v>
      </c>
    </row>
    <row r="7274" spans="1:13" hidden="1" x14ac:dyDescent="0.3">
      <c r="A7274" s="9">
        <v>582</v>
      </c>
      <c r="B7274" t="s">
        <v>221</v>
      </c>
      <c r="C7274" s="25">
        <v>44609</v>
      </c>
      <c r="D7274" s="26">
        <v>0.97512731481481485</v>
      </c>
      <c r="E7274" t="s">
        <v>25</v>
      </c>
      <c r="F7274" t="s">
        <v>210</v>
      </c>
      <c r="G7274" t="s">
        <v>211</v>
      </c>
      <c r="H7274" t="s">
        <v>222</v>
      </c>
      <c r="I7274">
        <v>472.95</v>
      </c>
      <c r="J7274" s="7">
        <v>0</v>
      </c>
      <c r="K7274" s="7">
        <f t="shared" si="446"/>
        <v>1119.3599999999999</v>
      </c>
      <c r="L7274" s="32">
        <v>1119.3599999999999</v>
      </c>
      <c r="M7274" s="91">
        <f t="shared" si="447"/>
        <v>42.251822469982855</v>
      </c>
    </row>
    <row r="7275" spans="1:13" hidden="1" x14ac:dyDescent="0.3">
      <c r="A7275" s="9">
        <v>583</v>
      </c>
      <c r="B7275" t="s">
        <v>221</v>
      </c>
      <c r="C7275" s="25">
        <v>44610</v>
      </c>
      <c r="D7275" s="26">
        <v>0.95972222222222225</v>
      </c>
      <c r="E7275" t="s">
        <v>25</v>
      </c>
      <c r="F7275" t="s">
        <v>428</v>
      </c>
      <c r="G7275" t="s">
        <v>429</v>
      </c>
      <c r="H7275" t="s">
        <v>222</v>
      </c>
      <c r="I7275">
        <v>339.54</v>
      </c>
      <c r="J7275" s="7">
        <v>0</v>
      </c>
      <c r="K7275" s="7">
        <f t="shared" si="446"/>
        <v>931.54</v>
      </c>
      <c r="L7275" s="32">
        <v>931.54</v>
      </c>
      <c r="M7275" s="36">
        <f t="shared" si="447"/>
        <v>36.449320480065275</v>
      </c>
    </row>
    <row r="7276" spans="1:13" hidden="1" x14ac:dyDescent="0.3">
      <c r="A7276" s="9">
        <v>584</v>
      </c>
      <c r="B7276" t="s">
        <v>221</v>
      </c>
      <c r="C7276" s="25">
        <v>44612</v>
      </c>
      <c r="D7276" s="26">
        <v>0.51717592592592598</v>
      </c>
      <c r="E7276" t="s">
        <v>25</v>
      </c>
      <c r="F7276" t="s">
        <v>210</v>
      </c>
      <c r="G7276" t="s">
        <v>211</v>
      </c>
      <c r="H7276" t="s">
        <v>222</v>
      </c>
      <c r="I7276">
        <v>338.2</v>
      </c>
      <c r="J7276" s="7">
        <v>0</v>
      </c>
      <c r="K7276" s="7">
        <f t="shared" si="446"/>
        <v>833.32</v>
      </c>
      <c r="L7276" s="32">
        <v>833.32</v>
      </c>
      <c r="M7276" s="36">
        <f t="shared" si="447"/>
        <v>40.584649354389668</v>
      </c>
    </row>
    <row r="7277" spans="1:13" hidden="1" x14ac:dyDescent="0.3">
      <c r="A7277" s="9">
        <v>585</v>
      </c>
      <c r="B7277" t="s">
        <v>221</v>
      </c>
      <c r="C7277" s="25">
        <v>44613</v>
      </c>
      <c r="D7277" s="26">
        <v>0.83857638888888886</v>
      </c>
      <c r="E7277" t="s">
        <v>25</v>
      </c>
      <c r="F7277" t="s">
        <v>210</v>
      </c>
      <c r="G7277" t="s">
        <v>211</v>
      </c>
      <c r="H7277" t="s">
        <v>222</v>
      </c>
      <c r="I7277">
        <v>412.41</v>
      </c>
      <c r="J7277" s="7">
        <v>0</v>
      </c>
      <c r="K7277" s="7">
        <f t="shared" si="446"/>
        <v>1061.81</v>
      </c>
      <c r="L7277" s="32">
        <v>1061.81</v>
      </c>
      <c r="M7277" s="36">
        <f t="shared" si="447"/>
        <v>38.84028215970843</v>
      </c>
    </row>
    <row r="7278" spans="1:13" hidden="1" x14ac:dyDescent="0.3">
      <c r="A7278" s="9">
        <v>586</v>
      </c>
      <c r="B7278" t="s">
        <v>221</v>
      </c>
      <c r="C7278" s="25">
        <v>44614</v>
      </c>
      <c r="D7278" s="26">
        <v>0.85467592592592589</v>
      </c>
      <c r="E7278" t="s">
        <v>25</v>
      </c>
      <c r="F7278" t="s">
        <v>175</v>
      </c>
      <c r="G7278" t="s">
        <v>172</v>
      </c>
      <c r="H7278" t="s">
        <v>222</v>
      </c>
      <c r="I7278">
        <v>316.83999999999997</v>
      </c>
      <c r="J7278" s="7">
        <v>0</v>
      </c>
      <c r="K7278" s="7">
        <f t="shared" si="446"/>
        <v>936.68</v>
      </c>
      <c r="L7278" s="32">
        <v>936.68</v>
      </c>
      <c r="M7278" s="36">
        <f t="shared" si="447"/>
        <v>33.825853012768505</v>
      </c>
    </row>
    <row r="7279" spans="1:13" hidden="1" x14ac:dyDescent="0.3">
      <c r="A7279" s="9">
        <v>587</v>
      </c>
      <c r="B7279" t="s">
        <v>221</v>
      </c>
      <c r="C7279" s="25">
        <v>44615</v>
      </c>
      <c r="D7279" s="26">
        <v>0.90060185185185182</v>
      </c>
      <c r="E7279" t="s">
        <v>25</v>
      </c>
      <c r="F7279" t="s">
        <v>210</v>
      </c>
      <c r="G7279" t="s">
        <v>211</v>
      </c>
      <c r="H7279" t="s">
        <v>222</v>
      </c>
      <c r="I7279">
        <v>294.98</v>
      </c>
      <c r="J7279" s="7">
        <v>0</v>
      </c>
      <c r="K7279" s="7">
        <f t="shared" si="446"/>
        <v>830.15</v>
      </c>
      <c r="L7279" s="32">
        <v>830.15</v>
      </c>
      <c r="M7279" s="36">
        <f t="shared" si="447"/>
        <v>35.533337348671928</v>
      </c>
    </row>
    <row r="7280" spans="1:13" hidden="1" x14ac:dyDescent="0.3">
      <c r="A7280" s="9">
        <v>588</v>
      </c>
      <c r="B7280" t="s">
        <v>221</v>
      </c>
      <c r="C7280" s="25">
        <v>44617</v>
      </c>
      <c r="D7280" s="26">
        <v>0.38924768518518515</v>
      </c>
      <c r="E7280" t="s">
        <v>25</v>
      </c>
      <c r="F7280" t="s">
        <v>210</v>
      </c>
      <c r="G7280" t="s">
        <v>211</v>
      </c>
      <c r="H7280" t="s">
        <v>222</v>
      </c>
      <c r="I7280">
        <v>395.93</v>
      </c>
      <c r="J7280" s="7">
        <v>0</v>
      </c>
      <c r="K7280" s="7">
        <f t="shared" si="446"/>
        <v>1062.72</v>
      </c>
      <c r="L7280" s="32">
        <v>1062.72</v>
      </c>
      <c r="M7280" s="36">
        <f t="shared" si="447"/>
        <v>37.256285757302017</v>
      </c>
    </row>
    <row r="7281" spans="1:13" hidden="1" x14ac:dyDescent="0.3">
      <c r="A7281" s="9">
        <v>589</v>
      </c>
      <c r="B7281" t="s">
        <v>221</v>
      </c>
      <c r="C7281" s="25">
        <v>44618</v>
      </c>
      <c r="D7281" s="26">
        <v>0.49685185185185188</v>
      </c>
      <c r="E7281" t="s">
        <v>25</v>
      </c>
      <c r="F7281" t="s">
        <v>175</v>
      </c>
      <c r="G7281" t="s">
        <v>172</v>
      </c>
      <c r="H7281" t="s">
        <v>222</v>
      </c>
      <c r="I7281">
        <v>306.29000000000002</v>
      </c>
      <c r="J7281" s="7">
        <v>0</v>
      </c>
      <c r="K7281" s="7">
        <f t="shared" si="446"/>
        <v>909.54</v>
      </c>
      <c r="L7281" s="32">
        <v>909.54</v>
      </c>
      <c r="M7281" s="91">
        <f t="shared" si="447"/>
        <v>33.67526441937683</v>
      </c>
    </row>
    <row r="7282" spans="1:13" hidden="1" x14ac:dyDescent="0.3">
      <c r="A7282" s="9">
        <v>1632</v>
      </c>
      <c r="B7282" t="s">
        <v>221</v>
      </c>
      <c r="C7282" s="25">
        <v>44623</v>
      </c>
      <c r="D7282" s="26">
        <v>0.88231481481481477</v>
      </c>
      <c r="E7282" t="s">
        <v>26</v>
      </c>
      <c r="F7282" t="s">
        <v>210</v>
      </c>
      <c r="G7282" t="s">
        <v>211</v>
      </c>
      <c r="H7282" t="s">
        <v>222</v>
      </c>
      <c r="I7282">
        <v>286.52999999999997</v>
      </c>
      <c r="J7282" s="7">
        <v>0</v>
      </c>
      <c r="K7282" s="90">
        <f t="shared" si="446"/>
        <v>823.83</v>
      </c>
      <c r="L7282" s="7">
        <v>823.83</v>
      </c>
      <c r="M7282" s="91">
        <f t="shared" si="447"/>
        <v>34.780233786096645</v>
      </c>
    </row>
    <row r="7283" spans="1:13" hidden="1" x14ac:dyDescent="0.3">
      <c r="A7283" s="9">
        <v>1633</v>
      </c>
      <c r="B7283" t="s">
        <v>221</v>
      </c>
      <c r="C7283" s="25">
        <v>44625</v>
      </c>
      <c r="D7283" s="26">
        <v>0.41957175925925921</v>
      </c>
      <c r="E7283" t="s">
        <v>26</v>
      </c>
      <c r="F7283" t="s">
        <v>210</v>
      </c>
      <c r="G7283" t="s">
        <v>211</v>
      </c>
      <c r="H7283" t="s">
        <v>222</v>
      </c>
      <c r="I7283">
        <v>392.56</v>
      </c>
      <c r="J7283" s="7">
        <v>0</v>
      </c>
      <c r="K7283" s="99">
        <f t="shared" si="446"/>
        <v>1062.6199999999999</v>
      </c>
      <c r="L7283" s="32">
        <v>1062.6199999999999</v>
      </c>
      <c r="M7283" s="36">
        <f t="shared" si="447"/>
        <v>36.942651182925232</v>
      </c>
    </row>
    <row r="7284" spans="1:13" hidden="1" x14ac:dyDescent="0.3">
      <c r="A7284" s="9">
        <v>1634</v>
      </c>
      <c r="B7284" t="s">
        <v>221</v>
      </c>
      <c r="C7284" s="25">
        <v>44628</v>
      </c>
      <c r="D7284" s="26">
        <v>0.82896990740740739</v>
      </c>
      <c r="E7284" t="s">
        <v>26</v>
      </c>
      <c r="F7284" t="s">
        <v>166</v>
      </c>
      <c r="G7284" t="s">
        <v>161</v>
      </c>
      <c r="H7284" t="s">
        <v>222</v>
      </c>
      <c r="I7284">
        <v>735.91</v>
      </c>
      <c r="J7284" s="7">
        <v>0</v>
      </c>
      <c r="K7284" s="90">
        <f t="shared" si="446"/>
        <v>2040.64</v>
      </c>
      <c r="L7284" s="32">
        <v>2040.64</v>
      </c>
      <c r="M7284" s="36">
        <f t="shared" si="447"/>
        <v>36.06270581778265</v>
      </c>
    </row>
    <row r="7285" spans="1:13" hidden="1" x14ac:dyDescent="0.3">
      <c r="A7285" s="9">
        <v>1635</v>
      </c>
      <c r="B7285" t="s">
        <v>221</v>
      </c>
      <c r="C7285" s="25">
        <v>44631</v>
      </c>
      <c r="D7285" s="26">
        <v>0.31074074074074071</v>
      </c>
      <c r="E7285" t="s">
        <v>26</v>
      </c>
      <c r="F7285" t="s">
        <v>210</v>
      </c>
      <c r="G7285" t="s">
        <v>211</v>
      </c>
      <c r="H7285" t="s">
        <v>222</v>
      </c>
      <c r="I7285">
        <v>473.99</v>
      </c>
      <c r="J7285" s="7">
        <v>0</v>
      </c>
      <c r="K7285" s="90">
        <f t="shared" ref="K7285:K7315" si="448">+L7285-J7285</f>
        <v>1202.29</v>
      </c>
      <c r="L7285" s="32">
        <v>1202.29</v>
      </c>
      <c r="M7285" s="36">
        <f t="shared" ref="M7285:M7316" si="449">I7285/K7285*100</f>
        <v>39.423932661837</v>
      </c>
    </row>
    <row r="7286" spans="1:13" hidden="1" x14ac:dyDescent="0.3">
      <c r="A7286" s="9">
        <v>1636</v>
      </c>
      <c r="B7286" t="s">
        <v>221</v>
      </c>
      <c r="C7286" s="25">
        <v>44632</v>
      </c>
      <c r="D7286" s="26">
        <v>0.43945601851851851</v>
      </c>
      <c r="E7286" t="s">
        <v>26</v>
      </c>
      <c r="F7286" t="s">
        <v>171</v>
      </c>
      <c r="G7286" t="s">
        <v>172</v>
      </c>
      <c r="H7286" t="s">
        <v>222</v>
      </c>
      <c r="I7286">
        <v>338.21</v>
      </c>
      <c r="J7286" s="7">
        <v>0</v>
      </c>
      <c r="K7286" s="90">
        <f t="shared" si="448"/>
        <v>931.42</v>
      </c>
      <c r="L7286" s="32">
        <v>931.42</v>
      </c>
      <c r="M7286" s="36">
        <f t="shared" si="449"/>
        <v>36.311223722917696</v>
      </c>
    </row>
    <row r="7287" spans="1:13" hidden="1" x14ac:dyDescent="0.3">
      <c r="A7287" s="9">
        <v>1637</v>
      </c>
      <c r="B7287" t="s">
        <v>221</v>
      </c>
      <c r="C7287" s="25">
        <v>44637</v>
      </c>
      <c r="D7287" s="26">
        <v>0.89634259259259252</v>
      </c>
      <c r="E7287" t="s">
        <v>26</v>
      </c>
      <c r="F7287" t="s">
        <v>166</v>
      </c>
      <c r="G7287" t="s">
        <v>161</v>
      </c>
      <c r="H7287" t="s">
        <v>222</v>
      </c>
      <c r="I7287">
        <v>296.08</v>
      </c>
      <c r="J7287" s="7">
        <v>0</v>
      </c>
      <c r="K7287" s="99">
        <f t="shared" si="448"/>
        <v>781.2</v>
      </c>
      <c r="L7287" s="33">
        <v>781.2</v>
      </c>
      <c r="M7287" s="36">
        <f t="shared" si="449"/>
        <v>37.900665642601119</v>
      </c>
    </row>
    <row r="7288" spans="1:13" hidden="1" x14ac:dyDescent="0.3">
      <c r="A7288" s="9">
        <v>1638</v>
      </c>
      <c r="B7288" t="s">
        <v>221</v>
      </c>
      <c r="C7288" s="25">
        <v>44639</v>
      </c>
      <c r="D7288" s="26">
        <v>0.32476851851851851</v>
      </c>
      <c r="E7288" t="s">
        <v>26</v>
      </c>
      <c r="F7288" t="s">
        <v>210</v>
      </c>
      <c r="G7288" t="s">
        <v>211</v>
      </c>
      <c r="H7288" t="s">
        <v>222</v>
      </c>
      <c r="I7288">
        <v>407.28</v>
      </c>
      <c r="J7288" s="7">
        <v>0</v>
      </c>
      <c r="K7288" s="90">
        <f t="shared" si="448"/>
        <v>1145.6600000000001</v>
      </c>
      <c r="L7288" s="32">
        <v>1145.6600000000001</v>
      </c>
      <c r="M7288" s="36">
        <f t="shared" si="449"/>
        <v>35.549814080966428</v>
      </c>
    </row>
    <row r="7289" spans="1:13" hidden="1" x14ac:dyDescent="0.3">
      <c r="A7289" s="9">
        <v>1639</v>
      </c>
      <c r="B7289" t="s">
        <v>221</v>
      </c>
      <c r="C7289" s="25">
        <v>44640</v>
      </c>
      <c r="D7289" s="26">
        <v>0.46890046296296295</v>
      </c>
      <c r="E7289" t="s">
        <v>26</v>
      </c>
      <c r="F7289" t="s">
        <v>428</v>
      </c>
      <c r="G7289" t="s">
        <v>429</v>
      </c>
      <c r="H7289" t="s">
        <v>222</v>
      </c>
      <c r="I7289">
        <f>73.59+250</f>
        <v>323.59000000000003</v>
      </c>
      <c r="J7289" s="7">
        <v>0</v>
      </c>
      <c r="K7289" s="90">
        <f t="shared" si="448"/>
        <v>940.97</v>
      </c>
      <c r="L7289" s="32">
        <v>940.97</v>
      </c>
      <c r="M7289" s="91">
        <f t="shared" si="449"/>
        <v>34.388981582834738</v>
      </c>
    </row>
    <row r="7290" spans="1:13" hidden="1" x14ac:dyDescent="0.3">
      <c r="A7290" s="9">
        <v>1640</v>
      </c>
      <c r="B7290" t="s">
        <v>221</v>
      </c>
      <c r="C7290" s="25">
        <v>44642</v>
      </c>
      <c r="D7290" s="26">
        <v>3.7199074074074072E-2</v>
      </c>
      <c r="E7290" t="s">
        <v>26</v>
      </c>
      <c r="F7290" t="s">
        <v>166</v>
      </c>
      <c r="G7290" t="s">
        <v>161</v>
      </c>
      <c r="H7290" t="s">
        <v>222</v>
      </c>
      <c r="I7290">
        <v>366.22</v>
      </c>
      <c r="J7290" s="7">
        <v>0</v>
      </c>
      <c r="K7290" s="90">
        <f t="shared" si="448"/>
        <v>959.41</v>
      </c>
      <c r="L7290" s="32">
        <v>959.41</v>
      </c>
      <c r="M7290" s="91">
        <f t="shared" si="449"/>
        <v>38.171376158263939</v>
      </c>
    </row>
    <row r="7291" spans="1:13" hidden="1" x14ac:dyDescent="0.3">
      <c r="A7291" s="9">
        <v>1641</v>
      </c>
      <c r="B7291" t="s">
        <v>221</v>
      </c>
      <c r="C7291" s="25">
        <v>44643</v>
      </c>
      <c r="D7291" s="26">
        <v>0.39295138888888892</v>
      </c>
      <c r="E7291" t="s">
        <v>26</v>
      </c>
      <c r="F7291" t="s">
        <v>346</v>
      </c>
      <c r="G7291" t="s">
        <v>203</v>
      </c>
      <c r="H7291" t="s">
        <v>222</v>
      </c>
      <c r="I7291">
        <v>383.75</v>
      </c>
      <c r="J7291" s="7">
        <v>0</v>
      </c>
      <c r="K7291" s="90">
        <f t="shared" si="448"/>
        <v>1045.3399999999999</v>
      </c>
      <c r="L7291" s="32">
        <v>1045.3399999999999</v>
      </c>
      <c r="M7291" s="91">
        <f t="shared" si="449"/>
        <v>36.710543937857544</v>
      </c>
    </row>
    <row r="7292" spans="1:13" hidden="1" x14ac:dyDescent="0.3">
      <c r="A7292" s="9">
        <v>1642</v>
      </c>
      <c r="B7292" t="s">
        <v>221</v>
      </c>
      <c r="C7292" s="25">
        <v>44644</v>
      </c>
      <c r="D7292" s="26">
        <v>0.82912037037037034</v>
      </c>
      <c r="E7292" t="s">
        <v>26</v>
      </c>
      <c r="F7292" t="s">
        <v>165</v>
      </c>
      <c r="G7292" t="s">
        <v>185</v>
      </c>
      <c r="H7292" t="s">
        <v>222</v>
      </c>
      <c r="I7292">
        <v>464.37</v>
      </c>
      <c r="J7292" s="34">
        <v>0</v>
      </c>
      <c r="K7292" s="97">
        <f t="shared" si="448"/>
        <v>1087.3599999999999</v>
      </c>
      <c r="L7292" s="37">
        <v>1087.3599999999999</v>
      </c>
      <c r="M7292" s="118">
        <f t="shared" si="449"/>
        <v>42.706187463213659</v>
      </c>
    </row>
    <row r="7293" spans="1:13" hidden="1" x14ac:dyDescent="0.3">
      <c r="A7293" s="9">
        <v>1643</v>
      </c>
      <c r="B7293" t="s">
        <v>221</v>
      </c>
      <c r="C7293" s="25">
        <v>44651</v>
      </c>
      <c r="D7293" s="26">
        <v>0.40983796296296293</v>
      </c>
      <c r="E7293" t="s">
        <v>26</v>
      </c>
      <c r="F7293" t="s">
        <v>171</v>
      </c>
      <c r="G7293" t="s">
        <v>172</v>
      </c>
      <c r="H7293" t="s">
        <v>222</v>
      </c>
      <c r="I7293">
        <v>426.94</v>
      </c>
      <c r="J7293" s="7">
        <v>0</v>
      </c>
      <c r="K7293" s="90">
        <f t="shared" si="448"/>
        <v>1710.85</v>
      </c>
      <c r="L7293" s="32">
        <v>1710.85</v>
      </c>
      <c r="M7293" s="121">
        <f t="shared" si="449"/>
        <v>24.954847005874274</v>
      </c>
    </row>
    <row r="7294" spans="1:13" hidden="1" x14ac:dyDescent="0.3">
      <c r="A7294" s="9">
        <v>1644</v>
      </c>
      <c r="B7294" t="s">
        <v>221</v>
      </c>
      <c r="C7294" s="25">
        <v>44651</v>
      </c>
      <c r="D7294" s="26">
        <v>0.92410879629629628</v>
      </c>
      <c r="E7294" t="s">
        <v>26</v>
      </c>
      <c r="F7294" t="s">
        <v>166</v>
      </c>
      <c r="G7294" t="s">
        <v>161</v>
      </c>
      <c r="H7294" t="s">
        <v>222</v>
      </c>
      <c r="I7294">
        <v>230</v>
      </c>
      <c r="J7294" s="31">
        <v>0</v>
      </c>
      <c r="K7294" s="99">
        <f t="shared" si="448"/>
        <v>383.27</v>
      </c>
      <c r="L7294" s="33">
        <v>383.27</v>
      </c>
      <c r="M7294" s="121">
        <f t="shared" si="449"/>
        <v>60.00991468155609</v>
      </c>
    </row>
    <row r="7295" spans="1:13" hidden="1" x14ac:dyDescent="0.3">
      <c r="A7295" s="9">
        <v>2813</v>
      </c>
      <c r="B7295" t="s">
        <v>221</v>
      </c>
      <c r="C7295" s="25">
        <v>44652</v>
      </c>
      <c r="D7295" s="26">
        <v>0.74700231481481483</v>
      </c>
      <c r="E7295" t="s">
        <v>27</v>
      </c>
      <c r="F7295" t="s">
        <v>165</v>
      </c>
      <c r="G7295" t="s">
        <v>185</v>
      </c>
      <c r="H7295" t="s">
        <v>222</v>
      </c>
      <c r="I7295" s="4">
        <v>445.02</v>
      </c>
      <c r="J7295" s="31">
        <v>0</v>
      </c>
      <c r="K7295" s="99">
        <f t="shared" si="448"/>
        <v>631.47</v>
      </c>
      <c r="L7295" s="33">
        <v>631.47</v>
      </c>
      <c r="M7295" s="139">
        <f t="shared" si="449"/>
        <v>70.473656705781735</v>
      </c>
    </row>
    <row r="7296" spans="1:13" hidden="1" x14ac:dyDescent="0.3">
      <c r="A7296" s="9">
        <v>2814</v>
      </c>
      <c r="B7296" t="s">
        <v>221</v>
      </c>
      <c r="C7296" s="25">
        <v>44653</v>
      </c>
      <c r="D7296" s="26">
        <v>0.81799768518518512</v>
      </c>
      <c r="E7296" t="s">
        <v>27</v>
      </c>
      <c r="F7296" t="s">
        <v>335</v>
      </c>
      <c r="G7296" t="s">
        <v>336</v>
      </c>
      <c r="H7296" t="s">
        <v>222</v>
      </c>
      <c r="I7296" s="4">
        <v>172.62</v>
      </c>
      <c r="J7296" s="7">
        <v>0</v>
      </c>
      <c r="K7296" s="90">
        <f t="shared" si="448"/>
        <v>585.38199999999995</v>
      </c>
      <c r="L7296" s="32">
        <v>585.38199999999995</v>
      </c>
      <c r="M7296" s="139">
        <f t="shared" si="449"/>
        <v>29.488436610623491</v>
      </c>
    </row>
    <row r="7297" spans="1:13" hidden="1" x14ac:dyDescent="0.3">
      <c r="A7297" s="9">
        <v>2815</v>
      </c>
      <c r="B7297" t="s">
        <v>221</v>
      </c>
      <c r="C7297" s="25">
        <v>44656</v>
      </c>
      <c r="D7297" s="26">
        <v>0.45966435185185189</v>
      </c>
      <c r="E7297" t="s">
        <v>27</v>
      </c>
      <c r="F7297" t="s">
        <v>165</v>
      </c>
      <c r="G7297" t="s">
        <v>185</v>
      </c>
      <c r="H7297" t="s">
        <v>222</v>
      </c>
      <c r="I7297" s="4">
        <v>395.63</v>
      </c>
      <c r="J7297" s="7">
        <v>0</v>
      </c>
      <c r="K7297" s="100">
        <f t="shared" si="448"/>
        <v>1042.4100000000001</v>
      </c>
      <c r="L7297" s="69">
        <v>1042.4100000000001</v>
      </c>
      <c r="M7297" s="91">
        <f t="shared" si="449"/>
        <v>37.953396456288793</v>
      </c>
    </row>
    <row r="7298" spans="1:13" hidden="1" x14ac:dyDescent="0.3">
      <c r="A7298" s="9">
        <v>2816</v>
      </c>
      <c r="B7298" t="s">
        <v>221</v>
      </c>
      <c r="C7298" s="25">
        <v>44658</v>
      </c>
      <c r="D7298" s="26">
        <v>0.54166666666666663</v>
      </c>
      <c r="E7298" t="s">
        <v>27</v>
      </c>
      <c r="F7298" t="s">
        <v>175</v>
      </c>
      <c r="G7298" t="s">
        <v>172</v>
      </c>
      <c r="H7298" t="s">
        <v>222</v>
      </c>
      <c r="I7298" s="4">
        <v>447.22</v>
      </c>
      <c r="J7298" s="7">
        <v>0</v>
      </c>
      <c r="K7298" s="90">
        <f t="shared" si="448"/>
        <v>1442.87</v>
      </c>
      <c r="L7298" s="32">
        <v>1442.87</v>
      </c>
      <c r="M7298" s="91">
        <f t="shared" si="449"/>
        <v>30.995169349976091</v>
      </c>
    </row>
    <row r="7299" spans="1:13" hidden="1" x14ac:dyDescent="0.3">
      <c r="A7299" s="9">
        <v>2817</v>
      </c>
      <c r="B7299" t="s">
        <v>221</v>
      </c>
      <c r="C7299" s="25">
        <v>44659</v>
      </c>
      <c r="D7299" s="26">
        <v>0.65697916666666667</v>
      </c>
      <c r="E7299" t="s">
        <v>27</v>
      </c>
      <c r="F7299" t="s">
        <v>210</v>
      </c>
      <c r="G7299" t="s">
        <v>211</v>
      </c>
      <c r="H7299" t="s">
        <v>222</v>
      </c>
      <c r="I7299" s="4">
        <v>317.52999999999997</v>
      </c>
      <c r="J7299" s="7">
        <v>0</v>
      </c>
      <c r="K7299" s="90">
        <f t="shared" si="448"/>
        <v>830.61</v>
      </c>
      <c r="L7299" s="32">
        <v>830.61</v>
      </c>
      <c r="M7299" s="118">
        <f t="shared" si="449"/>
        <v>38.228530838781133</v>
      </c>
    </row>
    <row r="7300" spans="1:13" hidden="1" x14ac:dyDescent="0.3">
      <c r="A7300" s="9">
        <v>2818</v>
      </c>
      <c r="B7300" t="s">
        <v>221</v>
      </c>
      <c r="C7300" s="25">
        <v>44660</v>
      </c>
      <c r="D7300" s="26">
        <v>0.90248842592592593</v>
      </c>
      <c r="E7300" t="s">
        <v>27</v>
      </c>
      <c r="F7300" t="s">
        <v>210</v>
      </c>
      <c r="G7300" t="s">
        <v>211</v>
      </c>
      <c r="H7300" t="s">
        <v>222</v>
      </c>
      <c r="I7300" s="4">
        <v>351.69</v>
      </c>
      <c r="J7300" s="34">
        <v>0</v>
      </c>
      <c r="K7300" s="97">
        <f t="shared" si="448"/>
        <v>1061.98</v>
      </c>
      <c r="L7300" s="37">
        <v>1061.98</v>
      </c>
      <c r="M7300" s="36">
        <f t="shared" si="449"/>
        <v>33.116442870863857</v>
      </c>
    </row>
    <row r="7301" spans="1:13" hidden="1" x14ac:dyDescent="0.3">
      <c r="A7301" s="9">
        <v>2819</v>
      </c>
      <c r="B7301" t="s">
        <v>221</v>
      </c>
      <c r="C7301" s="25">
        <v>44662</v>
      </c>
      <c r="D7301" s="26">
        <v>0.80839120370370365</v>
      </c>
      <c r="E7301" t="s">
        <v>27</v>
      </c>
      <c r="F7301" t="s">
        <v>175</v>
      </c>
      <c r="G7301" t="s">
        <v>172</v>
      </c>
      <c r="H7301" t="s">
        <v>222</v>
      </c>
      <c r="I7301" s="4">
        <v>349.08</v>
      </c>
      <c r="J7301" s="7">
        <v>0</v>
      </c>
      <c r="K7301" s="90">
        <f t="shared" si="448"/>
        <v>928.34</v>
      </c>
      <c r="L7301" s="32">
        <v>928.34</v>
      </c>
      <c r="M7301" s="36">
        <f t="shared" si="449"/>
        <v>37.602602494775617</v>
      </c>
    </row>
    <row r="7302" spans="1:13" hidden="1" x14ac:dyDescent="0.3">
      <c r="A7302" s="9">
        <v>2820</v>
      </c>
      <c r="B7302" t="s">
        <v>221</v>
      </c>
      <c r="C7302" s="25">
        <v>44667</v>
      </c>
      <c r="D7302" s="26">
        <v>0.4546412037037037</v>
      </c>
      <c r="E7302" t="s">
        <v>27</v>
      </c>
      <c r="F7302" t="s">
        <v>210</v>
      </c>
      <c r="G7302" t="s">
        <v>211</v>
      </c>
      <c r="H7302" t="s">
        <v>222</v>
      </c>
      <c r="I7302" s="4">
        <v>329.84</v>
      </c>
      <c r="J7302" s="7">
        <v>0</v>
      </c>
      <c r="K7302" s="90">
        <f t="shared" si="448"/>
        <v>852.25</v>
      </c>
      <c r="L7302" s="32">
        <v>852.25</v>
      </c>
      <c r="M7302" s="36">
        <f t="shared" si="449"/>
        <v>38.70225872689938</v>
      </c>
    </row>
    <row r="7303" spans="1:13" hidden="1" x14ac:dyDescent="0.3">
      <c r="A7303" s="9">
        <v>2821</v>
      </c>
      <c r="B7303" t="s">
        <v>221</v>
      </c>
      <c r="C7303" s="25">
        <v>44668</v>
      </c>
      <c r="D7303" s="26">
        <v>0.37734953703703705</v>
      </c>
      <c r="E7303" t="s">
        <v>27</v>
      </c>
      <c r="F7303" t="s">
        <v>165</v>
      </c>
      <c r="G7303" t="s">
        <v>185</v>
      </c>
      <c r="H7303" t="s">
        <v>222</v>
      </c>
      <c r="I7303" s="4">
        <v>230.01</v>
      </c>
      <c r="J7303" s="34">
        <v>0</v>
      </c>
      <c r="K7303" s="97">
        <f t="shared" si="448"/>
        <v>548.47</v>
      </c>
      <c r="L7303" s="37">
        <v>548.47</v>
      </c>
      <c r="M7303" s="36">
        <f t="shared" si="449"/>
        <v>41.936660163728185</v>
      </c>
    </row>
    <row r="7304" spans="1:13" hidden="1" x14ac:dyDescent="0.3">
      <c r="A7304" s="9">
        <v>2822</v>
      </c>
      <c r="B7304" t="s">
        <v>221</v>
      </c>
      <c r="C7304" s="25">
        <v>44670</v>
      </c>
      <c r="D7304" s="26">
        <v>0.49559027777777781</v>
      </c>
      <c r="E7304" t="s">
        <v>27</v>
      </c>
      <c r="F7304" t="s">
        <v>165</v>
      </c>
      <c r="G7304" t="s">
        <v>185</v>
      </c>
      <c r="H7304" t="s">
        <v>222</v>
      </c>
      <c r="I7304" s="4">
        <v>539.37</v>
      </c>
      <c r="J7304" s="7">
        <v>0</v>
      </c>
      <c r="K7304" s="90">
        <f t="shared" si="448"/>
        <v>1628.41</v>
      </c>
      <c r="L7304" s="32">
        <v>1628.41</v>
      </c>
      <c r="M7304" s="36">
        <f t="shared" si="449"/>
        <v>33.122493720868825</v>
      </c>
    </row>
    <row r="7305" spans="1:13" hidden="1" x14ac:dyDescent="0.3">
      <c r="A7305" s="9">
        <v>2823</v>
      </c>
      <c r="B7305" t="s">
        <v>221</v>
      </c>
      <c r="C7305" s="25">
        <v>44672</v>
      </c>
      <c r="D7305" s="26">
        <v>0.41577546296296292</v>
      </c>
      <c r="E7305" t="s">
        <v>27</v>
      </c>
      <c r="F7305" t="s">
        <v>428</v>
      </c>
      <c r="G7305" t="s">
        <v>429</v>
      </c>
      <c r="H7305" t="s">
        <v>222</v>
      </c>
      <c r="I7305" s="4">
        <v>150.05000000000001</v>
      </c>
      <c r="J7305" s="7">
        <v>0</v>
      </c>
      <c r="K7305" s="95">
        <f t="shared" si="448"/>
        <v>1438.77</v>
      </c>
      <c r="L7305" s="32">
        <v>1438.77</v>
      </c>
      <c r="M7305" s="36">
        <f t="shared" si="449"/>
        <v>10.429047033229773</v>
      </c>
    </row>
    <row r="7306" spans="1:13" hidden="1" x14ac:dyDescent="0.3">
      <c r="A7306" s="9">
        <v>2824</v>
      </c>
      <c r="B7306" t="s">
        <v>221</v>
      </c>
      <c r="C7306" s="25">
        <v>44673</v>
      </c>
      <c r="D7306" s="26">
        <v>0.64576388888888892</v>
      </c>
      <c r="E7306" t="s">
        <v>27</v>
      </c>
      <c r="F7306" t="s">
        <v>166</v>
      </c>
      <c r="G7306" t="s">
        <v>161</v>
      </c>
      <c r="H7306" t="s">
        <v>222</v>
      </c>
      <c r="I7306" s="4">
        <v>451.8</v>
      </c>
      <c r="J7306" s="7">
        <v>0</v>
      </c>
      <c r="K7306" s="95">
        <f t="shared" si="448"/>
        <v>898.46</v>
      </c>
      <c r="L7306" s="32">
        <v>898.46</v>
      </c>
      <c r="M7306" s="36">
        <f t="shared" si="449"/>
        <v>50.286045010351046</v>
      </c>
    </row>
    <row r="7307" spans="1:13" hidden="1" x14ac:dyDescent="0.3">
      <c r="A7307" s="9">
        <v>2825</v>
      </c>
      <c r="B7307" t="s">
        <v>221</v>
      </c>
      <c r="C7307" s="25">
        <v>44674</v>
      </c>
      <c r="D7307" s="26">
        <v>0.68532407407407403</v>
      </c>
      <c r="E7307" t="s">
        <v>27</v>
      </c>
      <c r="F7307" t="s">
        <v>165</v>
      </c>
      <c r="G7307" t="s">
        <v>185</v>
      </c>
      <c r="H7307" t="s">
        <v>222</v>
      </c>
      <c r="I7307" s="4">
        <v>343.72</v>
      </c>
      <c r="J7307" s="7">
        <v>0</v>
      </c>
      <c r="K7307" s="97">
        <f t="shared" si="448"/>
        <v>633.16999999999996</v>
      </c>
      <c r="L7307" s="37">
        <v>633.16999999999996</v>
      </c>
      <c r="M7307" s="36">
        <f t="shared" si="449"/>
        <v>54.28557891245638</v>
      </c>
    </row>
    <row r="7308" spans="1:13" hidden="1" x14ac:dyDescent="0.3">
      <c r="A7308" s="9">
        <v>2826</v>
      </c>
      <c r="B7308" t="s">
        <v>221</v>
      </c>
      <c r="C7308" s="25">
        <v>44675</v>
      </c>
      <c r="D7308" s="26">
        <v>0.55015046296296299</v>
      </c>
      <c r="E7308" t="s">
        <v>27</v>
      </c>
      <c r="F7308" t="s">
        <v>166</v>
      </c>
      <c r="G7308" t="s">
        <v>161</v>
      </c>
      <c r="H7308" t="s">
        <v>222</v>
      </c>
      <c r="I7308" s="4">
        <v>207.05</v>
      </c>
      <c r="J7308" s="7">
        <v>0</v>
      </c>
      <c r="K7308" s="99">
        <f t="shared" si="448"/>
        <v>597.42999999999995</v>
      </c>
      <c r="L7308" s="33">
        <v>597.42999999999995</v>
      </c>
      <c r="M7308" s="36">
        <f t="shared" si="449"/>
        <v>34.65677987379275</v>
      </c>
    </row>
    <row r="7309" spans="1:13" hidden="1" x14ac:dyDescent="0.3">
      <c r="A7309" s="9">
        <v>3723</v>
      </c>
      <c r="B7309" t="s">
        <v>221</v>
      </c>
      <c r="C7309" s="25">
        <v>44683</v>
      </c>
      <c r="D7309" s="26">
        <v>0.49892361111111111</v>
      </c>
      <c r="E7309" t="s">
        <v>28</v>
      </c>
      <c r="F7309" t="s">
        <v>210</v>
      </c>
      <c r="G7309" t="s">
        <v>211</v>
      </c>
      <c r="H7309" t="s">
        <v>222</v>
      </c>
      <c r="I7309" s="4">
        <v>360.64</v>
      </c>
      <c r="J7309" s="7">
        <v>0</v>
      </c>
      <c r="K7309" s="90">
        <f t="shared" si="448"/>
        <v>1062</v>
      </c>
      <c r="L7309" s="32">
        <v>1062</v>
      </c>
      <c r="M7309" s="36">
        <f t="shared" si="449"/>
        <v>33.958568738229758</v>
      </c>
    </row>
    <row r="7310" spans="1:13" hidden="1" x14ac:dyDescent="0.3">
      <c r="A7310" s="9">
        <v>3813</v>
      </c>
      <c r="B7310" t="s">
        <v>221</v>
      </c>
      <c r="C7310" s="25">
        <v>44685</v>
      </c>
      <c r="D7310" s="26">
        <v>0.86291666666666667</v>
      </c>
      <c r="E7310" t="s">
        <v>28</v>
      </c>
      <c r="F7310" t="s">
        <v>210</v>
      </c>
      <c r="G7310" t="s">
        <v>211</v>
      </c>
      <c r="H7310" t="s">
        <v>222</v>
      </c>
      <c r="I7310" s="4">
        <v>613.09</v>
      </c>
      <c r="J7310" s="7">
        <v>0</v>
      </c>
      <c r="K7310" s="90">
        <f t="shared" si="448"/>
        <v>1790</v>
      </c>
      <c r="L7310" s="32">
        <v>1790</v>
      </c>
      <c r="M7310" s="91">
        <f t="shared" si="449"/>
        <v>34.250837988826817</v>
      </c>
    </row>
    <row r="7311" spans="1:13" hidden="1" x14ac:dyDescent="0.3">
      <c r="A7311" s="9">
        <v>3926</v>
      </c>
      <c r="B7311" t="s">
        <v>221</v>
      </c>
      <c r="C7311" s="25">
        <v>44687</v>
      </c>
      <c r="D7311" s="26">
        <v>0.48072916666666665</v>
      </c>
      <c r="E7311" t="s">
        <v>28</v>
      </c>
      <c r="F7311" t="s">
        <v>202</v>
      </c>
      <c r="G7311" t="s">
        <v>203</v>
      </c>
      <c r="H7311" t="s">
        <v>222</v>
      </c>
      <c r="I7311" s="4">
        <v>100</v>
      </c>
      <c r="J7311" s="34">
        <v>0</v>
      </c>
      <c r="K7311" s="97">
        <f t="shared" si="448"/>
        <v>1088</v>
      </c>
      <c r="L7311" s="37">
        <v>1088</v>
      </c>
      <c r="M7311" s="118">
        <f t="shared" si="449"/>
        <v>9.1911764705882355</v>
      </c>
    </row>
    <row r="7312" spans="1:13" hidden="1" x14ac:dyDescent="0.3">
      <c r="A7312" s="9">
        <v>3927</v>
      </c>
      <c r="B7312" t="s">
        <v>221</v>
      </c>
      <c r="C7312" s="25">
        <v>44687</v>
      </c>
      <c r="D7312" s="26">
        <v>0.93611111111111101</v>
      </c>
      <c r="E7312" t="s">
        <v>28</v>
      </c>
      <c r="F7312" t="s">
        <v>202</v>
      </c>
      <c r="G7312" t="s">
        <v>203</v>
      </c>
      <c r="H7312" t="s">
        <v>222</v>
      </c>
      <c r="I7312" s="4">
        <v>200</v>
      </c>
      <c r="J7312" s="7">
        <v>0</v>
      </c>
      <c r="K7312" s="90">
        <f t="shared" si="448"/>
        <v>509</v>
      </c>
      <c r="L7312" s="53">
        <v>509</v>
      </c>
      <c r="M7312" s="36">
        <f t="shared" si="449"/>
        <v>39.292730844793709</v>
      </c>
    </row>
    <row r="7313" spans="1:13" hidden="1" x14ac:dyDescent="0.3">
      <c r="A7313" s="9">
        <v>3977</v>
      </c>
      <c r="B7313" t="s">
        <v>221</v>
      </c>
      <c r="C7313" s="25">
        <v>44688</v>
      </c>
      <c r="D7313" s="26">
        <v>0.94912037037037045</v>
      </c>
      <c r="E7313" t="s">
        <v>28</v>
      </c>
      <c r="F7313" t="s">
        <v>165</v>
      </c>
      <c r="G7313" t="s">
        <v>185</v>
      </c>
      <c r="H7313" t="s">
        <v>222</v>
      </c>
      <c r="I7313" s="4">
        <v>474.38</v>
      </c>
      <c r="J7313" s="34">
        <v>0</v>
      </c>
      <c r="K7313" s="97">
        <f t="shared" si="448"/>
        <v>574</v>
      </c>
      <c r="L7313" s="32">
        <v>574</v>
      </c>
      <c r="M7313" s="36">
        <f t="shared" si="449"/>
        <v>82.644599303135891</v>
      </c>
    </row>
    <row r="7314" spans="1:13" hidden="1" x14ac:dyDescent="0.3">
      <c r="A7314" s="9">
        <v>4117</v>
      </c>
      <c r="B7314" t="s">
        <v>221</v>
      </c>
      <c r="C7314" s="25">
        <v>44691</v>
      </c>
      <c r="D7314" s="26">
        <v>0.51081018518518517</v>
      </c>
      <c r="E7314" t="s">
        <v>28</v>
      </c>
      <c r="F7314" t="s">
        <v>262</v>
      </c>
      <c r="G7314" t="s">
        <v>263</v>
      </c>
      <c r="H7314" t="s">
        <v>222</v>
      </c>
      <c r="I7314" s="4">
        <v>200</v>
      </c>
      <c r="J7314" s="7">
        <v>0</v>
      </c>
      <c r="K7314" s="90">
        <f t="shared" si="448"/>
        <v>1390</v>
      </c>
      <c r="L7314" s="32">
        <v>1390</v>
      </c>
      <c r="M7314" s="36">
        <f t="shared" si="449"/>
        <v>14.388489208633093</v>
      </c>
    </row>
    <row r="7315" spans="1:13" hidden="1" x14ac:dyDescent="0.3">
      <c r="A7315" s="9">
        <v>4547</v>
      </c>
      <c r="B7315" t="s">
        <v>221</v>
      </c>
      <c r="C7315" s="25">
        <v>44699</v>
      </c>
      <c r="D7315" s="26">
        <v>0.39812500000000001</v>
      </c>
      <c r="E7315" t="s">
        <v>28</v>
      </c>
      <c r="F7315" t="s">
        <v>197</v>
      </c>
      <c r="G7315" t="s">
        <v>44</v>
      </c>
      <c r="H7315" t="s">
        <v>222</v>
      </c>
      <c r="I7315" s="4">
        <v>371</v>
      </c>
      <c r="J7315" s="7">
        <v>0</v>
      </c>
      <c r="K7315" s="90">
        <f t="shared" si="448"/>
        <v>328</v>
      </c>
      <c r="L7315" s="32">
        <v>328</v>
      </c>
      <c r="M7315" s="36">
        <f t="shared" si="449"/>
        <v>113.10975609756098</v>
      </c>
    </row>
    <row r="7316" spans="1:13" hidden="1" x14ac:dyDescent="0.3">
      <c r="A7316" s="9">
        <v>4608</v>
      </c>
      <c r="B7316" t="s">
        <v>221</v>
      </c>
      <c r="C7316" s="25">
        <v>44700</v>
      </c>
      <c r="D7316" s="26">
        <v>0.82427083333333329</v>
      </c>
      <c r="E7316" t="s">
        <v>28</v>
      </c>
      <c r="F7316" t="s">
        <v>278</v>
      </c>
      <c r="G7316" t="s">
        <v>279</v>
      </c>
      <c r="H7316" t="s">
        <v>222</v>
      </c>
      <c r="I7316">
        <v>508.29</v>
      </c>
      <c r="J7316" s="7">
        <v>0</v>
      </c>
      <c r="K7316" s="90">
        <f>+L7316-J7580</f>
        <v>1303</v>
      </c>
      <c r="L7316" s="32">
        <v>1303</v>
      </c>
      <c r="M7316" s="36">
        <f t="shared" si="449"/>
        <v>39.009209516500384</v>
      </c>
    </row>
    <row r="7317" spans="1:13" hidden="1" x14ac:dyDescent="0.3">
      <c r="A7317" s="9">
        <v>4719</v>
      </c>
      <c r="B7317" t="s">
        <v>221</v>
      </c>
      <c r="C7317" s="25">
        <v>44702</v>
      </c>
      <c r="D7317" s="26">
        <v>0.52829861111111109</v>
      </c>
      <c r="E7317" t="s">
        <v>28</v>
      </c>
      <c r="F7317" t="s">
        <v>175</v>
      </c>
      <c r="G7317" t="s">
        <v>172</v>
      </c>
      <c r="H7317" t="s">
        <v>222</v>
      </c>
      <c r="I7317">
        <v>410</v>
      </c>
      <c r="J7317" s="7">
        <v>0</v>
      </c>
      <c r="K7317" s="90">
        <f>+L7317-J7577</f>
        <v>1281</v>
      </c>
      <c r="L7317" s="32">
        <v>1281</v>
      </c>
      <c r="M7317" s="91">
        <f t="shared" ref="M7317:M7341" si="450">I7317/K7317*100</f>
        <v>32.006245120999225</v>
      </c>
    </row>
    <row r="7318" spans="1:13" hidden="1" x14ac:dyDescent="0.3">
      <c r="A7318" s="9">
        <v>4789</v>
      </c>
      <c r="B7318" t="s">
        <v>221</v>
      </c>
      <c r="C7318" s="25">
        <v>44703</v>
      </c>
      <c r="D7318" s="26">
        <v>0.61861111111111111</v>
      </c>
      <c r="E7318" t="s">
        <v>28</v>
      </c>
      <c r="F7318" t="s">
        <v>166</v>
      </c>
      <c r="G7318" t="s">
        <v>161</v>
      </c>
      <c r="H7318" t="s">
        <v>222</v>
      </c>
      <c r="I7318">
        <v>266.36</v>
      </c>
      <c r="J7318" s="34">
        <v>0</v>
      </c>
      <c r="K7318" s="97">
        <f>+L7318-J7578</f>
        <v>754</v>
      </c>
      <c r="L7318" s="69">
        <v>754</v>
      </c>
      <c r="M7318" s="91">
        <f t="shared" si="450"/>
        <v>35.326259946949605</v>
      </c>
    </row>
    <row r="7319" spans="1:13" hidden="1" x14ac:dyDescent="0.3">
      <c r="A7319" s="9">
        <v>4824</v>
      </c>
      <c r="B7319" t="s">
        <v>221</v>
      </c>
      <c r="C7319" s="25">
        <v>44704</v>
      </c>
      <c r="D7319" s="26">
        <v>0.94019675925925927</v>
      </c>
      <c r="E7319" t="s">
        <v>28</v>
      </c>
      <c r="F7319" t="s">
        <v>210</v>
      </c>
      <c r="G7319" t="s">
        <v>211</v>
      </c>
      <c r="H7319" t="s">
        <v>222</v>
      </c>
      <c r="I7319">
        <v>410.01</v>
      </c>
      <c r="J7319" s="7">
        <v>0</v>
      </c>
      <c r="K7319" s="90">
        <f>+L7319-J7579</f>
        <v>-363</v>
      </c>
      <c r="L7319" s="32">
        <v>1145</v>
      </c>
      <c r="M7319" s="183">
        <f t="shared" si="450"/>
        <v>-112.9504132231405</v>
      </c>
    </row>
    <row r="7320" spans="1:13" hidden="1" x14ac:dyDescent="0.3">
      <c r="A7320" s="9">
        <v>4986</v>
      </c>
      <c r="B7320" t="s">
        <v>221</v>
      </c>
      <c r="C7320" s="25">
        <v>44707</v>
      </c>
      <c r="D7320" s="26">
        <v>0.21706018518518519</v>
      </c>
      <c r="E7320" t="s">
        <v>28</v>
      </c>
      <c r="F7320" t="s">
        <v>638</v>
      </c>
      <c r="G7320" t="s">
        <v>263</v>
      </c>
      <c r="H7320" t="s">
        <v>222</v>
      </c>
      <c r="I7320">
        <v>201.75</v>
      </c>
      <c r="J7320" s="7">
        <v>0</v>
      </c>
      <c r="K7320" s="90">
        <f>+L7320-J7580</f>
        <v>849</v>
      </c>
      <c r="L7320" s="7">
        <v>849</v>
      </c>
      <c r="M7320" s="91">
        <f t="shared" si="450"/>
        <v>23.763250883392224</v>
      </c>
    </row>
    <row r="7321" spans="1:13" hidden="1" x14ac:dyDescent="0.3">
      <c r="A7321" s="9">
        <v>4987</v>
      </c>
      <c r="B7321" t="s">
        <v>221</v>
      </c>
      <c r="C7321" s="25">
        <v>44707</v>
      </c>
      <c r="D7321" s="26">
        <v>0.89212962962962961</v>
      </c>
      <c r="E7321" t="s">
        <v>28</v>
      </c>
      <c r="F7321" t="s">
        <v>634</v>
      </c>
      <c r="G7321" t="s">
        <v>211</v>
      </c>
      <c r="H7321" t="s">
        <v>222</v>
      </c>
      <c r="I7321">
        <v>409.73</v>
      </c>
      <c r="J7321" s="7">
        <v>0</v>
      </c>
      <c r="K7321" s="97" t="e">
        <f>+L7321-#REF!</f>
        <v>#REF!</v>
      </c>
      <c r="L7321" s="34">
        <v>884</v>
      </c>
      <c r="M7321" s="91" t="e">
        <f t="shared" si="450"/>
        <v>#REF!</v>
      </c>
    </row>
    <row r="7322" spans="1:13" hidden="1" x14ac:dyDescent="0.3">
      <c r="A7322" s="9">
        <v>5030</v>
      </c>
      <c r="B7322" t="s">
        <v>221</v>
      </c>
      <c r="C7322" s="25">
        <v>44708</v>
      </c>
      <c r="D7322" s="26">
        <v>0.81483796296296296</v>
      </c>
      <c r="E7322" t="s">
        <v>28</v>
      </c>
      <c r="F7322" t="s">
        <v>645</v>
      </c>
      <c r="G7322" t="s">
        <v>279</v>
      </c>
      <c r="H7322" t="s">
        <v>222</v>
      </c>
      <c r="I7322">
        <v>296.82</v>
      </c>
      <c r="J7322" s="34">
        <v>0</v>
      </c>
      <c r="K7322" s="97">
        <f>+L7322-J7581</f>
        <v>714</v>
      </c>
      <c r="L7322" s="34">
        <v>714</v>
      </c>
      <c r="M7322" s="118">
        <f t="shared" si="450"/>
        <v>41.571428571428569</v>
      </c>
    </row>
    <row r="7323" spans="1:13" hidden="1" x14ac:dyDescent="0.3">
      <c r="A7323" s="9">
        <v>5148</v>
      </c>
      <c r="B7323" t="s">
        <v>221</v>
      </c>
      <c r="C7323" s="25">
        <v>44710</v>
      </c>
      <c r="D7323" s="26">
        <v>0.50587962962962962</v>
      </c>
      <c r="E7323" t="s">
        <v>28</v>
      </c>
      <c r="F7323" t="s">
        <v>667</v>
      </c>
      <c r="G7323" t="s">
        <v>429</v>
      </c>
      <c r="H7323" t="s">
        <v>222</v>
      </c>
      <c r="I7323">
        <v>100.5</v>
      </c>
      <c r="J7323" s="7">
        <v>0</v>
      </c>
      <c r="K7323" s="90" t="e">
        <f>+L7323-#REF!</f>
        <v>#REF!</v>
      </c>
      <c r="L7323" s="7">
        <v>1282</v>
      </c>
      <c r="M7323" s="36" t="e">
        <f t="shared" si="450"/>
        <v>#REF!</v>
      </c>
    </row>
    <row r="7324" spans="1:13" hidden="1" x14ac:dyDescent="0.3">
      <c r="A7324" s="9">
        <v>5279</v>
      </c>
      <c r="B7324" t="s">
        <v>221</v>
      </c>
      <c r="C7324" s="25">
        <v>44713</v>
      </c>
      <c r="D7324" s="26">
        <v>0.81835648148148143</v>
      </c>
      <c r="E7324" t="s">
        <v>29</v>
      </c>
      <c r="F7324" t="s">
        <v>679</v>
      </c>
      <c r="G7324" t="s">
        <v>392</v>
      </c>
      <c r="H7324" t="s">
        <v>222</v>
      </c>
      <c r="I7324">
        <v>200</v>
      </c>
      <c r="J7324" s="32">
        <v>0</v>
      </c>
      <c r="K7324" s="90" t="e">
        <f>+L7324-#REF!</f>
        <v>#REF!</v>
      </c>
      <c r="L7324" s="7">
        <v>431</v>
      </c>
      <c r="M7324" s="36" t="e">
        <f t="shared" si="450"/>
        <v>#REF!</v>
      </c>
    </row>
    <row r="7325" spans="1:13" hidden="1" x14ac:dyDescent="0.3">
      <c r="A7325" s="9">
        <v>5342</v>
      </c>
      <c r="B7325" t="s">
        <v>221</v>
      </c>
      <c r="C7325" s="25">
        <v>44714</v>
      </c>
      <c r="D7325" s="26">
        <v>0.71290509259259249</v>
      </c>
      <c r="E7325" t="s">
        <v>29</v>
      </c>
      <c r="F7325" t="s">
        <v>672</v>
      </c>
      <c r="G7325" t="s">
        <v>367</v>
      </c>
      <c r="H7325" t="s">
        <v>222</v>
      </c>
      <c r="I7325">
        <v>100</v>
      </c>
      <c r="J7325" s="37">
        <v>0</v>
      </c>
      <c r="K7325" s="97" t="e">
        <f>+L7325-#REF!</f>
        <v>#REF!</v>
      </c>
      <c r="L7325" s="34">
        <v>642</v>
      </c>
      <c r="M7325" s="36" t="e">
        <f t="shared" si="450"/>
        <v>#REF!</v>
      </c>
    </row>
    <row r="7326" spans="1:13" hidden="1" x14ac:dyDescent="0.3">
      <c r="A7326" s="9">
        <v>5343</v>
      </c>
      <c r="B7326" t="s">
        <v>221</v>
      </c>
      <c r="C7326" s="25">
        <v>44714</v>
      </c>
      <c r="D7326" s="26">
        <v>0.83461805555555557</v>
      </c>
      <c r="E7326" t="s">
        <v>29</v>
      </c>
      <c r="F7326" t="s">
        <v>632</v>
      </c>
      <c r="G7326" t="s">
        <v>161</v>
      </c>
      <c r="H7326" t="s">
        <v>222</v>
      </c>
      <c r="I7326">
        <v>430.79</v>
      </c>
      <c r="J7326" s="32">
        <v>0</v>
      </c>
      <c r="K7326" s="90">
        <f>+L7326-J7581</f>
        <v>123</v>
      </c>
      <c r="L7326" s="7">
        <v>123</v>
      </c>
      <c r="M7326" s="36">
        <f t="shared" si="450"/>
        <v>350.23577235772359</v>
      </c>
    </row>
    <row r="7327" spans="1:13" hidden="1" x14ac:dyDescent="0.3">
      <c r="A7327" s="9">
        <v>5406</v>
      </c>
      <c r="B7327" t="s">
        <v>221</v>
      </c>
      <c r="C7327" s="25">
        <v>44715</v>
      </c>
      <c r="D7327" s="26">
        <v>0.69203703703703701</v>
      </c>
      <c r="E7327" t="s">
        <v>29</v>
      </c>
      <c r="F7327" t="s">
        <v>635</v>
      </c>
      <c r="G7327" t="s">
        <v>185</v>
      </c>
      <c r="H7327" t="s">
        <v>222</v>
      </c>
      <c r="I7327">
        <v>290.45</v>
      </c>
      <c r="J7327" s="32">
        <v>0</v>
      </c>
      <c r="K7327" s="90">
        <f>+L7327-J7578</f>
        <v>628</v>
      </c>
      <c r="L7327" s="7">
        <v>628</v>
      </c>
      <c r="M7327" s="36">
        <f t="shared" si="450"/>
        <v>46.25</v>
      </c>
    </row>
    <row r="7328" spans="1:13" hidden="1" x14ac:dyDescent="0.3">
      <c r="A7328" s="9">
        <v>5456</v>
      </c>
      <c r="B7328" t="s">
        <v>221</v>
      </c>
      <c r="C7328" s="25">
        <v>44716</v>
      </c>
      <c r="D7328" s="26">
        <v>3.246527777777778E-2</v>
      </c>
      <c r="E7328" t="s">
        <v>29</v>
      </c>
      <c r="F7328" t="s">
        <v>632</v>
      </c>
      <c r="G7328" t="s">
        <v>161</v>
      </c>
      <c r="H7328" t="s">
        <v>222</v>
      </c>
      <c r="I7328">
        <v>178.48</v>
      </c>
      <c r="J7328" s="32">
        <v>0</v>
      </c>
      <c r="K7328" s="90">
        <f>+L7328-J7579</f>
        <v>-942</v>
      </c>
      <c r="L7328" s="7">
        <v>566</v>
      </c>
      <c r="M7328" s="36">
        <f t="shared" si="450"/>
        <v>-18.946921443736731</v>
      </c>
    </row>
    <row r="7329" spans="1:13" hidden="1" x14ac:dyDescent="0.3">
      <c r="A7329" s="9">
        <v>5553</v>
      </c>
      <c r="B7329" t="s">
        <v>221</v>
      </c>
      <c r="C7329" s="25">
        <v>44718</v>
      </c>
      <c r="D7329" s="26">
        <v>0.3175694444444444</v>
      </c>
      <c r="E7329" t="s">
        <v>29</v>
      </c>
      <c r="F7329" t="s">
        <v>638</v>
      </c>
      <c r="G7329" t="s">
        <v>263</v>
      </c>
      <c r="H7329" t="s">
        <v>222</v>
      </c>
      <c r="I7329">
        <v>200</v>
      </c>
      <c r="J7329" s="32">
        <v>0</v>
      </c>
      <c r="K7329" s="90">
        <f>+L7329-J6900</f>
        <v>795</v>
      </c>
      <c r="L7329" s="7">
        <v>795</v>
      </c>
      <c r="M7329" s="36">
        <f t="shared" si="450"/>
        <v>25.157232704402517</v>
      </c>
    </row>
    <row r="7330" spans="1:13" hidden="1" x14ac:dyDescent="0.3">
      <c r="A7330" s="9">
        <v>5596</v>
      </c>
      <c r="B7330" t="s">
        <v>221</v>
      </c>
      <c r="C7330" s="25">
        <v>44719</v>
      </c>
      <c r="D7330" s="26">
        <v>0.90854166666666669</v>
      </c>
      <c r="E7330" t="s">
        <v>29</v>
      </c>
      <c r="F7330" t="s">
        <v>634</v>
      </c>
      <c r="G7330" t="s">
        <v>211</v>
      </c>
      <c r="H7330" t="s">
        <v>222</v>
      </c>
      <c r="I7330">
        <v>461.5</v>
      </c>
      <c r="J7330" s="34">
        <v>0</v>
      </c>
      <c r="K7330" s="97">
        <f>+L7330-J6895</f>
        <v>927</v>
      </c>
      <c r="L7330" s="34">
        <v>927</v>
      </c>
      <c r="M7330" s="36">
        <f t="shared" si="450"/>
        <v>49.784250269687163</v>
      </c>
    </row>
    <row r="7331" spans="1:13" hidden="1" x14ac:dyDescent="0.3">
      <c r="A7331" s="9">
        <v>5715</v>
      </c>
      <c r="B7331" t="s">
        <v>221</v>
      </c>
      <c r="C7331" s="25">
        <v>44721</v>
      </c>
      <c r="D7331" s="26">
        <v>0.953125</v>
      </c>
      <c r="E7331" t="s">
        <v>29</v>
      </c>
      <c r="F7331" t="s">
        <v>634</v>
      </c>
      <c r="G7331" t="s">
        <v>211</v>
      </c>
      <c r="H7331" t="s">
        <v>222</v>
      </c>
      <c r="I7331">
        <v>490.39</v>
      </c>
      <c r="J7331" s="7">
        <v>0</v>
      </c>
      <c r="K7331" s="90">
        <f>+L7331-J6897</f>
        <v>1115</v>
      </c>
      <c r="L7331" s="7">
        <v>1115</v>
      </c>
      <c r="M7331" s="36">
        <f t="shared" si="450"/>
        <v>43.98116591928251</v>
      </c>
    </row>
    <row r="7332" spans="1:13" hidden="1" x14ac:dyDescent="0.3">
      <c r="A7332" s="9">
        <v>5979</v>
      </c>
      <c r="B7332" t="s">
        <v>221</v>
      </c>
      <c r="C7332" s="25">
        <v>44726</v>
      </c>
      <c r="D7332" s="26">
        <v>0.51793981481481477</v>
      </c>
      <c r="E7332" t="s">
        <v>29</v>
      </c>
      <c r="F7332" t="s">
        <v>651</v>
      </c>
      <c r="G7332" t="s">
        <v>172</v>
      </c>
      <c r="H7332" t="s">
        <v>222</v>
      </c>
      <c r="I7332">
        <v>447.51</v>
      </c>
      <c r="J7332" s="32">
        <v>0</v>
      </c>
      <c r="K7332" s="90">
        <v>995</v>
      </c>
      <c r="L7332" s="7">
        <v>995</v>
      </c>
      <c r="M7332" s="36">
        <f t="shared" si="450"/>
        <v>44.975879396984922</v>
      </c>
    </row>
    <row r="7333" spans="1:13" hidden="1" x14ac:dyDescent="0.3">
      <c r="A7333" s="9">
        <v>6045</v>
      </c>
      <c r="B7333" t="s">
        <v>221</v>
      </c>
      <c r="C7333" s="25">
        <v>44727</v>
      </c>
      <c r="D7333" s="26">
        <v>0.62747685185185187</v>
      </c>
      <c r="E7333" t="s">
        <v>29</v>
      </c>
      <c r="F7333" t="s">
        <v>634</v>
      </c>
      <c r="G7333" t="s">
        <v>211</v>
      </c>
      <c r="H7333" t="s">
        <v>222</v>
      </c>
      <c r="I7333">
        <v>341.86</v>
      </c>
      <c r="J7333" s="32">
        <v>0</v>
      </c>
      <c r="K7333" s="90">
        <v>854</v>
      </c>
      <c r="L7333" s="7">
        <v>854</v>
      </c>
      <c r="M7333" s="36">
        <f t="shared" si="450"/>
        <v>40.030444964871201</v>
      </c>
    </row>
    <row r="7334" spans="1:13" hidden="1" x14ac:dyDescent="0.3">
      <c r="A7334" s="9">
        <v>6155</v>
      </c>
      <c r="B7334" t="s">
        <v>221</v>
      </c>
      <c r="C7334" s="25">
        <v>44729</v>
      </c>
      <c r="D7334" s="26">
        <v>4.1412037037037039E-2</v>
      </c>
      <c r="E7334" t="s">
        <v>29</v>
      </c>
      <c r="F7334" t="s">
        <v>634</v>
      </c>
      <c r="G7334" t="s">
        <v>211</v>
      </c>
      <c r="H7334" t="s">
        <v>222</v>
      </c>
      <c r="I7334" s="148">
        <v>347.57</v>
      </c>
      <c r="J7334" s="32">
        <v>0</v>
      </c>
      <c r="K7334" s="90">
        <v>910</v>
      </c>
      <c r="L7334" s="7">
        <v>910</v>
      </c>
      <c r="M7334" s="36">
        <f t="shared" si="450"/>
        <v>38.194505494505492</v>
      </c>
    </row>
    <row r="7335" spans="1:13" hidden="1" x14ac:dyDescent="0.3">
      <c r="A7335" s="9">
        <v>6208</v>
      </c>
      <c r="B7335" t="s">
        <v>221</v>
      </c>
      <c r="C7335" s="25">
        <v>44730</v>
      </c>
      <c r="D7335" s="26">
        <v>0.50488425925925928</v>
      </c>
      <c r="E7335" t="s">
        <v>29</v>
      </c>
      <c r="F7335" t="s">
        <v>639</v>
      </c>
      <c r="G7335" t="s">
        <v>44</v>
      </c>
      <c r="H7335" t="s">
        <v>222</v>
      </c>
      <c r="I7335" s="148">
        <v>134.77000000000001</v>
      </c>
      <c r="J7335" s="32">
        <v>0</v>
      </c>
      <c r="K7335" s="90">
        <v>1141</v>
      </c>
      <c r="L7335" s="7">
        <v>1141</v>
      </c>
      <c r="M7335" s="36">
        <f t="shared" si="450"/>
        <v>11.811568799298861</v>
      </c>
    </row>
    <row r="7336" spans="1:13" hidden="1" x14ac:dyDescent="0.3">
      <c r="A7336" s="9">
        <v>6238</v>
      </c>
      <c r="B7336" t="s">
        <v>221</v>
      </c>
      <c r="C7336" s="25">
        <v>44731</v>
      </c>
      <c r="D7336" s="26">
        <v>0.42458333333333331</v>
      </c>
      <c r="E7336" t="s">
        <v>29</v>
      </c>
      <c r="F7336" t="s">
        <v>632</v>
      </c>
      <c r="G7336" t="s">
        <v>161</v>
      </c>
      <c r="H7336" t="s">
        <v>222</v>
      </c>
      <c r="I7336" s="148">
        <v>478.82</v>
      </c>
      <c r="J7336" s="32">
        <v>0</v>
      </c>
      <c r="K7336" s="95">
        <v>514</v>
      </c>
      <c r="L7336" s="7">
        <v>514</v>
      </c>
      <c r="M7336" s="91">
        <f t="shared" si="450"/>
        <v>93.155642023346303</v>
      </c>
    </row>
    <row r="7337" spans="1:13" hidden="1" x14ac:dyDescent="0.3">
      <c r="A7337" s="9">
        <v>6264</v>
      </c>
      <c r="B7337" t="s">
        <v>221</v>
      </c>
      <c r="C7337" s="25">
        <v>44732</v>
      </c>
      <c r="D7337" s="26">
        <v>0.35435185185185186</v>
      </c>
      <c r="E7337" t="s">
        <v>29</v>
      </c>
      <c r="F7337" t="s">
        <v>645</v>
      </c>
      <c r="G7337" t="s">
        <v>279</v>
      </c>
      <c r="H7337" t="s">
        <v>222</v>
      </c>
      <c r="I7337" s="148">
        <v>273.67</v>
      </c>
      <c r="J7337" s="32">
        <v>0</v>
      </c>
      <c r="K7337" s="90">
        <v>644</v>
      </c>
      <c r="L7337" s="34">
        <v>644</v>
      </c>
      <c r="M7337" s="36">
        <f t="shared" si="450"/>
        <v>42.495341614906835</v>
      </c>
    </row>
    <row r="7338" spans="1:13" hidden="1" x14ac:dyDescent="0.3">
      <c r="A7338" s="9">
        <v>6296</v>
      </c>
      <c r="B7338" t="s">
        <v>221</v>
      </c>
      <c r="C7338" s="25">
        <v>44733</v>
      </c>
      <c r="D7338" s="26">
        <v>0.83664351851851848</v>
      </c>
      <c r="E7338" t="s">
        <v>29</v>
      </c>
      <c r="F7338" t="s">
        <v>645</v>
      </c>
      <c r="G7338" t="s">
        <v>279</v>
      </c>
      <c r="H7338" t="s">
        <v>222</v>
      </c>
      <c r="I7338" s="148">
        <v>459.08</v>
      </c>
      <c r="J7338" s="32">
        <v>0</v>
      </c>
      <c r="K7338" s="90">
        <v>1260</v>
      </c>
      <c r="L7338" s="7">
        <v>1260</v>
      </c>
      <c r="M7338" s="36">
        <f t="shared" si="450"/>
        <v>36.43492063492063</v>
      </c>
    </row>
    <row r="7339" spans="1:13" hidden="1" x14ac:dyDescent="0.3">
      <c r="A7339" s="9">
        <v>6334</v>
      </c>
      <c r="B7339" t="s">
        <v>221</v>
      </c>
      <c r="C7339" s="25">
        <v>44734</v>
      </c>
      <c r="D7339" s="26">
        <v>0.87541666666666673</v>
      </c>
      <c r="E7339" t="s">
        <v>29</v>
      </c>
      <c r="F7339" t="s">
        <v>634</v>
      </c>
      <c r="G7339" t="s">
        <v>211</v>
      </c>
      <c r="H7339" t="s">
        <v>222</v>
      </c>
      <c r="I7339" s="148">
        <v>258.51</v>
      </c>
      <c r="J7339" s="32">
        <v>0</v>
      </c>
      <c r="K7339" s="90">
        <v>712</v>
      </c>
      <c r="L7339" s="7">
        <v>712</v>
      </c>
      <c r="M7339" s="91">
        <f t="shared" si="450"/>
        <v>36.307584269662918</v>
      </c>
    </row>
    <row r="7340" spans="1:13" hidden="1" x14ac:dyDescent="0.3">
      <c r="A7340" s="9">
        <v>6427</v>
      </c>
      <c r="B7340" t="s">
        <v>221</v>
      </c>
      <c r="C7340" s="25">
        <v>44736</v>
      </c>
      <c r="D7340" s="26">
        <v>0.28418981481481481</v>
      </c>
      <c r="E7340" t="s">
        <v>29</v>
      </c>
      <c r="F7340" t="s">
        <v>638</v>
      </c>
      <c r="G7340" t="s">
        <v>263</v>
      </c>
      <c r="H7340" t="s">
        <v>222</v>
      </c>
      <c r="I7340" s="148">
        <v>200.02</v>
      </c>
      <c r="J7340" s="32">
        <v>0</v>
      </c>
      <c r="K7340" s="90">
        <v>875</v>
      </c>
      <c r="L7340" s="7">
        <v>875</v>
      </c>
      <c r="M7340" s="91">
        <f t="shared" si="450"/>
        <v>22.859428571428573</v>
      </c>
    </row>
    <row r="7341" spans="1:13" hidden="1" x14ac:dyDescent="0.3">
      <c r="A7341" s="9">
        <v>6491</v>
      </c>
      <c r="B7341" t="s">
        <v>221</v>
      </c>
      <c r="C7341" s="25">
        <v>44737</v>
      </c>
      <c r="D7341" s="26">
        <v>0.57144675925925925</v>
      </c>
      <c r="E7341" t="s">
        <v>29</v>
      </c>
      <c r="F7341" t="s">
        <v>634</v>
      </c>
      <c r="G7341" t="s">
        <v>211</v>
      </c>
      <c r="H7341" t="s">
        <v>222</v>
      </c>
      <c r="I7341" s="148">
        <v>495.89</v>
      </c>
      <c r="J7341" s="38">
        <v>0</v>
      </c>
      <c r="K7341" s="99">
        <v>922</v>
      </c>
      <c r="L7341" s="35">
        <v>922</v>
      </c>
      <c r="M7341" s="139">
        <f t="shared" si="450"/>
        <v>53.784164859002168</v>
      </c>
    </row>
    <row r="7342" spans="1:13" hidden="1" x14ac:dyDescent="0.3">
      <c r="B7342" t="s">
        <v>348</v>
      </c>
      <c r="C7342" s="25">
        <v>44768</v>
      </c>
      <c r="D7342" s="26">
        <v>0.29243055555555558</v>
      </c>
      <c r="E7342" t="s">
        <v>30</v>
      </c>
      <c r="F7342" t="s">
        <v>311</v>
      </c>
      <c r="G7342" t="s">
        <v>303</v>
      </c>
      <c r="H7342" t="s">
        <v>204</v>
      </c>
      <c r="I7342" s="160">
        <v>175</v>
      </c>
      <c r="J7342" s="8"/>
      <c r="K7342" s="8"/>
      <c r="L7342" s="8"/>
      <c r="M7342" s="254"/>
    </row>
    <row r="7343" spans="1:13" ht="14.25" hidden="1" customHeight="1" x14ac:dyDescent="0.3">
      <c r="A7343" s="9">
        <v>454</v>
      </c>
      <c r="B7343" t="s">
        <v>439</v>
      </c>
      <c r="C7343" s="25">
        <v>44608</v>
      </c>
      <c r="D7343" s="26">
        <v>0.73187500000000005</v>
      </c>
      <c r="E7343" t="s">
        <v>25</v>
      </c>
      <c r="F7343" t="s">
        <v>175</v>
      </c>
      <c r="G7343" t="s">
        <v>172</v>
      </c>
      <c r="H7343" t="s">
        <v>207</v>
      </c>
      <c r="I7343">
        <v>335.36</v>
      </c>
      <c r="J7343" s="34">
        <v>0</v>
      </c>
      <c r="K7343" s="34">
        <f t="shared" ref="K7343:K7375" si="451">+L7343-J7343</f>
        <v>939.85</v>
      </c>
      <c r="L7343" s="30">
        <v>939.85</v>
      </c>
      <c r="M7343" s="132">
        <f t="shared" ref="M7343:M7375" si="452">I7343/K7343*100</f>
        <v>35.682289727084111</v>
      </c>
    </row>
    <row r="7344" spans="1:13" hidden="1" x14ac:dyDescent="0.3">
      <c r="A7344" s="9">
        <v>455</v>
      </c>
      <c r="B7344" t="s">
        <v>439</v>
      </c>
      <c r="C7344" s="25">
        <v>44609</v>
      </c>
      <c r="D7344" s="26">
        <v>0.64990740740740738</v>
      </c>
      <c r="E7344" t="s">
        <v>25</v>
      </c>
      <c r="F7344" t="s">
        <v>210</v>
      </c>
      <c r="G7344" t="s">
        <v>211</v>
      </c>
      <c r="H7344" t="s">
        <v>207</v>
      </c>
      <c r="I7344">
        <v>322.05</v>
      </c>
      <c r="J7344" s="34">
        <v>0</v>
      </c>
      <c r="K7344" s="34">
        <f t="shared" si="451"/>
        <v>809.98</v>
      </c>
      <c r="L7344" s="37">
        <v>809.98</v>
      </c>
      <c r="M7344" s="118">
        <f t="shared" si="452"/>
        <v>39.760240993604782</v>
      </c>
    </row>
    <row r="7345" spans="1:13" hidden="1" x14ac:dyDescent="0.3">
      <c r="A7345" s="9">
        <v>456</v>
      </c>
      <c r="B7345" t="s">
        <v>439</v>
      </c>
      <c r="C7345" s="25">
        <v>44610</v>
      </c>
      <c r="D7345" s="26">
        <v>0.70579861111111108</v>
      </c>
      <c r="E7345" t="s">
        <v>25</v>
      </c>
      <c r="F7345" t="s">
        <v>210</v>
      </c>
      <c r="G7345" t="s">
        <v>211</v>
      </c>
      <c r="H7345" t="s">
        <v>207</v>
      </c>
      <c r="I7345">
        <v>390.94</v>
      </c>
      <c r="J7345" s="7">
        <v>0</v>
      </c>
      <c r="K7345" s="7">
        <f t="shared" si="451"/>
        <v>1056.6099999999999</v>
      </c>
      <c r="L7345" s="32">
        <v>1056.6099999999999</v>
      </c>
      <c r="M7345" s="91">
        <f t="shared" si="452"/>
        <v>36.99946053889326</v>
      </c>
    </row>
    <row r="7346" spans="1:13" hidden="1" x14ac:dyDescent="0.3">
      <c r="A7346" s="9">
        <v>599</v>
      </c>
      <c r="B7346" t="s">
        <v>439</v>
      </c>
      <c r="C7346" s="25">
        <v>44604</v>
      </c>
      <c r="D7346" s="26">
        <v>0.34962962962962968</v>
      </c>
      <c r="E7346" t="s">
        <v>25</v>
      </c>
      <c r="F7346" t="s">
        <v>241</v>
      </c>
      <c r="G7346" t="s">
        <v>242</v>
      </c>
      <c r="H7346" t="s">
        <v>440</v>
      </c>
      <c r="I7346">
        <v>300</v>
      </c>
      <c r="J7346" s="37">
        <v>0</v>
      </c>
      <c r="K7346" s="37">
        <f t="shared" si="451"/>
        <v>0</v>
      </c>
      <c r="L7346" s="37"/>
      <c r="M7346" s="132" t="e">
        <f t="shared" si="452"/>
        <v>#DIV/0!</v>
      </c>
    </row>
    <row r="7347" spans="1:13" hidden="1" x14ac:dyDescent="0.3">
      <c r="A7347" s="9">
        <v>600</v>
      </c>
      <c r="B7347" t="s">
        <v>439</v>
      </c>
      <c r="C7347" s="25">
        <v>44604</v>
      </c>
      <c r="D7347" s="26">
        <v>0.54961805555555554</v>
      </c>
      <c r="E7347" t="s">
        <v>25</v>
      </c>
      <c r="F7347" t="s">
        <v>175</v>
      </c>
      <c r="G7347" t="s">
        <v>172</v>
      </c>
      <c r="H7347" t="s">
        <v>440</v>
      </c>
      <c r="I7347">
        <v>319.74</v>
      </c>
      <c r="J7347" s="32">
        <v>0</v>
      </c>
      <c r="K7347" s="32">
        <f t="shared" si="451"/>
        <v>323.33999999999997</v>
      </c>
      <c r="L7347" s="32">
        <v>323.33999999999997</v>
      </c>
      <c r="M7347" s="91">
        <f t="shared" si="452"/>
        <v>98.886620894414563</v>
      </c>
    </row>
    <row r="7348" spans="1:13" hidden="1" x14ac:dyDescent="0.3">
      <c r="A7348" s="9">
        <v>601</v>
      </c>
      <c r="B7348" t="s">
        <v>439</v>
      </c>
      <c r="C7348" s="25">
        <v>44605</v>
      </c>
      <c r="D7348" s="26">
        <v>0.54744212962962957</v>
      </c>
      <c r="E7348" t="s">
        <v>25</v>
      </c>
      <c r="F7348" t="s">
        <v>210</v>
      </c>
      <c r="G7348" t="s">
        <v>211</v>
      </c>
      <c r="H7348" t="s">
        <v>440</v>
      </c>
      <c r="I7348">
        <v>280.04000000000002</v>
      </c>
      <c r="J7348" s="32">
        <v>0</v>
      </c>
      <c r="K7348" s="32">
        <f t="shared" si="451"/>
        <v>705</v>
      </c>
      <c r="L7348" s="32">
        <v>705</v>
      </c>
      <c r="M7348" s="91">
        <f t="shared" si="452"/>
        <v>39.721985815602842</v>
      </c>
    </row>
    <row r="7349" spans="1:13" hidden="1" x14ac:dyDescent="0.3">
      <c r="A7349" s="9">
        <v>602</v>
      </c>
      <c r="B7349" t="s">
        <v>439</v>
      </c>
      <c r="C7349" s="25">
        <v>44607</v>
      </c>
      <c r="D7349" s="26">
        <v>7.9664351851851847E-2</v>
      </c>
      <c r="E7349" t="s">
        <v>25</v>
      </c>
      <c r="F7349" t="s">
        <v>210</v>
      </c>
      <c r="G7349" t="s">
        <v>211</v>
      </c>
      <c r="H7349" t="s">
        <v>440</v>
      </c>
      <c r="I7349">
        <v>431.74</v>
      </c>
      <c r="J7349" s="37">
        <v>0</v>
      </c>
      <c r="K7349" s="37">
        <f t="shared" si="451"/>
        <v>1075.1199999999999</v>
      </c>
      <c r="L7349" s="69">
        <v>1075.1199999999999</v>
      </c>
      <c r="M7349" s="91">
        <f t="shared" si="452"/>
        <v>40.157377781084911</v>
      </c>
    </row>
    <row r="7350" spans="1:13" hidden="1" x14ac:dyDescent="0.3">
      <c r="A7350" s="9">
        <v>911</v>
      </c>
      <c r="B7350" t="s">
        <v>439</v>
      </c>
      <c r="C7350" s="25">
        <v>44614</v>
      </c>
      <c r="D7350" s="26">
        <v>0.67420138888888881</v>
      </c>
      <c r="E7350" t="s">
        <v>25</v>
      </c>
      <c r="F7350" t="s">
        <v>456</v>
      </c>
      <c r="G7350" t="s">
        <v>457</v>
      </c>
      <c r="H7350" t="s">
        <v>119</v>
      </c>
      <c r="I7350">
        <v>100.03</v>
      </c>
      <c r="J7350" s="23"/>
      <c r="K7350" s="23">
        <f t="shared" si="451"/>
        <v>0</v>
      </c>
      <c r="L7350" s="8"/>
      <c r="M7350" s="121" t="e">
        <f t="shared" si="452"/>
        <v>#DIV/0!</v>
      </c>
    </row>
    <row r="7351" spans="1:13" hidden="1" x14ac:dyDescent="0.3">
      <c r="A7351" s="9">
        <v>912</v>
      </c>
      <c r="B7351" t="s">
        <v>439</v>
      </c>
      <c r="C7351" s="25">
        <v>44614</v>
      </c>
      <c r="D7351" s="26">
        <v>0.81254629629629627</v>
      </c>
      <c r="E7351" t="s">
        <v>25</v>
      </c>
      <c r="F7351" t="s">
        <v>166</v>
      </c>
      <c r="G7351" t="s">
        <v>161</v>
      </c>
      <c r="H7351" t="s">
        <v>119</v>
      </c>
      <c r="I7351">
        <v>50</v>
      </c>
      <c r="J7351" s="44"/>
      <c r="K7351" s="44">
        <f t="shared" si="451"/>
        <v>0</v>
      </c>
      <c r="L7351" s="44"/>
      <c r="M7351" s="134" t="e">
        <f t="shared" si="452"/>
        <v>#DIV/0!</v>
      </c>
    </row>
    <row r="7352" spans="1:13" hidden="1" x14ac:dyDescent="0.3">
      <c r="A7352" s="9">
        <v>913</v>
      </c>
      <c r="B7352" t="s">
        <v>439</v>
      </c>
      <c r="C7352" s="25">
        <v>44614</v>
      </c>
      <c r="D7352" s="26">
        <v>0.87006944444444445</v>
      </c>
      <c r="E7352" t="s">
        <v>25</v>
      </c>
      <c r="F7352" t="s">
        <v>210</v>
      </c>
      <c r="G7352" t="s">
        <v>211</v>
      </c>
      <c r="H7352" t="s">
        <v>119</v>
      </c>
      <c r="I7352">
        <v>558.76</v>
      </c>
      <c r="J7352" s="44"/>
      <c r="K7352">
        <f t="shared" si="451"/>
        <v>0</v>
      </c>
      <c r="L7352"/>
      <c r="M7352" s="134" t="e">
        <f t="shared" si="452"/>
        <v>#DIV/0!</v>
      </c>
    </row>
    <row r="7353" spans="1:13" hidden="1" x14ac:dyDescent="0.3">
      <c r="A7353" s="9">
        <v>914</v>
      </c>
      <c r="B7353" t="s">
        <v>439</v>
      </c>
      <c r="C7353" s="25">
        <v>44616</v>
      </c>
      <c r="D7353" s="26">
        <v>0.4765625</v>
      </c>
      <c r="E7353" t="s">
        <v>25</v>
      </c>
      <c r="F7353" t="s">
        <v>210</v>
      </c>
      <c r="G7353" t="s">
        <v>211</v>
      </c>
      <c r="H7353" t="s">
        <v>119</v>
      </c>
      <c r="I7353">
        <v>446.68</v>
      </c>
      <c r="J7353" s="8"/>
      <c r="K7353" s="8">
        <f t="shared" si="451"/>
        <v>0</v>
      </c>
      <c r="L7353" s="8"/>
      <c r="M7353" s="91" t="e">
        <f t="shared" si="452"/>
        <v>#DIV/0!</v>
      </c>
    </row>
    <row r="7354" spans="1:13" hidden="1" x14ac:dyDescent="0.3">
      <c r="A7354" s="9">
        <v>915</v>
      </c>
      <c r="B7354" t="s">
        <v>439</v>
      </c>
      <c r="C7354" s="25">
        <v>44616</v>
      </c>
      <c r="D7354" s="26">
        <v>0.4765625</v>
      </c>
      <c r="E7354" t="s">
        <v>25</v>
      </c>
      <c r="F7354" t="s">
        <v>210</v>
      </c>
      <c r="G7354" t="s">
        <v>211</v>
      </c>
      <c r="H7354" t="s">
        <v>119</v>
      </c>
      <c r="I7354">
        <v>446.68</v>
      </c>
      <c r="J7354" s="8"/>
      <c r="K7354" s="8">
        <f t="shared" si="451"/>
        <v>0</v>
      </c>
      <c r="L7354" s="8"/>
      <c r="M7354" s="91" t="e">
        <f t="shared" si="452"/>
        <v>#DIV/0!</v>
      </c>
    </row>
    <row r="7355" spans="1:13" hidden="1" x14ac:dyDescent="0.3">
      <c r="A7355" s="9">
        <v>916</v>
      </c>
      <c r="B7355" t="s">
        <v>439</v>
      </c>
      <c r="C7355" s="25">
        <v>44617</v>
      </c>
      <c r="D7355" s="26">
        <v>0.85304398148148142</v>
      </c>
      <c r="E7355" t="s">
        <v>25</v>
      </c>
      <c r="F7355" t="s">
        <v>419</v>
      </c>
      <c r="G7355" t="s">
        <v>238</v>
      </c>
      <c r="H7355" t="s">
        <v>119</v>
      </c>
      <c r="I7355">
        <v>402.16</v>
      </c>
      <c r="J7355" s="44"/>
      <c r="K7355" s="44">
        <f t="shared" si="451"/>
        <v>0</v>
      </c>
      <c r="L7355" s="45"/>
      <c r="M7355" s="132" t="e">
        <f t="shared" si="452"/>
        <v>#DIV/0!</v>
      </c>
    </row>
    <row r="7356" spans="1:13" hidden="1" x14ac:dyDescent="0.3">
      <c r="A7356" s="9">
        <v>917</v>
      </c>
      <c r="B7356" t="s">
        <v>439</v>
      </c>
      <c r="C7356" s="25">
        <v>44618</v>
      </c>
      <c r="D7356" s="26">
        <v>0.9056481481481482</v>
      </c>
      <c r="E7356" t="s">
        <v>25</v>
      </c>
      <c r="F7356" t="s">
        <v>210</v>
      </c>
      <c r="G7356" t="s">
        <v>211</v>
      </c>
      <c r="H7356" t="s">
        <v>119</v>
      </c>
      <c r="I7356">
        <v>304.58999999999997</v>
      </c>
      <c r="J7356" s="8"/>
      <c r="K7356" s="8">
        <f t="shared" si="451"/>
        <v>0</v>
      </c>
      <c r="L7356" s="8"/>
      <c r="M7356" s="91" t="e">
        <f t="shared" si="452"/>
        <v>#DIV/0!</v>
      </c>
    </row>
    <row r="7357" spans="1:13" hidden="1" x14ac:dyDescent="0.3">
      <c r="A7357" s="9">
        <v>918</v>
      </c>
      <c r="B7357" t="s">
        <v>439</v>
      </c>
      <c r="C7357" s="25">
        <v>44620</v>
      </c>
      <c r="D7357" s="26">
        <v>0.59085648148148151</v>
      </c>
      <c r="E7357" t="s">
        <v>25</v>
      </c>
      <c r="F7357" t="s">
        <v>376</v>
      </c>
      <c r="G7357" t="s">
        <v>377</v>
      </c>
      <c r="H7357" t="s">
        <v>119</v>
      </c>
      <c r="I7357">
        <v>529.46</v>
      </c>
      <c r="J7357" s="44"/>
      <c r="K7357" s="44">
        <f t="shared" si="451"/>
        <v>0</v>
      </c>
      <c r="L7357" s="44"/>
      <c r="M7357" s="132" t="e">
        <f t="shared" si="452"/>
        <v>#DIV/0!</v>
      </c>
    </row>
    <row r="7358" spans="1:13" hidden="1" x14ac:dyDescent="0.3">
      <c r="A7358" s="9">
        <v>1222</v>
      </c>
      <c r="B7358" t="s">
        <v>439</v>
      </c>
      <c r="C7358" s="25">
        <v>44603</v>
      </c>
      <c r="D7358" s="26">
        <v>0.84064814814814814</v>
      </c>
      <c r="E7358" t="s">
        <v>25</v>
      </c>
      <c r="F7358" t="s">
        <v>175</v>
      </c>
      <c r="G7358" t="s">
        <v>172</v>
      </c>
      <c r="H7358" t="s">
        <v>290</v>
      </c>
      <c r="I7358">
        <v>590.07000000000005</v>
      </c>
      <c r="J7358" s="7">
        <v>0</v>
      </c>
      <c r="K7358" s="7">
        <f t="shared" si="451"/>
        <v>904.8</v>
      </c>
      <c r="L7358" s="7">
        <v>904.8</v>
      </c>
      <c r="M7358" s="119">
        <f t="shared" si="452"/>
        <v>65.215517241379317</v>
      </c>
    </row>
    <row r="7359" spans="1:13" hidden="1" x14ac:dyDescent="0.3">
      <c r="A7359" s="9">
        <v>2072</v>
      </c>
      <c r="B7359" t="s">
        <v>439</v>
      </c>
      <c r="C7359" s="25">
        <v>44623</v>
      </c>
      <c r="D7359" s="26">
        <v>0.78518518518518521</v>
      </c>
      <c r="E7359" t="s">
        <v>26</v>
      </c>
      <c r="F7359" t="s">
        <v>210</v>
      </c>
      <c r="G7359" t="s">
        <v>211</v>
      </c>
      <c r="H7359" t="s">
        <v>119</v>
      </c>
      <c r="I7359">
        <v>537.24</v>
      </c>
      <c r="J7359" s="19"/>
      <c r="K7359" s="100">
        <f t="shared" si="451"/>
        <v>0</v>
      </c>
      <c r="L7359" s="47"/>
      <c r="M7359" s="91" t="e">
        <f t="shared" si="452"/>
        <v>#DIV/0!</v>
      </c>
    </row>
    <row r="7360" spans="1:13" hidden="1" x14ac:dyDescent="0.3">
      <c r="A7360" s="9">
        <v>2073</v>
      </c>
      <c r="B7360" t="s">
        <v>439</v>
      </c>
      <c r="C7360" s="25">
        <v>44629</v>
      </c>
      <c r="D7360" s="26">
        <v>0.85542824074074064</v>
      </c>
      <c r="E7360" t="s">
        <v>26</v>
      </c>
      <c r="F7360" t="s">
        <v>175</v>
      </c>
      <c r="G7360" t="s">
        <v>172</v>
      </c>
      <c r="H7360" t="s">
        <v>119</v>
      </c>
      <c r="I7360">
        <v>381.57</v>
      </c>
      <c r="J7360" s="19"/>
      <c r="K7360" s="90">
        <f t="shared" si="451"/>
        <v>0</v>
      </c>
      <c r="L7360" s="19"/>
      <c r="M7360" s="121" t="e">
        <f t="shared" si="452"/>
        <v>#DIV/0!</v>
      </c>
    </row>
    <row r="7361" spans="1:13" hidden="1" x14ac:dyDescent="0.3">
      <c r="A7361" s="9">
        <v>2074</v>
      </c>
      <c r="B7361" t="s">
        <v>439</v>
      </c>
      <c r="C7361" s="25">
        <v>44631</v>
      </c>
      <c r="D7361" s="26">
        <v>0.41062500000000002</v>
      </c>
      <c r="E7361" t="s">
        <v>26</v>
      </c>
      <c r="F7361" t="s">
        <v>175</v>
      </c>
      <c r="G7361" t="s">
        <v>172</v>
      </c>
      <c r="H7361" t="s">
        <v>119</v>
      </c>
      <c r="I7361">
        <v>306.93</v>
      </c>
      <c r="J7361" s="7">
        <v>0</v>
      </c>
      <c r="K7361" s="90">
        <f t="shared" si="451"/>
        <v>11</v>
      </c>
      <c r="L7361" s="32">
        <v>11</v>
      </c>
      <c r="M7361" s="121">
        <f t="shared" si="452"/>
        <v>2790.272727272727</v>
      </c>
    </row>
    <row r="7362" spans="1:13" hidden="1" x14ac:dyDescent="0.3">
      <c r="A7362" s="9">
        <v>2075</v>
      </c>
      <c r="B7362" t="s">
        <v>439</v>
      </c>
      <c r="C7362" s="25">
        <v>44632</v>
      </c>
      <c r="D7362" s="26">
        <v>0.54247685185185179</v>
      </c>
      <c r="E7362" t="s">
        <v>26</v>
      </c>
      <c r="F7362" t="s">
        <v>210</v>
      </c>
      <c r="G7362" t="s">
        <v>211</v>
      </c>
      <c r="H7362" t="s">
        <v>119</v>
      </c>
      <c r="I7362">
        <v>385.72</v>
      </c>
      <c r="J7362" s="34">
        <v>0</v>
      </c>
      <c r="K7362" s="90">
        <f t="shared" si="451"/>
        <v>863.29</v>
      </c>
      <c r="L7362" s="32">
        <v>863.29</v>
      </c>
      <c r="M7362" s="91">
        <f t="shared" si="452"/>
        <v>44.68023491526602</v>
      </c>
    </row>
    <row r="7363" spans="1:13" hidden="1" x14ac:dyDescent="0.3">
      <c r="A7363" s="9">
        <v>2076</v>
      </c>
      <c r="B7363" t="s">
        <v>439</v>
      </c>
      <c r="C7363" s="25">
        <v>44633</v>
      </c>
      <c r="D7363" s="26">
        <v>0.60239583333333335</v>
      </c>
      <c r="E7363" t="s">
        <v>26</v>
      </c>
      <c r="F7363" t="s">
        <v>210</v>
      </c>
      <c r="G7363" t="s">
        <v>211</v>
      </c>
      <c r="H7363" t="s">
        <v>119</v>
      </c>
      <c r="I7363">
        <v>331.07</v>
      </c>
      <c r="J7363" s="7">
        <v>0</v>
      </c>
      <c r="K7363" s="90">
        <f t="shared" si="451"/>
        <v>888.12</v>
      </c>
      <c r="L7363" s="32">
        <v>888.12</v>
      </c>
      <c r="M7363" s="133">
        <f t="shared" si="452"/>
        <v>37.277620141422332</v>
      </c>
    </row>
    <row r="7364" spans="1:13" hidden="1" x14ac:dyDescent="0.3">
      <c r="A7364" s="9">
        <v>2077</v>
      </c>
      <c r="B7364" t="s">
        <v>439</v>
      </c>
      <c r="C7364" s="25">
        <v>44634</v>
      </c>
      <c r="D7364" s="26">
        <v>0.80497685185185175</v>
      </c>
      <c r="E7364" t="s">
        <v>26</v>
      </c>
      <c r="F7364" t="s">
        <v>175</v>
      </c>
      <c r="G7364" t="s">
        <v>172</v>
      </c>
      <c r="H7364" t="s">
        <v>119</v>
      </c>
      <c r="I7364">
        <v>336.97</v>
      </c>
      <c r="J7364" s="7">
        <v>0</v>
      </c>
      <c r="K7364" s="97">
        <f t="shared" si="451"/>
        <v>1068.6099999999999</v>
      </c>
      <c r="L7364" s="37">
        <v>1068.6099999999999</v>
      </c>
      <c r="M7364" s="119">
        <f t="shared" si="452"/>
        <v>31.53348742759286</v>
      </c>
    </row>
    <row r="7365" spans="1:13" hidden="1" x14ac:dyDescent="0.3">
      <c r="A7365" s="9">
        <v>2078</v>
      </c>
      <c r="B7365" t="s">
        <v>439</v>
      </c>
      <c r="C7365" s="25">
        <v>44636</v>
      </c>
      <c r="D7365" s="26">
        <v>0.94499999999999995</v>
      </c>
      <c r="E7365" t="s">
        <v>26</v>
      </c>
      <c r="F7365" t="s">
        <v>210</v>
      </c>
      <c r="G7365" t="s">
        <v>211</v>
      </c>
      <c r="H7365" t="s">
        <v>119</v>
      </c>
      <c r="I7365">
        <v>384.77</v>
      </c>
      <c r="J7365" s="7">
        <v>0</v>
      </c>
      <c r="K7365" s="90">
        <f t="shared" si="451"/>
        <v>830.15</v>
      </c>
      <c r="L7365" s="32">
        <v>830.15</v>
      </c>
      <c r="M7365" s="91">
        <f t="shared" si="452"/>
        <v>46.349454917785941</v>
      </c>
    </row>
    <row r="7366" spans="1:13" hidden="1" x14ac:dyDescent="0.3">
      <c r="A7366" s="9">
        <v>2079</v>
      </c>
      <c r="B7366" t="s">
        <v>439</v>
      </c>
      <c r="C7366" s="25">
        <v>44638</v>
      </c>
      <c r="D7366" s="26">
        <v>0.72436342592592595</v>
      </c>
      <c r="E7366" t="s">
        <v>26</v>
      </c>
      <c r="F7366" t="s">
        <v>166</v>
      </c>
      <c r="G7366" t="s">
        <v>161</v>
      </c>
      <c r="H7366" t="s">
        <v>119</v>
      </c>
      <c r="I7366">
        <v>446.47</v>
      </c>
      <c r="J7366" s="34">
        <v>0</v>
      </c>
      <c r="K7366" s="97">
        <f t="shared" si="451"/>
        <v>1145.83</v>
      </c>
      <c r="L7366" s="37">
        <v>1145.83</v>
      </c>
      <c r="M7366" s="132">
        <f t="shared" si="452"/>
        <v>38.964767897506611</v>
      </c>
    </row>
    <row r="7367" spans="1:13" hidden="1" x14ac:dyDescent="0.3">
      <c r="A7367" s="9">
        <v>2080</v>
      </c>
      <c r="B7367" t="s">
        <v>439</v>
      </c>
      <c r="C7367" s="25">
        <v>44642</v>
      </c>
      <c r="D7367" s="26">
        <v>0.35515046296296293</v>
      </c>
      <c r="E7367" t="s">
        <v>26</v>
      </c>
      <c r="F7367" t="s">
        <v>175</v>
      </c>
      <c r="G7367" t="s">
        <v>172</v>
      </c>
      <c r="H7367" t="s">
        <v>119</v>
      </c>
      <c r="I7367">
        <v>377.95</v>
      </c>
      <c r="J7367" s="7">
        <v>0</v>
      </c>
      <c r="K7367" s="94">
        <f t="shared" si="451"/>
        <v>887.55</v>
      </c>
      <c r="L7367" s="174">
        <v>887.55</v>
      </c>
      <c r="M7367" s="10">
        <f t="shared" si="452"/>
        <v>42.583516421610049</v>
      </c>
    </row>
    <row r="7368" spans="1:13" hidden="1" x14ac:dyDescent="0.3">
      <c r="A7368" s="9">
        <v>2081</v>
      </c>
      <c r="B7368" t="s">
        <v>439</v>
      </c>
      <c r="C7368" s="25">
        <v>44643</v>
      </c>
      <c r="D7368" s="26">
        <v>0.53981481481481486</v>
      </c>
      <c r="E7368" t="s">
        <v>26</v>
      </c>
      <c r="F7368" t="s">
        <v>166</v>
      </c>
      <c r="G7368" t="s">
        <v>161</v>
      </c>
      <c r="H7368" t="s">
        <v>119</v>
      </c>
      <c r="I7368">
        <v>346.71</v>
      </c>
      <c r="J7368" s="7">
        <v>0</v>
      </c>
      <c r="K7368" s="90">
        <f t="shared" si="451"/>
        <v>799.79</v>
      </c>
      <c r="L7368" s="32">
        <v>799.79</v>
      </c>
      <c r="M7368" s="91">
        <f t="shared" si="452"/>
        <v>43.350129408969856</v>
      </c>
    </row>
    <row r="7369" spans="1:13" hidden="1" x14ac:dyDescent="0.3">
      <c r="A7369" s="9">
        <v>2082</v>
      </c>
      <c r="B7369" t="s">
        <v>439</v>
      </c>
      <c r="C7369" s="25">
        <v>44644</v>
      </c>
      <c r="D7369" s="26">
        <v>0.60250000000000004</v>
      </c>
      <c r="E7369" t="s">
        <v>26</v>
      </c>
      <c r="F7369" t="s">
        <v>210</v>
      </c>
      <c r="G7369" t="s">
        <v>211</v>
      </c>
      <c r="H7369" t="s">
        <v>119</v>
      </c>
      <c r="I7369">
        <v>426</v>
      </c>
      <c r="J7369" s="7">
        <v>0</v>
      </c>
      <c r="K7369" s="90">
        <f t="shared" si="451"/>
        <v>962.98</v>
      </c>
      <c r="L7369" s="32">
        <v>962.98</v>
      </c>
      <c r="M7369" s="36">
        <f t="shared" si="452"/>
        <v>44.237678871835342</v>
      </c>
    </row>
    <row r="7370" spans="1:13" hidden="1" x14ac:dyDescent="0.3">
      <c r="A7370" s="9">
        <v>2083</v>
      </c>
      <c r="B7370" t="s">
        <v>439</v>
      </c>
      <c r="C7370" s="25">
        <v>44646</v>
      </c>
      <c r="D7370" s="26">
        <v>0.53600694444444441</v>
      </c>
      <c r="E7370" t="s">
        <v>26</v>
      </c>
      <c r="F7370" t="s">
        <v>391</v>
      </c>
      <c r="G7370" t="s">
        <v>392</v>
      </c>
      <c r="H7370" t="s">
        <v>119</v>
      </c>
      <c r="I7370">
        <v>404.61</v>
      </c>
      <c r="J7370" s="34">
        <v>0</v>
      </c>
      <c r="K7370" s="90">
        <f t="shared" si="451"/>
        <v>941.23</v>
      </c>
      <c r="L7370" s="32">
        <v>941.23</v>
      </c>
      <c r="M7370" s="36">
        <f t="shared" si="452"/>
        <v>42.987367593468122</v>
      </c>
    </row>
    <row r="7371" spans="1:13" hidden="1" x14ac:dyDescent="0.3">
      <c r="A7371" s="9">
        <v>2084</v>
      </c>
      <c r="B7371" t="s">
        <v>439</v>
      </c>
      <c r="C7371" s="25">
        <v>44651</v>
      </c>
      <c r="D7371" s="26">
        <v>0.96024305555555556</v>
      </c>
      <c r="E7371" t="s">
        <v>26</v>
      </c>
      <c r="F7371" t="s">
        <v>210</v>
      </c>
      <c r="G7371" t="s">
        <v>211</v>
      </c>
      <c r="H7371" t="s">
        <v>119</v>
      </c>
      <c r="I7371">
        <v>387.24</v>
      </c>
      <c r="J7371" s="7">
        <v>0</v>
      </c>
      <c r="K7371" s="97">
        <f t="shared" si="451"/>
        <v>667.41</v>
      </c>
      <c r="L7371" s="32">
        <v>667.41</v>
      </c>
      <c r="M7371" s="36">
        <f t="shared" si="452"/>
        <v>58.021306243538461</v>
      </c>
    </row>
    <row r="7372" spans="1:13" hidden="1" x14ac:dyDescent="0.3">
      <c r="A7372" s="9">
        <v>3357</v>
      </c>
      <c r="B7372" t="s">
        <v>439</v>
      </c>
      <c r="C7372" s="25">
        <v>44653</v>
      </c>
      <c r="D7372" s="26">
        <v>0.63526620370370368</v>
      </c>
      <c r="E7372" t="s">
        <v>27</v>
      </c>
      <c r="F7372" t="s">
        <v>210</v>
      </c>
      <c r="G7372" t="s">
        <v>211</v>
      </c>
      <c r="H7372" t="s">
        <v>119</v>
      </c>
      <c r="I7372" s="4">
        <v>410.01</v>
      </c>
      <c r="J7372" s="31">
        <v>0</v>
      </c>
      <c r="K7372" s="99">
        <f t="shared" si="451"/>
        <v>1063.3</v>
      </c>
      <c r="L7372" s="33">
        <v>1063.3</v>
      </c>
      <c r="M7372" s="139">
        <f t="shared" si="452"/>
        <v>38.56014295118969</v>
      </c>
    </row>
    <row r="7373" spans="1:13" hidden="1" x14ac:dyDescent="0.3">
      <c r="A7373" s="9">
        <v>3358</v>
      </c>
      <c r="B7373" t="s">
        <v>439</v>
      </c>
      <c r="C7373" s="25">
        <v>44656</v>
      </c>
      <c r="D7373" s="26">
        <v>0.36650462962962965</v>
      </c>
      <c r="E7373" t="s">
        <v>27</v>
      </c>
      <c r="F7373" t="s">
        <v>175</v>
      </c>
      <c r="G7373" t="s">
        <v>172</v>
      </c>
      <c r="H7373" t="s">
        <v>119</v>
      </c>
      <c r="I7373" s="4">
        <v>456.46</v>
      </c>
      <c r="J7373" s="7">
        <v>0</v>
      </c>
      <c r="K7373" s="90">
        <f t="shared" si="451"/>
        <v>1126.53</v>
      </c>
      <c r="L7373" s="32">
        <v>1126.53</v>
      </c>
      <c r="M7373" s="91">
        <f t="shared" si="452"/>
        <v>40.519116224157372</v>
      </c>
    </row>
    <row r="7374" spans="1:13" hidden="1" x14ac:dyDescent="0.3">
      <c r="A7374" s="9">
        <v>3359</v>
      </c>
      <c r="B7374" t="s">
        <v>439</v>
      </c>
      <c r="C7374" s="25">
        <v>44656</v>
      </c>
      <c r="D7374" s="26">
        <v>0.83065972222222229</v>
      </c>
      <c r="E7374" t="s">
        <v>27</v>
      </c>
      <c r="F7374" t="s">
        <v>210</v>
      </c>
      <c r="G7374" t="s">
        <v>211</v>
      </c>
      <c r="H7374" t="s">
        <v>119</v>
      </c>
      <c r="I7374" s="4">
        <v>326.3</v>
      </c>
      <c r="J7374" s="7">
        <v>0</v>
      </c>
      <c r="K7374" s="90">
        <f t="shared" si="451"/>
        <v>1814</v>
      </c>
      <c r="L7374" s="32">
        <v>1814</v>
      </c>
      <c r="M7374" s="91">
        <f t="shared" si="452"/>
        <v>17.98787210584344</v>
      </c>
    </row>
    <row r="7375" spans="1:13" hidden="1" x14ac:dyDescent="0.3">
      <c r="A7375" s="9">
        <v>3360</v>
      </c>
      <c r="B7375" t="s">
        <v>439</v>
      </c>
      <c r="C7375" s="25">
        <v>44658</v>
      </c>
      <c r="D7375" s="26">
        <v>0.7184490740740741</v>
      </c>
      <c r="E7375" t="s">
        <v>27</v>
      </c>
      <c r="F7375" t="s">
        <v>210</v>
      </c>
      <c r="G7375" t="s">
        <v>211</v>
      </c>
      <c r="H7375" t="s">
        <v>119</v>
      </c>
      <c r="I7375" s="4">
        <v>475.99</v>
      </c>
      <c r="J7375" s="31">
        <v>0</v>
      </c>
      <c r="K7375" s="99">
        <f t="shared" si="451"/>
        <v>1811</v>
      </c>
      <c r="L7375" s="33">
        <v>1811</v>
      </c>
      <c r="M7375" s="139">
        <f t="shared" si="452"/>
        <v>26.283268912203201</v>
      </c>
    </row>
    <row r="7376" spans="1:13" hidden="1" x14ac:dyDescent="0.3">
      <c r="B7376" t="s">
        <v>348</v>
      </c>
      <c r="C7376" s="25">
        <v>44768</v>
      </c>
      <c r="D7376" s="26">
        <v>0.59155092592592595</v>
      </c>
      <c r="E7376" t="s">
        <v>30</v>
      </c>
      <c r="F7376" t="s">
        <v>210</v>
      </c>
      <c r="G7376" t="s">
        <v>211</v>
      </c>
      <c r="H7376" t="s">
        <v>204</v>
      </c>
      <c r="I7376" s="160">
        <v>214.16</v>
      </c>
      <c r="J7376" s="160">
        <f>214+175+100+99+175</f>
        <v>763</v>
      </c>
      <c r="K7376" s="160">
        <v>9135</v>
      </c>
      <c r="L7376" s="160">
        <v>1751</v>
      </c>
      <c r="M7376" s="150">
        <f>+J7376/L7376*100</f>
        <v>43.575099942889779</v>
      </c>
    </row>
    <row r="7377" spans="1:13" hidden="1" x14ac:dyDescent="0.3">
      <c r="B7377" t="s">
        <v>194</v>
      </c>
      <c r="C7377" s="25">
        <v>44576</v>
      </c>
      <c r="D7377" s="26">
        <v>0.56594907407407413</v>
      </c>
      <c r="E7377" t="s">
        <v>24</v>
      </c>
      <c r="F7377" t="s">
        <v>175</v>
      </c>
      <c r="G7377" t="s">
        <v>172</v>
      </c>
      <c r="H7377" t="s">
        <v>195</v>
      </c>
      <c r="I7377">
        <v>159.93</v>
      </c>
      <c r="J7377" s="34">
        <v>548530</v>
      </c>
      <c r="K7377" s="34">
        <f t="shared" ref="K7377:K7408" si="453">+L7377-J7377</f>
        <v>450</v>
      </c>
      <c r="L7377" s="34">
        <v>548980</v>
      </c>
      <c r="M7377" s="132">
        <f t="shared" ref="M7377:M7408" si="454">I7377/K7377*100</f>
        <v>35.54</v>
      </c>
    </row>
    <row r="7378" spans="1:13" hidden="1" x14ac:dyDescent="0.3">
      <c r="B7378" t="s">
        <v>194</v>
      </c>
      <c r="C7378" s="25">
        <v>44577</v>
      </c>
      <c r="D7378" s="26">
        <v>0.7421875</v>
      </c>
      <c r="E7378" t="s">
        <v>24</v>
      </c>
      <c r="F7378" t="s">
        <v>210</v>
      </c>
      <c r="G7378" t="s">
        <v>211</v>
      </c>
      <c r="H7378" t="s">
        <v>195</v>
      </c>
      <c r="I7378">
        <v>349.69</v>
      </c>
      <c r="J7378" s="7">
        <v>548980</v>
      </c>
      <c r="K7378" s="34">
        <f t="shared" si="453"/>
        <v>854</v>
      </c>
      <c r="L7378" s="34">
        <v>549834</v>
      </c>
      <c r="M7378" s="91">
        <f t="shared" si="454"/>
        <v>40.94730679156909</v>
      </c>
    </row>
    <row r="7379" spans="1:13" hidden="1" x14ac:dyDescent="0.3">
      <c r="B7379" t="s">
        <v>194</v>
      </c>
      <c r="C7379" s="25">
        <v>44578</v>
      </c>
      <c r="D7379" s="26">
        <v>0.73767361111111107</v>
      </c>
      <c r="E7379" t="s">
        <v>24</v>
      </c>
      <c r="F7379" t="s">
        <v>210</v>
      </c>
      <c r="G7379" t="s">
        <v>211</v>
      </c>
      <c r="H7379" t="s">
        <v>195</v>
      </c>
      <c r="I7379">
        <v>400.01</v>
      </c>
      <c r="J7379" s="7">
        <v>549834</v>
      </c>
      <c r="K7379" s="7">
        <f t="shared" si="453"/>
        <v>1087</v>
      </c>
      <c r="L7379" s="7">
        <v>550921</v>
      </c>
      <c r="M7379" s="91">
        <f t="shared" si="454"/>
        <v>36.799448022079119</v>
      </c>
    </row>
    <row r="7380" spans="1:13" hidden="1" x14ac:dyDescent="0.3">
      <c r="B7380" t="s">
        <v>194</v>
      </c>
      <c r="C7380" s="25">
        <v>44580</v>
      </c>
      <c r="D7380" s="26">
        <v>0.38878472222222221</v>
      </c>
      <c r="E7380" t="s">
        <v>24</v>
      </c>
      <c r="F7380" t="s">
        <v>175</v>
      </c>
      <c r="G7380" t="s">
        <v>172</v>
      </c>
      <c r="H7380" t="s">
        <v>195</v>
      </c>
      <c r="I7380">
        <v>350.39</v>
      </c>
      <c r="J7380" s="34">
        <v>550921</v>
      </c>
      <c r="K7380" s="34">
        <f t="shared" si="453"/>
        <v>939</v>
      </c>
      <c r="L7380" s="34">
        <v>551860</v>
      </c>
      <c r="M7380" s="91">
        <f t="shared" si="454"/>
        <v>37.315228966986155</v>
      </c>
    </row>
    <row r="7381" spans="1:13" hidden="1" x14ac:dyDescent="0.3">
      <c r="B7381" t="s">
        <v>194</v>
      </c>
      <c r="C7381" s="25">
        <v>44581</v>
      </c>
      <c r="D7381" s="26">
        <v>0.45891203703703703</v>
      </c>
      <c r="E7381" t="s">
        <v>24</v>
      </c>
      <c r="F7381" t="s">
        <v>210</v>
      </c>
      <c r="G7381" t="s">
        <v>211</v>
      </c>
      <c r="H7381" t="s">
        <v>195</v>
      </c>
      <c r="I7381">
        <v>305</v>
      </c>
      <c r="J7381" s="34">
        <v>551860</v>
      </c>
      <c r="K7381" s="34">
        <f t="shared" si="453"/>
        <v>844</v>
      </c>
      <c r="L7381" s="34">
        <v>552704</v>
      </c>
      <c r="M7381" s="132">
        <f t="shared" si="454"/>
        <v>36.137440758293835</v>
      </c>
    </row>
    <row r="7382" spans="1:13" hidden="1" x14ac:dyDescent="0.3">
      <c r="B7382" t="s">
        <v>194</v>
      </c>
      <c r="C7382" s="25">
        <v>44583</v>
      </c>
      <c r="D7382" s="26">
        <v>0.40895833333333331</v>
      </c>
      <c r="E7382" t="s">
        <v>24</v>
      </c>
      <c r="F7382" t="s">
        <v>340</v>
      </c>
      <c r="G7382" t="s">
        <v>337</v>
      </c>
      <c r="H7382" t="s">
        <v>195</v>
      </c>
      <c r="I7382">
        <v>467.44</v>
      </c>
      <c r="J7382" s="34">
        <v>552704</v>
      </c>
      <c r="K7382" s="7">
        <f t="shared" si="453"/>
        <v>1405</v>
      </c>
      <c r="L7382" s="7">
        <v>554109</v>
      </c>
      <c r="M7382" s="91">
        <f t="shared" si="454"/>
        <v>33.269750889679713</v>
      </c>
    </row>
    <row r="7383" spans="1:13" hidden="1" x14ac:dyDescent="0.3">
      <c r="B7383" t="s">
        <v>194</v>
      </c>
      <c r="C7383" s="25">
        <v>44584</v>
      </c>
      <c r="D7383" s="26">
        <v>0.89952546296296287</v>
      </c>
      <c r="E7383" t="s">
        <v>24</v>
      </c>
      <c r="F7383" t="s">
        <v>210</v>
      </c>
      <c r="G7383" t="s">
        <v>211</v>
      </c>
      <c r="H7383" t="s">
        <v>195</v>
      </c>
      <c r="I7383">
        <v>456.33</v>
      </c>
      <c r="J7383" s="7">
        <v>554109</v>
      </c>
      <c r="K7383" s="7">
        <f t="shared" si="453"/>
        <v>1350</v>
      </c>
      <c r="L7383" s="7">
        <v>555459</v>
      </c>
      <c r="M7383" s="91">
        <f t="shared" si="454"/>
        <v>33.80222222222222</v>
      </c>
    </row>
    <row r="7384" spans="1:13" hidden="1" x14ac:dyDescent="0.3">
      <c r="B7384" t="s">
        <v>194</v>
      </c>
      <c r="C7384" s="25">
        <v>44585</v>
      </c>
      <c r="D7384" s="26">
        <v>0.77739583333333329</v>
      </c>
      <c r="E7384" t="s">
        <v>24</v>
      </c>
      <c r="F7384" t="s">
        <v>175</v>
      </c>
      <c r="G7384" t="s">
        <v>172</v>
      </c>
      <c r="H7384" t="s">
        <v>195</v>
      </c>
      <c r="I7384">
        <v>292.39</v>
      </c>
      <c r="J7384" s="7">
        <v>555459</v>
      </c>
      <c r="K7384" s="7">
        <f t="shared" si="453"/>
        <v>983</v>
      </c>
      <c r="L7384" s="7">
        <v>556442</v>
      </c>
      <c r="M7384" s="91">
        <f t="shared" si="454"/>
        <v>29.744659206510683</v>
      </c>
    </row>
    <row r="7385" spans="1:13" hidden="1" x14ac:dyDescent="0.3">
      <c r="B7385" t="s">
        <v>194</v>
      </c>
      <c r="C7385" s="25">
        <v>44591</v>
      </c>
      <c r="D7385" s="26">
        <v>0.30006944444444444</v>
      </c>
      <c r="E7385" t="s">
        <v>24</v>
      </c>
      <c r="F7385" t="s">
        <v>210</v>
      </c>
      <c r="G7385" t="s">
        <v>211</v>
      </c>
      <c r="H7385" t="s">
        <v>195</v>
      </c>
      <c r="I7385">
        <v>339.87</v>
      </c>
      <c r="J7385" s="7">
        <v>556442</v>
      </c>
      <c r="K7385" s="7">
        <f t="shared" si="453"/>
        <v>873</v>
      </c>
      <c r="L7385" s="7">
        <v>557315</v>
      </c>
      <c r="M7385" s="91">
        <f t="shared" si="454"/>
        <v>38.93127147766323</v>
      </c>
    </row>
    <row r="7386" spans="1:13" hidden="1" x14ac:dyDescent="0.3">
      <c r="B7386" t="s">
        <v>194</v>
      </c>
      <c r="C7386" s="25">
        <v>44592</v>
      </c>
      <c r="D7386" s="26">
        <v>0.34590277777777773</v>
      </c>
      <c r="E7386" t="s">
        <v>24</v>
      </c>
      <c r="F7386" t="s">
        <v>210</v>
      </c>
      <c r="G7386" t="s">
        <v>211</v>
      </c>
      <c r="H7386" t="s">
        <v>195</v>
      </c>
      <c r="I7386">
        <v>383.35</v>
      </c>
      <c r="J7386" s="7">
        <v>0</v>
      </c>
      <c r="K7386" s="7">
        <f t="shared" si="453"/>
        <v>1064.28</v>
      </c>
      <c r="L7386" s="7">
        <v>1064.28</v>
      </c>
      <c r="M7386" s="91">
        <f t="shared" si="454"/>
        <v>36.019656481377083</v>
      </c>
    </row>
    <row r="7387" spans="1:13" hidden="1" x14ac:dyDescent="0.3">
      <c r="A7387" s="9">
        <v>338</v>
      </c>
      <c r="B7387" t="s">
        <v>194</v>
      </c>
      <c r="C7387" s="25">
        <v>44593</v>
      </c>
      <c r="D7387" s="26">
        <v>0.38392361111111112</v>
      </c>
      <c r="E7387" t="s">
        <v>25</v>
      </c>
      <c r="F7387" t="s">
        <v>175</v>
      </c>
      <c r="G7387" t="s">
        <v>172</v>
      </c>
      <c r="H7387" t="s">
        <v>195</v>
      </c>
      <c r="I7387">
        <v>323.39</v>
      </c>
      <c r="J7387" s="34">
        <v>0</v>
      </c>
      <c r="K7387" s="34">
        <f t="shared" si="453"/>
        <v>983.33</v>
      </c>
      <c r="L7387" s="34">
        <v>983.33</v>
      </c>
      <c r="M7387" s="118">
        <f t="shared" si="454"/>
        <v>32.887230126203818</v>
      </c>
    </row>
    <row r="7388" spans="1:13" hidden="1" x14ac:dyDescent="0.3">
      <c r="A7388" s="9">
        <v>339</v>
      </c>
      <c r="B7388" t="s">
        <v>194</v>
      </c>
      <c r="C7388" s="25">
        <v>44594</v>
      </c>
      <c r="D7388" s="26">
        <v>0.73265046296296299</v>
      </c>
      <c r="E7388" t="s">
        <v>25</v>
      </c>
      <c r="F7388" t="s">
        <v>210</v>
      </c>
      <c r="G7388" t="s">
        <v>211</v>
      </c>
      <c r="H7388" t="s">
        <v>195</v>
      </c>
      <c r="I7388">
        <v>317.89999999999998</v>
      </c>
      <c r="J7388" s="33">
        <v>0</v>
      </c>
      <c r="K7388" s="33">
        <f t="shared" si="453"/>
        <v>825.29</v>
      </c>
      <c r="L7388" s="31">
        <v>825.29</v>
      </c>
      <c r="M7388" s="139">
        <f t="shared" si="454"/>
        <v>38.519793042445684</v>
      </c>
    </row>
    <row r="7389" spans="1:13" hidden="1" x14ac:dyDescent="0.3">
      <c r="A7389" s="9">
        <v>340</v>
      </c>
      <c r="B7389" t="s">
        <v>194</v>
      </c>
      <c r="C7389" s="25">
        <v>44596</v>
      </c>
      <c r="D7389" s="26">
        <v>0.40649305555555554</v>
      </c>
      <c r="E7389" t="s">
        <v>25</v>
      </c>
      <c r="F7389" t="s">
        <v>210</v>
      </c>
      <c r="G7389" t="s">
        <v>211</v>
      </c>
      <c r="H7389" t="s">
        <v>195</v>
      </c>
      <c r="I7389">
        <v>370.01</v>
      </c>
      <c r="J7389" s="32">
        <v>0</v>
      </c>
      <c r="K7389" s="32">
        <f t="shared" si="453"/>
        <v>1043.93</v>
      </c>
      <c r="L7389" s="7">
        <v>1043.93</v>
      </c>
      <c r="M7389" s="91">
        <f t="shared" si="454"/>
        <v>35.443947391108601</v>
      </c>
    </row>
    <row r="7390" spans="1:13" hidden="1" x14ac:dyDescent="0.3">
      <c r="A7390" s="9">
        <v>341</v>
      </c>
      <c r="B7390" t="s">
        <v>194</v>
      </c>
      <c r="C7390" s="25">
        <v>44597</v>
      </c>
      <c r="D7390" s="26">
        <v>0.4052546296296296</v>
      </c>
      <c r="E7390" t="s">
        <v>25</v>
      </c>
      <c r="F7390" t="s">
        <v>175</v>
      </c>
      <c r="G7390" t="s">
        <v>172</v>
      </c>
      <c r="H7390" t="s">
        <v>195</v>
      </c>
      <c r="I7390">
        <v>296.55</v>
      </c>
      <c r="J7390" s="37">
        <v>0</v>
      </c>
      <c r="K7390" s="32">
        <f t="shared" si="453"/>
        <v>920.36</v>
      </c>
      <c r="L7390" s="7">
        <v>920.36</v>
      </c>
      <c r="M7390" s="132">
        <f t="shared" si="454"/>
        <v>32.221087400582384</v>
      </c>
    </row>
    <row r="7391" spans="1:13" hidden="1" x14ac:dyDescent="0.3">
      <c r="A7391" s="9">
        <v>342</v>
      </c>
      <c r="B7391" t="s">
        <v>194</v>
      </c>
      <c r="C7391" s="25">
        <v>44598</v>
      </c>
      <c r="D7391" s="26">
        <v>0.6527546296296296</v>
      </c>
      <c r="E7391" t="s">
        <v>25</v>
      </c>
      <c r="F7391" t="s">
        <v>210</v>
      </c>
      <c r="G7391" t="s">
        <v>211</v>
      </c>
      <c r="H7391" t="s">
        <v>195</v>
      </c>
      <c r="I7391">
        <v>344.18</v>
      </c>
      <c r="J7391" s="37">
        <v>0</v>
      </c>
      <c r="K7391" s="52">
        <f t="shared" si="453"/>
        <v>831.46</v>
      </c>
      <c r="L7391" s="51">
        <v>831.46</v>
      </c>
      <c r="M7391" s="134">
        <f t="shared" si="454"/>
        <v>41.394655184855559</v>
      </c>
    </row>
    <row r="7392" spans="1:13" hidden="1" x14ac:dyDescent="0.3">
      <c r="A7392" s="9">
        <v>343</v>
      </c>
      <c r="B7392" t="s">
        <v>194</v>
      </c>
      <c r="C7392" s="25">
        <v>44600</v>
      </c>
      <c r="D7392" s="26">
        <v>0.46046296296296302</v>
      </c>
      <c r="E7392" t="s">
        <v>25</v>
      </c>
      <c r="F7392" t="s">
        <v>210</v>
      </c>
      <c r="G7392" t="s">
        <v>211</v>
      </c>
      <c r="H7392" t="s">
        <v>195</v>
      </c>
      <c r="I7392">
        <v>387.22</v>
      </c>
      <c r="J7392" s="33">
        <v>0</v>
      </c>
      <c r="K7392" s="32">
        <f t="shared" si="453"/>
        <v>1097.48</v>
      </c>
      <c r="L7392" s="7">
        <v>1097.48</v>
      </c>
      <c r="M7392" s="139">
        <f t="shared" si="454"/>
        <v>35.282647519772567</v>
      </c>
    </row>
    <row r="7393" spans="1:13" hidden="1" x14ac:dyDescent="0.3">
      <c r="A7393" s="9">
        <v>344</v>
      </c>
      <c r="B7393" t="s">
        <v>194</v>
      </c>
      <c r="C7393" s="25">
        <v>44601</v>
      </c>
      <c r="D7393" s="26">
        <v>0.6274305555555556</v>
      </c>
      <c r="E7393" t="s">
        <v>25</v>
      </c>
      <c r="F7393" t="s">
        <v>175</v>
      </c>
      <c r="G7393" t="s">
        <v>172</v>
      </c>
      <c r="H7393" t="s">
        <v>195</v>
      </c>
      <c r="I7393">
        <v>351.68</v>
      </c>
      <c r="J7393" s="32">
        <v>0</v>
      </c>
      <c r="K7393" s="32">
        <f t="shared" si="453"/>
        <v>1009.22</v>
      </c>
      <c r="L7393" s="7">
        <v>1009.22</v>
      </c>
      <c r="M7393" s="91">
        <f t="shared" si="454"/>
        <v>34.846713303343172</v>
      </c>
    </row>
    <row r="7394" spans="1:13" hidden="1" x14ac:dyDescent="0.3">
      <c r="A7394" s="9">
        <v>345</v>
      </c>
      <c r="B7394" t="s">
        <v>194</v>
      </c>
      <c r="C7394" s="25">
        <v>44602</v>
      </c>
      <c r="D7394" s="26">
        <v>0.5863194444444445</v>
      </c>
      <c r="E7394" t="s">
        <v>25</v>
      </c>
      <c r="F7394" t="s">
        <v>210</v>
      </c>
      <c r="G7394" t="s">
        <v>211</v>
      </c>
      <c r="H7394" t="s">
        <v>195</v>
      </c>
      <c r="I7394">
        <v>307.20999999999998</v>
      </c>
      <c r="J7394" s="37">
        <v>0</v>
      </c>
      <c r="K7394" s="32">
        <f t="shared" si="453"/>
        <v>830.95</v>
      </c>
      <c r="L7394" s="32">
        <v>830.95</v>
      </c>
      <c r="M7394" s="91">
        <f t="shared" si="454"/>
        <v>36.970936879475296</v>
      </c>
    </row>
    <row r="7395" spans="1:13" hidden="1" x14ac:dyDescent="0.3">
      <c r="A7395" s="9">
        <v>346</v>
      </c>
      <c r="B7395" t="s">
        <v>194</v>
      </c>
      <c r="C7395" s="25">
        <v>44603</v>
      </c>
      <c r="D7395" s="26">
        <v>0.45872685185185186</v>
      </c>
      <c r="E7395" t="s">
        <v>25</v>
      </c>
      <c r="F7395" t="s">
        <v>210</v>
      </c>
      <c r="G7395" t="s">
        <v>211</v>
      </c>
      <c r="H7395" t="s">
        <v>195</v>
      </c>
      <c r="I7395">
        <v>406.37</v>
      </c>
      <c r="J7395" s="32">
        <v>0</v>
      </c>
      <c r="K7395" s="37">
        <f t="shared" si="453"/>
        <v>1063.19</v>
      </c>
      <c r="L7395" s="34">
        <v>1063.19</v>
      </c>
      <c r="M7395" s="91">
        <f t="shared" si="454"/>
        <v>38.221766570415447</v>
      </c>
    </row>
    <row r="7396" spans="1:13" hidden="1" x14ac:dyDescent="0.3">
      <c r="A7396" s="9">
        <v>347</v>
      </c>
      <c r="B7396" t="s">
        <v>194</v>
      </c>
      <c r="C7396" s="25">
        <v>44604</v>
      </c>
      <c r="D7396" s="26">
        <v>0.51195601851851846</v>
      </c>
      <c r="E7396" t="s">
        <v>25</v>
      </c>
      <c r="F7396" t="s">
        <v>175</v>
      </c>
      <c r="G7396" t="s">
        <v>172</v>
      </c>
      <c r="H7396" t="s">
        <v>195</v>
      </c>
      <c r="I7396">
        <v>386.1</v>
      </c>
      <c r="J7396" s="32">
        <v>0</v>
      </c>
      <c r="K7396" s="32">
        <f t="shared" si="453"/>
        <v>1041.9100000000001</v>
      </c>
      <c r="L7396" s="7">
        <v>1041.9100000000001</v>
      </c>
      <c r="M7396" s="91">
        <f t="shared" si="454"/>
        <v>37.056943497998866</v>
      </c>
    </row>
    <row r="7397" spans="1:13" hidden="1" x14ac:dyDescent="0.3">
      <c r="A7397" s="9">
        <v>348</v>
      </c>
      <c r="B7397" t="s">
        <v>194</v>
      </c>
      <c r="C7397" s="25">
        <v>44606</v>
      </c>
      <c r="D7397" s="26">
        <v>0.86243055555555559</v>
      </c>
      <c r="E7397" t="s">
        <v>25</v>
      </c>
      <c r="F7397" t="s">
        <v>210</v>
      </c>
      <c r="G7397" t="s">
        <v>211</v>
      </c>
      <c r="H7397" t="s">
        <v>195</v>
      </c>
      <c r="I7397">
        <v>289.47000000000003</v>
      </c>
      <c r="J7397" s="37">
        <v>0</v>
      </c>
      <c r="K7397" s="37">
        <f t="shared" si="453"/>
        <v>688.21</v>
      </c>
      <c r="L7397" s="38">
        <v>688.21</v>
      </c>
      <c r="M7397" s="132">
        <f t="shared" si="454"/>
        <v>42.06128943200477</v>
      </c>
    </row>
    <row r="7398" spans="1:13" hidden="1" x14ac:dyDescent="0.3">
      <c r="A7398" s="9">
        <v>349</v>
      </c>
      <c r="B7398" t="s">
        <v>194</v>
      </c>
      <c r="C7398" s="25">
        <v>44608</v>
      </c>
      <c r="D7398" s="26">
        <v>6.3009259259259265E-2</v>
      </c>
      <c r="E7398" t="s">
        <v>25</v>
      </c>
      <c r="F7398" t="s">
        <v>210</v>
      </c>
      <c r="G7398" t="s">
        <v>211</v>
      </c>
      <c r="H7398" t="s">
        <v>195</v>
      </c>
      <c r="I7398">
        <v>370.53</v>
      </c>
      <c r="J7398" s="32">
        <v>0</v>
      </c>
      <c r="K7398" s="32">
        <f t="shared" si="453"/>
        <v>1063.0999999999999</v>
      </c>
      <c r="L7398" s="32">
        <v>1063.0999999999999</v>
      </c>
      <c r="M7398" s="91">
        <f t="shared" si="454"/>
        <v>34.85372965854576</v>
      </c>
    </row>
    <row r="7399" spans="1:13" hidden="1" x14ac:dyDescent="0.3">
      <c r="A7399" s="9">
        <v>350</v>
      </c>
      <c r="B7399" t="s">
        <v>194</v>
      </c>
      <c r="C7399" s="25">
        <v>44609</v>
      </c>
      <c r="D7399" s="26">
        <v>0.61490740740740735</v>
      </c>
      <c r="E7399" t="s">
        <v>25</v>
      </c>
      <c r="F7399" t="s">
        <v>343</v>
      </c>
      <c r="G7399" t="s">
        <v>344</v>
      </c>
      <c r="H7399" t="s">
        <v>195</v>
      </c>
      <c r="I7399">
        <v>451.01</v>
      </c>
      <c r="J7399" s="32">
        <v>0</v>
      </c>
      <c r="K7399" s="32">
        <f t="shared" si="453"/>
        <v>1277.1500000000001</v>
      </c>
      <c r="L7399" s="32">
        <v>1277.1500000000001</v>
      </c>
      <c r="M7399" s="91">
        <f t="shared" si="454"/>
        <v>35.313784598520137</v>
      </c>
    </row>
    <row r="7400" spans="1:13" hidden="1" x14ac:dyDescent="0.3">
      <c r="A7400" s="9">
        <v>351</v>
      </c>
      <c r="B7400" t="s">
        <v>194</v>
      </c>
      <c r="C7400" s="25">
        <v>44610</v>
      </c>
      <c r="D7400" s="26">
        <v>0.7130439814814814</v>
      </c>
      <c r="E7400" t="s">
        <v>25</v>
      </c>
      <c r="F7400" t="s">
        <v>165</v>
      </c>
      <c r="G7400" t="s">
        <v>185</v>
      </c>
      <c r="H7400" t="s">
        <v>195</v>
      </c>
      <c r="I7400">
        <v>449.03</v>
      </c>
      <c r="J7400" s="37">
        <v>0</v>
      </c>
      <c r="K7400" s="69">
        <f t="shared" si="453"/>
        <v>1053.46</v>
      </c>
      <c r="L7400" s="32">
        <v>1053.46</v>
      </c>
      <c r="M7400" s="132">
        <f t="shared" si="454"/>
        <v>42.624304672222955</v>
      </c>
    </row>
    <row r="7401" spans="1:13" hidden="1" x14ac:dyDescent="0.3">
      <c r="A7401" s="9">
        <v>352</v>
      </c>
      <c r="B7401" t="s">
        <v>194</v>
      </c>
      <c r="C7401" s="25">
        <v>44611</v>
      </c>
      <c r="D7401" s="26">
        <v>4.2337962962962966E-2</v>
      </c>
      <c r="E7401" t="s">
        <v>25</v>
      </c>
      <c r="F7401" t="s">
        <v>210</v>
      </c>
      <c r="G7401" t="s">
        <v>211</v>
      </c>
      <c r="H7401" t="s">
        <v>195</v>
      </c>
      <c r="I7401">
        <v>145.16</v>
      </c>
      <c r="J7401" s="32">
        <v>0</v>
      </c>
      <c r="K7401" s="32">
        <f t="shared" si="453"/>
        <v>514.4</v>
      </c>
      <c r="L7401" s="37">
        <v>514.4</v>
      </c>
      <c r="M7401" s="91">
        <f t="shared" si="454"/>
        <v>28.219284603421464</v>
      </c>
    </row>
    <row r="7402" spans="1:13" ht="3.75" hidden="1" customHeight="1" x14ac:dyDescent="0.3">
      <c r="A7402" s="9">
        <v>353</v>
      </c>
      <c r="B7402" t="s">
        <v>194</v>
      </c>
      <c r="C7402" s="25">
        <v>44611</v>
      </c>
      <c r="D7402" s="26">
        <v>0.70776620370370369</v>
      </c>
      <c r="E7402" t="s">
        <v>25</v>
      </c>
      <c r="F7402" t="s">
        <v>175</v>
      </c>
      <c r="G7402" t="s">
        <v>172</v>
      </c>
      <c r="H7402" t="s">
        <v>195</v>
      </c>
      <c r="I7402">
        <v>363.26</v>
      </c>
      <c r="J7402" s="32">
        <v>0</v>
      </c>
      <c r="K7402" s="32">
        <f t="shared" si="453"/>
        <v>1050.67</v>
      </c>
      <c r="L7402" s="32">
        <v>1050.67</v>
      </c>
      <c r="M7402" s="119">
        <f t="shared" si="454"/>
        <v>34.57412888918499</v>
      </c>
    </row>
    <row r="7403" spans="1:13" hidden="1" x14ac:dyDescent="0.3">
      <c r="A7403" s="9">
        <v>354</v>
      </c>
      <c r="B7403" t="s">
        <v>194</v>
      </c>
      <c r="C7403" s="25">
        <v>44617</v>
      </c>
      <c r="D7403" s="26">
        <v>0.63570601851851849</v>
      </c>
      <c r="E7403" t="s">
        <v>25</v>
      </c>
      <c r="F7403" t="s">
        <v>175</v>
      </c>
      <c r="G7403" t="s">
        <v>172</v>
      </c>
      <c r="H7403" t="s">
        <v>195</v>
      </c>
      <c r="I7403">
        <v>174.8</v>
      </c>
      <c r="J7403" s="32">
        <v>0</v>
      </c>
      <c r="K7403" s="38">
        <f t="shared" si="453"/>
        <v>431.99</v>
      </c>
      <c r="L7403" s="38">
        <v>431.99</v>
      </c>
      <c r="M7403" s="91">
        <f t="shared" si="454"/>
        <v>40.463899627306191</v>
      </c>
    </row>
    <row r="7404" spans="1:13" hidden="1" x14ac:dyDescent="0.3">
      <c r="A7404" s="9">
        <v>355</v>
      </c>
      <c r="B7404" t="s">
        <v>194</v>
      </c>
      <c r="C7404" s="25">
        <v>44619</v>
      </c>
      <c r="D7404" s="26">
        <v>0.3207638888888889</v>
      </c>
      <c r="E7404" t="s">
        <v>25</v>
      </c>
      <c r="F7404" t="s">
        <v>210</v>
      </c>
      <c r="G7404" t="s">
        <v>211</v>
      </c>
      <c r="H7404" t="s">
        <v>195</v>
      </c>
      <c r="I7404">
        <v>359.02</v>
      </c>
      <c r="J7404" s="32">
        <v>0</v>
      </c>
      <c r="K7404" s="32">
        <f t="shared" si="453"/>
        <v>833.59</v>
      </c>
      <c r="L7404" s="32">
        <v>833.59</v>
      </c>
      <c r="M7404" s="121">
        <f t="shared" si="454"/>
        <v>43.06913470651039</v>
      </c>
    </row>
    <row r="7405" spans="1:13" hidden="1" x14ac:dyDescent="0.3">
      <c r="A7405" s="9">
        <v>356</v>
      </c>
      <c r="B7405" t="s">
        <v>194</v>
      </c>
      <c r="C7405" s="25">
        <v>44620</v>
      </c>
      <c r="D7405" s="26">
        <v>0.71854166666666675</v>
      </c>
      <c r="E7405" t="s">
        <v>25</v>
      </c>
      <c r="F7405" t="s">
        <v>210</v>
      </c>
      <c r="G7405" t="s">
        <v>211</v>
      </c>
      <c r="H7405" t="s">
        <v>195</v>
      </c>
      <c r="I7405">
        <v>489.24</v>
      </c>
      <c r="J7405" s="32">
        <v>0</v>
      </c>
      <c r="K7405" s="37">
        <f t="shared" si="453"/>
        <v>1120.6600000000001</v>
      </c>
      <c r="L7405" s="32">
        <v>1120.6600000000001</v>
      </c>
      <c r="M7405" s="91">
        <f t="shared" si="454"/>
        <v>43.656416754412575</v>
      </c>
    </row>
    <row r="7406" spans="1:13" hidden="1" x14ac:dyDescent="0.3">
      <c r="A7406" s="9">
        <v>1396</v>
      </c>
      <c r="B7406" t="s">
        <v>194</v>
      </c>
      <c r="C7406" s="25">
        <v>44621</v>
      </c>
      <c r="D7406" s="26">
        <v>0.38061342592592595</v>
      </c>
      <c r="E7406" t="s">
        <v>26</v>
      </c>
      <c r="F7406" t="s">
        <v>175</v>
      </c>
      <c r="G7406" t="s">
        <v>172</v>
      </c>
      <c r="H7406" t="s">
        <v>195</v>
      </c>
      <c r="I7406">
        <v>212.46</v>
      </c>
      <c r="J7406" s="32">
        <v>0</v>
      </c>
      <c r="K7406" s="90">
        <f t="shared" si="453"/>
        <v>708.14</v>
      </c>
      <c r="L7406" s="32">
        <v>708.14</v>
      </c>
      <c r="M7406" s="91">
        <f t="shared" si="454"/>
        <v>30.002541870251648</v>
      </c>
    </row>
    <row r="7407" spans="1:13" hidden="1" x14ac:dyDescent="0.3">
      <c r="A7407" s="9">
        <v>1397</v>
      </c>
      <c r="B7407" t="s">
        <v>194</v>
      </c>
      <c r="C7407" s="25">
        <v>44623</v>
      </c>
      <c r="D7407" s="26">
        <v>0.68121527777777768</v>
      </c>
      <c r="E7407" t="s">
        <v>26</v>
      </c>
      <c r="F7407" t="s">
        <v>210</v>
      </c>
      <c r="G7407" t="s">
        <v>211</v>
      </c>
      <c r="H7407" t="s">
        <v>195</v>
      </c>
      <c r="I7407">
        <v>340.92</v>
      </c>
      <c r="J7407" s="37">
        <v>0</v>
      </c>
      <c r="K7407" s="102">
        <f t="shared" si="453"/>
        <v>832.97</v>
      </c>
      <c r="L7407" s="34">
        <v>832.97</v>
      </c>
      <c r="M7407" s="118">
        <f t="shared" si="454"/>
        <v>40.928244714695609</v>
      </c>
    </row>
    <row r="7408" spans="1:13" hidden="1" x14ac:dyDescent="0.3">
      <c r="A7408" s="9">
        <v>1398</v>
      </c>
      <c r="B7408" t="s">
        <v>194</v>
      </c>
      <c r="C7408" s="25">
        <v>44624</v>
      </c>
      <c r="D7408" s="26">
        <v>0.92228009259259258</v>
      </c>
      <c r="E7408" t="s">
        <v>26</v>
      </c>
      <c r="F7408" t="s">
        <v>210</v>
      </c>
      <c r="G7408" t="s">
        <v>211</v>
      </c>
      <c r="H7408" t="s">
        <v>195</v>
      </c>
      <c r="I7408">
        <v>385.44</v>
      </c>
      <c r="J7408" s="32">
        <v>0</v>
      </c>
      <c r="K7408" s="97">
        <f t="shared" si="453"/>
        <v>1063.27</v>
      </c>
      <c r="L7408" s="37">
        <v>1063.27</v>
      </c>
      <c r="M7408" s="36">
        <f t="shared" si="454"/>
        <v>36.250434978885892</v>
      </c>
    </row>
    <row r="7409" spans="1:13" hidden="1" x14ac:dyDescent="0.3">
      <c r="A7409" s="9">
        <v>1399</v>
      </c>
      <c r="B7409" t="s">
        <v>194</v>
      </c>
      <c r="C7409" s="25">
        <v>44625</v>
      </c>
      <c r="D7409" s="26">
        <v>0.7327893518518519</v>
      </c>
      <c r="E7409" t="s">
        <v>26</v>
      </c>
      <c r="F7409" t="s">
        <v>391</v>
      </c>
      <c r="G7409" t="s">
        <v>392</v>
      </c>
      <c r="H7409" t="s">
        <v>195</v>
      </c>
      <c r="I7409">
        <v>308.58999999999997</v>
      </c>
      <c r="J7409" s="32">
        <v>0</v>
      </c>
      <c r="K7409" s="90">
        <f t="shared" ref="K7409:K7430" si="455">+L7409-J7409</f>
        <v>898.67</v>
      </c>
      <c r="L7409" s="32">
        <v>898.67</v>
      </c>
      <c r="M7409" s="91">
        <f t="shared" ref="M7409:M7440" si="456">I7409/K7409*100</f>
        <v>34.338522483225212</v>
      </c>
    </row>
    <row r="7410" spans="1:13" hidden="1" x14ac:dyDescent="0.3">
      <c r="A7410" s="9">
        <v>1400</v>
      </c>
      <c r="B7410" t="s">
        <v>194</v>
      </c>
      <c r="C7410" s="25">
        <v>44631</v>
      </c>
      <c r="D7410" s="26">
        <v>0.52484953703703707</v>
      </c>
      <c r="E7410" t="s">
        <v>26</v>
      </c>
      <c r="F7410" t="s">
        <v>210</v>
      </c>
      <c r="G7410" t="s">
        <v>211</v>
      </c>
      <c r="H7410" t="s">
        <v>195</v>
      </c>
      <c r="I7410">
        <v>393.42</v>
      </c>
      <c r="J7410" s="32">
        <v>0</v>
      </c>
      <c r="K7410" s="90">
        <f t="shared" si="455"/>
        <v>892.14</v>
      </c>
      <c r="L7410" s="32">
        <v>892.14</v>
      </c>
      <c r="M7410" s="133">
        <f t="shared" si="456"/>
        <v>44.098459882978005</v>
      </c>
    </row>
    <row r="7411" spans="1:13" hidden="1" x14ac:dyDescent="0.3">
      <c r="A7411" s="9">
        <v>1401</v>
      </c>
      <c r="B7411" t="s">
        <v>194</v>
      </c>
      <c r="C7411" s="25">
        <v>44632</v>
      </c>
      <c r="D7411" s="26">
        <v>0.3505671296296296</v>
      </c>
      <c r="E7411" t="s">
        <v>26</v>
      </c>
      <c r="F7411" t="s">
        <v>210</v>
      </c>
      <c r="G7411" t="s">
        <v>211</v>
      </c>
      <c r="H7411" t="s">
        <v>195</v>
      </c>
      <c r="I7411">
        <v>332.8</v>
      </c>
      <c r="J7411" s="32">
        <v>0</v>
      </c>
      <c r="K7411" s="97">
        <f t="shared" si="455"/>
        <v>884.78</v>
      </c>
      <c r="L7411" s="37">
        <v>884.78</v>
      </c>
      <c r="M7411" s="119">
        <f t="shared" si="456"/>
        <v>37.613870114604765</v>
      </c>
    </row>
    <row r="7412" spans="1:13" hidden="1" x14ac:dyDescent="0.3">
      <c r="A7412" s="9">
        <v>1402</v>
      </c>
      <c r="B7412" t="s">
        <v>194</v>
      </c>
      <c r="C7412" s="25">
        <v>44634</v>
      </c>
      <c r="D7412" s="26">
        <v>0.34554398148148152</v>
      </c>
      <c r="E7412" t="s">
        <v>26</v>
      </c>
      <c r="F7412" t="s">
        <v>205</v>
      </c>
      <c r="G7412" t="s">
        <v>206</v>
      </c>
      <c r="H7412" t="s">
        <v>195</v>
      </c>
      <c r="I7412">
        <v>367.34</v>
      </c>
      <c r="J7412" s="37">
        <v>0</v>
      </c>
      <c r="K7412" s="102">
        <f t="shared" si="455"/>
        <v>1034.48</v>
      </c>
      <c r="L7412" s="32">
        <v>1034.48</v>
      </c>
      <c r="M7412" s="36">
        <f t="shared" si="456"/>
        <v>35.509628025674736</v>
      </c>
    </row>
    <row r="7413" spans="1:13" hidden="1" x14ac:dyDescent="0.3">
      <c r="A7413" s="9">
        <v>1403</v>
      </c>
      <c r="B7413" t="s">
        <v>194</v>
      </c>
      <c r="C7413" s="25">
        <v>44634</v>
      </c>
      <c r="D7413" s="26">
        <v>0.91962962962962969</v>
      </c>
      <c r="E7413" t="s">
        <v>26</v>
      </c>
      <c r="F7413" t="s">
        <v>210</v>
      </c>
      <c r="G7413" t="s">
        <v>211</v>
      </c>
      <c r="H7413" t="s">
        <v>195</v>
      </c>
      <c r="I7413">
        <v>293.3</v>
      </c>
      <c r="J7413" s="32">
        <v>0</v>
      </c>
      <c r="K7413" s="90">
        <f t="shared" si="455"/>
        <v>692.63</v>
      </c>
      <c r="L7413" s="37">
        <v>692.63</v>
      </c>
      <c r="M7413" s="119">
        <f t="shared" si="456"/>
        <v>42.345841213923741</v>
      </c>
    </row>
    <row r="7414" spans="1:13" hidden="1" x14ac:dyDescent="0.3">
      <c r="A7414" s="9">
        <v>1404</v>
      </c>
      <c r="B7414" t="s">
        <v>194</v>
      </c>
      <c r="C7414" s="25">
        <v>44637</v>
      </c>
      <c r="D7414" s="26">
        <v>0.23447916666666666</v>
      </c>
      <c r="E7414" t="s">
        <v>26</v>
      </c>
      <c r="F7414" t="s">
        <v>210</v>
      </c>
      <c r="G7414" t="s">
        <v>211</v>
      </c>
      <c r="H7414" t="s">
        <v>195</v>
      </c>
      <c r="I7414">
        <v>452.85</v>
      </c>
      <c r="J7414" s="32">
        <v>0</v>
      </c>
      <c r="K7414" s="90">
        <f t="shared" si="455"/>
        <v>1123.58</v>
      </c>
      <c r="L7414" s="32">
        <v>1123.58</v>
      </c>
      <c r="M7414" s="119">
        <f t="shared" si="456"/>
        <v>40.304206198045541</v>
      </c>
    </row>
    <row r="7415" spans="1:13" hidden="1" x14ac:dyDescent="0.3">
      <c r="A7415" s="9">
        <v>1405</v>
      </c>
      <c r="B7415" t="s">
        <v>194</v>
      </c>
      <c r="C7415" s="25">
        <v>44638</v>
      </c>
      <c r="D7415" s="26">
        <v>0.96337962962962964</v>
      </c>
      <c r="E7415" t="s">
        <v>26</v>
      </c>
      <c r="F7415" t="s">
        <v>175</v>
      </c>
      <c r="G7415" t="s">
        <v>172</v>
      </c>
      <c r="H7415" t="s">
        <v>195</v>
      </c>
      <c r="I7415">
        <v>436.22</v>
      </c>
      <c r="J7415" s="32">
        <v>0</v>
      </c>
      <c r="K7415" s="90">
        <f t="shared" si="455"/>
        <v>1186.72</v>
      </c>
      <c r="L7415" s="32">
        <v>1186.72</v>
      </c>
      <c r="M7415" s="119">
        <f t="shared" si="456"/>
        <v>36.758460293919377</v>
      </c>
    </row>
    <row r="7416" spans="1:13" hidden="1" x14ac:dyDescent="0.3">
      <c r="A7416" s="9">
        <v>1406</v>
      </c>
      <c r="B7416" t="s">
        <v>194</v>
      </c>
      <c r="C7416" s="25">
        <v>44640</v>
      </c>
      <c r="D7416" s="26">
        <v>0.26049768518518518</v>
      </c>
      <c r="E7416" t="s">
        <v>26</v>
      </c>
      <c r="F7416" t="s">
        <v>166</v>
      </c>
      <c r="G7416" t="s">
        <v>161</v>
      </c>
      <c r="H7416" t="s">
        <v>195</v>
      </c>
      <c r="I7416">
        <v>260.39999999999998</v>
      </c>
      <c r="J7416" s="32">
        <v>0</v>
      </c>
      <c r="K7416" s="90">
        <f t="shared" si="455"/>
        <v>621.49</v>
      </c>
      <c r="L7416" s="32">
        <v>621.49</v>
      </c>
      <c r="M7416" s="91">
        <f t="shared" si="456"/>
        <v>41.899306505333946</v>
      </c>
    </row>
    <row r="7417" spans="1:13" hidden="1" x14ac:dyDescent="0.3">
      <c r="A7417" s="9">
        <v>1407</v>
      </c>
      <c r="B7417" t="s">
        <v>194</v>
      </c>
      <c r="C7417" s="25">
        <v>44640</v>
      </c>
      <c r="D7417" s="26">
        <v>0.78524305555555562</v>
      </c>
      <c r="E7417" t="s">
        <v>26</v>
      </c>
      <c r="F7417" t="s">
        <v>165</v>
      </c>
      <c r="G7417" t="s">
        <v>185</v>
      </c>
      <c r="H7417" t="s">
        <v>195</v>
      </c>
      <c r="I7417">
        <v>287.74</v>
      </c>
      <c r="J7417" s="32">
        <v>0</v>
      </c>
      <c r="K7417" s="97">
        <f t="shared" si="455"/>
        <v>631.21</v>
      </c>
      <c r="L7417" s="37">
        <v>631.21</v>
      </c>
      <c r="M7417" s="91">
        <f t="shared" si="456"/>
        <v>45.58546284120974</v>
      </c>
    </row>
    <row r="7418" spans="1:13" hidden="1" x14ac:dyDescent="0.3">
      <c r="A7418" s="9">
        <v>1408</v>
      </c>
      <c r="B7418" t="s">
        <v>194</v>
      </c>
      <c r="C7418" s="25">
        <v>44641</v>
      </c>
      <c r="D7418" s="26">
        <v>0.49204861111111109</v>
      </c>
      <c r="E7418" t="s">
        <v>26</v>
      </c>
      <c r="F7418" t="s">
        <v>166</v>
      </c>
      <c r="G7418" t="s">
        <v>161</v>
      </c>
      <c r="H7418" t="s">
        <v>195</v>
      </c>
      <c r="I7418">
        <v>200</v>
      </c>
      <c r="J7418" s="32">
        <v>0</v>
      </c>
      <c r="K7418" s="90">
        <f t="shared" si="455"/>
        <v>591.29999999999995</v>
      </c>
      <c r="L7418" s="32">
        <v>591.29999999999995</v>
      </c>
      <c r="M7418" s="36">
        <f t="shared" si="456"/>
        <v>33.823778116015561</v>
      </c>
    </row>
    <row r="7419" spans="1:13" hidden="1" x14ac:dyDescent="0.3">
      <c r="A7419" s="9">
        <v>1409</v>
      </c>
      <c r="B7419" t="s">
        <v>194</v>
      </c>
      <c r="C7419" s="25">
        <v>44642</v>
      </c>
      <c r="D7419" s="26">
        <v>0.4286342592592593</v>
      </c>
      <c r="E7419" t="s">
        <v>26</v>
      </c>
      <c r="F7419" t="s">
        <v>391</v>
      </c>
      <c r="G7419" t="s">
        <v>392</v>
      </c>
      <c r="H7419" t="s">
        <v>195</v>
      </c>
      <c r="I7419">
        <v>346.94</v>
      </c>
      <c r="J7419" s="32">
        <v>0</v>
      </c>
      <c r="K7419" s="90">
        <f t="shared" si="455"/>
        <v>815.6</v>
      </c>
      <c r="L7419" s="32">
        <v>815.6</v>
      </c>
      <c r="M7419" s="36">
        <f t="shared" si="456"/>
        <v>42.538008827856792</v>
      </c>
    </row>
    <row r="7420" spans="1:13" hidden="1" x14ac:dyDescent="0.3">
      <c r="A7420" s="9">
        <v>1410</v>
      </c>
      <c r="B7420" t="s">
        <v>194</v>
      </c>
      <c r="C7420" s="25">
        <v>44648</v>
      </c>
      <c r="D7420" s="26">
        <v>0.84766203703703702</v>
      </c>
      <c r="E7420" t="s">
        <v>26</v>
      </c>
      <c r="F7420" t="s">
        <v>166</v>
      </c>
      <c r="G7420" t="s">
        <v>161</v>
      </c>
      <c r="H7420" t="s">
        <v>195</v>
      </c>
      <c r="I7420">
        <v>333.14</v>
      </c>
      <c r="J7420" s="32">
        <v>0</v>
      </c>
      <c r="K7420" s="90">
        <f t="shared" si="455"/>
        <v>800</v>
      </c>
      <c r="L7420" s="32">
        <v>800</v>
      </c>
      <c r="M7420" s="36">
        <f t="shared" si="456"/>
        <v>41.642499999999998</v>
      </c>
    </row>
    <row r="7421" spans="1:13" hidden="1" x14ac:dyDescent="0.3">
      <c r="A7421" s="9">
        <v>1411</v>
      </c>
      <c r="B7421" t="s">
        <v>194</v>
      </c>
      <c r="C7421" s="25">
        <v>44649</v>
      </c>
      <c r="D7421" s="26">
        <v>0.55334490740740738</v>
      </c>
      <c r="E7421" t="s">
        <v>26</v>
      </c>
      <c r="F7421" t="s">
        <v>165</v>
      </c>
      <c r="G7421" t="s">
        <v>185</v>
      </c>
      <c r="H7421" t="s">
        <v>195</v>
      </c>
      <c r="I7421">
        <v>312.02</v>
      </c>
      <c r="J7421" s="33">
        <v>0</v>
      </c>
      <c r="K7421" s="90">
        <f t="shared" si="455"/>
        <v>597.36</v>
      </c>
      <c r="L7421" s="32">
        <v>597.36</v>
      </c>
      <c r="M7421" s="36">
        <f t="shared" si="456"/>
        <v>52.233159233962766</v>
      </c>
    </row>
    <row r="7422" spans="1:13" hidden="1" x14ac:dyDescent="0.3">
      <c r="A7422" s="9">
        <v>1412</v>
      </c>
      <c r="B7422" t="s">
        <v>194</v>
      </c>
      <c r="C7422" s="25">
        <v>44650</v>
      </c>
      <c r="D7422" s="26">
        <v>0.45868055555555554</v>
      </c>
      <c r="E7422" t="s">
        <v>26</v>
      </c>
      <c r="F7422" t="s">
        <v>210</v>
      </c>
      <c r="G7422" t="s">
        <v>211</v>
      </c>
      <c r="H7422" t="s">
        <v>195</v>
      </c>
      <c r="I7422">
        <v>176.67</v>
      </c>
      <c r="J7422" s="32">
        <v>0</v>
      </c>
      <c r="K7422" s="90">
        <f t="shared" si="455"/>
        <v>463.21</v>
      </c>
      <c r="L7422" s="32">
        <v>463.21</v>
      </c>
      <c r="M7422" s="91">
        <f t="shared" si="456"/>
        <v>38.140368299475398</v>
      </c>
    </row>
    <row r="7423" spans="1:13" hidden="1" x14ac:dyDescent="0.3">
      <c r="A7423" s="9">
        <v>1413</v>
      </c>
      <c r="B7423" t="s">
        <v>194</v>
      </c>
      <c r="C7423" s="25">
        <v>44651</v>
      </c>
      <c r="D7423" s="26">
        <v>0.61172453703703711</v>
      </c>
      <c r="E7423" t="s">
        <v>26</v>
      </c>
      <c r="F7423" t="s">
        <v>175</v>
      </c>
      <c r="G7423" t="s">
        <v>172</v>
      </c>
      <c r="H7423" t="s">
        <v>195</v>
      </c>
      <c r="I7423">
        <v>341.07</v>
      </c>
      <c r="J7423" s="32">
        <v>0</v>
      </c>
      <c r="K7423" s="90">
        <f t="shared" si="455"/>
        <v>1134.46</v>
      </c>
      <c r="L7423" s="72">
        <v>1134.46</v>
      </c>
      <c r="M7423" s="91">
        <f t="shared" si="456"/>
        <v>30.064524090756834</v>
      </c>
    </row>
    <row r="7424" spans="1:13" hidden="1" x14ac:dyDescent="0.3">
      <c r="A7424" s="9">
        <v>2591</v>
      </c>
      <c r="B7424" t="s">
        <v>194</v>
      </c>
      <c r="C7424" s="25">
        <v>44653</v>
      </c>
      <c r="D7424" s="26">
        <v>0.46072916666666663</v>
      </c>
      <c r="E7424" t="s">
        <v>27</v>
      </c>
      <c r="F7424" t="s">
        <v>210</v>
      </c>
      <c r="G7424" t="s">
        <v>211</v>
      </c>
      <c r="H7424" t="s">
        <v>195</v>
      </c>
      <c r="I7424" s="4">
        <v>365.1</v>
      </c>
      <c r="J7424" s="32">
        <v>0</v>
      </c>
      <c r="K7424" s="90">
        <f t="shared" si="455"/>
        <v>827.78</v>
      </c>
      <c r="L7424" s="32">
        <v>827.78</v>
      </c>
      <c r="M7424" s="91">
        <f t="shared" si="456"/>
        <v>44.105921863297013</v>
      </c>
    </row>
    <row r="7425" spans="1:19" hidden="1" x14ac:dyDescent="0.3">
      <c r="A7425" s="9">
        <v>2592</v>
      </c>
      <c r="B7425" t="s">
        <v>194</v>
      </c>
      <c r="C7425" s="25">
        <v>44654</v>
      </c>
      <c r="D7425" s="26">
        <v>0.46025462962962965</v>
      </c>
      <c r="E7425" t="s">
        <v>27</v>
      </c>
      <c r="F7425" t="s">
        <v>165</v>
      </c>
      <c r="G7425" t="s">
        <v>185</v>
      </c>
      <c r="H7425" t="s">
        <v>195</v>
      </c>
      <c r="I7425" s="4">
        <v>259.69200000000001</v>
      </c>
      <c r="J7425" s="37">
        <v>0</v>
      </c>
      <c r="K7425" s="90">
        <f t="shared" si="455"/>
        <v>550.63</v>
      </c>
      <c r="L7425" s="32">
        <v>550.63</v>
      </c>
      <c r="M7425" s="132">
        <f t="shared" si="456"/>
        <v>47.162704538437787</v>
      </c>
    </row>
    <row r="7426" spans="1:19" hidden="1" x14ac:dyDescent="0.3">
      <c r="A7426" s="9">
        <v>2593</v>
      </c>
      <c r="B7426" t="s">
        <v>194</v>
      </c>
      <c r="C7426" s="25">
        <v>44655</v>
      </c>
      <c r="D7426" s="26">
        <v>0.76042824074074078</v>
      </c>
      <c r="E7426" t="s">
        <v>27</v>
      </c>
      <c r="F7426" t="s">
        <v>166</v>
      </c>
      <c r="G7426" t="s">
        <v>161</v>
      </c>
      <c r="H7426" t="s">
        <v>195</v>
      </c>
      <c r="I7426" s="4">
        <v>239</v>
      </c>
      <c r="J7426" s="37">
        <v>0</v>
      </c>
      <c r="K7426" s="97">
        <f t="shared" si="455"/>
        <v>649.83000000000004</v>
      </c>
      <c r="L7426" s="37">
        <v>649.83000000000004</v>
      </c>
      <c r="M7426" s="91">
        <f t="shared" si="456"/>
        <v>36.778849853038487</v>
      </c>
    </row>
    <row r="7427" spans="1:19" hidden="1" x14ac:dyDescent="0.3">
      <c r="A7427" s="9">
        <v>2594</v>
      </c>
      <c r="B7427" t="s">
        <v>194</v>
      </c>
      <c r="C7427" s="25">
        <v>44657</v>
      </c>
      <c r="D7427" s="26">
        <v>0.29739583333333336</v>
      </c>
      <c r="E7427" t="s">
        <v>27</v>
      </c>
      <c r="F7427" t="s">
        <v>175</v>
      </c>
      <c r="G7427" t="s">
        <v>172</v>
      </c>
      <c r="H7427" t="s">
        <v>195</v>
      </c>
      <c r="I7427" s="4">
        <v>406.5</v>
      </c>
      <c r="J7427" s="32">
        <v>0</v>
      </c>
      <c r="K7427" s="90">
        <f t="shared" si="455"/>
        <v>1096.53</v>
      </c>
      <c r="L7427" s="32">
        <v>1096.53</v>
      </c>
      <c r="M7427" s="91">
        <f t="shared" si="456"/>
        <v>37.071489152143585</v>
      </c>
    </row>
    <row r="7428" spans="1:19" hidden="1" x14ac:dyDescent="0.3">
      <c r="A7428" s="9">
        <v>2595</v>
      </c>
      <c r="B7428" t="s">
        <v>194</v>
      </c>
      <c r="C7428" s="25">
        <v>44657</v>
      </c>
      <c r="D7428" s="26">
        <v>0.86097222222222225</v>
      </c>
      <c r="E7428" t="s">
        <v>27</v>
      </c>
      <c r="F7428" t="s">
        <v>210</v>
      </c>
      <c r="G7428" t="s">
        <v>211</v>
      </c>
      <c r="H7428" t="s">
        <v>195</v>
      </c>
      <c r="I7428" s="4">
        <v>285.45</v>
      </c>
      <c r="J7428" s="32">
        <v>0</v>
      </c>
      <c r="K7428" s="90">
        <f t="shared" si="455"/>
        <v>1793</v>
      </c>
      <c r="L7428" s="32">
        <v>1793</v>
      </c>
      <c r="M7428" s="36">
        <f t="shared" si="456"/>
        <v>15.920245398773005</v>
      </c>
    </row>
    <row r="7429" spans="1:19" hidden="1" x14ac:dyDescent="0.3">
      <c r="A7429" s="9">
        <v>2596</v>
      </c>
      <c r="B7429" t="s">
        <v>194</v>
      </c>
      <c r="C7429" s="25">
        <v>44658</v>
      </c>
      <c r="D7429" s="26">
        <v>0.6050578703703704</v>
      </c>
      <c r="E7429" t="s">
        <v>27</v>
      </c>
      <c r="F7429" t="s">
        <v>165</v>
      </c>
      <c r="G7429" t="s">
        <v>185</v>
      </c>
      <c r="H7429" t="s">
        <v>195</v>
      </c>
      <c r="I7429" s="4">
        <v>245.19</v>
      </c>
      <c r="J7429" s="32">
        <v>0</v>
      </c>
      <c r="K7429" s="90">
        <f t="shared" si="455"/>
        <v>1244.52</v>
      </c>
      <c r="L7429" s="32">
        <v>1244.52</v>
      </c>
      <c r="M7429" s="36">
        <f t="shared" si="456"/>
        <v>19.70157169029023</v>
      </c>
    </row>
    <row r="7430" spans="1:19" hidden="1" x14ac:dyDescent="0.3">
      <c r="A7430" s="9">
        <v>2597</v>
      </c>
      <c r="B7430" t="s">
        <v>194</v>
      </c>
      <c r="C7430" s="25">
        <v>44659</v>
      </c>
      <c r="D7430" s="26">
        <v>0.25908564814814816</v>
      </c>
      <c r="E7430" t="s">
        <v>27</v>
      </c>
      <c r="F7430" t="s">
        <v>210</v>
      </c>
      <c r="G7430" t="s">
        <v>211</v>
      </c>
      <c r="H7430" t="s">
        <v>195</v>
      </c>
      <c r="I7430" s="4">
        <v>138.07</v>
      </c>
      <c r="J7430" s="32">
        <v>0</v>
      </c>
      <c r="K7430" s="102">
        <f t="shared" si="455"/>
        <v>514.75</v>
      </c>
      <c r="L7430" s="32">
        <v>514.75</v>
      </c>
      <c r="M7430" s="36">
        <f t="shared" si="456"/>
        <v>26.822729480330253</v>
      </c>
    </row>
    <row r="7431" spans="1:19" hidden="1" x14ac:dyDescent="0.3">
      <c r="A7431" s="9">
        <v>5081</v>
      </c>
      <c r="B7431" t="s">
        <v>194</v>
      </c>
      <c r="C7431" s="25">
        <v>44709</v>
      </c>
      <c r="D7431" s="26">
        <v>0.53334490740740736</v>
      </c>
      <c r="E7431" t="s">
        <v>28</v>
      </c>
      <c r="F7431" t="s">
        <v>651</v>
      </c>
      <c r="G7431" t="s">
        <v>172</v>
      </c>
      <c r="H7431" t="s">
        <v>195</v>
      </c>
      <c r="I7431">
        <v>456.35</v>
      </c>
      <c r="J7431" s="32">
        <v>0</v>
      </c>
      <c r="K7431" s="90">
        <f>+L7431-J7687</f>
        <v>944</v>
      </c>
      <c r="L7431" s="7">
        <v>944</v>
      </c>
      <c r="M7431" s="36">
        <f t="shared" si="456"/>
        <v>48.342161016949156</v>
      </c>
    </row>
    <row r="7432" spans="1:19" hidden="1" x14ac:dyDescent="0.3">
      <c r="A7432" s="9">
        <v>5134</v>
      </c>
      <c r="B7432" t="s">
        <v>194</v>
      </c>
      <c r="C7432" s="25">
        <v>44710</v>
      </c>
      <c r="D7432" s="26">
        <v>0.70081018518518512</v>
      </c>
      <c r="E7432" t="s">
        <v>28</v>
      </c>
      <c r="F7432" t="s">
        <v>632</v>
      </c>
      <c r="G7432" t="s">
        <v>161</v>
      </c>
      <c r="H7432" t="s">
        <v>195</v>
      </c>
      <c r="I7432">
        <v>280.79000000000002</v>
      </c>
      <c r="J7432" s="32">
        <v>0</v>
      </c>
      <c r="K7432" s="90" t="e">
        <f>+L7432-#REF!</f>
        <v>#REF!</v>
      </c>
      <c r="L7432" s="7">
        <v>655</v>
      </c>
      <c r="M7432" s="91" t="e">
        <f t="shared" si="456"/>
        <v>#REF!</v>
      </c>
    </row>
    <row r="7433" spans="1:19" hidden="1" x14ac:dyDescent="0.3">
      <c r="A7433" s="9">
        <v>5504</v>
      </c>
      <c r="B7433" t="s">
        <v>194</v>
      </c>
      <c r="C7433" s="25">
        <v>44717</v>
      </c>
      <c r="D7433" s="26">
        <v>0.50001157407407404</v>
      </c>
      <c r="E7433" t="s">
        <v>29</v>
      </c>
      <c r="F7433" t="s">
        <v>634</v>
      </c>
      <c r="G7433" t="s">
        <v>211</v>
      </c>
      <c r="H7433" t="s">
        <v>195</v>
      </c>
      <c r="I7433">
        <v>518.69000000000005</v>
      </c>
      <c r="J7433" s="37">
        <v>0</v>
      </c>
      <c r="K7433" s="97">
        <f>+L7433-J7695</f>
        <v>1153</v>
      </c>
      <c r="L7433" s="34">
        <v>1153</v>
      </c>
      <c r="M7433" s="91">
        <f t="shared" si="456"/>
        <v>44.98612315698179</v>
      </c>
    </row>
    <row r="7434" spans="1:19" hidden="1" x14ac:dyDescent="0.3">
      <c r="A7434" s="9">
        <v>5800</v>
      </c>
      <c r="B7434" t="s">
        <v>194</v>
      </c>
      <c r="C7434" s="25">
        <v>44723</v>
      </c>
      <c r="D7434" s="26">
        <v>0.57821759259259264</v>
      </c>
      <c r="E7434" t="s">
        <v>29</v>
      </c>
      <c r="F7434" t="s">
        <v>654</v>
      </c>
      <c r="G7434" t="s">
        <v>303</v>
      </c>
      <c r="H7434" t="s">
        <v>195</v>
      </c>
      <c r="I7434">
        <v>200</v>
      </c>
      <c r="J7434" s="32">
        <v>0</v>
      </c>
      <c r="K7434" s="90">
        <f>+L7434-J7667</f>
        <v>1334</v>
      </c>
      <c r="L7434" s="7">
        <v>1334</v>
      </c>
      <c r="M7434" s="36">
        <f t="shared" si="456"/>
        <v>14.992503748125937</v>
      </c>
    </row>
    <row r="7435" spans="1:19" hidden="1" x14ac:dyDescent="0.3">
      <c r="A7435" s="9">
        <v>5801</v>
      </c>
      <c r="B7435" t="s">
        <v>194</v>
      </c>
      <c r="C7435" s="25">
        <v>44723</v>
      </c>
      <c r="D7435" s="26">
        <v>0.82843750000000005</v>
      </c>
      <c r="E7435" t="s">
        <v>29</v>
      </c>
      <c r="F7435" t="s">
        <v>634</v>
      </c>
      <c r="G7435" t="s">
        <v>211</v>
      </c>
      <c r="H7435" t="s">
        <v>195</v>
      </c>
      <c r="I7435">
        <v>481.23</v>
      </c>
      <c r="J7435" s="32">
        <v>0</v>
      </c>
      <c r="K7435" s="90">
        <f>+L7435-J7668</f>
        <v>430</v>
      </c>
      <c r="L7435" s="7">
        <v>430</v>
      </c>
      <c r="M7435" s="36">
        <f t="shared" si="456"/>
        <v>111.9139534883721</v>
      </c>
    </row>
    <row r="7436" spans="1:19" hidden="1" x14ac:dyDescent="0.3">
      <c r="A7436" s="9">
        <v>5864</v>
      </c>
      <c r="B7436" t="s">
        <v>194</v>
      </c>
      <c r="C7436" s="25">
        <v>44724</v>
      </c>
      <c r="D7436" s="26">
        <v>0.84467592592592589</v>
      </c>
      <c r="E7436" t="s">
        <v>29</v>
      </c>
      <c r="F7436" t="s">
        <v>634</v>
      </c>
      <c r="G7436" t="s">
        <v>211</v>
      </c>
      <c r="H7436" t="s">
        <v>195</v>
      </c>
      <c r="I7436">
        <v>316.93</v>
      </c>
      <c r="J7436" s="32">
        <v>0</v>
      </c>
      <c r="K7436" s="90">
        <f>+L7436-J7669</f>
        <v>914</v>
      </c>
      <c r="L7436" s="7">
        <v>914</v>
      </c>
      <c r="M7436" s="91">
        <f t="shared" si="456"/>
        <v>34.67505470459519</v>
      </c>
    </row>
    <row r="7437" spans="1:19" hidden="1" x14ac:dyDescent="0.3">
      <c r="A7437" s="9">
        <v>5972</v>
      </c>
      <c r="B7437" t="s">
        <v>194</v>
      </c>
      <c r="C7437" s="25">
        <v>44726</v>
      </c>
      <c r="D7437" s="26">
        <v>0.49571759259259257</v>
      </c>
      <c r="E7437" t="s">
        <v>29</v>
      </c>
      <c r="F7437" t="s">
        <v>651</v>
      </c>
      <c r="G7437" t="s">
        <v>172</v>
      </c>
      <c r="H7437" t="s">
        <v>195</v>
      </c>
      <c r="I7437">
        <v>409.73</v>
      </c>
      <c r="J7437" s="37">
        <v>0</v>
      </c>
      <c r="K7437" s="97">
        <v>1100</v>
      </c>
      <c r="L7437" s="34">
        <v>1100</v>
      </c>
      <c r="M7437" s="118">
        <f t="shared" si="456"/>
        <v>37.24818181818182</v>
      </c>
      <c r="N7437" s="2"/>
      <c r="O7437" s="2"/>
      <c r="P7437" s="2"/>
      <c r="Q7437" s="2"/>
      <c r="R7437" s="2"/>
      <c r="S7437" s="2"/>
    </row>
    <row r="7438" spans="1:19" hidden="1" x14ac:dyDescent="0.3">
      <c r="A7438" s="9">
        <v>6028</v>
      </c>
      <c r="B7438" t="s">
        <v>194</v>
      </c>
      <c r="C7438" s="25">
        <v>44727</v>
      </c>
      <c r="D7438" s="26">
        <v>0.28462962962962962</v>
      </c>
      <c r="E7438" t="s">
        <v>29</v>
      </c>
      <c r="F7438" t="s">
        <v>634</v>
      </c>
      <c r="G7438" t="s">
        <v>211</v>
      </c>
      <c r="H7438" t="s">
        <v>195</v>
      </c>
      <c r="I7438">
        <v>280.60000000000002</v>
      </c>
      <c r="J7438" s="32">
        <v>0</v>
      </c>
      <c r="K7438" s="90">
        <v>696</v>
      </c>
      <c r="L7438" s="7">
        <v>696</v>
      </c>
      <c r="M7438" s="91">
        <f t="shared" si="456"/>
        <v>40.316091954022994</v>
      </c>
    </row>
    <row r="7439" spans="1:19" hidden="1" x14ac:dyDescent="0.3">
      <c r="A7439" s="9">
        <v>6029</v>
      </c>
      <c r="B7439" t="s">
        <v>194</v>
      </c>
      <c r="C7439" s="25">
        <v>44727</v>
      </c>
      <c r="D7439" s="26">
        <v>0.68679398148148152</v>
      </c>
      <c r="E7439" t="s">
        <v>29</v>
      </c>
      <c r="F7439" t="s">
        <v>635</v>
      </c>
      <c r="G7439" t="s">
        <v>185</v>
      </c>
      <c r="H7439" t="s">
        <v>195</v>
      </c>
      <c r="I7439">
        <v>263.42</v>
      </c>
      <c r="J7439" s="32">
        <v>0</v>
      </c>
      <c r="K7439" s="90">
        <v>548</v>
      </c>
      <c r="L7439" s="7">
        <v>548</v>
      </c>
      <c r="M7439" s="91">
        <f t="shared" si="456"/>
        <v>48.069343065693431</v>
      </c>
    </row>
    <row r="7440" spans="1:19" hidden="1" x14ac:dyDescent="0.3">
      <c r="A7440" s="9">
        <v>6092</v>
      </c>
      <c r="B7440" t="s">
        <v>194</v>
      </c>
      <c r="C7440" s="25">
        <v>44728</v>
      </c>
      <c r="D7440" s="26">
        <v>0.25753472222222223</v>
      </c>
      <c r="E7440" t="s">
        <v>29</v>
      </c>
      <c r="F7440" t="s">
        <v>634</v>
      </c>
      <c r="G7440" t="s">
        <v>211</v>
      </c>
      <c r="H7440" t="s">
        <v>195</v>
      </c>
      <c r="I7440">
        <v>134.16</v>
      </c>
      <c r="J7440" s="32">
        <v>0</v>
      </c>
      <c r="K7440" s="90">
        <v>514</v>
      </c>
      <c r="L7440" s="7">
        <v>514</v>
      </c>
      <c r="M7440" s="36">
        <f t="shared" si="456"/>
        <v>26.101167315175093</v>
      </c>
    </row>
    <row r="7441" spans="1:13" hidden="1" x14ac:dyDescent="0.3">
      <c r="A7441" s="9">
        <v>6093</v>
      </c>
      <c r="B7441" t="s">
        <v>194</v>
      </c>
      <c r="C7441" s="25">
        <v>44728</v>
      </c>
      <c r="D7441" s="26">
        <v>0.62060185185185179</v>
      </c>
      <c r="E7441" t="s">
        <v>29</v>
      </c>
      <c r="F7441" t="s">
        <v>637</v>
      </c>
      <c r="G7441" t="s">
        <v>196</v>
      </c>
      <c r="H7441" t="s">
        <v>195</v>
      </c>
      <c r="I7441">
        <v>156</v>
      </c>
      <c r="J7441" s="32">
        <v>0</v>
      </c>
      <c r="K7441" s="90">
        <v>482</v>
      </c>
      <c r="L7441" s="7">
        <v>482</v>
      </c>
      <c r="M7441" s="36">
        <f t="shared" ref="M7441:M7451" si="457">I7441/K7441*100</f>
        <v>32.365145228215766</v>
      </c>
    </row>
    <row r="7442" spans="1:13" hidden="1" x14ac:dyDescent="0.3">
      <c r="A7442" s="9">
        <v>6289</v>
      </c>
      <c r="B7442" t="s">
        <v>194</v>
      </c>
      <c r="C7442" s="25">
        <v>44733</v>
      </c>
      <c r="D7442" s="26">
        <v>0.42743055555555554</v>
      </c>
      <c r="E7442" t="s">
        <v>29</v>
      </c>
      <c r="F7442" t="s">
        <v>651</v>
      </c>
      <c r="G7442" t="s">
        <v>172</v>
      </c>
      <c r="H7442" t="s">
        <v>195</v>
      </c>
      <c r="I7442">
        <v>273.52999999999997</v>
      </c>
      <c r="J7442" s="32">
        <v>0</v>
      </c>
      <c r="K7442" s="97">
        <v>522</v>
      </c>
      <c r="L7442" s="7">
        <v>522</v>
      </c>
      <c r="M7442" s="91">
        <f t="shared" si="457"/>
        <v>52.400383141762454</v>
      </c>
    </row>
    <row r="7443" spans="1:13" hidden="1" x14ac:dyDescent="0.3">
      <c r="A7443" s="9">
        <v>6323</v>
      </c>
      <c r="B7443" t="s">
        <v>194</v>
      </c>
      <c r="C7443" s="25">
        <v>44734</v>
      </c>
      <c r="D7443" s="26">
        <v>0.30418981481481483</v>
      </c>
      <c r="E7443" t="s">
        <v>29</v>
      </c>
      <c r="F7443" t="s">
        <v>654</v>
      </c>
      <c r="G7443" t="s">
        <v>303</v>
      </c>
      <c r="H7443" t="s">
        <v>195</v>
      </c>
      <c r="I7443">
        <v>150</v>
      </c>
      <c r="J7443" s="32">
        <v>0</v>
      </c>
      <c r="K7443" s="90">
        <v>400</v>
      </c>
      <c r="L7443" s="7">
        <v>400</v>
      </c>
      <c r="M7443" s="91">
        <f t="shared" si="457"/>
        <v>37.5</v>
      </c>
    </row>
    <row r="7444" spans="1:13" hidden="1" x14ac:dyDescent="0.3">
      <c r="A7444" s="9">
        <v>6324</v>
      </c>
      <c r="B7444" t="s">
        <v>194</v>
      </c>
      <c r="C7444" s="25">
        <v>44734</v>
      </c>
      <c r="D7444" s="26">
        <v>0.52877314814814813</v>
      </c>
      <c r="E7444" t="s">
        <v>29</v>
      </c>
      <c r="F7444" t="s">
        <v>632</v>
      </c>
      <c r="G7444" t="s">
        <v>161</v>
      </c>
      <c r="H7444" t="s">
        <v>195</v>
      </c>
      <c r="I7444">
        <v>154.80000000000001</v>
      </c>
      <c r="J7444" s="32">
        <v>0</v>
      </c>
      <c r="K7444" s="90">
        <v>355</v>
      </c>
      <c r="L7444" s="7">
        <v>355</v>
      </c>
      <c r="M7444" s="91">
        <f t="shared" si="457"/>
        <v>43.605633802816904</v>
      </c>
    </row>
    <row r="7445" spans="1:13" hidden="1" x14ac:dyDescent="0.3">
      <c r="A7445" s="9">
        <v>6325</v>
      </c>
      <c r="B7445" t="s">
        <v>194</v>
      </c>
      <c r="C7445" s="25">
        <v>44734</v>
      </c>
      <c r="D7445" s="26">
        <v>0.91651620370370368</v>
      </c>
      <c r="E7445" t="s">
        <v>29</v>
      </c>
      <c r="F7445" t="s">
        <v>635</v>
      </c>
      <c r="G7445" t="s">
        <v>185</v>
      </c>
      <c r="H7445" t="s">
        <v>195</v>
      </c>
      <c r="I7445">
        <v>261.26</v>
      </c>
      <c r="J7445" s="32">
        <v>0</v>
      </c>
      <c r="K7445" s="90">
        <v>598</v>
      </c>
      <c r="L7445" s="7">
        <v>598</v>
      </c>
      <c r="M7445" s="91">
        <f t="shared" si="457"/>
        <v>43.68896321070234</v>
      </c>
    </row>
    <row r="7446" spans="1:13" hidden="1" x14ac:dyDescent="0.3">
      <c r="A7446" s="9">
        <v>6373</v>
      </c>
      <c r="B7446" t="s">
        <v>194</v>
      </c>
      <c r="C7446" s="25">
        <v>44735</v>
      </c>
      <c r="D7446" s="26">
        <v>0.63017361111111114</v>
      </c>
      <c r="E7446" t="s">
        <v>29</v>
      </c>
      <c r="F7446" t="s">
        <v>634</v>
      </c>
      <c r="G7446" t="s">
        <v>211</v>
      </c>
      <c r="H7446" t="s">
        <v>195</v>
      </c>
      <c r="I7446">
        <v>178.17</v>
      </c>
      <c r="J7446" s="37">
        <v>0</v>
      </c>
      <c r="K7446" s="90">
        <v>541</v>
      </c>
      <c r="L7446" s="7">
        <v>541</v>
      </c>
      <c r="M7446" s="91">
        <f t="shared" si="457"/>
        <v>32.933456561922362</v>
      </c>
    </row>
    <row r="7447" spans="1:13" hidden="1" x14ac:dyDescent="0.3">
      <c r="A7447" s="9">
        <v>6483</v>
      </c>
      <c r="B7447" t="s">
        <v>194</v>
      </c>
      <c r="C7447" s="25">
        <v>44737</v>
      </c>
      <c r="D7447" s="26">
        <v>0.34416666666666668</v>
      </c>
      <c r="E7447" t="s">
        <v>29</v>
      </c>
      <c r="F7447" t="s">
        <v>651</v>
      </c>
      <c r="G7447" t="s">
        <v>172</v>
      </c>
      <c r="H7447" t="s">
        <v>195</v>
      </c>
      <c r="I7447">
        <v>351.77</v>
      </c>
      <c r="J7447" s="32">
        <v>0</v>
      </c>
      <c r="K7447" s="90">
        <v>1036</v>
      </c>
      <c r="L7447" s="7">
        <v>1036</v>
      </c>
      <c r="M7447" s="91">
        <f t="shared" si="457"/>
        <v>33.954633204633204</v>
      </c>
    </row>
    <row r="7448" spans="1:13" hidden="1" x14ac:dyDescent="0.3">
      <c r="A7448" s="9">
        <v>6484</v>
      </c>
      <c r="B7448" t="s">
        <v>194</v>
      </c>
      <c r="C7448" s="25">
        <v>44737</v>
      </c>
      <c r="D7448" s="26">
        <v>0.83347222222222228</v>
      </c>
      <c r="E7448" t="s">
        <v>29</v>
      </c>
      <c r="F7448" t="s">
        <v>632</v>
      </c>
      <c r="G7448" t="s">
        <v>161</v>
      </c>
      <c r="H7448" t="s">
        <v>195</v>
      </c>
      <c r="I7448">
        <v>229.36</v>
      </c>
      <c r="J7448" s="32">
        <v>0</v>
      </c>
      <c r="K7448" s="90">
        <v>611</v>
      </c>
      <c r="L7448" s="7">
        <v>611</v>
      </c>
      <c r="M7448" s="91">
        <f t="shared" si="457"/>
        <v>37.53846153846154</v>
      </c>
    </row>
    <row r="7449" spans="1:13" hidden="1" x14ac:dyDescent="0.3">
      <c r="A7449" s="9">
        <v>6532</v>
      </c>
      <c r="B7449" t="s">
        <v>194</v>
      </c>
      <c r="C7449" s="25">
        <v>44738</v>
      </c>
      <c r="D7449" s="26">
        <v>0.63465277777777784</v>
      </c>
      <c r="E7449" t="s">
        <v>29</v>
      </c>
      <c r="F7449" t="s">
        <v>645</v>
      </c>
      <c r="G7449" t="s">
        <v>279</v>
      </c>
      <c r="H7449" t="s">
        <v>195</v>
      </c>
      <c r="I7449">
        <v>274.13</v>
      </c>
      <c r="J7449" s="32">
        <v>0</v>
      </c>
      <c r="K7449" s="90">
        <v>647</v>
      </c>
      <c r="L7449" s="7">
        <v>647</v>
      </c>
      <c r="M7449" s="91">
        <f t="shared" si="457"/>
        <v>42.369397217928899</v>
      </c>
    </row>
    <row r="7450" spans="1:13" hidden="1" x14ac:dyDescent="0.3">
      <c r="A7450" s="9">
        <v>6533</v>
      </c>
      <c r="B7450" t="s">
        <v>194</v>
      </c>
      <c r="C7450" s="25">
        <v>44738</v>
      </c>
      <c r="D7450" s="26">
        <v>0.8572453703703703</v>
      </c>
      <c r="E7450" t="s">
        <v>29</v>
      </c>
      <c r="F7450" t="s">
        <v>634</v>
      </c>
      <c r="G7450" t="s">
        <v>211</v>
      </c>
      <c r="H7450" t="s">
        <v>195</v>
      </c>
      <c r="I7450">
        <v>94.43</v>
      </c>
      <c r="J7450" s="32">
        <v>0</v>
      </c>
      <c r="K7450" s="90">
        <v>350</v>
      </c>
      <c r="L7450" s="7">
        <v>350</v>
      </c>
      <c r="M7450" s="91">
        <f t="shared" si="457"/>
        <v>26.980000000000004</v>
      </c>
    </row>
    <row r="7451" spans="1:13" hidden="1" x14ac:dyDescent="0.3">
      <c r="A7451" s="9">
        <v>6585</v>
      </c>
      <c r="B7451" t="s">
        <v>194</v>
      </c>
      <c r="C7451" s="25">
        <v>44739</v>
      </c>
      <c r="D7451" s="26">
        <v>0.49374999999999997</v>
      </c>
      <c r="E7451" t="s">
        <v>29</v>
      </c>
      <c r="F7451" t="s">
        <v>637</v>
      </c>
      <c r="G7451" t="s">
        <v>196</v>
      </c>
      <c r="H7451" t="s">
        <v>195</v>
      </c>
      <c r="I7451" s="148">
        <v>163.04</v>
      </c>
      <c r="J7451" s="33">
        <v>0</v>
      </c>
      <c r="K7451" s="99">
        <v>482</v>
      </c>
      <c r="L7451" s="31">
        <v>482</v>
      </c>
      <c r="M7451" s="262">
        <f t="shared" si="457"/>
        <v>33.825726141078839</v>
      </c>
    </row>
    <row r="7452" spans="1:13" hidden="1" x14ac:dyDescent="0.3">
      <c r="B7452" t="s">
        <v>348</v>
      </c>
      <c r="C7452" s="25">
        <v>44769</v>
      </c>
      <c r="D7452" s="26">
        <v>2.9525462962962962E-2</v>
      </c>
      <c r="E7452" t="s">
        <v>30</v>
      </c>
      <c r="F7452" t="s">
        <v>165</v>
      </c>
      <c r="G7452" t="s">
        <v>185</v>
      </c>
      <c r="H7452" t="s">
        <v>204</v>
      </c>
      <c r="I7452" s="160">
        <v>136.08000000000001</v>
      </c>
      <c r="J7452" s="8"/>
      <c r="K7452" s="8"/>
      <c r="L7452" s="8"/>
      <c r="M7452" s="254"/>
    </row>
    <row r="7453" spans="1:13" hidden="1" x14ac:dyDescent="0.3">
      <c r="B7453" t="s">
        <v>348</v>
      </c>
      <c r="C7453" s="25">
        <v>44769</v>
      </c>
      <c r="D7453" s="26">
        <v>0.85179398148148155</v>
      </c>
      <c r="E7453" t="s">
        <v>30</v>
      </c>
      <c r="F7453" t="s">
        <v>210</v>
      </c>
      <c r="G7453" t="s">
        <v>211</v>
      </c>
      <c r="H7453" t="s">
        <v>204</v>
      </c>
      <c r="I7453" s="160">
        <v>383.23</v>
      </c>
      <c r="J7453" s="160">
        <f>383+136</f>
        <v>519</v>
      </c>
      <c r="K7453" s="160">
        <v>9135</v>
      </c>
      <c r="L7453" s="160">
        <v>1106</v>
      </c>
      <c r="M7453" s="150">
        <f>+J7453/L7453*100</f>
        <v>46.925858951175407</v>
      </c>
    </row>
    <row r="7454" spans="1:13" hidden="1" x14ac:dyDescent="0.3">
      <c r="B7454" t="s">
        <v>348</v>
      </c>
      <c r="C7454" s="25">
        <v>44771</v>
      </c>
      <c r="D7454" s="26">
        <v>0.33807870370370369</v>
      </c>
      <c r="E7454" t="s">
        <v>30</v>
      </c>
      <c r="F7454" t="s">
        <v>428</v>
      </c>
      <c r="G7454" t="s">
        <v>429</v>
      </c>
      <c r="H7454" t="s">
        <v>204</v>
      </c>
      <c r="I7454" s="160">
        <v>200.05</v>
      </c>
      <c r="J7454" s="8"/>
      <c r="K7454" s="8"/>
      <c r="L7454" s="8"/>
      <c r="M7454" s="254"/>
    </row>
    <row r="7455" spans="1:13" hidden="1" x14ac:dyDescent="0.3">
      <c r="B7455" t="s">
        <v>348</v>
      </c>
      <c r="C7455" s="25">
        <v>44771</v>
      </c>
      <c r="D7455" s="26">
        <v>0.34232638888888883</v>
      </c>
      <c r="E7455" t="s">
        <v>30</v>
      </c>
      <c r="F7455" t="s">
        <v>428</v>
      </c>
      <c r="G7455" t="s">
        <v>429</v>
      </c>
      <c r="H7455" t="s">
        <v>204</v>
      </c>
      <c r="I7455" s="160">
        <v>100</v>
      </c>
      <c r="J7455" s="8"/>
      <c r="K7455" s="8"/>
      <c r="L7455" s="8"/>
      <c r="M7455" s="254"/>
    </row>
    <row r="7456" spans="1:13" hidden="1" x14ac:dyDescent="0.3">
      <c r="B7456" t="s">
        <v>312</v>
      </c>
      <c r="C7456" s="25">
        <v>44564</v>
      </c>
      <c r="D7456" s="26">
        <v>0.79082175925925924</v>
      </c>
      <c r="E7456" t="s">
        <v>24</v>
      </c>
      <c r="F7456" t="s">
        <v>210</v>
      </c>
      <c r="G7456" t="s">
        <v>211</v>
      </c>
      <c r="H7456" t="s">
        <v>313</v>
      </c>
      <c r="I7456">
        <v>332.74</v>
      </c>
      <c r="J7456" s="34">
        <v>628278</v>
      </c>
      <c r="K7456" s="34">
        <f t="shared" ref="K7456:K7487" si="458">+L7456-J7456</f>
        <v>846</v>
      </c>
      <c r="L7456" s="34">
        <v>629124</v>
      </c>
      <c r="M7456" s="132">
        <f t="shared" ref="M7456:M7487" si="459">I7456/K7456*100</f>
        <v>39.33096926713948</v>
      </c>
    </row>
    <row r="7457" spans="2:13" hidden="1" x14ac:dyDescent="0.3">
      <c r="B7457" t="s">
        <v>312</v>
      </c>
      <c r="C7457" s="25">
        <v>44565</v>
      </c>
      <c r="D7457" s="26">
        <v>0.98511574074074071</v>
      </c>
      <c r="E7457" t="s">
        <v>24</v>
      </c>
      <c r="F7457" t="s">
        <v>165</v>
      </c>
      <c r="G7457" t="s">
        <v>185</v>
      </c>
      <c r="H7457" t="s">
        <v>313</v>
      </c>
      <c r="I7457">
        <v>263.66000000000003</v>
      </c>
      <c r="J7457" s="34">
        <v>629124</v>
      </c>
      <c r="K7457" s="34">
        <f t="shared" si="458"/>
        <v>566</v>
      </c>
      <c r="L7457" s="34">
        <v>629690</v>
      </c>
      <c r="M7457" s="132">
        <f t="shared" si="459"/>
        <v>46.583038869257955</v>
      </c>
    </row>
    <row r="7458" spans="2:13" hidden="1" x14ac:dyDescent="0.3">
      <c r="B7458" t="s">
        <v>312</v>
      </c>
      <c r="C7458" s="25">
        <v>44566</v>
      </c>
      <c r="D7458" s="26">
        <v>0.61</v>
      </c>
      <c r="E7458" t="s">
        <v>24</v>
      </c>
      <c r="F7458" t="s">
        <v>202</v>
      </c>
      <c r="G7458" t="s">
        <v>203</v>
      </c>
      <c r="H7458" t="s">
        <v>313</v>
      </c>
      <c r="I7458">
        <v>194.81</v>
      </c>
      <c r="J7458" s="7">
        <v>629690</v>
      </c>
      <c r="K7458" s="7">
        <f t="shared" si="458"/>
        <v>552</v>
      </c>
      <c r="L7458" s="7">
        <v>630242</v>
      </c>
      <c r="M7458" s="119">
        <f t="shared" si="459"/>
        <v>35.291666666666664</v>
      </c>
    </row>
    <row r="7459" spans="2:13" hidden="1" x14ac:dyDescent="0.3">
      <c r="B7459" t="s">
        <v>312</v>
      </c>
      <c r="C7459" s="25">
        <v>44567</v>
      </c>
      <c r="D7459" s="26">
        <v>0.54344907407407406</v>
      </c>
      <c r="E7459" t="s">
        <v>24</v>
      </c>
      <c r="F7459" t="s">
        <v>202</v>
      </c>
      <c r="G7459" t="s">
        <v>203</v>
      </c>
      <c r="H7459" t="s">
        <v>313</v>
      </c>
      <c r="I7459">
        <v>185.12</v>
      </c>
      <c r="J7459" s="7">
        <v>630242</v>
      </c>
      <c r="K7459" s="7">
        <f t="shared" si="458"/>
        <v>520</v>
      </c>
      <c r="L7459" s="7">
        <v>630762</v>
      </c>
      <c r="M7459" s="119">
        <f t="shared" si="459"/>
        <v>35.6</v>
      </c>
    </row>
    <row r="7460" spans="2:13" hidden="1" x14ac:dyDescent="0.3">
      <c r="B7460" t="s">
        <v>312</v>
      </c>
      <c r="C7460" s="25">
        <v>44568</v>
      </c>
      <c r="D7460" s="26">
        <v>0.73243055555555558</v>
      </c>
      <c r="E7460" t="s">
        <v>24</v>
      </c>
      <c r="F7460" t="s">
        <v>210</v>
      </c>
      <c r="G7460" t="s">
        <v>211</v>
      </c>
      <c r="H7460" t="s">
        <v>313</v>
      </c>
      <c r="I7460">
        <v>391.24</v>
      </c>
      <c r="J7460" s="7">
        <v>630762</v>
      </c>
      <c r="K7460" s="34">
        <f t="shared" si="458"/>
        <v>1109</v>
      </c>
      <c r="L7460" s="34">
        <v>631871</v>
      </c>
      <c r="M7460" s="36">
        <f t="shared" si="459"/>
        <v>35.278629395852121</v>
      </c>
    </row>
    <row r="7461" spans="2:13" hidden="1" x14ac:dyDescent="0.3">
      <c r="B7461" t="s">
        <v>312</v>
      </c>
      <c r="C7461" s="25">
        <v>44569</v>
      </c>
      <c r="D7461" s="26">
        <v>0.7085300925925927</v>
      </c>
      <c r="E7461" t="s">
        <v>24</v>
      </c>
      <c r="F7461" t="s">
        <v>175</v>
      </c>
      <c r="G7461" t="s">
        <v>172</v>
      </c>
      <c r="H7461" t="s">
        <v>313</v>
      </c>
      <c r="I7461">
        <v>342.24</v>
      </c>
      <c r="J7461" s="7">
        <v>631871</v>
      </c>
      <c r="K7461" s="7">
        <f t="shared" si="458"/>
        <v>954</v>
      </c>
      <c r="L7461" s="7">
        <v>632825</v>
      </c>
      <c r="M7461" s="91">
        <f t="shared" si="459"/>
        <v>35.874213836477985</v>
      </c>
    </row>
    <row r="7462" spans="2:13" hidden="1" x14ac:dyDescent="0.3">
      <c r="B7462" t="s">
        <v>312</v>
      </c>
      <c r="C7462" s="25">
        <v>44572</v>
      </c>
      <c r="D7462" s="26">
        <v>0.46959490740740745</v>
      </c>
      <c r="E7462" t="s">
        <v>24</v>
      </c>
      <c r="F7462" t="s">
        <v>210</v>
      </c>
      <c r="G7462" t="s">
        <v>211</v>
      </c>
      <c r="H7462" t="s">
        <v>313</v>
      </c>
      <c r="I7462">
        <v>333.41</v>
      </c>
      <c r="J7462" s="7">
        <v>632825</v>
      </c>
      <c r="K7462" s="7">
        <f t="shared" si="458"/>
        <v>838</v>
      </c>
      <c r="L7462" s="7">
        <v>633663</v>
      </c>
      <c r="M7462" s="91">
        <f t="shared" si="459"/>
        <v>39.786396181384255</v>
      </c>
    </row>
    <row r="7463" spans="2:13" hidden="1" x14ac:dyDescent="0.3">
      <c r="B7463" t="s">
        <v>312</v>
      </c>
      <c r="C7463" s="25">
        <v>44573</v>
      </c>
      <c r="D7463" s="26">
        <v>0.62031249999999993</v>
      </c>
      <c r="E7463" t="s">
        <v>24</v>
      </c>
      <c r="F7463" t="s">
        <v>210</v>
      </c>
      <c r="G7463" t="s">
        <v>211</v>
      </c>
      <c r="H7463" t="s">
        <v>313</v>
      </c>
      <c r="I7463">
        <v>419.25</v>
      </c>
      <c r="J7463" s="7">
        <v>633663</v>
      </c>
      <c r="K7463" s="7">
        <f t="shared" si="458"/>
        <v>1083</v>
      </c>
      <c r="L7463" s="7">
        <v>634746</v>
      </c>
      <c r="M7463" s="91">
        <f t="shared" si="459"/>
        <v>38.711911357340725</v>
      </c>
    </row>
    <row r="7464" spans="2:13" hidden="1" x14ac:dyDescent="0.3">
      <c r="B7464" t="s">
        <v>312</v>
      </c>
      <c r="C7464" s="25">
        <v>44574</v>
      </c>
      <c r="D7464" s="26">
        <v>0.64831018518518524</v>
      </c>
      <c r="E7464" t="s">
        <v>24</v>
      </c>
      <c r="F7464" t="s">
        <v>175</v>
      </c>
      <c r="G7464" t="s">
        <v>172</v>
      </c>
      <c r="H7464" t="s">
        <v>313</v>
      </c>
      <c r="I7464">
        <v>370.36</v>
      </c>
      <c r="J7464" s="7">
        <v>634746</v>
      </c>
      <c r="K7464" s="34">
        <f t="shared" si="458"/>
        <v>933</v>
      </c>
      <c r="L7464" s="7">
        <v>635679</v>
      </c>
      <c r="M7464" s="91">
        <f t="shared" si="459"/>
        <v>39.69560557341908</v>
      </c>
    </row>
    <row r="7465" spans="2:13" hidden="1" x14ac:dyDescent="0.3">
      <c r="B7465" t="s">
        <v>312</v>
      </c>
      <c r="C7465" s="25">
        <v>44575</v>
      </c>
      <c r="D7465" s="26">
        <v>0.92265046296296294</v>
      </c>
      <c r="E7465" t="s">
        <v>24</v>
      </c>
      <c r="F7465" t="s">
        <v>210</v>
      </c>
      <c r="G7465" t="s">
        <v>211</v>
      </c>
      <c r="H7465" t="s">
        <v>313</v>
      </c>
      <c r="I7465">
        <v>353.21</v>
      </c>
      <c r="J7465" s="7">
        <v>635679</v>
      </c>
      <c r="K7465" s="7">
        <f t="shared" si="458"/>
        <v>847</v>
      </c>
      <c r="L7465" s="7">
        <v>636526</v>
      </c>
      <c r="M7465" s="91">
        <f t="shared" si="459"/>
        <v>41.701298701298697</v>
      </c>
    </row>
    <row r="7466" spans="2:13" hidden="1" x14ac:dyDescent="0.3">
      <c r="B7466" t="s">
        <v>312</v>
      </c>
      <c r="C7466" s="25">
        <v>44577</v>
      </c>
      <c r="D7466" s="26">
        <v>0.54708333333333337</v>
      </c>
      <c r="E7466" t="s">
        <v>24</v>
      </c>
      <c r="F7466" t="s">
        <v>210</v>
      </c>
      <c r="G7466" t="s">
        <v>211</v>
      </c>
      <c r="H7466" t="s">
        <v>313</v>
      </c>
      <c r="I7466">
        <v>410.63</v>
      </c>
      <c r="J7466" s="34">
        <v>636526</v>
      </c>
      <c r="K7466" s="34">
        <f t="shared" si="458"/>
        <v>1083</v>
      </c>
      <c r="L7466" s="34">
        <v>637609</v>
      </c>
      <c r="M7466" s="118">
        <f t="shared" si="459"/>
        <v>37.915974145891042</v>
      </c>
    </row>
    <row r="7467" spans="2:13" hidden="1" x14ac:dyDescent="0.3">
      <c r="B7467" t="s">
        <v>312</v>
      </c>
      <c r="C7467" s="25">
        <v>44578</v>
      </c>
      <c r="D7467" s="26">
        <v>0.67019675925925926</v>
      </c>
      <c r="E7467" t="s">
        <v>24</v>
      </c>
      <c r="F7467" t="s">
        <v>175</v>
      </c>
      <c r="G7467" t="s">
        <v>172</v>
      </c>
      <c r="H7467" t="s">
        <v>313</v>
      </c>
      <c r="I7467">
        <v>347.89</v>
      </c>
      <c r="J7467" s="7">
        <v>637609</v>
      </c>
      <c r="K7467" s="7">
        <f t="shared" si="458"/>
        <v>956</v>
      </c>
      <c r="L7467" s="7">
        <v>638565</v>
      </c>
      <c r="M7467" s="36">
        <f t="shared" si="459"/>
        <v>36.390167364016733</v>
      </c>
    </row>
    <row r="7468" spans="2:13" hidden="1" x14ac:dyDescent="0.3">
      <c r="B7468" t="s">
        <v>312</v>
      </c>
      <c r="C7468" s="25">
        <v>44585</v>
      </c>
      <c r="D7468" s="26">
        <v>1.5219907407407409E-2</v>
      </c>
      <c r="E7468" t="s">
        <v>24</v>
      </c>
      <c r="F7468" t="s">
        <v>210</v>
      </c>
      <c r="G7468" t="s">
        <v>211</v>
      </c>
      <c r="H7468" t="s">
        <v>313</v>
      </c>
      <c r="I7468">
        <v>499.27</v>
      </c>
      <c r="J7468" s="7">
        <v>638565</v>
      </c>
      <c r="K7468" s="34">
        <f t="shared" si="458"/>
        <v>1246</v>
      </c>
      <c r="L7468" s="34">
        <v>639811</v>
      </c>
      <c r="M7468" s="36">
        <f t="shared" si="459"/>
        <v>40.069823434991974</v>
      </c>
    </row>
    <row r="7469" spans="2:13" hidden="1" x14ac:dyDescent="0.3">
      <c r="B7469" t="s">
        <v>312</v>
      </c>
      <c r="C7469" s="25">
        <v>44586</v>
      </c>
      <c r="D7469" s="26">
        <v>1.5879629629629629E-2</v>
      </c>
      <c r="E7469" t="s">
        <v>24</v>
      </c>
      <c r="F7469" t="s">
        <v>210</v>
      </c>
      <c r="G7469" t="s">
        <v>211</v>
      </c>
      <c r="H7469" t="s">
        <v>313</v>
      </c>
      <c r="I7469">
        <v>406.47</v>
      </c>
      <c r="J7469" s="7">
        <v>639811</v>
      </c>
      <c r="K7469" s="7">
        <f t="shared" si="458"/>
        <v>1084</v>
      </c>
      <c r="L7469" s="7">
        <v>640895</v>
      </c>
      <c r="M7469" s="91">
        <f t="shared" si="459"/>
        <v>37.497232472324725</v>
      </c>
    </row>
    <row r="7470" spans="2:13" hidden="1" x14ac:dyDescent="0.3">
      <c r="B7470" t="s">
        <v>312</v>
      </c>
      <c r="C7470" s="25">
        <v>44587</v>
      </c>
      <c r="D7470" s="26">
        <v>0.93740740740740736</v>
      </c>
      <c r="E7470" t="s">
        <v>24</v>
      </c>
      <c r="F7470" t="s">
        <v>205</v>
      </c>
      <c r="G7470" t="s">
        <v>206</v>
      </c>
      <c r="H7470" t="s">
        <v>313</v>
      </c>
      <c r="I7470">
        <v>370</v>
      </c>
      <c r="J7470" s="7">
        <v>640895</v>
      </c>
      <c r="K7470" s="7">
        <f t="shared" si="458"/>
        <v>1004</v>
      </c>
      <c r="L7470" s="32">
        <v>641899</v>
      </c>
      <c r="M7470" s="36">
        <f t="shared" si="459"/>
        <v>36.852589641434264</v>
      </c>
    </row>
    <row r="7471" spans="2:13" hidden="1" x14ac:dyDescent="0.3">
      <c r="B7471" t="s">
        <v>312</v>
      </c>
      <c r="C7471" s="25">
        <v>44588</v>
      </c>
      <c r="D7471" s="26">
        <v>0.9520601851851852</v>
      </c>
      <c r="E7471" t="s">
        <v>24</v>
      </c>
      <c r="F7471" t="s">
        <v>210</v>
      </c>
      <c r="G7471" t="s">
        <v>211</v>
      </c>
      <c r="H7471" t="s">
        <v>313</v>
      </c>
      <c r="I7471">
        <v>341.31</v>
      </c>
      <c r="J7471" s="7">
        <v>641899</v>
      </c>
      <c r="K7471" s="7">
        <f t="shared" si="458"/>
        <v>821</v>
      </c>
      <c r="L7471" s="7">
        <v>642720</v>
      </c>
      <c r="M7471" s="36">
        <f t="shared" si="459"/>
        <v>41.572472594397077</v>
      </c>
    </row>
    <row r="7472" spans="2:13" hidden="1" x14ac:dyDescent="0.3">
      <c r="B7472" t="s">
        <v>312</v>
      </c>
      <c r="C7472" s="25">
        <v>44590</v>
      </c>
      <c r="D7472" s="26">
        <v>0.32966435185185183</v>
      </c>
      <c r="E7472" t="s">
        <v>24</v>
      </c>
      <c r="F7472" t="s">
        <v>210</v>
      </c>
      <c r="G7472" t="s">
        <v>211</v>
      </c>
      <c r="H7472" t="s">
        <v>313</v>
      </c>
      <c r="I7472">
        <v>381.39</v>
      </c>
      <c r="J7472" s="7">
        <v>642720</v>
      </c>
      <c r="K7472" s="7">
        <f t="shared" si="458"/>
        <v>1083</v>
      </c>
      <c r="L7472" s="7">
        <v>643803</v>
      </c>
      <c r="M7472" s="91">
        <f t="shared" si="459"/>
        <v>35.21606648199446</v>
      </c>
    </row>
    <row r="7473" spans="1:13" hidden="1" x14ac:dyDescent="0.3">
      <c r="A7473" s="9">
        <v>422</v>
      </c>
      <c r="B7473" t="s">
        <v>312</v>
      </c>
      <c r="C7473" s="25">
        <v>44593</v>
      </c>
      <c r="D7473" s="26">
        <v>0.63418981481481485</v>
      </c>
      <c r="E7473" t="s">
        <v>25</v>
      </c>
      <c r="F7473" t="s">
        <v>175</v>
      </c>
      <c r="G7473" t="s">
        <v>172</v>
      </c>
      <c r="H7473" t="s">
        <v>313</v>
      </c>
      <c r="I7473">
        <v>374.48</v>
      </c>
      <c r="J7473" s="34">
        <v>643803</v>
      </c>
      <c r="K7473" s="34">
        <f t="shared" si="458"/>
        <v>982</v>
      </c>
      <c r="L7473" s="34">
        <v>644785</v>
      </c>
      <c r="M7473" s="91">
        <f t="shared" si="459"/>
        <v>38.134419551934826</v>
      </c>
    </row>
    <row r="7474" spans="1:13" hidden="1" x14ac:dyDescent="0.3">
      <c r="A7474" s="9">
        <v>423</v>
      </c>
      <c r="B7474" t="s">
        <v>312</v>
      </c>
      <c r="C7474" s="25">
        <v>44594</v>
      </c>
      <c r="D7474" s="26">
        <v>0.8175810185185185</v>
      </c>
      <c r="E7474" t="s">
        <v>25</v>
      </c>
      <c r="F7474" t="s">
        <v>210</v>
      </c>
      <c r="G7474" t="s">
        <v>211</v>
      </c>
      <c r="H7474" t="s">
        <v>313</v>
      </c>
      <c r="I7474">
        <v>308.95</v>
      </c>
      <c r="J7474" s="32">
        <v>644785</v>
      </c>
      <c r="K7474" s="32">
        <f t="shared" si="458"/>
        <v>841</v>
      </c>
      <c r="L7474" s="7">
        <v>645626</v>
      </c>
      <c r="M7474" s="91">
        <f t="shared" si="459"/>
        <v>36.736028537455404</v>
      </c>
    </row>
    <row r="7475" spans="1:13" hidden="1" x14ac:dyDescent="0.3">
      <c r="A7475" s="9">
        <v>424</v>
      </c>
      <c r="B7475" t="s">
        <v>312</v>
      </c>
      <c r="C7475" s="25">
        <v>44596</v>
      </c>
      <c r="D7475" s="26">
        <v>0.3831134259259259</v>
      </c>
      <c r="E7475" t="s">
        <v>25</v>
      </c>
      <c r="F7475" t="s">
        <v>210</v>
      </c>
      <c r="G7475" t="s">
        <v>211</v>
      </c>
      <c r="H7475" t="s">
        <v>313</v>
      </c>
      <c r="I7475">
        <v>416.61</v>
      </c>
      <c r="J7475" s="32">
        <v>645626</v>
      </c>
      <c r="K7475" s="32">
        <f t="shared" si="458"/>
        <v>1083</v>
      </c>
      <c r="L7475" s="7">
        <v>646709</v>
      </c>
      <c r="M7475" s="36">
        <f t="shared" si="459"/>
        <v>38.468144044321328</v>
      </c>
    </row>
    <row r="7476" spans="1:13" hidden="1" x14ac:dyDescent="0.3">
      <c r="A7476" s="9">
        <v>425</v>
      </c>
      <c r="B7476" t="s">
        <v>312</v>
      </c>
      <c r="C7476" s="25">
        <v>44597</v>
      </c>
      <c r="D7476" s="26">
        <v>0.5103240740740741</v>
      </c>
      <c r="E7476" t="s">
        <v>25</v>
      </c>
      <c r="F7476" t="s">
        <v>175</v>
      </c>
      <c r="G7476" t="s">
        <v>172</v>
      </c>
      <c r="H7476" t="s">
        <v>313</v>
      </c>
      <c r="I7476">
        <v>297.02</v>
      </c>
      <c r="J7476" s="32">
        <v>646709</v>
      </c>
      <c r="K7476" s="32">
        <f t="shared" si="458"/>
        <v>936</v>
      </c>
      <c r="L7476" s="7">
        <v>647645</v>
      </c>
      <c r="M7476" s="36">
        <f t="shared" si="459"/>
        <v>31.732905982905979</v>
      </c>
    </row>
    <row r="7477" spans="1:13" hidden="1" x14ac:dyDescent="0.3">
      <c r="A7477" s="9">
        <v>426</v>
      </c>
      <c r="B7477" t="s">
        <v>312</v>
      </c>
      <c r="C7477" s="25">
        <v>44598</v>
      </c>
      <c r="D7477" s="26">
        <v>0.82483796296296286</v>
      </c>
      <c r="E7477" t="s">
        <v>25</v>
      </c>
      <c r="F7477" t="s">
        <v>210</v>
      </c>
      <c r="G7477" t="s">
        <v>211</v>
      </c>
      <c r="H7477" t="s">
        <v>313</v>
      </c>
      <c r="I7477">
        <v>378.26</v>
      </c>
      <c r="J7477" s="32">
        <v>647645</v>
      </c>
      <c r="K7477" s="32">
        <f t="shared" si="458"/>
        <v>880</v>
      </c>
      <c r="L7477" s="7">
        <v>648525</v>
      </c>
      <c r="M7477" s="36">
        <f t="shared" si="459"/>
        <v>42.984090909090909</v>
      </c>
    </row>
    <row r="7478" spans="1:13" hidden="1" x14ac:dyDescent="0.3">
      <c r="A7478" s="9">
        <v>427</v>
      </c>
      <c r="B7478" t="s">
        <v>312</v>
      </c>
      <c r="C7478" s="25">
        <v>44600</v>
      </c>
      <c r="D7478" s="26">
        <v>0.38793981481481482</v>
      </c>
      <c r="E7478" t="s">
        <v>25</v>
      </c>
      <c r="F7478" t="s">
        <v>210</v>
      </c>
      <c r="G7478" t="s">
        <v>211</v>
      </c>
      <c r="H7478" t="s">
        <v>313</v>
      </c>
      <c r="I7478">
        <v>392.29</v>
      </c>
      <c r="J7478" s="7">
        <v>648525</v>
      </c>
      <c r="K7478" s="7">
        <f t="shared" si="458"/>
        <v>1083</v>
      </c>
      <c r="L7478" s="7">
        <v>649608</v>
      </c>
      <c r="M7478" s="91">
        <f t="shared" si="459"/>
        <v>36.222530009233608</v>
      </c>
    </row>
    <row r="7479" spans="1:13" hidden="1" x14ac:dyDescent="0.3">
      <c r="A7479" s="9">
        <v>428</v>
      </c>
      <c r="B7479" t="s">
        <v>312</v>
      </c>
      <c r="C7479" s="25">
        <v>44601</v>
      </c>
      <c r="D7479" s="26">
        <v>0.39373842592592595</v>
      </c>
      <c r="E7479" t="s">
        <v>25</v>
      </c>
      <c r="F7479" t="s">
        <v>175</v>
      </c>
      <c r="G7479" t="s">
        <v>172</v>
      </c>
      <c r="H7479" t="s">
        <v>313</v>
      </c>
      <c r="I7479">
        <v>358.38</v>
      </c>
      <c r="J7479" s="7">
        <v>649608</v>
      </c>
      <c r="K7479" s="7">
        <f t="shared" si="458"/>
        <v>994</v>
      </c>
      <c r="L7479" s="32">
        <v>650602</v>
      </c>
      <c r="M7479" s="91">
        <f t="shared" si="459"/>
        <v>36.054325955734406</v>
      </c>
    </row>
    <row r="7480" spans="1:13" hidden="1" x14ac:dyDescent="0.3">
      <c r="A7480" s="9">
        <v>429</v>
      </c>
      <c r="B7480" t="s">
        <v>312</v>
      </c>
      <c r="C7480" s="25">
        <v>44608</v>
      </c>
      <c r="D7480" s="26">
        <v>0.42048611111111112</v>
      </c>
      <c r="E7480" t="s">
        <v>25</v>
      </c>
      <c r="F7480" t="s">
        <v>210</v>
      </c>
      <c r="G7480" t="s">
        <v>211</v>
      </c>
      <c r="H7480" t="s">
        <v>313</v>
      </c>
      <c r="I7480">
        <v>504.46</v>
      </c>
      <c r="J7480" s="37">
        <v>650602</v>
      </c>
      <c r="K7480" s="32">
        <f t="shared" si="458"/>
        <v>1262</v>
      </c>
      <c r="L7480" s="32">
        <v>651864</v>
      </c>
      <c r="M7480" s="91">
        <f t="shared" si="459"/>
        <v>39.973058637083994</v>
      </c>
    </row>
    <row r="7481" spans="1:13" hidden="1" x14ac:dyDescent="0.3">
      <c r="A7481" s="9">
        <v>430</v>
      </c>
      <c r="B7481" t="s">
        <v>312</v>
      </c>
      <c r="C7481" s="25">
        <v>44609</v>
      </c>
      <c r="D7481" s="26">
        <v>0.77978009259259251</v>
      </c>
      <c r="E7481" t="s">
        <v>25</v>
      </c>
      <c r="F7481" t="s">
        <v>210</v>
      </c>
      <c r="G7481" t="s">
        <v>211</v>
      </c>
      <c r="H7481" t="s">
        <v>313</v>
      </c>
      <c r="I7481">
        <v>490.4</v>
      </c>
      <c r="J7481" s="32">
        <v>651864</v>
      </c>
      <c r="K7481" s="32">
        <f t="shared" si="458"/>
        <v>1151</v>
      </c>
      <c r="L7481" s="32">
        <v>653015</v>
      </c>
      <c r="M7481" s="91">
        <f t="shared" si="459"/>
        <v>42.606429192006949</v>
      </c>
    </row>
    <row r="7482" spans="1:13" hidden="1" x14ac:dyDescent="0.3">
      <c r="A7482" s="9">
        <v>431</v>
      </c>
      <c r="B7482" t="s">
        <v>312</v>
      </c>
      <c r="C7482" s="25">
        <v>44615</v>
      </c>
      <c r="D7482" s="26">
        <v>0.370150462962963</v>
      </c>
      <c r="E7482" t="s">
        <v>25</v>
      </c>
      <c r="F7482" t="s">
        <v>175</v>
      </c>
      <c r="G7482" t="s">
        <v>172</v>
      </c>
      <c r="H7482" t="s">
        <v>313</v>
      </c>
      <c r="I7482">
        <v>434.86</v>
      </c>
      <c r="J7482" s="32">
        <v>653015</v>
      </c>
      <c r="K7482" s="32">
        <f t="shared" si="458"/>
        <v>1217</v>
      </c>
      <c r="L7482" s="32">
        <v>654232</v>
      </c>
      <c r="M7482" s="91">
        <f t="shared" si="459"/>
        <v>35.732128184059164</v>
      </c>
    </row>
    <row r="7483" spans="1:13" hidden="1" x14ac:dyDescent="0.3">
      <c r="A7483" s="9">
        <v>432</v>
      </c>
      <c r="B7483" t="s">
        <v>312</v>
      </c>
      <c r="C7483" s="25">
        <v>44615</v>
      </c>
      <c r="D7483" s="26">
        <v>0.89476851851851846</v>
      </c>
      <c r="E7483" t="s">
        <v>25</v>
      </c>
      <c r="F7483" t="s">
        <v>210</v>
      </c>
      <c r="G7483" t="s">
        <v>211</v>
      </c>
      <c r="H7483" t="s">
        <v>313</v>
      </c>
      <c r="I7483">
        <v>329.03</v>
      </c>
      <c r="J7483" s="32">
        <v>654232</v>
      </c>
      <c r="K7483" s="32">
        <f t="shared" si="458"/>
        <v>846</v>
      </c>
      <c r="L7483" s="32">
        <v>655078</v>
      </c>
      <c r="M7483" s="36">
        <f t="shared" si="459"/>
        <v>38.892434988179666</v>
      </c>
    </row>
    <row r="7484" spans="1:13" hidden="1" x14ac:dyDescent="0.3">
      <c r="A7484" s="9">
        <v>433</v>
      </c>
      <c r="B7484" t="s">
        <v>312</v>
      </c>
      <c r="C7484" s="25">
        <v>44616</v>
      </c>
      <c r="D7484" s="26">
        <v>0.99446759259259254</v>
      </c>
      <c r="E7484" t="s">
        <v>25</v>
      </c>
      <c r="F7484" t="s">
        <v>210</v>
      </c>
      <c r="G7484" t="s">
        <v>211</v>
      </c>
      <c r="H7484" t="s">
        <v>313</v>
      </c>
      <c r="I7484">
        <v>435.01</v>
      </c>
      <c r="J7484" s="32">
        <v>655078</v>
      </c>
      <c r="K7484" s="32">
        <f t="shared" si="458"/>
        <v>1085</v>
      </c>
      <c r="L7484" s="32">
        <v>656163</v>
      </c>
      <c r="M7484" s="91">
        <f t="shared" si="459"/>
        <v>40.093087557603688</v>
      </c>
    </row>
    <row r="7485" spans="1:13" hidden="1" x14ac:dyDescent="0.3">
      <c r="A7485" s="9">
        <v>434</v>
      </c>
      <c r="B7485" t="s">
        <v>312</v>
      </c>
      <c r="C7485" s="25">
        <v>44618</v>
      </c>
      <c r="D7485" s="26">
        <v>0.83318287037037031</v>
      </c>
      <c r="E7485" t="s">
        <v>25</v>
      </c>
      <c r="F7485" t="s">
        <v>175</v>
      </c>
      <c r="G7485" t="s">
        <v>172</v>
      </c>
      <c r="H7485" t="s">
        <v>313</v>
      </c>
      <c r="I7485">
        <v>360.75</v>
      </c>
      <c r="J7485" s="33">
        <v>656163</v>
      </c>
      <c r="K7485" s="33">
        <f t="shared" si="458"/>
        <v>1130</v>
      </c>
      <c r="L7485" s="33">
        <v>657293</v>
      </c>
      <c r="M7485" s="131">
        <f t="shared" si="459"/>
        <v>31.924778761061944</v>
      </c>
    </row>
    <row r="7486" spans="1:13" hidden="1" x14ac:dyDescent="0.3">
      <c r="A7486" s="9">
        <v>435</v>
      </c>
      <c r="B7486" t="s">
        <v>312</v>
      </c>
      <c r="C7486" s="25">
        <v>44619</v>
      </c>
      <c r="D7486" s="26">
        <v>0.88827546296296289</v>
      </c>
      <c r="E7486" t="s">
        <v>25</v>
      </c>
      <c r="F7486" t="s">
        <v>210</v>
      </c>
      <c r="G7486" t="s">
        <v>211</v>
      </c>
      <c r="H7486" t="s">
        <v>313</v>
      </c>
      <c r="I7486">
        <v>333.21</v>
      </c>
      <c r="J7486" s="32">
        <v>657293</v>
      </c>
      <c r="K7486" s="32">
        <f t="shared" si="458"/>
        <v>703</v>
      </c>
      <c r="L7486" s="32">
        <v>657996</v>
      </c>
      <c r="M7486" s="91">
        <f t="shared" si="459"/>
        <v>47.398293029871972</v>
      </c>
    </row>
    <row r="7487" spans="1:13" hidden="1" x14ac:dyDescent="0.3">
      <c r="A7487" s="9">
        <v>1463</v>
      </c>
      <c r="B7487" t="s">
        <v>312</v>
      </c>
      <c r="C7487" s="25">
        <v>44621</v>
      </c>
      <c r="D7487" s="26">
        <v>0.79083333333333339</v>
      </c>
      <c r="E7487" t="s">
        <v>26</v>
      </c>
      <c r="F7487" t="s">
        <v>210</v>
      </c>
      <c r="G7487" t="s">
        <v>211</v>
      </c>
      <c r="H7487" t="s">
        <v>313</v>
      </c>
      <c r="I7487">
        <v>455.68</v>
      </c>
      <c r="J7487" s="32">
        <v>657996</v>
      </c>
      <c r="K7487" s="99">
        <f t="shared" si="458"/>
        <v>1152</v>
      </c>
      <c r="L7487" s="33">
        <v>659148</v>
      </c>
      <c r="M7487" s="139">
        <f t="shared" si="459"/>
        <v>39.555555555555557</v>
      </c>
    </row>
    <row r="7488" spans="1:13" hidden="1" x14ac:dyDescent="0.3">
      <c r="A7488" s="9">
        <v>1464</v>
      </c>
      <c r="B7488" t="s">
        <v>312</v>
      </c>
      <c r="C7488" s="25">
        <v>44623</v>
      </c>
      <c r="D7488" s="26">
        <v>0.44211805555555556</v>
      </c>
      <c r="E7488" t="s">
        <v>26</v>
      </c>
      <c r="F7488" t="s">
        <v>175</v>
      </c>
      <c r="G7488" t="s">
        <v>172</v>
      </c>
      <c r="H7488" t="s">
        <v>313</v>
      </c>
      <c r="I7488">
        <v>285.10000000000002</v>
      </c>
      <c r="J7488" s="7">
        <v>659148</v>
      </c>
      <c r="K7488" s="90">
        <f t="shared" ref="K7488:K7516" si="460">+L7488-J7488</f>
        <v>975</v>
      </c>
      <c r="L7488" s="7">
        <v>660123</v>
      </c>
      <c r="M7488" s="91">
        <f t="shared" ref="M7488:M7519" si="461">I7488/K7488*100</f>
        <v>29.241025641025644</v>
      </c>
    </row>
    <row r="7489" spans="1:13" hidden="1" x14ac:dyDescent="0.3">
      <c r="A7489" s="9">
        <v>1465</v>
      </c>
      <c r="B7489" t="s">
        <v>312</v>
      </c>
      <c r="C7489" s="25">
        <v>44624</v>
      </c>
      <c r="D7489" s="26">
        <v>0.39740740740740743</v>
      </c>
      <c r="E7489" t="s">
        <v>26</v>
      </c>
      <c r="F7489" t="s">
        <v>210</v>
      </c>
      <c r="G7489" t="s">
        <v>211</v>
      </c>
      <c r="H7489" t="s">
        <v>313</v>
      </c>
      <c r="I7489">
        <v>383.26</v>
      </c>
      <c r="J7489" s="7">
        <v>660123</v>
      </c>
      <c r="K7489" s="90">
        <f t="shared" si="460"/>
        <v>848</v>
      </c>
      <c r="L7489" s="32">
        <v>660971</v>
      </c>
      <c r="M7489" s="91">
        <f t="shared" si="461"/>
        <v>45.195754716981128</v>
      </c>
    </row>
    <row r="7490" spans="1:13" hidden="1" x14ac:dyDescent="0.3">
      <c r="A7490" s="9">
        <v>1466</v>
      </c>
      <c r="B7490" t="s">
        <v>312</v>
      </c>
      <c r="C7490" s="25">
        <v>44625</v>
      </c>
      <c r="D7490" s="26">
        <v>0.87460648148148146</v>
      </c>
      <c r="E7490" t="s">
        <v>26</v>
      </c>
      <c r="F7490" t="s">
        <v>210</v>
      </c>
      <c r="G7490" t="s">
        <v>211</v>
      </c>
      <c r="H7490" t="s">
        <v>313</v>
      </c>
      <c r="I7490">
        <v>380.02</v>
      </c>
      <c r="J7490" s="32">
        <v>660971</v>
      </c>
      <c r="K7490" s="90">
        <f t="shared" si="460"/>
        <v>1095</v>
      </c>
      <c r="L7490" s="32">
        <v>662066</v>
      </c>
      <c r="M7490" s="91">
        <f t="shared" si="461"/>
        <v>34.705022831050222</v>
      </c>
    </row>
    <row r="7491" spans="1:13" hidden="1" x14ac:dyDescent="0.3">
      <c r="A7491" s="9">
        <v>1467</v>
      </c>
      <c r="B7491" t="s">
        <v>312</v>
      </c>
      <c r="C7491" s="25">
        <v>44627</v>
      </c>
      <c r="D7491" s="26">
        <v>0.73677083333333337</v>
      </c>
      <c r="E7491" t="s">
        <v>26</v>
      </c>
      <c r="F7491" t="s">
        <v>175</v>
      </c>
      <c r="G7491" t="s">
        <v>172</v>
      </c>
      <c r="H7491" t="s">
        <v>313</v>
      </c>
      <c r="I7491">
        <v>329.81</v>
      </c>
      <c r="J7491" s="37">
        <v>662066</v>
      </c>
      <c r="K7491" s="90">
        <f t="shared" si="460"/>
        <v>0</v>
      </c>
      <c r="L7491" s="32">
        <v>662066</v>
      </c>
      <c r="M7491" s="91" t="e">
        <f t="shared" si="461"/>
        <v>#DIV/0!</v>
      </c>
    </row>
    <row r="7492" spans="1:13" hidden="1" x14ac:dyDescent="0.3">
      <c r="A7492" s="9">
        <v>1468</v>
      </c>
      <c r="B7492" t="s">
        <v>312</v>
      </c>
      <c r="C7492" s="25">
        <v>44636</v>
      </c>
      <c r="D7492" s="26">
        <v>0.95201388888888883</v>
      </c>
      <c r="E7492" t="s">
        <v>26</v>
      </c>
      <c r="F7492" t="s">
        <v>210</v>
      </c>
      <c r="G7492" t="s">
        <v>211</v>
      </c>
      <c r="H7492" t="s">
        <v>313</v>
      </c>
      <c r="I7492">
        <v>496.04</v>
      </c>
      <c r="J7492" s="32">
        <v>662066</v>
      </c>
      <c r="K7492" s="97">
        <f t="shared" si="460"/>
        <v>-660856.59</v>
      </c>
      <c r="L7492" s="37">
        <v>1209.4100000000001</v>
      </c>
      <c r="M7492" s="132">
        <f t="shared" si="461"/>
        <v>-7.5060157908087136E-2</v>
      </c>
    </row>
    <row r="7493" spans="1:13" hidden="1" x14ac:dyDescent="0.3">
      <c r="A7493" s="9">
        <v>1469</v>
      </c>
      <c r="B7493" t="s">
        <v>312</v>
      </c>
      <c r="C7493" s="25">
        <v>44639</v>
      </c>
      <c r="D7493" s="26">
        <v>0.90317129629629633</v>
      </c>
      <c r="E7493" t="s">
        <v>26</v>
      </c>
      <c r="F7493" t="s">
        <v>210</v>
      </c>
      <c r="G7493" t="s">
        <v>211</v>
      </c>
      <c r="H7493" t="s">
        <v>313</v>
      </c>
      <c r="I7493">
        <v>416.86</v>
      </c>
      <c r="J7493" s="33">
        <v>0</v>
      </c>
      <c r="K7493" s="90">
        <f t="shared" si="460"/>
        <v>1056.94</v>
      </c>
      <c r="L7493" s="32">
        <v>1056.94</v>
      </c>
      <c r="M7493" s="91">
        <f t="shared" si="461"/>
        <v>39.440270970916039</v>
      </c>
    </row>
    <row r="7494" spans="1:13" hidden="1" x14ac:dyDescent="0.3">
      <c r="A7494" s="9">
        <v>1470</v>
      </c>
      <c r="B7494" t="s">
        <v>312</v>
      </c>
      <c r="C7494" s="25">
        <v>44643</v>
      </c>
      <c r="D7494" s="26">
        <v>0.39217592592592593</v>
      </c>
      <c r="E7494" t="s">
        <v>26</v>
      </c>
      <c r="F7494" t="s">
        <v>175</v>
      </c>
      <c r="G7494" t="s">
        <v>172</v>
      </c>
      <c r="H7494" t="s">
        <v>313</v>
      </c>
      <c r="I7494">
        <v>413.7</v>
      </c>
      <c r="J7494" s="32">
        <v>0</v>
      </c>
      <c r="K7494" s="97">
        <f t="shared" si="460"/>
        <v>994.15</v>
      </c>
      <c r="L7494" s="37">
        <v>994.15</v>
      </c>
      <c r="M7494" s="91">
        <f t="shared" si="461"/>
        <v>41.613438615903029</v>
      </c>
    </row>
    <row r="7495" spans="1:13" hidden="1" x14ac:dyDescent="0.3">
      <c r="A7495" s="9">
        <v>1471</v>
      </c>
      <c r="B7495" t="s">
        <v>312</v>
      </c>
      <c r="C7495" s="25">
        <v>44644</v>
      </c>
      <c r="D7495" s="26">
        <v>0.59001157407407401</v>
      </c>
      <c r="E7495" t="s">
        <v>26</v>
      </c>
      <c r="F7495" t="s">
        <v>210</v>
      </c>
      <c r="G7495" t="s">
        <v>211</v>
      </c>
      <c r="H7495" t="s">
        <v>313</v>
      </c>
      <c r="I7495">
        <v>433.59</v>
      </c>
      <c r="J7495" s="32">
        <v>0</v>
      </c>
      <c r="K7495" s="90">
        <f t="shared" si="460"/>
        <v>849.76</v>
      </c>
      <c r="L7495" s="32">
        <v>849.76</v>
      </c>
      <c r="M7495" s="91">
        <f t="shared" si="461"/>
        <v>51.024995292788546</v>
      </c>
    </row>
    <row r="7496" spans="1:13" hidden="1" x14ac:dyDescent="0.3">
      <c r="A7496" s="9">
        <v>1472</v>
      </c>
      <c r="B7496" t="s">
        <v>312</v>
      </c>
      <c r="C7496" s="25">
        <v>44645</v>
      </c>
      <c r="D7496" s="26">
        <v>0.62993055555555555</v>
      </c>
      <c r="E7496" t="s">
        <v>26</v>
      </c>
      <c r="F7496" t="s">
        <v>210</v>
      </c>
      <c r="G7496" t="s">
        <v>211</v>
      </c>
      <c r="H7496" t="s">
        <v>313</v>
      </c>
      <c r="I7496">
        <v>362.42</v>
      </c>
      <c r="J7496" s="32">
        <v>0</v>
      </c>
      <c r="K7496" s="90">
        <f t="shared" si="460"/>
        <v>873.14</v>
      </c>
      <c r="L7496" s="32">
        <v>873.14</v>
      </c>
      <c r="M7496" s="91">
        <f t="shared" si="461"/>
        <v>41.507662001511783</v>
      </c>
    </row>
    <row r="7497" spans="1:13" hidden="1" x14ac:dyDescent="0.3">
      <c r="A7497" s="9">
        <v>1473</v>
      </c>
      <c r="B7497" t="s">
        <v>312</v>
      </c>
      <c r="C7497" s="25">
        <v>44650</v>
      </c>
      <c r="D7497" s="26">
        <v>0.30138888888888887</v>
      </c>
      <c r="E7497" t="s">
        <v>26</v>
      </c>
      <c r="F7497" t="s">
        <v>391</v>
      </c>
      <c r="G7497" t="s">
        <v>392</v>
      </c>
      <c r="H7497" t="s">
        <v>313</v>
      </c>
      <c r="I7497">
        <v>405.42</v>
      </c>
      <c r="J7497" s="37">
        <v>0</v>
      </c>
      <c r="K7497" s="90">
        <f t="shared" si="460"/>
        <v>1446</v>
      </c>
      <c r="L7497" s="32">
        <v>1446</v>
      </c>
      <c r="M7497" s="91">
        <f t="shared" si="461"/>
        <v>28.037344398340252</v>
      </c>
    </row>
    <row r="7498" spans="1:13" hidden="1" x14ac:dyDescent="0.3">
      <c r="A7498" s="9">
        <v>1474</v>
      </c>
      <c r="B7498" t="s">
        <v>312</v>
      </c>
      <c r="C7498" s="25">
        <v>44651</v>
      </c>
      <c r="D7498" s="26">
        <v>0.96885416666666668</v>
      </c>
      <c r="E7498" t="s">
        <v>26</v>
      </c>
      <c r="F7498" t="s">
        <v>210</v>
      </c>
      <c r="G7498" t="s">
        <v>211</v>
      </c>
      <c r="H7498" t="s">
        <v>313</v>
      </c>
      <c r="I7498">
        <v>360.12</v>
      </c>
      <c r="J7498" s="32">
        <v>0</v>
      </c>
      <c r="K7498" s="97">
        <f t="shared" si="460"/>
        <v>823</v>
      </c>
      <c r="L7498" s="37">
        <v>823</v>
      </c>
      <c r="M7498" s="91">
        <f t="shared" si="461"/>
        <v>43.756986634264884</v>
      </c>
    </row>
    <row r="7499" spans="1:13" hidden="1" x14ac:dyDescent="0.3">
      <c r="A7499" s="9">
        <v>2673</v>
      </c>
      <c r="B7499" t="s">
        <v>312</v>
      </c>
      <c r="C7499" s="25">
        <v>44653</v>
      </c>
      <c r="D7499" s="26">
        <v>0.63600694444444439</v>
      </c>
      <c r="E7499" t="s">
        <v>27</v>
      </c>
      <c r="F7499" t="s">
        <v>210</v>
      </c>
      <c r="G7499" t="s">
        <v>211</v>
      </c>
      <c r="H7499" t="s">
        <v>313</v>
      </c>
      <c r="I7499" s="4">
        <v>391.64</v>
      </c>
      <c r="J7499" s="32">
        <v>0</v>
      </c>
      <c r="K7499" s="90">
        <f t="shared" si="460"/>
        <v>1055.49</v>
      </c>
      <c r="L7499" s="32">
        <v>1055.49</v>
      </c>
      <c r="M7499" s="91">
        <f t="shared" si="461"/>
        <v>37.105041260457227</v>
      </c>
    </row>
    <row r="7500" spans="1:13" hidden="1" x14ac:dyDescent="0.3">
      <c r="A7500" s="9">
        <v>2674</v>
      </c>
      <c r="B7500" t="s">
        <v>312</v>
      </c>
      <c r="C7500" s="25">
        <v>44655</v>
      </c>
      <c r="D7500" s="26">
        <v>0.65501157407407407</v>
      </c>
      <c r="E7500" t="s">
        <v>27</v>
      </c>
      <c r="F7500" t="s">
        <v>428</v>
      </c>
      <c r="G7500" t="s">
        <v>429</v>
      </c>
      <c r="H7500" t="s">
        <v>313</v>
      </c>
      <c r="I7500" s="4">
        <v>100</v>
      </c>
      <c r="J7500" s="32">
        <v>0</v>
      </c>
      <c r="K7500" s="90">
        <f t="shared" si="460"/>
        <v>1085</v>
      </c>
      <c r="L7500" s="32">
        <v>1085</v>
      </c>
      <c r="M7500" s="91">
        <f t="shared" si="461"/>
        <v>9.216589861751153</v>
      </c>
    </row>
    <row r="7501" spans="1:13" hidden="1" x14ac:dyDescent="0.3">
      <c r="A7501" s="9">
        <v>2675</v>
      </c>
      <c r="B7501" t="s">
        <v>312</v>
      </c>
      <c r="C7501" s="25">
        <v>44655</v>
      </c>
      <c r="D7501" s="26">
        <v>0.88983796296296302</v>
      </c>
      <c r="E7501" t="s">
        <v>27</v>
      </c>
      <c r="F7501" t="s">
        <v>175</v>
      </c>
      <c r="G7501" t="s">
        <v>172</v>
      </c>
      <c r="H7501" t="s">
        <v>313</v>
      </c>
      <c r="I7501" s="4">
        <v>317.33</v>
      </c>
      <c r="J7501" s="37">
        <v>0</v>
      </c>
      <c r="K7501" s="97">
        <f t="shared" si="460"/>
        <v>1085.24</v>
      </c>
      <c r="L7501" s="37">
        <v>1085.24</v>
      </c>
      <c r="M7501" s="91">
        <f t="shared" si="461"/>
        <v>29.240536655486345</v>
      </c>
    </row>
    <row r="7502" spans="1:13" hidden="1" x14ac:dyDescent="0.3">
      <c r="A7502" s="9">
        <v>2676</v>
      </c>
      <c r="B7502" t="s">
        <v>312</v>
      </c>
      <c r="C7502" s="25">
        <v>44656</v>
      </c>
      <c r="D7502" s="26">
        <v>0.92091435185185189</v>
      </c>
      <c r="E7502" t="s">
        <v>27</v>
      </c>
      <c r="F7502" t="s">
        <v>210</v>
      </c>
      <c r="G7502" t="s">
        <v>211</v>
      </c>
      <c r="H7502" t="s">
        <v>313</v>
      </c>
      <c r="I7502" s="4">
        <v>341.2</v>
      </c>
      <c r="J7502" s="32">
        <v>0</v>
      </c>
      <c r="K7502" s="90">
        <f t="shared" si="460"/>
        <v>989.31</v>
      </c>
      <c r="L7502" s="32">
        <v>989.31</v>
      </c>
      <c r="M7502" s="133">
        <f t="shared" si="461"/>
        <v>34.488684032305343</v>
      </c>
    </row>
    <row r="7503" spans="1:13" hidden="1" x14ac:dyDescent="0.3">
      <c r="A7503" s="9">
        <v>2677</v>
      </c>
      <c r="B7503" t="s">
        <v>312</v>
      </c>
      <c r="C7503" s="25">
        <v>44659</v>
      </c>
      <c r="D7503" s="26">
        <v>0.35236111111111112</v>
      </c>
      <c r="E7503" t="s">
        <v>27</v>
      </c>
      <c r="F7503" t="s">
        <v>210</v>
      </c>
      <c r="G7503" t="s">
        <v>211</v>
      </c>
      <c r="H7503" t="s">
        <v>313</v>
      </c>
      <c r="I7503" s="4">
        <v>388.75</v>
      </c>
      <c r="J7503" s="32">
        <v>0</v>
      </c>
      <c r="K7503" s="97">
        <f t="shared" si="460"/>
        <v>1058</v>
      </c>
      <c r="L7503" s="32">
        <v>1058</v>
      </c>
      <c r="M7503" s="36">
        <f t="shared" si="461"/>
        <v>36.74385633270321</v>
      </c>
    </row>
    <row r="7504" spans="1:13" hidden="1" x14ac:dyDescent="0.3">
      <c r="A7504" s="9">
        <v>2678</v>
      </c>
      <c r="B7504" t="s">
        <v>312</v>
      </c>
      <c r="C7504" s="25">
        <v>44664</v>
      </c>
      <c r="D7504" s="26">
        <v>0.3646875</v>
      </c>
      <c r="E7504" t="s">
        <v>27</v>
      </c>
      <c r="F7504" t="s">
        <v>175</v>
      </c>
      <c r="G7504" t="s">
        <v>172</v>
      </c>
      <c r="H7504" t="s">
        <v>313</v>
      </c>
      <c r="I7504" s="4">
        <v>351.15</v>
      </c>
      <c r="J7504" s="32">
        <v>0</v>
      </c>
      <c r="K7504" s="97">
        <f t="shared" si="460"/>
        <v>1043.94</v>
      </c>
      <c r="L7504" s="37">
        <v>1043.94</v>
      </c>
      <c r="M7504" s="36">
        <f t="shared" si="461"/>
        <v>33.636990631645489</v>
      </c>
    </row>
    <row r="7505" spans="1:13" hidden="1" x14ac:dyDescent="0.3">
      <c r="A7505" s="9">
        <v>2679</v>
      </c>
      <c r="B7505" t="s">
        <v>312</v>
      </c>
      <c r="C7505" s="25">
        <v>44665</v>
      </c>
      <c r="D7505" s="26">
        <v>0.42550925925925925</v>
      </c>
      <c r="E7505" t="s">
        <v>27</v>
      </c>
      <c r="F7505" t="s">
        <v>210</v>
      </c>
      <c r="G7505" t="s">
        <v>211</v>
      </c>
      <c r="H7505" t="s">
        <v>313</v>
      </c>
      <c r="I7505" s="4">
        <v>335.35</v>
      </c>
      <c r="J7505" s="32">
        <v>0</v>
      </c>
      <c r="K7505" s="90">
        <f t="shared" si="460"/>
        <v>816.16</v>
      </c>
      <c r="L7505" s="32">
        <v>816.16</v>
      </c>
      <c r="M7505" s="36">
        <f t="shared" si="461"/>
        <v>41.088757106449719</v>
      </c>
    </row>
    <row r="7506" spans="1:13" hidden="1" x14ac:dyDescent="0.3">
      <c r="A7506" s="9">
        <v>2680</v>
      </c>
      <c r="B7506" t="s">
        <v>312</v>
      </c>
      <c r="C7506" s="25">
        <v>44666</v>
      </c>
      <c r="D7506" s="26">
        <v>0.63162037037037033</v>
      </c>
      <c r="E7506" t="s">
        <v>27</v>
      </c>
      <c r="F7506" t="s">
        <v>210</v>
      </c>
      <c r="G7506" t="s">
        <v>211</v>
      </c>
      <c r="H7506" t="s">
        <v>313</v>
      </c>
      <c r="I7506" s="4">
        <f>24.47+359.75</f>
        <v>384.22</v>
      </c>
      <c r="J7506" s="32">
        <v>0</v>
      </c>
      <c r="K7506" s="90">
        <f t="shared" si="460"/>
        <v>1055.5999999999999</v>
      </c>
      <c r="L7506" s="32">
        <v>1055.5999999999999</v>
      </c>
      <c r="M7506" s="36">
        <f t="shared" si="461"/>
        <v>36.398256915498301</v>
      </c>
    </row>
    <row r="7507" spans="1:13" hidden="1" x14ac:dyDescent="0.3">
      <c r="A7507" s="9">
        <v>2681</v>
      </c>
      <c r="B7507" t="s">
        <v>312</v>
      </c>
      <c r="C7507" s="25">
        <v>44667</v>
      </c>
      <c r="D7507" s="26">
        <v>0.67502314814814823</v>
      </c>
      <c r="E7507" t="s">
        <v>27</v>
      </c>
      <c r="F7507" t="s">
        <v>175</v>
      </c>
      <c r="G7507" t="s">
        <v>172</v>
      </c>
      <c r="H7507" t="s">
        <v>313</v>
      </c>
      <c r="I7507" s="4">
        <v>379.24</v>
      </c>
      <c r="J7507" s="32">
        <v>0</v>
      </c>
      <c r="K7507" s="90">
        <f t="shared" si="460"/>
        <v>1050.56</v>
      </c>
      <c r="L7507" s="32">
        <v>1050.56</v>
      </c>
      <c r="M7507" s="36">
        <f t="shared" si="461"/>
        <v>36.098842522083466</v>
      </c>
    </row>
    <row r="7508" spans="1:13" hidden="1" x14ac:dyDescent="0.3">
      <c r="A7508" s="9">
        <v>2682</v>
      </c>
      <c r="B7508" t="s">
        <v>312</v>
      </c>
      <c r="C7508" s="25">
        <v>44670</v>
      </c>
      <c r="D7508" s="26">
        <v>0.66938657407407398</v>
      </c>
      <c r="E7508" t="s">
        <v>27</v>
      </c>
      <c r="F7508" t="s">
        <v>210</v>
      </c>
      <c r="G7508" t="s">
        <v>211</v>
      </c>
      <c r="H7508" t="s">
        <v>313</v>
      </c>
      <c r="I7508" s="4">
        <v>343.4</v>
      </c>
      <c r="J7508" s="32">
        <v>0</v>
      </c>
      <c r="K7508" s="90">
        <f t="shared" si="460"/>
        <v>864</v>
      </c>
      <c r="L7508" s="32">
        <v>864</v>
      </c>
      <c r="M7508" s="36">
        <f t="shared" si="461"/>
        <v>39.745370370370367</v>
      </c>
    </row>
    <row r="7509" spans="1:13" hidden="1" x14ac:dyDescent="0.3">
      <c r="A7509" s="9">
        <v>2683</v>
      </c>
      <c r="B7509" t="s">
        <v>312</v>
      </c>
      <c r="C7509" s="25">
        <v>44672</v>
      </c>
      <c r="D7509" s="26">
        <v>2.4594907407407409E-2</v>
      </c>
      <c r="E7509" t="s">
        <v>27</v>
      </c>
      <c r="F7509" t="s">
        <v>210</v>
      </c>
      <c r="G7509" t="s">
        <v>211</v>
      </c>
      <c r="H7509" t="s">
        <v>313</v>
      </c>
      <c r="I7509" s="4">
        <v>379.52</v>
      </c>
      <c r="J7509" s="37">
        <v>0</v>
      </c>
      <c r="K7509" s="97">
        <f t="shared" si="460"/>
        <v>937</v>
      </c>
      <c r="L7509" s="37">
        <v>937</v>
      </c>
      <c r="M7509" s="91">
        <f t="shared" si="461"/>
        <v>40.503735325506938</v>
      </c>
    </row>
    <row r="7510" spans="1:13" hidden="1" x14ac:dyDescent="0.3">
      <c r="A7510" s="9">
        <v>2684</v>
      </c>
      <c r="B7510" t="s">
        <v>312</v>
      </c>
      <c r="C7510" s="25">
        <v>44673</v>
      </c>
      <c r="D7510" s="26">
        <v>0.55843750000000003</v>
      </c>
      <c r="E7510" t="s">
        <v>27</v>
      </c>
      <c r="F7510" t="s">
        <v>518</v>
      </c>
      <c r="G7510" t="s">
        <v>172</v>
      </c>
      <c r="H7510" t="s">
        <v>313</v>
      </c>
      <c r="I7510" s="4">
        <v>310.45999999999998</v>
      </c>
      <c r="J7510" s="32">
        <v>0</v>
      </c>
      <c r="K7510" s="90">
        <f t="shared" si="460"/>
        <v>1052.54</v>
      </c>
      <c r="L7510" s="32">
        <v>1052.54</v>
      </c>
      <c r="M7510" s="119">
        <f t="shared" si="461"/>
        <v>29.496266175157238</v>
      </c>
    </row>
    <row r="7511" spans="1:13" hidden="1" x14ac:dyDescent="0.3">
      <c r="A7511" s="9">
        <v>2685</v>
      </c>
      <c r="B7511" t="s">
        <v>312</v>
      </c>
      <c r="C7511" s="25">
        <v>44674</v>
      </c>
      <c r="D7511" s="26">
        <v>0.84121527777777771</v>
      </c>
      <c r="E7511" t="s">
        <v>27</v>
      </c>
      <c r="F7511" t="s">
        <v>210</v>
      </c>
      <c r="G7511" t="s">
        <v>211</v>
      </c>
      <c r="H7511" t="s">
        <v>313</v>
      </c>
      <c r="I7511" s="4">
        <v>392.01</v>
      </c>
      <c r="J7511" s="37">
        <v>0</v>
      </c>
      <c r="K7511" s="97">
        <f t="shared" si="460"/>
        <v>814.23</v>
      </c>
      <c r="L7511" s="37">
        <v>814.23</v>
      </c>
      <c r="M7511" s="91">
        <f t="shared" si="461"/>
        <v>48.144873070262697</v>
      </c>
    </row>
    <row r="7512" spans="1:13" hidden="1" x14ac:dyDescent="0.3">
      <c r="A7512" s="9">
        <v>2686</v>
      </c>
      <c r="B7512" t="s">
        <v>312</v>
      </c>
      <c r="C7512" s="25">
        <v>44676</v>
      </c>
      <c r="D7512" s="26">
        <v>0.59012731481481484</v>
      </c>
      <c r="E7512" t="s">
        <v>27</v>
      </c>
      <c r="F7512" t="s">
        <v>210</v>
      </c>
      <c r="G7512" t="s">
        <v>211</v>
      </c>
      <c r="H7512" t="s">
        <v>313</v>
      </c>
      <c r="I7512">
        <v>396.97</v>
      </c>
      <c r="J7512" s="32">
        <v>0</v>
      </c>
      <c r="K7512" s="90">
        <f t="shared" si="460"/>
        <v>1083.6300000000001</v>
      </c>
      <c r="L7512" s="7">
        <v>1083.6300000000001</v>
      </c>
      <c r="M7512" s="91">
        <f t="shared" si="461"/>
        <v>36.633352712641774</v>
      </c>
    </row>
    <row r="7513" spans="1:13" hidden="1" x14ac:dyDescent="0.3">
      <c r="A7513" s="9">
        <v>3719</v>
      </c>
      <c r="B7513" t="s">
        <v>312</v>
      </c>
      <c r="C7513" s="25">
        <v>44683</v>
      </c>
      <c r="D7513" s="26">
        <v>0.78880787037037037</v>
      </c>
      <c r="E7513" t="s">
        <v>28</v>
      </c>
      <c r="F7513" t="s">
        <v>210</v>
      </c>
      <c r="G7513" t="s">
        <v>211</v>
      </c>
      <c r="H7513" t="s">
        <v>313</v>
      </c>
      <c r="I7513">
        <v>365.64</v>
      </c>
      <c r="J7513" s="37">
        <v>0</v>
      </c>
      <c r="K7513" s="97">
        <f t="shared" si="460"/>
        <v>896</v>
      </c>
      <c r="L7513" s="37">
        <v>896</v>
      </c>
      <c r="M7513" s="132">
        <f t="shared" si="461"/>
        <v>40.808035714285715</v>
      </c>
    </row>
    <row r="7514" spans="1:13" hidden="1" x14ac:dyDescent="0.3">
      <c r="A7514" s="9">
        <v>3868</v>
      </c>
      <c r="B7514" t="s">
        <v>312</v>
      </c>
      <c r="C7514" s="25">
        <v>44686</v>
      </c>
      <c r="D7514" s="26">
        <v>0.32517361111111115</v>
      </c>
      <c r="E7514" t="s">
        <v>28</v>
      </c>
      <c r="F7514" t="s">
        <v>175</v>
      </c>
      <c r="G7514" t="s">
        <v>172</v>
      </c>
      <c r="H7514" t="s">
        <v>313</v>
      </c>
      <c r="I7514">
        <v>292.05</v>
      </c>
      <c r="J7514" s="32">
        <v>0</v>
      </c>
      <c r="K7514" s="90">
        <f t="shared" si="460"/>
        <v>987</v>
      </c>
      <c r="L7514" s="32">
        <v>987</v>
      </c>
      <c r="M7514" s="91">
        <f t="shared" si="461"/>
        <v>29.589665653495441</v>
      </c>
    </row>
    <row r="7515" spans="1:13" hidden="1" x14ac:dyDescent="0.3">
      <c r="A7515" s="9">
        <v>3919</v>
      </c>
      <c r="B7515" t="s">
        <v>312</v>
      </c>
      <c r="C7515" s="25">
        <v>44687</v>
      </c>
      <c r="D7515" s="26">
        <v>0.55708333333333326</v>
      </c>
      <c r="E7515" t="s">
        <v>28</v>
      </c>
      <c r="F7515" t="s">
        <v>210</v>
      </c>
      <c r="G7515" t="s">
        <v>211</v>
      </c>
      <c r="H7515" t="s">
        <v>313</v>
      </c>
      <c r="I7515">
        <v>350.17</v>
      </c>
      <c r="J7515" s="32">
        <v>0</v>
      </c>
      <c r="K7515" s="90">
        <f t="shared" si="460"/>
        <v>829</v>
      </c>
      <c r="L7515" s="32">
        <v>829</v>
      </c>
      <c r="M7515" s="91">
        <f t="shared" si="461"/>
        <v>42.240048250904707</v>
      </c>
    </row>
    <row r="7516" spans="1:13" hidden="1" x14ac:dyDescent="0.3">
      <c r="A7516" s="9">
        <v>4071</v>
      </c>
      <c r="B7516" t="s">
        <v>312</v>
      </c>
      <c r="C7516" s="25">
        <v>44690</v>
      </c>
      <c r="D7516" s="26">
        <v>0.76052083333333342</v>
      </c>
      <c r="E7516" t="s">
        <v>28</v>
      </c>
      <c r="F7516" t="s">
        <v>210</v>
      </c>
      <c r="G7516" t="s">
        <v>211</v>
      </c>
      <c r="H7516" t="s">
        <v>313</v>
      </c>
      <c r="I7516">
        <v>440.06</v>
      </c>
      <c r="J7516" s="32">
        <v>0</v>
      </c>
      <c r="K7516" s="90">
        <f t="shared" si="460"/>
        <v>1105</v>
      </c>
      <c r="L7516" s="32">
        <v>1105</v>
      </c>
      <c r="M7516" s="91">
        <f t="shared" si="461"/>
        <v>39.824434389140272</v>
      </c>
    </row>
    <row r="7517" spans="1:13" hidden="1" x14ac:dyDescent="0.3">
      <c r="A7517" s="9">
        <v>4308</v>
      </c>
      <c r="B7517" t="s">
        <v>312</v>
      </c>
      <c r="C7517" s="25">
        <v>44695</v>
      </c>
      <c r="D7517" s="26">
        <v>0.40114583333333331</v>
      </c>
      <c r="E7517" t="s">
        <v>28</v>
      </c>
      <c r="F7517" t="s">
        <v>175</v>
      </c>
      <c r="G7517" t="s">
        <v>172</v>
      </c>
      <c r="H7517" t="s">
        <v>313</v>
      </c>
      <c r="I7517">
        <v>344.82</v>
      </c>
      <c r="J7517" s="32">
        <v>0</v>
      </c>
      <c r="K7517" s="90">
        <f>+L7517-J7779</f>
        <v>932</v>
      </c>
      <c r="L7517" s="32">
        <v>932</v>
      </c>
      <c r="M7517" s="91">
        <f t="shared" si="461"/>
        <v>36.997854077253216</v>
      </c>
    </row>
    <row r="7518" spans="1:13" hidden="1" x14ac:dyDescent="0.3">
      <c r="A7518" s="9">
        <v>4377</v>
      </c>
      <c r="B7518" t="s">
        <v>312</v>
      </c>
      <c r="C7518" s="25">
        <v>44696</v>
      </c>
      <c r="D7518" s="26">
        <v>0.46802083333333333</v>
      </c>
      <c r="E7518" t="s">
        <v>28</v>
      </c>
      <c r="F7518" t="s">
        <v>210</v>
      </c>
      <c r="G7518" t="s">
        <v>211</v>
      </c>
      <c r="H7518" t="s">
        <v>313</v>
      </c>
      <c r="I7518">
        <v>358.11</v>
      </c>
      <c r="J7518" s="32">
        <v>0</v>
      </c>
      <c r="K7518" s="90">
        <f>+L7518-J7780</f>
        <v>805</v>
      </c>
      <c r="L7518" s="32">
        <v>805</v>
      </c>
      <c r="M7518" s="119">
        <f t="shared" si="461"/>
        <v>44.485714285714288</v>
      </c>
    </row>
    <row r="7519" spans="1:13" hidden="1" x14ac:dyDescent="0.3">
      <c r="A7519" s="9">
        <v>4445</v>
      </c>
      <c r="B7519" t="s">
        <v>312</v>
      </c>
      <c r="C7519" s="25">
        <v>44697</v>
      </c>
      <c r="D7519" s="26">
        <v>0.41217592592592589</v>
      </c>
      <c r="E7519" t="s">
        <v>28</v>
      </c>
      <c r="F7519" t="s">
        <v>210</v>
      </c>
      <c r="G7519" t="s">
        <v>211</v>
      </c>
      <c r="H7519" t="s">
        <v>313</v>
      </c>
      <c r="I7519">
        <v>415.6</v>
      </c>
      <c r="J7519" s="32">
        <v>0</v>
      </c>
      <c r="K7519" s="90">
        <f>+L7519-J7781</f>
        <v>1055</v>
      </c>
      <c r="L7519" s="32">
        <v>1055</v>
      </c>
      <c r="M7519" s="119">
        <f t="shared" si="461"/>
        <v>39.393364928909961</v>
      </c>
    </row>
    <row r="7520" spans="1:13" hidden="1" x14ac:dyDescent="0.3">
      <c r="A7520" s="9">
        <v>4500</v>
      </c>
      <c r="B7520" t="s">
        <v>312</v>
      </c>
      <c r="C7520" s="25">
        <v>44698</v>
      </c>
      <c r="D7520" s="26">
        <v>0.61225694444444445</v>
      </c>
      <c r="E7520" t="s">
        <v>28</v>
      </c>
      <c r="F7520" t="s">
        <v>428</v>
      </c>
      <c r="G7520" t="s">
        <v>429</v>
      </c>
      <c r="H7520" t="s">
        <v>313</v>
      </c>
      <c r="I7520">
        <v>100.24</v>
      </c>
      <c r="J7520" s="32">
        <v>0</v>
      </c>
      <c r="K7520" s="97">
        <f>+L7520-J7779</f>
        <v>922</v>
      </c>
      <c r="L7520" s="37">
        <v>922</v>
      </c>
      <c r="M7520" s="36">
        <f t="shared" ref="M7520:M7551" si="462">I7520/K7520*100</f>
        <v>10.872017353579174</v>
      </c>
    </row>
    <row r="7521" spans="1:13" hidden="1" x14ac:dyDescent="0.3">
      <c r="A7521" s="9">
        <v>4501</v>
      </c>
      <c r="B7521" t="s">
        <v>312</v>
      </c>
      <c r="C7521" s="25">
        <v>44698</v>
      </c>
      <c r="D7521" s="26">
        <v>0.8427662037037037</v>
      </c>
      <c r="E7521" t="s">
        <v>28</v>
      </c>
      <c r="F7521" t="s">
        <v>414</v>
      </c>
      <c r="G7521" t="s">
        <v>449</v>
      </c>
      <c r="H7521" t="s">
        <v>313</v>
      </c>
      <c r="I7521">
        <v>200</v>
      </c>
      <c r="J7521" s="32">
        <v>0</v>
      </c>
      <c r="K7521" s="90">
        <f>+L7521-J7780</f>
        <v>201</v>
      </c>
      <c r="L7521" s="32">
        <v>201</v>
      </c>
      <c r="M7521" s="36">
        <f t="shared" si="462"/>
        <v>99.50248756218906</v>
      </c>
    </row>
    <row r="7522" spans="1:13" hidden="1" x14ac:dyDescent="0.3">
      <c r="A7522" s="9">
        <v>4544</v>
      </c>
      <c r="B7522" t="s">
        <v>312</v>
      </c>
      <c r="C7522" s="25">
        <v>44699</v>
      </c>
      <c r="D7522" s="26">
        <v>0.58488425925925924</v>
      </c>
      <c r="E7522" t="s">
        <v>28</v>
      </c>
      <c r="F7522" t="s">
        <v>210</v>
      </c>
      <c r="G7522" t="s">
        <v>211</v>
      </c>
      <c r="H7522" t="s">
        <v>313</v>
      </c>
      <c r="I7522">
        <v>424.83</v>
      </c>
      <c r="J7522" s="32">
        <v>0</v>
      </c>
      <c r="K7522" s="90">
        <f>+L7522-J7781</f>
        <v>648</v>
      </c>
      <c r="L7522" s="32">
        <v>648</v>
      </c>
      <c r="M7522" s="36">
        <f t="shared" si="462"/>
        <v>65.560185185185176</v>
      </c>
    </row>
    <row r="7523" spans="1:13" hidden="1" x14ac:dyDescent="0.3">
      <c r="A7523" s="9">
        <v>4604</v>
      </c>
      <c r="B7523" t="s">
        <v>312</v>
      </c>
      <c r="C7523" s="25">
        <v>44700</v>
      </c>
      <c r="D7523" s="26">
        <v>0.36318287037037034</v>
      </c>
      <c r="E7523" t="s">
        <v>28</v>
      </c>
      <c r="F7523" t="s">
        <v>533</v>
      </c>
      <c r="G7523" t="s">
        <v>45</v>
      </c>
      <c r="H7523" t="s">
        <v>313</v>
      </c>
      <c r="I7523">
        <v>260.17</v>
      </c>
      <c r="J7523" s="32">
        <v>0</v>
      </c>
      <c r="K7523" s="97">
        <f>+L7523-J7784</f>
        <v>630</v>
      </c>
      <c r="L7523" s="37">
        <v>630</v>
      </c>
      <c r="M7523" s="36">
        <f t="shared" si="462"/>
        <v>41.296825396825398</v>
      </c>
    </row>
    <row r="7524" spans="1:13" hidden="1" x14ac:dyDescent="0.3">
      <c r="A7524" s="9">
        <v>4605</v>
      </c>
      <c r="B7524" t="s">
        <v>312</v>
      </c>
      <c r="C7524" s="25">
        <v>44700</v>
      </c>
      <c r="D7524" s="26">
        <v>0.80843750000000003</v>
      </c>
      <c r="E7524" t="s">
        <v>28</v>
      </c>
      <c r="F7524" t="s">
        <v>210</v>
      </c>
      <c r="G7524" t="s">
        <v>211</v>
      </c>
      <c r="H7524" t="s">
        <v>313</v>
      </c>
      <c r="I7524">
        <v>200.03</v>
      </c>
      <c r="J7524" s="32">
        <v>0</v>
      </c>
      <c r="K7524" s="90">
        <f>+L7524-J7785</f>
        <v>973</v>
      </c>
      <c r="L7524" s="32">
        <v>973</v>
      </c>
      <c r="M7524" s="36">
        <f t="shared" si="462"/>
        <v>20.558067831449126</v>
      </c>
    </row>
    <row r="7525" spans="1:13" hidden="1" x14ac:dyDescent="0.3">
      <c r="A7525" s="9">
        <v>4706</v>
      </c>
      <c r="B7525" t="s">
        <v>312</v>
      </c>
      <c r="C7525" s="25">
        <v>44702</v>
      </c>
      <c r="D7525" s="26">
        <v>0.40891203703703699</v>
      </c>
      <c r="E7525" t="s">
        <v>28</v>
      </c>
      <c r="F7525" t="s">
        <v>485</v>
      </c>
      <c r="G7525" t="s">
        <v>486</v>
      </c>
      <c r="H7525" t="s">
        <v>313</v>
      </c>
      <c r="I7525">
        <v>360.65</v>
      </c>
      <c r="J7525" s="32">
        <v>0</v>
      </c>
      <c r="K7525" s="90">
        <f>+L7525-J7785</f>
        <v>866</v>
      </c>
      <c r="L7525" s="32">
        <v>866</v>
      </c>
      <c r="M7525" s="36">
        <f t="shared" si="462"/>
        <v>41.645496535796767</v>
      </c>
    </row>
    <row r="7526" spans="1:13" hidden="1" x14ac:dyDescent="0.3">
      <c r="A7526" s="9">
        <v>4924</v>
      </c>
      <c r="B7526" t="s">
        <v>312</v>
      </c>
      <c r="C7526" s="25">
        <v>44706</v>
      </c>
      <c r="D7526" s="26">
        <v>0.71056712962962953</v>
      </c>
      <c r="E7526" t="s">
        <v>28</v>
      </c>
      <c r="F7526" t="s">
        <v>210</v>
      </c>
      <c r="G7526" t="s">
        <v>211</v>
      </c>
      <c r="H7526" t="s">
        <v>313</v>
      </c>
      <c r="I7526">
        <v>405.63</v>
      </c>
      <c r="J7526" s="33">
        <v>0</v>
      </c>
      <c r="K7526" s="90">
        <f>+L7526-J7786</f>
        <v>847</v>
      </c>
      <c r="L7526" s="38">
        <v>847</v>
      </c>
      <c r="M7526" s="139">
        <f t="shared" si="462"/>
        <v>47.890200708382523</v>
      </c>
    </row>
    <row r="7527" spans="1:13" hidden="1" x14ac:dyDescent="0.3">
      <c r="A7527" s="9">
        <v>4980</v>
      </c>
      <c r="B7527" t="s">
        <v>312</v>
      </c>
      <c r="C7527" s="25">
        <v>44707</v>
      </c>
      <c r="D7527" s="26">
        <v>0.68901620370370376</v>
      </c>
      <c r="E7527" t="s">
        <v>28</v>
      </c>
      <c r="F7527" t="s">
        <v>640</v>
      </c>
      <c r="G7527" t="s">
        <v>185</v>
      </c>
      <c r="H7527" t="s">
        <v>313</v>
      </c>
      <c r="I7527">
        <v>240.77</v>
      </c>
      <c r="J7527" s="32">
        <v>0</v>
      </c>
      <c r="K7527" s="97">
        <f>+L7527-J7786</f>
        <v>582</v>
      </c>
      <c r="L7527" s="7">
        <v>582</v>
      </c>
      <c r="M7527" s="91">
        <f t="shared" si="462"/>
        <v>41.369415807560138</v>
      </c>
    </row>
    <row r="7528" spans="1:13" hidden="1" x14ac:dyDescent="0.3">
      <c r="A7528" s="9">
        <v>5021</v>
      </c>
      <c r="B7528" t="s">
        <v>312</v>
      </c>
      <c r="C7528" s="25">
        <v>44708</v>
      </c>
      <c r="D7528" s="26">
        <v>0.71840277777777783</v>
      </c>
      <c r="E7528" t="s">
        <v>28</v>
      </c>
      <c r="F7528" t="s">
        <v>637</v>
      </c>
      <c r="G7528" t="s">
        <v>196</v>
      </c>
      <c r="H7528" t="s">
        <v>313</v>
      </c>
      <c r="I7528">
        <v>298.06</v>
      </c>
      <c r="J7528" s="32">
        <v>0</v>
      </c>
      <c r="K7528" s="90">
        <f>+L7528-J7787</f>
        <v>1045</v>
      </c>
      <c r="L7528" s="7">
        <v>1045</v>
      </c>
      <c r="M7528" s="91">
        <f t="shared" si="462"/>
        <v>28.522488038277512</v>
      </c>
    </row>
    <row r="7529" spans="1:13" hidden="1" x14ac:dyDescent="0.3">
      <c r="B7529" t="s">
        <v>240</v>
      </c>
      <c r="C7529" s="25">
        <v>44564</v>
      </c>
      <c r="D7529" s="26">
        <v>0.87123842592592593</v>
      </c>
      <c r="E7529" t="s">
        <v>24</v>
      </c>
      <c r="F7529" t="s">
        <v>237</v>
      </c>
      <c r="G7529" t="s">
        <v>238</v>
      </c>
      <c r="H7529" t="s">
        <v>243</v>
      </c>
      <c r="I7529">
        <v>153.04</v>
      </c>
      <c r="J7529" s="7">
        <v>0</v>
      </c>
      <c r="K7529" s="7">
        <f t="shared" ref="K7529:K7560" si="463">+L7529-J7529</f>
        <v>408.84</v>
      </c>
      <c r="L7529" s="7">
        <v>408.84</v>
      </c>
      <c r="M7529" s="91">
        <f t="shared" si="462"/>
        <v>37.432736522845126</v>
      </c>
    </row>
    <row r="7530" spans="1:13" hidden="1" x14ac:dyDescent="0.3">
      <c r="B7530" t="s">
        <v>240</v>
      </c>
      <c r="C7530" s="25">
        <v>44565</v>
      </c>
      <c r="D7530" s="26">
        <v>0.95505787037037038</v>
      </c>
      <c r="E7530" t="s">
        <v>24</v>
      </c>
      <c r="F7530" t="s">
        <v>241</v>
      </c>
      <c r="G7530" t="s">
        <v>242</v>
      </c>
      <c r="H7530" t="s">
        <v>243</v>
      </c>
      <c r="I7530">
        <v>275.85000000000002</v>
      </c>
      <c r="J7530" s="34">
        <v>0</v>
      </c>
      <c r="K7530" s="34">
        <f t="shared" si="463"/>
        <v>738.6</v>
      </c>
      <c r="L7530" s="34">
        <v>738.6</v>
      </c>
      <c r="M7530" s="132">
        <f t="shared" si="462"/>
        <v>37.347684809098297</v>
      </c>
    </row>
    <row r="7531" spans="1:13" hidden="1" x14ac:dyDescent="0.3">
      <c r="B7531" t="s">
        <v>240</v>
      </c>
      <c r="C7531" s="25">
        <v>44567</v>
      </c>
      <c r="D7531" s="26">
        <v>0.92185185185185192</v>
      </c>
      <c r="E7531" t="s">
        <v>24</v>
      </c>
      <c r="F7531" t="s">
        <v>241</v>
      </c>
      <c r="G7531" t="s">
        <v>242</v>
      </c>
      <c r="H7531" t="s">
        <v>243</v>
      </c>
      <c r="I7531">
        <v>396.65</v>
      </c>
      <c r="J7531" s="7">
        <v>0</v>
      </c>
      <c r="K7531" s="7">
        <f t="shared" si="463"/>
        <v>894.45</v>
      </c>
      <c r="L7531" s="7">
        <v>894.45</v>
      </c>
      <c r="M7531" s="91">
        <f t="shared" si="462"/>
        <v>44.345687293867734</v>
      </c>
    </row>
    <row r="7532" spans="1:13" hidden="1" x14ac:dyDescent="0.3">
      <c r="B7532" t="s">
        <v>240</v>
      </c>
      <c r="C7532" s="25">
        <v>44568</v>
      </c>
      <c r="D7532" s="26">
        <v>0.93809027777777787</v>
      </c>
      <c r="E7532" t="s">
        <v>24</v>
      </c>
      <c r="F7532" t="s">
        <v>241</v>
      </c>
      <c r="G7532" t="s">
        <v>242</v>
      </c>
      <c r="H7532" t="s">
        <v>243</v>
      </c>
      <c r="I7532">
        <v>275.82</v>
      </c>
      <c r="J7532" s="7">
        <v>0</v>
      </c>
      <c r="K7532" s="34">
        <f t="shared" si="463"/>
        <v>750.2</v>
      </c>
      <c r="L7532" s="34">
        <v>750.2</v>
      </c>
      <c r="M7532" s="91">
        <f t="shared" si="462"/>
        <v>36.766195681151693</v>
      </c>
    </row>
    <row r="7533" spans="1:13" hidden="1" x14ac:dyDescent="0.3">
      <c r="B7533" t="s">
        <v>240</v>
      </c>
      <c r="C7533" s="25">
        <v>44573</v>
      </c>
      <c r="D7533" s="26">
        <v>0.68521990740740746</v>
      </c>
      <c r="E7533" t="s">
        <v>24</v>
      </c>
      <c r="F7533" t="s">
        <v>241</v>
      </c>
      <c r="G7533" t="s">
        <v>242</v>
      </c>
      <c r="H7533" t="s">
        <v>243</v>
      </c>
      <c r="I7533">
        <v>400.53</v>
      </c>
      <c r="J7533" s="7">
        <v>0</v>
      </c>
      <c r="K7533" s="7">
        <f t="shared" si="463"/>
        <v>978.74</v>
      </c>
      <c r="L7533" s="7">
        <v>978.74</v>
      </c>
      <c r="M7533" s="91">
        <f t="shared" si="462"/>
        <v>40.923023479167085</v>
      </c>
    </row>
    <row r="7534" spans="1:13" hidden="1" x14ac:dyDescent="0.3">
      <c r="B7534" t="s">
        <v>240</v>
      </c>
      <c r="C7534" s="25">
        <v>44574</v>
      </c>
      <c r="D7534" s="26">
        <v>0.98950231481481488</v>
      </c>
      <c r="E7534" t="s">
        <v>24</v>
      </c>
      <c r="F7534" t="s">
        <v>241</v>
      </c>
      <c r="G7534" t="s">
        <v>242</v>
      </c>
      <c r="H7534" t="s">
        <v>243</v>
      </c>
      <c r="I7534">
        <v>285.19</v>
      </c>
      <c r="J7534" s="34">
        <v>0</v>
      </c>
      <c r="K7534" s="7">
        <f t="shared" si="463"/>
        <v>756.18</v>
      </c>
      <c r="L7534" s="7">
        <v>756.18</v>
      </c>
      <c r="M7534" s="91">
        <f t="shared" si="462"/>
        <v>37.71456531513661</v>
      </c>
    </row>
    <row r="7535" spans="1:13" hidden="1" x14ac:dyDescent="0.3">
      <c r="B7535" t="s">
        <v>240</v>
      </c>
      <c r="C7535" s="25">
        <v>44577</v>
      </c>
      <c r="D7535" s="26">
        <v>0.51488425925925929</v>
      </c>
      <c r="E7535" t="s">
        <v>24</v>
      </c>
      <c r="F7535" t="s">
        <v>319</v>
      </c>
      <c r="G7535" t="s">
        <v>320</v>
      </c>
      <c r="H7535" t="s">
        <v>243</v>
      </c>
      <c r="I7535">
        <v>241.16</v>
      </c>
      <c r="J7535" s="7">
        <v>0</v>
      </c>
      <c r="K7535" s="7">
        <f t="shared" si="463"/>
        <v>581.94000000000005</v>
      </c>
      <c r="L7535" s="7">
        <v>581.94000000000005</v>
      </c>
      <c r="M7535" s="91">
        <f t="shared" si="462"/>
        <v>41.440698353782174</v>
      </c>
    </row>
    <row r="7536" spans="1:13" hidden="1" x14ac:dyDescent="0.3">
      <c r="B7536" t="s">
        <v>240</v>
      </c>
      <c r="C7536" s="25">
        <v>44578</v>
      </c>
      <c r="D7536" s="26">
        <v>0.48113425925925929</v>
      </c>
      <c r="E7536" t="s">
        <v>24</v>
      </c>
      <c r="F7536" t="s">
        <v>291</v>
      </c>
      <c r="G7536" t="s">
        <v>347</v>
      </c>
      <c r="H7536" t="s">
        <v>243</v>
      </c>
      <c r="I7536">
        <v>272</v>
      </c>
      <c r="J7536" s="7">
        <v>0</v>
      </c>
      <c r="K7536" s="7">
        <f t="shared" si="463"/>
        <v>620.34</v>
      </c>
      <c r="L7536" s="7">
        <v>620.34</v>
      </c>
      <c r="M7536" s="91">
        <f t="shared" si="462"/>
        <v>43.846922655318046</v>
      </c>
    </row>
    <row r="7537" spans="1:13" hidden="1" x14ac:dyDescent="0.3">
      <c r="B7537" t="s">
        <v>240</v>
      </c>
      <c r="C7537" s="25">
        <v>44578</v>
      </c>
      <c r="D7537" s="26">
        <v>0.94140046296296298</v>
      </c>
      <c r="E7537" t="s">
        <v>24</v>
      </c>
      <c r="F7537" t="s">
        <v>296</v>
      </c>
      <c r="G7537" t="s">
        <v>297</v>
      </c>
      <c r="H7537" t="s">
        <v>243</v>
      </c>
      <c r="I7537">
        <v>294.04000000000002</v>
      </c>
      <c r="J7537" s="34">
        <v>0</v>
      </c>
      <c r="K7537" s="7">
        <f t="shared" si="463"/>
        <v>803.14</v>
      </c>
      <c r="L7537" s="7">
        <v>803.14</v>
      </c>
      <c r="M7537" s="91">
        <f t="shared" si="462"/>
        <v>36.611300644968502</v>
      </c>
    </row>
    <row r="7538" spans="1:13" hidden="1" x14ac:dyDescent="0.3">
      <c r="B7538" t="s">
        <v>240</v>
      </c>
      <c r="C7538" s="25">
        <v>44581</v>
      </c>
      <c r="D7538" s="26">
        <v>0.37206018518518519</v>
      </c>
      <c r="E7538" t="s">
        <v>24</v>
      </c>
      <c r="F7538" t="s">
        <v>368</v>
      </c>
      <c r="G7538" t="s">
        <v>369</v>
      </c>
      <c r="H7538" t="s">
        <v>243</v>
      </c>
      <c r="I7538">
        <v>308.18</v>
      </c>
      <c r="J7538" s="7">
        <v>0</v>
      </c>
      <c r="K7538" s="7">
        <f t="shared" si="463"/>
        <v>805.71</v>
      </c>
      <c r="L7538" s="7">
        <v>805.71</v>
      </c>
      <c r="M7538" s="91">
        <f t="shared" si="462"/>
        <v>38.249494234898414</v>
      </c>
    </row>
    <row r="7539" spans="1:13" hidden="1" x14ac:dyDescent="0.3">
      <c r="B7539" t="s">
        <v>240</v>
      </c>
      <c r="C7539" s="25">
        <v>44582</v>
      </c>
      <c r="D7539" s="26">
        <v>0.47958333333333331</v>
      </c>
      <c r="E7539" t="s">
        <v>24</v>
      </c>
      <c r="F7539" t="s">
        <v>262</v>
      </c>
      <c r="G7539" t="s">
        <v>263</v>
      </c>
      <c r="H7539" t="s">
        <v>243</v>
      </c>
      <c r="I7539">
        <v>241.74</v>
      </c>
      <c r="J7539" s="7">
        <v>0</v>
      </c>
      <c r="K7539" s="34">
        <f t="shared" si="463"/>
        <v>662.31</v>
      </c>
      <c r="L7539" s="34">
        <v>662.31</v>
      </c>
      <c r="M7539" s="91">
        <f t="shared" si="462"/>
        <v>36.499524391901076</v>
      </c>
    </row>
    <row r="7540" spans="1:13" hidden="1" x14ac:dyDescent="0.3">
      <c r="B7540" t="s">
        <v>240</v>
      </c>
      <c r="C7540" s="25">
        <v>44585</v>
      </c>
      <c r="D7540" s="26">
        <v>0.57740740740740748</v>
      </c>
      <c r="E7540" t="s">
        <v>24</v>
      </c>
      <c r="F7540" t="s">
        <v>234</v>
      </c>
      <c r="G7540" t="s">
        <v>235</v>
      </c>
      <c r="H7540" t="s">
        <v>243</v>
      </c>
      <c r="I7540">
        <v>246.01</v>
      </c>
      <c r="J7540" s="7">
        <v>0</v>
      </c>
      <c r="K7540" s="7">
        <f t="shared" si="463"/>
        <v>646.16</v>
      </c>
      <c r="L7540" s="7">
        <v>646.16</v>
      </c>
      <c r="M7540" s="91">
        <f t="shared" si="462"/>
        <v>38.072613594156245</v>
      </c>
    </row>
    <row r="7541" spans="1:13" hidden="1" x14ac:dyDescent="0.3">
      <c r="B7541" t="s">
        <v>240</v>
      </c>
      <c r="C7541" s="25">
        <v>44587</v>
      </c>
      <c r="D7541" s="26">
        <v>0.90302083333333327</v>
      </c>
      <c r="E7541" t="s">
        <v>24</v>
      </c>
      <c r="F7541" t="s">
        <v>241</v>
      </c>
      <c r="G7541" t="s">
        <v>242</v>
      </c>
      <c r="H7541" t="s">
        <v>243</v>
      </c>
      <c r="I7541">
        <v>280.79000000000002</v>
      </c>
      <c r="J7541" s="7">
        <v>0</v>
      </c>
      <c r="K7541" s="7">
        <f t="shared" si="463"/>
        <v>708.33</v>
      </c>
      <c r="L7541" s="32">
        <v>708.33</v>
      </c>
      <c r="M7541" s="91">
        <f t="shared" si="462"/>
        <v>39.641127722953989</v>
      </c>
    </row>
    <row r="7542" spans="1:13" ht="15.75" hidden="1" customHeight="1" x14ac:dyDescent="0.3">
      <c r="B7542" t="s">
        <v>240</v>
      </c>
      <c r="C7542" s="25">
        <v>44588</v>
      </c>
      <c r="D7542" s="26">
        <v>0.61478009259259259</v>
      </c>
      <c r="E7542" t="s">
        <v>24</v>
      </c>
      <c r="F7542" t="s">
        <v>398</v>
      </c>
      <c r="G7542" t="s">
        <v>399</v>
      </c>
      <c r="H7542" t="s">
        <v>243</v>
      </c>
      <c r="I7542">
        <v>322.93</v>
      </c>
      <c r="J7542" s="7">
        <v>0</v>
      </c>
      <c r="K7542" s="7">
        <f t="shared" si="463"/>
        <v>674.72</v>
      </c>
      <c r="L7542" s="7">
        <v>674.72</v>
      </c>
      <c r="M7542" s="36">
        <f t="shared" si="462"/>
        <v>47.861335072326298</v>
      </c>
    </row>
    <row r="7543" spans="1:13" hidden="1" x14ac:dyDescent="0.3">
      <c r="B7543" t="s">
        <v>240</v>
      </c>
      <c r="C7543" s="25">
        <v>44589</v>
      </c>
      <c r="D7543" s="26">
        <v>0.71480324074074064</v>
      </c>
      <c r="E7543" t="s">
        <v>24</v>
      </c>
      <c r="F7543" t="s">
        <v>262</v>
      </c>
      <c r="G7543" t="s">
        <v>263</v>
      </c>
      <c r="H7543" t="s">
        <v>243</v>
      </c>
      <c r="I7543">
        <v>243.08</v>
      </c>
      <c r="J7543" s="7">
        <v>0</v>
      </c>
      <c r="K7543" s="7">
        <f t="shared" si="463"/>
        <v>614.41999999999996</v>
      </c>
      <c r="L7543" s="7">
        <v>614.41999999999996</v>
      </c>
      <c r="M7543" s="36">
        <f t="shared" si="462"/>
        <v>39.56251424107289</v>
      </c>
    </row>
    <row r="7544" spans="1:13" hidden="1" x14ac:dyDescent="0.3">
      <c r="B7544" t="s">
        <v>240</v>
      </c>
      <c r="C7544" s="25">
        <v>44592</v>
      </c>
      <c r="D7544" s="26">
        <v>0.69177083333333333</v>
      </c>
      <c r="E7544" t="s">
        <v>24</v>
      </c>
      <c r="F7544" t="s">
        <v>262</v>
      </c>
      <c r="G7544" t="s">
        <v>263</v>
      </c>
      <c r="H7544" t="s">
        <v>243</v>
      </c>
      <c r="I7544">
        <v>315.48</v>
      </c>
      <c r="J7544" s="31">
        <v>0</v>
      </c>
      <c r="K7544" s="34">
        <f t="shared" si="463"/>
        <v>919.15</v>
      </c>
      <c r="L7544" s="34">
        <v>919.15</v>
      </c>
      <c r="M7544" s="10">
        <f t="shared" si="462"/>
        <v>34.323015829842788</v>
      </c>
    </row>
    <row r="7545" spans="1:13" hidden="1" x14ac:dyDescent="0.3">
      <c r="A7545" s="9">
        <v>709</v>
      </c>
      <c r="B7545" t="s">
        <v>240</v>
      </c>
      <c r="C7545" s="25">
        <v>44613</v>
      </c>
      <c r="D7545" s="26">
        <v>0.82780092592592591</v>
      </c>
      <c r="E7545" t="s">
        <v>25</v>
      </c>
      <c r="F7545" t="s">
        <v>237</v>
      </c>
      <c r="G7545" t="s">
        <v>238</v>
      </c>
      <c r="H7545" t="s">
        <v>239</v>
      </c>
      <c r="I7545">
        <v>273.95</v>
      </c>
      <c r="J7545" s="7">
        <v>0</v>
      </c>
      <c r="K7545" s="7">
        <f t="shared" si="463"/>
        <v>673.82</v>
      </c>
      <c r="L7545" s="7">
        <v>673.82</v>
      </c>
      <c r="M7545" s="91">
        <f t="shared" si="462"/>
        <v>40.656258347926745</v>
      </c>
    </row>
    <row r="7546" spans="1:13" hidden="1" x14ac:dyDescent="0.3">
      <c r="A7546" s="9">
        <v>710</v>
      </c>
      <c r="B7546" t="s">
        <v>240</v>
      </c>
      <c r="C7546" s="25">
        <v>44617</v>
      </c>
      <c r="D7546" s="26">
        <v>0.55101851851851846</v>
      </c>
      <c r="E7546" t="s">
        <v>25</v>
      </c>
      <c r="F7546" t="s">
        <v>398</v>
      </c>
      <c r="G7546" t="s">
        <v>399</v>
      </c>
      <c r="H7546" t="s">
        <v>239</v>
      </c>
      <c r="I7546">
        <v>357.64</v>
      </c>
      <c r="J7546" s="44"/>
      <c r="K7546" s="44">
        <f t="shared" si="463"/>
        <v>10000</v>
      </c>
      <c r="L7546" s="44">
        <v>10000</v>
      </c>
      <c r="M7546" s="91">
        <f t="shared" si="462"/>
        <v>3.5763999999999996</v>
      </c>
    </row>
    <row r="7547" spans="1:13" hidden="1" x14ac:dyDescent="0.3">
      <c r="A7547" s="9">
        <v>711</v>
      </c>
      <c r="B7547" t="s">
        <v>240</v>
      </c>
      <c r="C7547" s="25">
        <v>44617</v>
      </c>
      <c r="D7547" s="26">
        <v>0.97244212962962961</v>
      </c>
      <c r="E7547" t="s">
        <v>25</v>
      </c>
      <c r="F7547" t="s">
        <v>241</v>
      </c>
      <c r="G7547" t="s">
        <v>242</v>
      </c>
      <c r="H7547" t="s">
        <v>239</v>
      </c>
      <c r="I7547">
        <v>237.38</v>
      </c>
      <c r="J7547" s="8"/>
      <c r="K7547" s="8">
        <f t="shared" si="463"/>
        <v>199821</v>
      </c>
      <c r="L7547" s="8">
        <v>199821</v>
      </c>
      <c r="M7547" s="91">
        <f t="shared" si="462"/>
        <v>0.1187963227088244</v>
      </c>
    </row>
    <row r="7548" spans="1:13" hidden="1" x14ac:dyDescent="0.3">
      <c r="A7548" s="9">
        <v>712</v>
      </c>
      <c r="B7548" t="s">
        <v>240</v>
      </c>
      <c r="C7548" s="25">
        <v>44594</v>
      </c>
      <c r="D7548" s="26">
        <v>0.54796296296296299</v>
      </c>
      <c r="E7548" t="s">
        <v>25</v>
      </c>
      <c r="F7548" t="s">
        <v>398</v>
      </c>
      <c r="G7548" t="s">
        <v>399</v>
      </c>
      <c r="H7548" t="s">
        <v>243</v>
      </c>
      <c r="I7548">
        <v>323.88</v>
      </c>
      <c r="J7548" s="7">
        <v>0</v>
      </c>
      <c r="K7548" s="7">
        <f t="shared" si="463"/>
        <v>881.34</v>
      </c>
      <c r="L7548" s="7">
        <v>881.34</v>
      </c>
      <c r="M7548" s="91">
        <f t="shared" si="462"/>
        <v>36.748587378310297</v>
      </c>
    </row>
    <row r="7549" spans="1:13" hidden="1" x14ac:dyDescent="0.3">
      <c r="A7549" s="9">
        <v>713</v>
      </c>
      <c r="B7549" t="s">
        <v>240</v>
      </c>
      <c r="C7549" s="25">
        <v>44595</v>
      </c>
      <c r="D7549" s="26">
        <v>0.31199074074074074</v>
      </c>
      <c r="E7549" t="s">
        <v>25</v>
      </c>
      <c r="F7549" t="s">
        <v>241</v>
      </c>
      <c r="G7549" t="s">
        <v>242</v>
      </c>
      <c r="H7549" t="s">
        <v>243</v>
      </c>
      <c r="I7549">
        <v>100</v>
      </c>
      <c r="J7549" s="7">
        <v>0</v>
      </c>
      <c r="K7549" s="7">
        <f t="shared" si="463"/>
        <v>676.92</v>
      </c>
      <c r="L7549" s="7">
        <v>676.92</v>
      </c>
      <c r="M7549" s="91">
        <f t="shared" si="462"/>
        <v>14.772794421792826</v>
      </c>
    </row>
    <row r="7550" spans="1:13" hidden="1" x14ac:dyDescent="0.3">
      <c r="A7550" s="9">
        <v>1830</v>
      </c>
      <c r="B7550" t="s">
        <v>240</v>
      </c>
      <c r="C7550" s="25">
        <v>44622</v>
      </c>
      <c r="D7550" s="26">
        <v>0.74567129629629625</v>
      </c>
      <c r="E7550" t="s">
        <v>26</v>
      </c>
      <c r="F7550" t="s">
        <v>234</v>
      </c>
      <c r="G7550" t="s">
        <v>235</v>
      </c>
      <c r="H7550" t="s">
        <v>243</v>
      </c>
      <c r="I7550">
        <v>189.6</v>
      </c>
      <c r="J7550" s="7"/>
      <c r="K7550" s="90">
        <f t="shared" si="463"/>
        <v>999998</v>
      </c>
      <c r="L7550" s="7">
        <v>999998</v>
      </c>
      <c r="M7550" s="91">
        <f t="shared" si="462"/>
        <v>1.8960037920075837E-2</v>
      </c>
    </row>
    <row r="7551" spans="1:13" hidden="1" x14ac:dyDescent="0.3">
      <c r="A7551" s="9">
        <v>1831</v>
      </c>
      <c r="B7551" t="s">
        <v>240</v>
      </c>
      <c r="C7551" s="25">
        <v>44623</v>
      </c>
      <c r="D7551" s="26">
        <v>0.65756944444444443</v>
      </c>
      <c r="E7551" t="s">
        <v>26</v>
      </c>
      <c r="F7551" t="s">
        <v>241</v>
      </c>
      <c r="G7551" t="s">
        <v>242</v>
      </c>
      <c r="H7551" t="s">
        <v>243</v>
      </c>
      <c r="I7551">
        <v>262.68</v>
      </c>
      <c r="J7551" s="8"/>
      <c r="K7551" s="97">
        <f t="shared" si="463"/>
        <v>6601</v>
      </c>
      <c r="L7551" s="8">
        <v>6601</v>
      </c>
      <c r="M7551" s="91">
        <f t="shared" si="462"/>
        <v>3.979397061051356</v>
      </c>
    </row>
    <row r="7552" spans="1:13" hidden="1" x14ac:dyDescent="0.3">
      <c r="A7552" s="9">
        <v>1832</v>
      </c>
      <c r="B7552" t="s">
        <v>240</v>
      </c>
      <c r="C7552" s="25">
        <v>44624</v>
      </c>
      <c r="D7552" s="26">
        <v>0.42476851851851855</v>
      </c>
      <c r="E7552" t="s">
        <v>26</v>
      </c>
      <c r="F7552" t="s">
        <v>298</v>
      </c>
      <c r="G7552" t="s">
        <v>299</v>
      </c>
      <c r="H7552" t="s">
        <v>243</v>
      </c>
      <c r="I7552">
        <v>295.06</v>
      </c>
      <c r="J7552" s="8"/>
      <c r="K7552" s="97">
        <f t="shared" si="463"/>
        <v>212121</v>
      </c>
      <c r="L7552" s="44">
        <v>212121</v>
      </c>
      <c r="M7552" s="91">
        <f t="shared" ref="M7552:M7578" si="464">I7552/K7552*100</f>
        <v>0.13909985338556768</v>
      </c>
    </row>
    <row r="7553" spans="1:13" hidden="1" x14ac:dyDescent="0.3">
      <c r="A7553" s="9">
        <v>1833</v>
      </c>
      <c r="B7553" t="s">
        <v>240</v>
      </c>
      <c r="C7553" s="25">
        <v>44625</v>
      </c>
      <c r="D7553" s="26">
        <v>0.33555555555555555</v>
      </c>
      <c r="E7553" t="s">
        <v>26</v>
      </c>
      <c r="F7553" t="s">
        <v>294</v>
      </c>
      <c r="G7553" t="s">
        <v>295</v>
      </c>
      <c r="H7553" t="s">
        <v>243</v>
      </c>
      <c r="I7553">
        <v>241.6</v>
      </c>
      <c r="J7553" s="8"/>
      <c r="K7553" s="90">
        <f t="shared" si="463"/>
        <v>1234</v>
      </c>
      <c r="L7553" s="8">
        <v>1234</v>
      </c>
      <c r="M7553" s="91">
        <f t="shared" si="464"/>
        <v>19.578606158833061</v>
      </c>
    </row>
    <row r="7554" spans="1:13" hidden="1" x14ac:dyDescent="0.3">
      <c r="A7554" s="9">
        <v>1834</v>
      </c>
      <c r="B7554" t="s">
        <v>240</v>
      </c>
      <c r="C7554" s="25">
        <v>44627</v>
      </c>
      <c r="D7554" s="26">
        <v>0.75643518518518515</v>
      </c>
      <c r="E7554" t="s">
        <v>26</v>
      </c>
      <c r="F7554" t="s">
        <v>241</v>
      </c>
      <c r="G7554" t="s">
        <v>242</v>
      </c>
      <c r="H7554" t="s">
        <v>243</v>
      </c>
      <c r="I7554">
        <v>202.58</v>
      </c>
      <c r="J7554" s="8"/>
      <c r="K7554" s="90">
        <f t="shared" si="463"/>
        <v>6601</v>
      </c>
      <c r="L7554" s="8">
        <v>6601</v>
      </c>
      <c r="M7554" s="91">
        <f t="shared" si="464"/>
        <v>3.0689289501590671</v>
      </c>
    </row>
    <row r="7555" spans="1:13" hidden="1" x14ac:dyDescent="0.3">
      <c r="A7555" s="9">
        <v>1835</v>
      </c>
      <c r="B7555" t="s">
        <v>240</v>
      </c>
      <c r="C7555" s="25">
        <v>44628</v>
      </c>
      <c r="D7555" s="26">
        <v>0.46233796296296298</v>
      </c>
      <c r="E7555" t="s">
        <v>26</v>
      </c>
      <c r="F7555" t="s">
        <v>472</v>
      </c>
      <c r="G7555" t="s">
        <v>473</v>
      </c>
      <c r="H7555" t="s">
        <v>243</v>
      </c>
      <c r="I7555">
        <v>257.5</v>
      </c>
      <c r="J7555" s="44"/>
      <c r="K7555" s="97">
        <f t="shared" si="463"/>
        <v>2000</v>
      </c>
      <c r="L7555" s="44">
        <v>2000</v>
      </c>
      <c r="M7555" s="132">
        <f t="shared" si="464"/>
        <v>12.875</v>
      </c>
    </row>
    <row r="7556" spans="1:13" hidden="1" x14ac:dyDescent="0.3">
      <c r="A7556" s="9">
        <v>1836</v>
      </c>
      <c r="B7556" t="s">
        <v>240</v>
      </c>
      <c r="C7556" s="25">
        <v>44628</v>
      </c>
      <c r="D7556" s="26">
        <v>0.82903935185185185</v>
      </c>
      <c r="E7556" t="s">
        <v>26</v>
      </c>
      <c r="F7556" t="s">
        <v>357</v>
      </c>
      <c r="G7556" t="s">
        <v>358</v>
      </c>
      <c r="H7556" t="s">
        <v>243</v>
      </c>
      <c r="I7556">
        <v>181.42</v>
      </c>
      <c r="J7556" s="8"/>
      <c r="K7556" s="90">
        <f t="shared" si="463"/>
        <v>258258</v>
      </c>
      <c r="L7556" s="8">
        <v>258258</v>
      </c>
      <c r="M7556" s="133">
        <f t="shared" si="464"/>
        <v>7.0247581875488851E-2</v>
      </c>
    </row>
    <row r="7557" spans="1:13" hidden="1" x14ac:dyDescent="0.3">
      <c r="A7557" s="9">
        <v>1837</v>
      </c>
      <c r="B7557" t="s">
        <v>240</v>
      </c>
      <c r="C7557" s="25">
        <v>44629</v>
      </c>
      <c r="D7557" s="26">
        <v>0.66374999999999995</v>
      </c>
      <c r="E7557" t="s">
        <v>26</v>
      </c>
      <c r="F7557" t="s">
        <v>234</v>
      </c>
      <c r="G7557" t="s">
        <v>235</v>
      </c>
      <c r="H7557" t="s">
        <v>243</v>
      </c>
      <c r="I7557">
        <v>301.7</v>
      </c>
      <c r="J7557" s="8"/>
      <c r="K7557" s="97">
        <f t="shared" si="463"/>
        <v>125436</v>
      </c>
      <c r="L7557" s="8">
        <v>125436</v>
      </c>
      <c r="M7557" s="119">
        <f t="shared" si="464"/>
        <v>0.24052106253388181</v>
      </c>
    </row>
    <row r="7558" spans="1:13" hidden="1" x14ac:dyDescent="0.3">
      <c r="A7558" s="9">
        <v>1838</v>
      </c>
      <c r="B7558" t="s">
        <v>240</v>
      </c>
      <c r="C7558" s="25">
        <v>44631</v>
      </c>
      <c r="D7558" s="26">
        <v>0.36120370370370369</v>
      </c>
      <c r="E7558" t="s">
        <v>26</v>
      </c>
      <c r="F7558" t="s">
        <v>234</v>
      </c>
      <c r="G7558" t="s">
        <v>235</v>
      </c>
      <c r="H7558" t="s">
        <v>243</v>
      </c>
      <c r="I7558">
        <v>200</v>
      </c>
      <c r="J7558" s="23"/>
      <c r="K7558" s="97">
        <f t="shared" si="463"/>
        <v>153692</v>
      </c>
      <c r="L7558" s="44">
        <v>153692</v>
      </c>
      <c r="M7558" s="91">
        <f t="shared" si="464"/>
        <v>0.13013039065143273</v>
      </c>
    </row>
    <row r="7559" spans="1:13" hidden="1" x14ac:dyDescent="0.3">
      <c r="A7559" s="9">
        <v>1839</v>
      </c>
      <c r="B7559" t="s">
        <v>240</v>
      </c>
      <c r="C7559" s="25">
        <v>44633</v>
      </c>
      <c r="D7559" s="26">
        <v>0.68781250000000005</v>
      </c>
      <c r="E7559" t="s">
        <v>26</v>
      </c>
      <c r="F7559" t="s">
        <v>241</v>
      </c>
      <c r="G7559" t="s">
        <v>242</v>
      </c>
      <c r="H7559" t="s">
        <v>243</v>
      </c>
      <c r="I7559">
        <v>260.99</v>
      </c>
      <c r="J7559" s="23"/>
      <c r="K7559" s="90">
        <f t="shared" si="463"/>
        <v>525252</v>
      </c>
      <c r="L7559" s="8">
        <v>525252</v>
      </c>
      <c r="M7559" s="91">
        <f t="shared" si="464"/>
        <v>4.9688530457761226E-2</v>
      </c>
    </row>
    <row r="7560" spans="1:13" hidden="1" x14ac:dyDescent="0.3">
      <c r="A7560" s="9">
        <v>1840</v>
      </c>
      <c r="B7560" t="s">
        <v>240</v>
      </c>
      <c r="C7560" s="25">
        <v>44634</v>
      </c>
      <c r="D7560" s="26">
        <v>0.50189814814814815</v>
      </c>
      <c r="E7560" t="s">
        <v>26</v>
      </c>
      <c r="F7560" t="s">
        <v>298</v>
      </c>
      <c r="G7560" t="s">
        <v>299</v>
      </c>
      <c r="H7560" t="s">
        <v>243</v>
      </c>
      <c r="I7560">
        <v>318.39</v>
      </c>
      <c r="J7560" s="49"/>
      <c r="K7560" s="90">
        <f t="shared" si="463"/>
        <v>212121</v>
      </c>
      <c r="L7560" s="8">
        <v>212121</v>
      </c>
      <c r="M7560" s="91">
        <f t="shared" si="464"/>
        <v>0.15009829295543581</v>
      </c>
    </row>
    <row r="7561" spans="1:13" hidden="1" x14ac:dyDescent="0.3">
      <c r="A7561" s="9">
        <v>1841</v>
      </c>
      <c r="B7561" t="s">
        <v>240</v>
      </c>
      <c r="C7561" s="25">
        <v>44634</v>
      </c>
      <c r="D7561" s="26">
        <v>0.93837962962962962</v>
      </c>
      <c r="E7561" t="s">
        <v>26</v>
      </c>
      <c r="F7561" t="s">
        <v>472</v>
      </c>
      <c r="G7561" t="s">
        <v>473</v>
      </c>
      <c r="H7561" t="s">
        <v>243</v>
      </c>
      <c r="I7561">
        <v>200</v>
      </c>
      <c r="J7561" s="23"/>
      <c r="K7561" s="90">
        <f t="shared" ref="K7561:K7578" si="465">+L7561-J7561</f>
        <v>222111</v>
      </c>
      <c r="L7561" s="8">
        <v>222111</v>
      </c>
      <c r="M7561" s="91">
        <f t="shared" si="464"/>
        <v>9.0045067556311933E-2</v>
      </c>
    </row>
    <row r="7562" spans="1:13" hidden="1" x14ac:dyDescent="0.3">
      <c r="A7562" s="9">
        <v>1842</v>
      </c>
      <c r="B7562" t="s">
        <v>240</v>
      </c>
      <c r="C7562" s="25">
        <v>44635</v>
      </c>
      <c r="D7562" s="26">
        <v>0.61423611111111109</v>
      </c>
      <c r="E7562" t="s">
        <v>26</v>
      </c>
      <c r="F7562" t="s">
        <v>241</v>
      </c>
      <c r="G7562" t="s">
        <v>242</v>
      </c>
      <c r="H7562" t="s">
        <v>243</v>
      </c>
      <c r="I7562">
        <v>92.28</v>
      </c>
      <c r="J7562" s="23"/>
      <c r="K7562" s="90">
        <f t="shared" si="465"/>
        <v>6601</v>
      </c>
      <c r="L7562" s="8">
        <v>6601</v>
      </c>
      <c r="M7562" s="91">
        <f t="shared" si="464"/>
        <v>1.3979700045447658</v>
      </c>
    </row>
    <row r="7563" spans="1:13" hidden="1" x14ac:dyDescent="0.3">
      <c r="A7563" s="9">
        <v>1843</v>
      </c>
      <c r="B7563" t="s">
        <v>240</v>
      </c>
      <c r="C7563" s="25">
        <v>44636</v>
      </c>
      <c r="D7563" s="26">
        <v>0.37238425925925928</v>
      </c>
      <c r="E7563" t="s">
        <v>26</v>
      </c>
      <c r="F7563" t="s">
        <v>237</v>
      </c>
      <c r="G7563" t="s">
        <v>238</v>
      </c>
      <c r="H7563" t="s">
        <v>243</v>
      </c>
      <c r="I7563">
        <v>100.02</v>
      </c>
      <c r="J7563" s="49"/>
      <c r="K7563" s="90">
        <f t="shared" si="465"/>
        <v>999994</v>
      </c>
      <c r="L7563" s="8">
        <v>999994</v>
      </c>
      <c r="M7563" s="91">
        <f t="shared" si="464"/>
        <v>1.0002060012360073E-2</v>
      </c>
    </row>
    <row r="7564" spans="1:13" hidden="1" x14ac:dyDescent="0.3">
      <c r="A7564" s="9">
        <v>1844</v>
      </c>
      <c r="B7564" t="s">
        <v>240</v>
      </c>
      <c r="C7564" s="25">
        <v>44636</v>
      </c>
      <c r="D7564" s="26">
        <v>0.8625694444444445</v>
      </c>
      <c r="E7564" t="s">
        <v>26</v>
      </c>
      <c r="F7564" t="s">
        <v>368</v>
      </c>
      <c r="G7564" t="s">
        <v>369</v>
      </c>
      <c r="H7564" t="s">
        <v>243</v>
      </c>
      <c r="I7564">
        <v>130.09</v>
      </c>
      <c r="J7564" s="23"/>
      <c r="K7564" s="90">
        <f t="shared" si="465"/>
        <v>6601</v>
      </c>
      <c r="L7564" s="8">
        <v>6601</v>
      </c>
      <c r="M7564" s="91">
        <f t="shared" si="464"/>
        <v>1.9707620057567037</v>
      </c>
    </row>
    <row r="7565" spans="1:13" hidden="1" x14ac:dyDescent="0.3">
      <c r="A7565" s="9">
        <v>1845</v>
      </c>
      <c r="B7565" t="s">
        <v>240</v>
      </c>
      <c r="C7565" s="25">
        <v>44637</v>
      </c>
      <c r="D7565" s="26">
        <v>0.33303240740740742</v>
      </c>
      <c r="E7565" t="s">
        <v>26</v>
      </c>
      <c r="F7565" t="s">
        <v>241</v>
      </c>
      <c r="G7565" t="s">
        <v>242</v>
      </c>
      <c r="H7565" t="s">
        <v>243</v>
      </c>
      <c r="I7565">
        <v>256.58</v>
      </c>
      <c r="J7565" s="37">
        <v>0</v>
      </c>
      <c r="K7565" s="97">
        <f t="shared" si="465"/>
        <v>6601</v>
      </c>
      <c r="L7565" s="44">
        <v>6601</v>
      </c>
      <c r="M7565" s="91">
        <f t="shared" si="464"/>
        <v>3.8869868201787603</v>
      </c>
    </row>
    <row r="7566" spans="1:13" hidden="1" x14ac:dyDescent="0.3">
      <c r="A7566" s="9">
        <v>1846</v>
      </c>
      <c r="B7566" t="s">
        <v>240</v>
      </c>
      <c r="C7566" s="25">
        <v>44642</v>
      </c>
      <c r="D7566" s="26">
        <v>0.70861111111111119</v>
      </c>
      <c r="E7566" t="s">
        <v>26</v>
      </c>
      <c r="F7566" t="s">
        <v>353</v>
      </c>
      <c r="G7566" t="s">
        <v>354</v>
      </c>
      <c r="H7566" t="s">
        <v>243</v>
      </c>
      <c r="I7566">
        <v>100</v>
      </c>
      <c r="J7566" s="8"/>
      <c r="K7566" s="90">
        <f t="shared" si="465"/>
        <v>25000</v>
      </c>
      <c r="L7566" s="8">
        <v>25000</v>
      </c>
      <c r="M7566" s="91">
        <f t="shared" si="464"/>
        <v>0.4</v>
      </c>
    </row>
    <row r="7567" spans="1:13" hidden="1" x14ac:dyDescent="0.3">
      <c r="A7567" s="9">
        <v>1847</v>
      </c>
      <c r="B7567" t="s">
        <v>240</v>
      </c>
      <c r="C7567" s="25">
        <v>44644</v>
      </c>
      <c r="D7567" s="26">
        <v>0.72576388888888888</v>
      </c>
      <c r="E7567" t="s">
        <v>26</v>
      </c>
      <c r="F7567" t="s">
        <v>241</v>
      </c>
      <c r="G7567" t="s">
        <v>242</v>
      </c>
      <c r="H7567" t="s">
        <v>243</v>
      </c>
      <c r="I7567">
        <v>330.81</v>
      </c>
      <c r="J7567" s="8"/>
      <c r="K7567" s="90">
        <f t="shared" si="465"/>
        <v>6601</v>
      </c>
      <c r="L7567" s="8">
        <v>6601</v>
      </c>
      <c r="M7567" s="91">
        <f t="shared" si="464"/>
        <v>5.0115134070595362</v>
      </c>
    </row>
    <row r="7568" spans="1:13" hidden="1" x14ac:dyDescent="0.3">
      <c r="A7568" s="9">
        <v>1848</v>
      </c>
      <c r="B7568" t="s">
        <v>240</v>
      </c>
      <c r="C7568" s="25">
        <v>44645</v>
      </c>
      <c r="D7568" s="26">
        <v>0.72064814814814815</v>
      </c>
      <c r="E7568" t="s">
        <v>26</v>
      </c>
      <c r="F7568" t="s">
        <v>353</v>
      </c>
      <c r="G7568" t="s">
        <v>354</v>
      </c>
      <c r="H7568" t="s">
        <v>243</v>
      </c>
      <c r="I7568">
        <v>100.01</v>
      </c>
      <c r="J7568" s="8"/>
      <c r="K7568" s="90">
        <f t="shared" si="465"/>
        <v>25000</v>
      </c>
      <c r="L7568" s="8">
        <v>25000</v>
      </c>
      <c r="M7568" s="119">
        <f t="shared" si="464"/>
        <v>0.40004000000000001</v>
      </c>
    </row>
    <row r="7569" spans="1:13" hidden="1" x14ac:dyDescent="0.3">
      <c r="A7569" s="9">
        <v>1849</v>
      </c>
      <c r="B7569" t="s">
        <v>240</v>
      </c>
      <c r="C7569" s="25">
        <v>44648</v>
      </c>
      <c r="D7569" s="26">
        <v>0.41347222222222224</v>
      </c>
      <c r="E7569" t="s">
        <v>26</v>
      </c>
      <c r="F7569" t="s">
        <v>226</v>
      </c>
      <c r="G7569" t="s">
        <v>227</v>
      </c>
      <c r="H7569" t="s">
        <v>243</v>
      </c>
      <c r="I7569">
        <v>300</v>
      </c>
      <c r="J7569" s="8"/>
      <c r="K7569" s="97">
        <f t="shared" si="465"/>
        <v>9998</v>
      </c>
      <c r="L7569" s="44">
        <v>9998</v>
      </c>
      <c r="M7569" s="91">
        <f t="shared" si="464"/>
        <v>3.0006001200240049</v>
      </c>
    </row>
    <row r="7570" spans="1:13" hidden="1" x14ac:dyDescent="0.3">
      <c r="A7570" s="9">
        <v>1850</v>
      </c>
      <c r="B7570" t="s">
        <v>240</v>
      </c>
      <c r="C7570" s="25">
        <v>44648</v>
      </c>
      <c r="D7570" s="26">
        <v>0.82180555555555557</v>
      </c>
      <c r="E7570" t="s">
        <v>26</v>
      </c>
      <c r="F7570" t="s">
        <v>234</v>
      </c>
      <c r="G7570" t="s">
        <v>235</v>
      </c>
      <c r="H7570" t="s">
        <v>243</v>
      </c>
      <c r="I7570">
        <v>131.69999999999999</v>
      </c>
      <c r="J7570" s="8"/>
      <c r="K7570" s="90">
        <f t="shared" si="465"/>
        <v>91218</v>
      </c>
      <c r="L7570" s="8">
        <v>91218</v>
      </c>
      <c r="M7570" s="91">
        <f t="shared" si="464"/>
        <v>0.14437939880286785</v>
      </c>
    </row>
    <row r="7571" spans="1:13" hidden="1" x14ac:dyDescent="0.3">
      <c r="A7571" s="9">
        <v>1851</v>
      </c>
      <c r="B7571" t="s">
        <v>240</v>
      </c>
      <c r="C7571" s="25">
        <v>44649</v>
      </c>
      <c r="D7571" s="26">
        <v>0.57384259259259263</v>
      </c>
      <c r="E7571" t="s">
        <v>26</v>
      </c>
      <c r="F7571" t="s">
        <v>291</v>
      </c>
      <c r="G7571" t="s">
        <v>515</v>
      </c>
      <c r="H7571" t="s">
        <v>243</v>
      </c>
      <c r="I7571">
        <v>200</v>
      </c>
      <c r="J7571" s="8"/>
      <c r="K7571" s="90">
        <f t="shared" si="465"/>
        <v>10000</v>
      </c>
      <c r="L7571" s="8">
        <v>10000</v>
      </c>
      <c r="M7571" s="91">
        <f t="shared" si="464"/>
        <v>2</v>
      </c>
    </row>
    <row r="7572" spans="1:13" hidden="1" x14ac:dyDescent="0.3">
      <c r="A7572" s="9">
        <v>1852</v>
      </c>
      <c r="B7572" t="s">
        <v>240</v>
      </c>
      <c r="C7572" s="25">
        <v>44650</v>
      </c>
      <c r="D7572" s="26">
        <v>0.61100694444444448</v>
      </c>
      <c r="E7572" t="s">
        <v>26</v>
      </c>
      <c r="F7572" t="s">
        <v>524</v>
      </c>
      <c r="G7572" t="s">
        <v>525</v>
      </c>
      <c r="H7572" t="s">
        <v>243</v>
      </c>
      <c r="I7572">
        <v>150</v>
      </c>
      <c r="J7572" s="8"/>
      <c r="K7572" s="97">
        <f t="shared" si="465"/>
        <v>1234</v>
      </c>
      <c r="L7572" s="44">
        <v>1234</v>
      </c>
      <c r="M7572" s="36">
        <f t="shared" si="464"/>
        <v>12.155591572123177</v>
      </c>
    </row>
    <row r="7573" spans="1:13" hidden="1" x14ac:dyDescent="0.3">
      <c r="A7573" s="9">
        <v>1853</v>
      </c>
      <c r="B7573" t="s">
        <v>240</v>
      </c>
      <c r="C7573" s="25">
        <v>44650</v>
      </c>
      <c r="D7573" s="26">
        <v>0.77581018518518519</v>
      </c>
      <c r="E7573" t="s">
        <v>26</v>
      </c>
      <c r="F7573" t="s">
        <v>291</v>
      </c>
      <c r="G7573" t="s">
        <v>514</v>
      </c>
      <c r="H7573" t="s">
        <v>243</v>
      </c>
      <c r="I7573">
        <v>142.1</v>
      </c>
      <c r="J7573" s="8"/>
      <c r="K7573" s="90">
        <f t="shared" si="465"/>
        <v>1243</v>
      </c>
      <c r="L7573" s="8">
        <v>1243</v>
      </c>
      <c r="M7573" s="91">
        <f t="shared" si="464"/>
        <v>11.432019308125502</v>
      </c>
    </row>
    <row r="7574" spans="1:13" hidden="1" x14ac:dyDescent="0.3">
      <c r="A7574" s="9">
        <v>1854</v>
      </c>
      <c r="B7574" t="s">
        <v>240</v>
      </c>
      <c r="C7574" s="25">
        <v>44651</v>
      </c>
      <c r="D7574" s="26">
        <v>1.0694444444444444E-2</v>
      </c>
      <c r="E7574" t="s">
        <v>26</v>
      </c>
      <c r="F7574" t="s">
        <v>226</v>
      </c>
      <c r="G7574" t="s">
        <v>227</v>
      </c>
      <c r="H7574" t="s">
        <v>243</v>
      </c>
      <c r="I7574">
        <v>254.28</v>
      </c>
      <c r="J7574" s="8"/>
      <c r="K7574" s="90">
        <f t="shared" si="465"/>
        <v>885996</v>
      </c>
      <c r="L7574" s="8">
        <v>885996</v>
      </c>
      <c r="M7574" s="91">
        <f t="shared" si="464"/>
        <v>2.8699903837037639E-2</v>
      </c>
    </row>
    <row r="7575" spans="1:13" hidden="1" x14ac:dyDescent="0.3">
      <c r="A7575" s="9">
        <v>3078</v>
      </c>
      <c r="B7575" t="s">
        <v>240</v>
      </c>
      <c r="C7575" s="25">
        <v>44652</v>
      </c>
      <c r="D7575" s="26">
        <v>0.84984953703703703</v>
      </c>
      <c r="E7575" t="s">
        <v>27</v>
      </c>
      <c r="F7575" t="s">
        <v>419</v>
      </c>
      <c r="G7575" t="s">
        <v>238</v>
      </c>
      <c r="H7575" t="s">
        <v>243</v>
      </c>
      <c r="I7575" s="4">
        <v>305.16000000000003</v>
      </c>
      <c r="J7575" s="49"/>
      <c r="K7575" s="90">
        <f t="shared" si="465"/>
        <v>8889</v>
      </c>
      <c r="L7575" s="48">
        <v>8889</v>
      </c>
      <c r="M7575" s="91">
        <f t="shared" si="464"/>
        <v>3.4330070874114078</v>
      </c>
    </row>
    <row r="7576" spans="1:13" hidden="1" x14ac:dyDescent="0.3">
      <c r="A7576" s="9">
        <v>3079</v>
      </c>
      <c r="B7576" t="s">
        <v>240</v>
      </c>
      <c r="C7576" s="25">
        <v>44654</v>
      </c>
      <c r="D7576" s="26">
        <v>0.63103009259259257</v>
      </c>
      <c r="E7576" t="s">
        <v>27</v>
      </c>
      <c r="F7576" t="s">
        <v>296</v>
      </c>
      <c r="G7576" t="s">
        <v>297</v>
      </c>
      <c r="H7576" t="s">
        <v>243</v>
      </c>
      <c r="I7576" s="4">
        <v>150</v>
      </c>
      <c r="J7576" s="23"/>
      <c r="K7576" s="97">
        <f t="shared" si="465"/>
        <v>100000</v>
      </c>
      <c r="L7576" s="19">
        <v>100000</v>
      </c>
      <c r="M7576" s="91">
        <f t="shared" si="464"/>
        <v>0.15</v>
      </c>
    </row>
    <row r="7577" spans="1:13" hidden="1" x14ac:dyDescent="0.3">
      <c r="A7577" s="9">
        <v>3080</v>
      </c>
      <c r="B7577" t="s">
        <v>240</v>
      </c>
      <c r="C7577" s="25">
        <v>44654</v>
      </c>
      <c r="D7577" s="26">
        <v>0.78421296296296295</v>
      </c>
      <c r="E7577" t="s">
        <v>27</v>
      </c>
      <c r="F7577" t="s">
        <v>319</v>
      </c>
      <c r="G7577" t="s">
        <v>320</v>
      </c>
      <c r="H7577" t="s">
        <v>243</v>
      </c>
      <c r="I7577" s="4">
        <v>97.07</v>
      </c>
      <c r="J7577" s="23"/>
      <c r="K7577" s="90">
        <f t="shared" si="465"/>
        <v>100000</v>
      </c>
      <c r="L7577" s="19">
        <v>100000</v>
      </c>
      <c r="M7577" s="91">
        <f t="shared" si="464"/>
        <v>9.706999999999999E-2</v>
      </c>
    </row>
    <row r="7578" spans="1:13" hidden="1" x14ac:dyDescent="0.3">
      <c r="A7578" s="9">
        <v>3081</v>
      </c>
      <c r="B7578" t="s">
        <v>240</v>
      </c>
      <c r="C7578" s="25">
        <v>44656</v>
      </c>
      <c r="D7578" s="26">
        <v>0.83277777777777784</v>
      </c>
      <c r="E7578" t="s">
        <v>27</v>
      </c>
      <c r="F7578" t="s">
        <v>319</v>
      </c>
      <c r="G7578" t="s">
        <v>320</v>
      </c>
      <c r="H7578" t="s">
        <v>243</v>
      </c>
      <c r="I7578" s="4">
        <v>340.78</v>
      </c>
      <c r="J7578" s="44"/>
      <c r="K7578" s="90">
        <f t="shared" si="465"/>
        <v>1234</v>
      </c>
      <c r="L7578" s="19">
        <v>1234</v>
      </c>
      <c r="M7578" s="91">
        <f t="shared" si="464"/>
        <v>27.615883306320903</v>
      </c>
    </row>
    <row r="7579" spans="1:13" hidden="1" x14ac:dyDescent="0.3">
      <c r="A7579" s="9">
        <v>6715</v>
      </c>
      <c r="B7579" t="s">
        <v>421</v>
      </c>
      <c r="C7579" s="25">
        <v>44741</v>
      </c>
      <c r="D7579" s="26">
        <v>0.94444444444444453</v>
      </c>
      <c r="E7579" t="s">
        <v>29</v>
      </c>
      <c r="F7579" t="s">
        <v>634</v>
      </c>
      <c r="G7579" t="s">
        <v>211</v>
      </c>
      <c r="H7579" t="s">
        <v>422</v>
      </c>
      <c r="I7579" s="148">
        <v>269.66000000000003</v>
      </c>
      <c r="J7579" s="198">
        <f>270+450+234+234+126+194</f>
        <v>1508</v>
      </c>
      <c r="K7579" s="154">
        <v>573</v>
      </c>
      <c r="L7579" s="154">
        <v>3424</v>
      </c>
      <c r="M7579" s="237">
        <f>+J7579/L7579*100</f>
        <v>44.042056074766357</v>
      </c>
    </row>
    <row r="7580" spans="1:13" hidden="1" x14ac:dyDescent="0.3">
      <c r="B7580" t="s">
        <v>348</v>
      </c>
      <c r="C7580" s="25">
        <v>44773</v>
      </c>
      <c r="D7580" s="26">
        <v>0.92425925925925922</v>
      </c>
      <c r="E7580" t="s">
        <v>30</v>
      </c>
      <c r="F7580" t="s">
        <v>197</v>
      </c>
      <c r="G7580" t="s">
        <v>44</v>
      </c>
      <c r="H7580" t="s">
        <v>204</v>
      </c>
      <c r="I7580" s="160">
        <v>217.7</v>
      </c>
      <c r="J7580" s="8"/>
      <c r="K7580" s="8"/>
      <c r="L7580" s="8"/>
      <c r="M7580" s="254"/>
    </row>
    <row r="7581" spans="1:13" hidden="1" x14ac:dyDescent="0.3">
      <c r="B7581" t="s">
        <v>597</v>
      </c>
      <c r="C7581" s="25">
        <v>44749</v>
      </c>
      <c r="D7581" s="26">
        <v>0.48863425925925924</v>
      </c>
      <c r="E7581" t="s">
        <v>30</v>
      </c>
      <c r="F7581" t="s">
        <v>210</v>
      </c>
      <c r="G7581" t="s">
        <v>211</v>
      </c>
      <c r="H7581" t="s">
        <v>207</v>
      </c>
      <c r="I7581" s="173">
        <v>384.59</v>
      </c>
      <c r="J7581" s="8"/>
      <c r="K7581" s="8"/>
      <c r="L7581" s="8"/>
      <c r="M7581" s="91" t="e">
        <f t="shared" ref="M7581:M7612" si="466">I7581/K7581*100</f>
        <v>#DIV/0!</v>
      </c>
    </row>
    <row r="7582" spans="1:13" hidden="1" x14ac:dyDescent="0.3">
      <c r="A7582" s="9">
        <v>6828</v>
      </c>
      <c r="B7582" t="s">
        <v>597</v>
      </c>
      <c r="C7582" s="25">
        <v>44750</v>
      </c>
      <c r="D7582" s="26">
        <v>0.67443287037037036</v>
      </c>
      <c r="E7582" t="s">
        <v>30</v>
      </c>
      <c r="F7582" t="s">
        <v>775</v>
      </c>
      <c r="G7582" t="s">
        <v>263</v>
      </c>
      <c r="H7582" t="s">
        <v>207</v>
      </c>
      <c r="I7582" s="244">
        <v>200.06</v>
      </c>
      <c r="J7582" s="44"/>
      <c r="K7582" s="44"/>
      <c r="L7582" s="44"/>
      <c r="M7582" s="132" t="e">
        <f t="shared" si="466"/>
        <v>#DIV/0!</v>
      </c>
    </row>
    <row r="7583" spans="1:13" hidden="1" x14ac:dyDescent="0.3">
      <c r="A7583" s="9">
        <v>609</v>
      </c>
      <c r="B7583" t="s">
        <v>421</v>
      </c>
      <c r="C7583" s="25">
        <v>44597</v>
      </c>
      <c r="D7583" s="26">
        <v>0.53266203703703707</v>
      </c>
      <c r="E7583" t="s">
        <v>25</v>
      </c>
      <c r="F7583" t="s">
        <v>175</v>
      </c>
      <c r="G7583" t="s">
        <v>172</v>
      </c>
      <c r="H7583" t="s">
        <v>422</v>
      </c>
      <c r="I7583">
        <v>401.81</v>
      </c>
      <c r="J7583" s="48">
        <v>0</v>
      </c>
      <c r="K7583" s="48">
        <f t="shared" ref="K7583:K7614" si="467">+L7583-J7583</f>
        <v>0</v>
      </c>
      <c r="L7583" s="49"/>
      <c r="M7583" s="132" t="e">
        <f t="shared" si="466"/>
        <v>#DIV/0!</v>
      </c>
    </row>
    <row r="7584" spans="1:13" hidden="1" x14ac:dyDescent="0.3">
      <c r="A7584" s="9">
        <v>610</v>
      </c>
      <c r="B7584" t="s">
        <v>421</v>
      </c>
      <c r="C7584" s="25">
        <v>44598</v>
      </c>
      <c r="D7584" s="26">
        <v>0.37276620370370367</v>
      </c>
      <c r="E7584" t="s">
        <v>25</v>
      </c>
      <c r="F7584" t="s">
        <v>210</v>
      </c>
      <c r="G7584" t="s">
        <v>211</v>
      </c>
      <c r="H7584" t="s">
        <v>422</v>
      </c>
      <c r="I7584">
        <v>299.37</v>
      </c>
      <c r="J7584" s="19">
        <v>0</v>
      </c>
      <c r="K7584" s="19">
        <f t="shared" si="467"/>
        <v>0</v>
      </c>
      <c r="L7584" s="23"/>
      <c r="M7584" s="91" t="e">
        <f t="shared" si="466"/>
        <v>#DIV/0!</v>
      </c>
    </row>
    <row r="7585" spans="1:13" hidden="1" x14ac:dyDescent="0.3">
      <c r="A7585" s="9">
        <v>611</v>
      </c>
      <c r="B7585" t="s">
        <v>421</v>
      </c>
      <c r="C7585" s="25">
        <v>44600</v>
      </c>
      <c r="D7585" s="26">
        <v>0.32085648148148149</v>
      </c>
      <c r="E7585" t="s">
        <v>25</v>
      </c>
      <c r="F7585" t="s">
        <v>210</v>
      </c>
      <c r="G7585" t="s">
        <v>211</v>
      </c>
      <c r="H7585" t="s">
        <v>422</v>
      </c>
      <c r="I7585">
        <f>176.66+282.41</f>
        <v>459.07000000000005</v>
      </c>
      <c r="J7585" s="19">
        <v>0</v>
      </c>
      <c r="K7585" s="19">
        <f t="shared" si="467"/>
        <v>0</v>
      </c>
      <c r="L7585" s="23"/>
      <c r="M7585" s="91" t="e">
        <f t="shared" si="466"/>
        <v>#DIV/0!</v>
      </c>
    </row>
    <row r="7586" spans="1:13" hidden="1" x14ac:dyDescent="0.3">
      <c r="A7586" s="9">
        <v>612</v>
      </c>
      <c r="B7586" t="s">
        <v>421</v>
      </c>
      <c r="C7586" s="25">
        <v>44603</v>
      </c>
      <c r="D7586" s="26">
        <v>0.6005787037037037</v>
      </c>
      <c r="E7586" t="s">
        <v>25</v>
      </c>
      <c r="F7586" t="s">
        <v>210</v>
      </c>
      <c r="G7586" t="s">
        <v>211</v>
      </c>
      <c r="H7586" t="s">
        <v>422</v>
      </c>
      <c r="I7586">
        <v>294.24</v>
      </c>
      <c r="J7586" s="48">
        <v>0</v>
      </c>
      <c r="K7586" s="48">
        <f t="shared" si="467"/>
        <v>0</v>
      </c>
      <c r="L7586" s="48"/>
      <c r="M7586" s="91" t="e">
        <f t="shared" si="466"/>
        <v>#DIV/0!</v>
      </c>
    </row>
    <row r="7587" spans="1:13" hidden="1" x14ac:dyDescent="0.3">
      <c r="A7587" s="9">
        <v>613</v>
      </c>
      <c r="B7587" t="s">
        <v>421</v>
      </c>
      <c r="C7587" s="25">
        <v>44607</v>
      </c>
      <c r="D7587" s="26">
        <v>0.826238425925926</v>
      </c>
      <c r="E7587" t="s">
        <v>25</v>
      </c>
      <c r="F7587" t="s">
        <v>210</v>
      </c>
      <c r="G7587" t="s">
        <v>211</v>
      </c>
      <c r="H7587" t="s">
        <v>422</v>
      </c>
      <c r="I7587">
        <v>283.97000000000003</v>
      </c>
      <c r="J7587" s="19">
        <v>0</v>
      </c>
      <c r="K7587" s="19">
        <f t="shared" si="467"/>
        <v>0</v>
      </c>
      <c r="L7587" s="19"/>
      <c r="M7587" s="91" t="e">
        <f t="shared" si="466"/>
        <v>#DIV/0!</v>
      </c>
    </row>
    <row r="7588" spans="1:13" hidden="1" x14ac:dyDescent="0.3">
      <c r="A7588" s="9">
        <v>614</v>
      </c>
      <c r="B7588" t="s">
        <v>421</v>
      </c>
      <c r="C7588" s="25">
        <v>44610</v>
      </c>
      <c r="D7588" s="26">
        <v>5.4861111111111117E-3</v>
      </c>
      <c r="E7588" t="s">
        <v>25</v>
      </c>
      <c r="F7588" t="s">
        <v>210</v>
      </c>
      <c r="G7588" t="s">
        <v>211</v>
      </c>
      <c r="H7588" t="s">
        <v>422</v>
      </c>
      <c r="I7588">
        <v>455.1</v>
      </c>
      <c r="J7588" s="19">
        <v>0</v>
      </c>
      <c r="K7588" s="19">
        <f t="shared" si="467"/>
        <v>0</v>
      </c>
      <c r="L7588" s="8"/>
      <c r="M7588" s="91" t="e">
        <f t="shared" si="466"/>
        <v>#DIV/0!</v>
      </c>
    </row>
    <row r="7589" spans="1:13" hidden="1" x14ac:dyDescent="0.3">
      <c r="A7589" s="9">
        <v>615</v>
      </c>
      <c r="B7589" t="s">
        <v>421</v>
      </c>
      <c r="C7589" s="25">
        <v>44611</v>
      </c>
      <c r="D7589" s="26">
        <v>0.37001157407407409</v>
      </c>
      <c r="E7589" t="s">
        <v>25</v>
      </c>
      <c r="F7589" t="s">
        <v>175</v>
      </c>
      <c r="G7589" t="s">
        <v>172</v>
      </c>
      <c r="H7589" t="s">
        <v>422</v>
      </c>
      <c r="I7589">
        <v>336.2</v>
      </c>
      <c r="J7589" s="48">
        <v>0</v>
      </c>
      <c r="K7589" s="19">
        <f t="shared" si="467"/>
        <v>0</v>
      </c>
      <c r="L7589" s="8"/>
      <c r="M7589" s="91" t="e">
        <f t="shared" si="466"/>
        <v>#DIV/0!</v>
      </c>
    </row>
    <row r="7590" spans="1:13" hidden="1" x14ac:dyDescent="0.3">
      <c r="A7590" s="9">
        <v>616</v>
      </c>
      <c r="B7590" t="s">
        <v>421</v>
      </c>
      <c r="C7590" s="25">
        <v>44612</v>
      </c>
      <c r="D7590" s="26">
        <v>0.52880787037037036</v>
      </c>
      <c r="E7590" t="s">
        <v>25</v>
      </c>
      <c r="F7590" t="s">
        <v>210</v>
      </c>
      <c r="G7590" t="s">
        <v>211</v>
      </c>
      <c r="H7590" t="s">
        <v>422</v>
      </c>
      <c r="I7590">
        <v>321.76</v>
      </c>
      <c r="J7590" s="19">
        <v>0</v>
      </c>
      <c r="K7590" s="19">
        <f t="shared" si="467"/>
        <v>0</v>
      </c>
      <c r="L7590" s="8"/>
      <c r="M7590" s="91" t="e">
        <f t="shared" si="466"/>
        <v>#DIV/0!</v>
      </c>
    </row>
    <row r="7591" spans="1:13" hidden="1" x14ac:dyDescent="0.3">
      <c r="A7591" s="9">
        <v>617</v>
      </c>
      <c r="B7591" t="s">
        <v>421</v>
      </c>
      <c r="C7591" s="25">
        <v>44613</v>
      </c>
      <c r="D7591" s="26">
        <v>0.9377199074074074</v>
      </c>
      <c r="E7591" t="s">
        <v>25</v>
      </c>
      <c r="F7591" t="s">
        <v>210</v>
      </c>
      <c r="G7591" t="s">
        <v>211</v>
      </c>
      <c r="H7591" t="s">
        <v>422</v>
      </c>
      <c r="I7591">
        <v>417.64</v>
      </c>
      <c r="J7591" s="48">
        <v>0</v>
      </c>
      <c r="K7591" s="19">
        <f t="shared" si="467"/>
        <v>0</v>
      </c>
      <c r="L7591" s="8"/>
      <c r="M7591" s="91" t="e">
        <f t="shared" si="466"/>
        <v>#DIV/0!</v>
      </c>
    </row>
    <row r="7592" spans="1:13" hidden="1" x14ac:dyDescent="0.3">
      <c r="A7592" s="9">
        <v>618</v>
      </c>
      <c r="B7592" t="s">
        <v>421</v>
      </c>
      <c r="C7592" s="25">
        <v>44615</v>
      </c>
      <c r="D7592" s="26">
        <v>0.38149305555555557</v>
      </c>
      <c r="E7592" t="s">
        <v>25</v>
      </c>
      <c r="F7592" t="s">
        <v>428</v>
      </c>
      <c r="G7592" t="s">
        <v>429</v>
      </c>
      <c r="H7592" t="s">
        <v>422</v>
      </c>
      <c r="I7592">
        <v>325.7</v>
      </c>
      <c r="J7592" s="19">
        <v>0</v>
      </c>
      <c r="K7592" s="19">
        <f t="shared" si="467"/>
        <v>0</v>
      </c>
      <c r="L7592" s="8"/>
      <c r="M7592" s="36" t="e">
        <f t="shared" si="466"/>
        <v>#DIV/0!</v>
      </c>
    </row>
    <row r="7593" spans="1:13" hidden="1" x14ac:dyDescent="0.3">
      <c r="A7593" s="9">
        <v>619</v>
      </c>
      <c r="B7593" t="s">
        <v>421</v>
      </c>
      <c r="C7593" s="25">
        <v>44616</v>
      </c>
      <c r="D7593" s="26">
        <v>0.53372685185185187</v>
      </c>
      <c r="E7593" t="s">
        <v>25</v>
      </c>
      <c r="F7593" t="s">
        <v>210</v>
      </c>
      <c r="G7593" t="s">
        <v>211</v>
      </c>
      <c r="H7593" t="s">
        <v>422</v>
      </c>
      <c r="I7593">
        <v>367.72</v>
      </c>
      <c r="J7593" s="19">
        <v>0</v>
      </c>
      <c r="K7593" s="19">
        <f t="shared" si="467"/>
        <v>1211</v>
      </c>
      <c r="L7593" s="8">
        <v>1211</v>
      </c>
      <c r="M7593" s="36">
        <f t="shared" si="466"/>
        <v>30.364987613542528</v>
      </c>
    </row>
    <row r="7594" spans="1:13" hidden="1" x14ac:dyDescent="0.3">
      <c r="A7594" s="9">
        <v>620</v>
      </c>
      <c r="B7594" t="s">
        <v>421</v>
      </c>
      <c r="C7594" s="25">
        <v>44616</v>
      </c>
      <c r="D7594" s="26">
        <v>0.53372685185185187</v>
      </c>
      <c r="E7594" t="s">
        <v>25</v>
      </c>
      <c r="F7594" t="s">
        <v>210</v>
      </c>
      <c r="G7594" t="s">
        <v>211</v>
      </c>
      <c r="H7594" t="s">
        <v>422</v>
      </c>
      <c r="I7594">
        <v>367.72</v>
      </c>
      <c r="J7594" s="19">
        <v>0</v>
      </c>
      <c r="K7594" s="48">
        <f t="shared" si="467"/>
        <v>1211</v>
      </c>
      <c r="L7594" s="44">
        <v>1211</v>
      </c>
      <c r="M7594" s="91">
        <f t="shared" si="466"/>
        <v>30.364987613542528</v>
      </c>
    </row>
    <row r="7595" spans="1:13" hidden="1" x14ac:dyDescent="0.3">
      <c r="A7595" s="9">
        <v>621</v>
      </c>
      <c r="B7595" t="s">
        <v>421</v>
      </c>
      <c r="C7595" s="25">
        <v>44617</v>
      </c>
      <c r="D7595" s="26">
        <v>0.74471064814814814</v>
      </c>
      <c r="E7595" t="s">
        <v>25</v>
      </c>
      <c r="F7595" t="s">
        <v>210</v>
      </c>
      <c r="G7595" t="s">
        <v>211</v>
      </c>
      <c r="H7595" t="s">
        <v>422</v>
      </c>
      <c r="I7595">
        <v>406.71</v>
      </c>
      <c r="J7595" s="19">
        <v>0</v>
      </c>
      <c r="K7595" s="19">
        <f t="shared" si="467"/>
        <v>6467</v>
      </c>
      <c r="L7595" s="8">
        <v>6467</v>
      </c>
      <c r="M7595" s="91">
        <f t="shared" si="466"/>
        <v>6.2890057213545694</v>
      </c>
    </row>
    <row r="7596" spans="1:13" hidden="1" x14ac:dyDescent="0.3">
      <c r="A7596" s="9">
        <v>622</v>
      </c>
      <c r="B7596" t="s">
        <v>421</v>
      </c>
      <c r="C7596" s="25">
        <v>44619</v>
      </c>
      <c r="D7596" s="26">
        <v>0.43030092592592589</v>
      </c>
      <c r="E7596" t="s">
        <v>25</v>
      </c>
      <c r="F7596" t="s">
        <v>175</v>
      </c>
      <c r="G7596" t="s">
        <v>172</v>
      </c>
      <c r="H7596" t="s">
        <v>422</v>
      </c>
      <c r="I7596">
        <v>366.05</v>
      </c>
      <c r="J7596" s="19">
        <v>0</v>
      </c>
      <c r="K7596" s="19">
        <f t="shared" si="467"/>
        <v>326598</v>
      </c>
      <c r="L7596" s="8">
        <v>326598</v>
      </c>
      <c r="M7596" s="91">
        <f t="shared" si="466"/>
        <v>0.11207968205561578</v>
      </c>
    </row>
    <row r="7597" spans="1:13" hidden="1" x14ac:dyDescent="0.3">
      <c r="A7597" s="9">
        <v>623</v>
      </c>
      <c r="B7597" t="s">
        <v>421</v>
      </c>
      <c r="C7597" s="25">
        <v>44619</v>
      </c>
      <c r="D7597" s="26">
        <v>0.98586805555555557</v>
      </c>
      <c r="E7597" t="s">
        <v>25</v>
      </c>
      <c r="F7597" t="s">
        <v>210</v>
      </c>
      <c r="G7597" t="s">
        <v>211</v>
      </c>
      <c r="H7597" t="s">
        <v>422</v>
      </c>
      <c r="I7597">
        <v>284.47000000000003</v>
      </c>
      <c r="J7597" s="19">
        <v>0</v>
      </c>
      <c r="K7597" s="19">
        <f t="shared" si="467"/>
        <v>646723</v>
      </c>
      <c r="L7597" s="8">
        <v>646723</v>
      </c>
      <c r="M7597" s="91">
        <f t="shared" si="466"/>
        <v>4.3986374382850156E-2</v>
      </c>
    </row>
    <row r="7598" spans="1:13" hidden="1" x14ac:dyDescent="0.3">
      <c r="A7598" s="9">
        <v>1671</v>
      </c>
      <c r="B7598" t="s">
        <v>421</v>
      </c>
      <c r="C7598" s="25">
        <v>44621</v>
      </c>
      <c r="D7598" s="26">
        <v>0.92489583333333336</v>
      </c>
      <c r="E7598" t="s">
        <v>26</v>
      </c>
      <c r="F7598" t="s">
        <v>210</v>
      </c>
      <c r="G7598" t="s">
        <v>211</v>
      </c>
      <c r="H7598" t="s">
        <v>422</v>
      </c>
      <c r="I7598">
        <v>452.07</v>
      </c>
      <c r="J7598" s="19">
        <v>0</v>
      </c>
      <c r="K7598" s="90">
        <f t="shared" si="467"/>
        <v>6467</v>
      </c>
      <c r="L7598" s="8">
        <v>6467</v>
      </c>
      <c r="M7598" s="91">
        <f t="shared" si="466"/>
        <v>6.9904128653162196</v>
      </c>
    </row>
    <row r="7599" spans="1:13" hidden="1" x14ac:dyDescent="0.3">
      <c r="A7599" s="9">
        <v>1672</v>
      </c>
      <c r="B7599" t="s">
        <v>421</v>
      </c>
      <c r="C7599" s="25">
        <v>44623</v>
      </c>
      <c r="D7599" s="26">
        <v>0.8314583333333333</v>
      </c>
      <c r="E7599" t="s">
        <v>26</v>
      </c>
      <c r="F7599" t="s">
        <v>175</v>
      </c>
      <c r="G7599" t="s">
        <v>172</v>
      </c>
      <c r="H7599" t="s">
        <v>422</v>
      </c>
      <c r="I7599">
        <v>349.15</v>
      </c>
      <c r="J7599" s="48">
        <v>0</v>
      </c>
      <c r="K7599" s="97">
        <f t="shared" si="467"/>
        <v>1472</v>
      </c>
      <c r="L7599" s="23">
        <v>1472</v>
      </c>
      <c r="M7599" s="91">
        <f t="shared" si="466"/>
        <v>23.719429347826086</v>
      </c>
    </row>
    <row r="7600" spans="1:13" hidden="1" x14ac:dyDescent="0.3">
      <c r="A7600" s="9">
        <v>1673</v>
      </c>
      <c r="B7600" t="s">
        <v>421</v>
      </c>
      <c r="C7600" s="25">
        <v>44624</v>
      </c>
      <c r="D7600" s="26">
        <v>0.94611111111111112</v>
      </c>
      <c r="E7600" t="s">
        <v>26</v>
      </c>
      <c r="F7600" t="s">
        <v>210</v>
      </c>
      <c r="G7600" t="s">
        <v>211</v>
      </c>
      <c r="H7600" t="s">
        <v>422</v>
      </c>
      <c r="I7600">
        <v>315.05</v>
      </c>
      <c r="J7600" s="19">
        <v>0</v>
      </c>
      <c r="K7600" s="97">
        <f t="shared" si="467"/>
        <v>6467</v>
      </c>
      <c r="L7600" s="44">
        <v>6467</v>
      </c>
      <c r="M7600" s="91">
        <f t="shared" si="466"/>
        <v>4.8716561002010206</v>
      </c>
    </row>
    <row r="7601" spans="1:13" hidden="1" x14ac:dyDescent="0.3">
      <c r="A7601" s="9">
        <v>1674</v>
      </c>
      <c r="B7601" t="s">
        <v>421</v>
      </c>
      <c r="C7601" s="25">
        <v>44626</v>
      </c>
      <c r="D7601" s="26">
        <v>0.43582175925925926</v>
      </c>
      <c r="E7601" t="s">
        <v>26</v>
      </c>
      <c r="F7601" t="s">
        <v>210</v>
      </c>
      <c r="G7601" t="s">
        <v>211</v>
      </c>
      <c r="H7601" t="s">
        <v>422</v>
      </c>
      <c r="I7601">
        <v>411.99</v>
      </c>
      <c r="J7601" s="19">
        <v>0</v>
      </c>
      <c r="K7601" s="90">
        <f t="shared" si="467"/>
        <v>646713</v>
      </c>
      <c r="L7601" s="8">
        <v>646713</v>
      </c>
      <c r="M7601" s="91">
        <f t="shared" si="466"/>
        <v>6.3705229367586547E-2</v>
      </c>
    </row>
    <row r="7602" spans="1:13" hidden="1" x14ac:dyDescent="0.3">
      <c r="A7602" s="9">
        <v>1675</v>
      </c>
      <c r="B7602" t="s">
        <v>421</v>
      </c>
      <c r="C7602" s="25">
        <v>44627</v>
      </c>
      <c r="D7602" s="26">
        <v>0.74490740740740735</v>
      </c>
      <c r="E7602" t="s">
        <v>26</v>
      </c>
      <c r="F7602" t="s">
        <v>175</v>
      </c>
      <c r="G7602" t="s">
        <v>172</v>
      </c>
      <c r="H7602" t="s">
        <v>422</v>
      </c>
      <c r="I7602">
        <v>310.54000000000002</v>
      </c>
      <c r="J7602" s="19">
        <v>0</v>
      </c>
      <c r="K7602" s="90">
        <f t="shared" si="467"/>
        <v>800000</v>
      </c>
      <c r="L7602" s="8">
        <v>800000</v>
      </c>
      <c r="M7602" s="91">
        <f t="shared" si="466"/>
        <v>3.8817500000000005E-2</v>
      </c>
    </row>
    <row r="7603" spans="1:13" hidden="1" x14ac:dyDescent="0.3">
      <c r="A7603" s="9">
        <v>1676</v>
      </c>
      <c r="B7603" t="s">
        <v>421</v>
      </c>
      <c r="C7603" s="25">
        <v>44635</v>
      </c>
      <c r="D7603" s="26">
        <v>0.45646990740740739</v>
      </c>
      <c r="E7603" t="s">
        <v>26</v>
      </c>
      <c r="F7603" t="s">
        <v>210</v>
      </c>
      <c r="G7603" t="s">
        <v>211</v>
      </c>
      <c r="H7603" t="s">
        <v>422</v>
      </c>
      <c r="I7603">
        <v>361.98</v>
      </c>
      <c r="J7603" s="19">
        <v>0</v>
      </c>
      <c r="K7603" s="90">
        <f t="shared" si="467"/>
        <v>0</v>
      </c>
      <c r="L7603" s="8"/>
      <c r="M7603" s="91" t="e">
        <f t="shared" si="466"/>
        <v>#DIV/0!</v>
      </c>
    </row>
    <row r="7604" spans="1:13" hidden="1" x14ac:dyDescent="0.3">
      <c r="A7604" s="9">
        <v>1677</v>
      </c>
      <c r="B7604" t="s">
        <v>421</v>
      </c>
      <c r="C7604" s="25">
        <v>44637</v>
      </c>
      <c r="D7604" s="26">
        <v>5.2905092592592594E-2</v>
      </c>
      <c r="E7604" t="s">
        <v>26</v>
      </c>
      <c r="F7604" t="s">
        <v>210</v>
      </c>
      <c r="G7604" t="s">
        <v>211</v>
      </c>
      <c r="H7604" t="s">
        <v>422</v>
      </c>
      <c r="I7604">
        <v>378.65</v>
      </c>
      <c r="J7604" s="32">
        <v>0</v>
      </c>
      <c r="K7604" s="90">
        <f t="shared" si="467"/>
        <v>969.74</v>
      </c>
      <c r="L7604" s="42">
        <v>969.74</v>
      </c>
      <c r="M7604" s="91">
        <f t="shared" si="466"/>
        <v>39.046548559407675</v>
      </c>
    </row>
    <row r="7605" spans="1:13" hidden="1" x14ac:dyDescent="0.3">
      <c r="A7605" s="9">
        <v>1678</v>
      </c>
      <c r="B7605" t="s">
        <v>421</v>
      </c>
      <c r="C7605" s="25">
        <v>44638</v>
      </c>
      <c r="D7605" s="26">
        <v>0.50144675925925919</v>
      </c>
      <c r="E7605" t="s">
        <v>26</v>
      </c>
      <c r="F7605" t="s">
        <v>428</v>
      </c>
      <c r="G7605" t="s">
        <v>429</v>
      </c>
      <c r="H7605" t="s">
        <v>422</v>
      </c>
      <c r="I7605">
        <v>350.25</v>
      </c>
      <c r="J7605" s="32">
        <v>0</v>
      </c>
      <c r="K7605" s="90">
        <f t="shared" si="467"/>
        <v>941.88</v>
      </c>
      <c r="L7605" s="32">
        <v>941.88</v>
      </c>
      <c r="M7605" s="91">
        <f t="shared" si="466"/>
        <v>37.186265766339659</v>
      </c>
    </row>
    <row r="7606" spans="1:13" hidden="1" x14ac:dyDescent="0.3">
      <c r="A7606" s="9">
        <v>1679</v>
      </c>
      <c r="B7606" t="s">
        <v>421</v>
      </c>
      <c r="C7606" s="25">
        <v>44639</v>
      </c>
      <c r="D7606" s="26">
        <v>0.4755092592592593</v>
      </c>
      <c r="E7606" t="s">
        <v>26</v>
      </c>
      <c r="F7606" t="s">
        <v>175</v>
      </c>
      <c r="G7606" t="s">
        <v>172</v>
      </c>
      <c r="H7606" t="s">
        <v>422</v>
      </c>
      <c r="I7606">
        <v>168.81</v>
      </c>
      <c r="J7606" s="32">
        <v>0</v>
      </c>
      <c r="K7606" s="90">
        <f t="shared" si="467"/>
        <v>225.29</v>
      </c>
      <c r="L7606" s="32">
        <v>225.29</v>
      </c>
      <c r="M7606" s="133">
        <f t="shared" si="466"/>
        <v>74.930090106085487</v>
      </c>
    </row>
    <row r="7607" spans="1:13" hidden="1" x14ac:dyDescent="0.3">
      <c r="A7607" s="9">
        <v>1680</v>
      </c>
      <c r="B7607" t="s">
        <v>421</v>
      </c>
      <c r="C7607" s="25">
        <v>44641</v>
      </c>
      <c r="D7607" s="26">
        <v>0.68965277777777778</v>
      </c>
      <c r="E7607" t="s">
        <v>26</v>
      </c>
      <c r="F7607" t="s">
        <v>311</v>
      </c>
      <c r="G7607" t="s">
        <v>303</v>
      </c>
      <c r="H7607" t="s">
        <v>422</v>
      </c>
      <c r="I7607">
        <v>176.21</v>
      </c>
      <c r="J7607" s="32">
        <v>0</v>
      </c>
      <c r="K7607" s="97">
        <f t="shared" si="467"/>
        <v>457.39</v>
      </c>
      <c r="L7607" s="32">
        <v>457.39</v>
      </c>
      <c r="M7607" s="119">
        <f t="shared" si="466"/>
        <v>38.525109862480598</v>
      </c>
    </row>
    <row r="7608" spans="1:13" ht="21.75" hidden="1" customHeight="1" x14ac:dyDescent="0.3">
      <c r="A7608" s="9">
        <v>1681</v>
      </c>
      <c r="B7608" t="s">
        <v>421</v>
      </c>
      <c r="C7608" s="25">
        <v>44641</v>
      </c>
      <c r="D7608" s="26">
        <v>0.93692129629629628</v>
      </c>
      <c r="E7608" t="s">
        <v>26</v>
      </c>
      <c r="F7608" t="s">
        <v>210</v>
      </c>
      <c r="G7608" t="s">
        <v>211</v>
      </c>
      <c r="H7608" t="s">
        <v>422</v>
      </c>
      <c r="I7608">
        <v>165.75</v>
      </c>
      <c r="J7608" s="32">
        <v>0</v>
      </c>
      <c r="K7608" s="97">
        <f t="shared" si="467"/>
        <v>430.74</v>
      </c>
      <c r="L7608" s="37">
        <v>430.74</v>
      </c>
      <c r="M7608" s="91">
        <f t="shared" si="466"/>
        <v>38.480289733946229</v>
      </c>
    </row>
    <row r="7609" spans="1:13" hidden="1" x14ac:dyDescent="0.3">
      <c r="A7609" s="9">
        <v>1682</v>
      </c>
      <c r="B7609" t="s">
        <v>421</v>
      </c>
      <c r="C7609" s="25">
        <v>44643</v>
      </c>
      <c r="D7609" s="26">
        <v>0.39925925925925926</v>
      </c>
      <c r="E7609" t="s">
        <v>26</v>
      </c>
      <c r="F7609" t="s">
        <v>346</v>
      </c>
      <c r="G7609" t="s">
        <v>203</v>
      </c>
      <c r="H7609" t="s">
        <v>422</v>
      </c>
      <c r="I7609">
        <v>394.92</v>
      </c>
      <c r="J7609" s="32">
        <v>0</v>
      </c>
      <c r="K7609" s="90">
        <f t="shared" si="467"/>
        <v>1077.8699999999999</v>
      </c>
      <c r="L7609" s="32">
        <v>1077.8699999999999</v>
      </c>
      <c r="M7609" s="91">
        <f t="shared" si="466"/>
        <v>36.63892677224527</v>
      </c>
    </row>
    <row r="7610" spans="1:13" hidden="1" x14ac:dyDescent="0.3">
      <c r="A7610" s="9">
        <v>1683</v>
      </c>
      <c r="B7610" t="s">
        <v>421</v>
      </c>
      <c r="C7610" s="25">
        <v>44644</v>
      </c>
      <c r="D7610" s="26">
        <v>0.8165162037037037</v>
      </c>
      <c r="E7610" t="s">
        <v>26</v>
      </c>
      <c r="F7610" t="s">
        <v>165</v>
      </c>
      <c r="G7610" t="s">
        <v>185</v>
      </c>
      <c r="H7610" t="s">
        <v>422</v>
      </c>
      <c r="I7610">
        <v>441.99</v>
      </c>
      <c r="J7610" s="37">
        <v>0</v>
      </c>
      <c r="K7610" s="90">
        <f t="shared" si="467"/>
        <v>1088.93</v>
      </c>
      <c r="L7610" s="32">
        <v>1088.93</v>
      </c>
      <c r="M7610" s="91">
        <f t="shared" si="466"/>
        <v>40.589385910940095</v>
      </c>
    </row>
    <row r="7611" spans="1:13" hidden="1" x14ac:dyDescent="0.3">
      <c r="A7611" s="9">
        <v>1684</v>
      </c>
      <c r="B7611" t="s">
        <v>421</v>
      </c>
      <c r="C7611" s="25">
        <v>44645</v>
      </c>
      <c r="D7611" s="26">
        <v>0.81427083333333339</v>
      </c>
      <c r="E7611" t="s">
        <v>26</v>
      </c>
      <c r="F7611" t="s">
        <v>169</v>
      </c>
      <c r="G7611" t="s">
        <v>196</v>
      </c>
      <c r="H7611" t="s">
        <v>422</v>
      </c>
      <c r="I7611">
        <v>316.85000000000002</v>
      </c>
      <c r="J7611" s="32">
        <v>0</v>
      </c>
      <c r="K7611" s="90">
        <f t="shared" si="467"/>
        <v>1002.85</v>
      </c>
      <c r="L7611" s="32">
        <v>1002.85</v>
      </c>
      <c r="M7611" s="91">
        <f t="shared" si="466"/>
        <v>31.594954380016954</v>
      </c>
    </row>
    <row r="7612" spans="1:13" hidden="1" x14ac:dyDescent="0.3">
      <c r="A7612" s="9">
        <v>1685</v>
      </c>
      <c r="B7612" t="s">
        <v>421</v>
      </c>
      <c r="C7612" s="25">
        <v>44646</v>
      </c>
      <c r="D7612" s="26">
        <v>0.79040509259259262</v>
      </c>
      <c r="E7612" t="s">
        <v>26</v>
      </c>
      <c r="F7612" t="s">
        <v>175</v>
      </c>
      <c r="G7612" t="s">
        <v>172</v>
      </c>
      <c r="H7612" t="s">
        <v>422</v>
      </c>
      <c r="I7612">
        <v>178.01</v>
      </c>
      <c r="J7612" s="32">
        <v>0</v>
      </c>
      <c r="K7612" s="90">
        <f t="shared" si="467"/>
        <v>499.85</v>
      </c>
      <c r="L7612" s="32">
        <v>499.85</v>
      </c>
      <c r="M7612" s="132">
        <f t="shared" si="466"/>
        <v>35.612683805141536</v>
      </c>
    </row>
    <row r="7613" spans="1:13" hidden="1" x14ac:dyDescent="0.3">
      <c r="A7613" s="9">
        <v>1686</v>
      </c>
      <c r="B7613" t="s">
        <v>421</v>
      </c>
      <c r="C7613" s="25">
        <v>44646</v>
      </c>
      <c r="D7613" s="26">
        <v>0.79886574074074079</v>
      </c>
      <c r="E7613" t="s">
        <v>26</v>
      </c>
      <c r="F7613" t="s">
        <v>175</v>
      </c>
      <c r="G7613" t="s">
        <v>172</v>
      </c>
      <c r="H7613" t="s">
        <v>422</v>
      </c>
      <c r="I7613">
        <v>60</v>
      </c>
      <c r="J7613" s="32">
        <v>0</v>
      </c>
      <c r="K7613" s="90">
        <f t="shared" si="467"/>
        <v>182</v>
      </c>
      <c r="L7613" s="32">
        <v>182</v>
      </c>
      <c r="M7613" s="91">
        <f t="shared" ref="M7613:M7644" si="468">I7613/K7613*100</f>
        <v>32.967032967032964</v>
      </c>
    </row>
    <row r="7614" spans="1:13" hidden="1" x14ac:dyDescent="0.3">
      <c r="A7614" s="9">
        <v>1687</v>
      </c>
      <c r="B7614" t="s">
        <v>421</v>
      </c>
      <c r="C7614" s="25">
        <v>44648</v>
      </c>
      <c r="D7614" s="26">
        <v>0.70248842592592586</v>
      </c>
      <c r="E7614" t="s">
        <v>26</v>
      </c>
      <c r="F7614" t="s">
        <v>311</v>
      </c>
      <c r="G7614" t="s">
        <v>303</v>
      </c>
      <c r="H7614" t="s">
        <v>422</v>
      </c>
      <c r="I7614">
        <v>176.54</v>
      </c>
      <c r="J7614" s="32">
        <v>0</v>
      </c>
      <c r="K7614" s="90">
        <f t="shared" si="467"/>
        <v>414.62</v>
      </c>
      <c r="L7614" s="32">
        <v>414.62</v>
      </c>
      <c r="M7614" s="91">
        <f t="shared" si="468"/>
        <v>42.578746804302732</v>
      </c>
    </row>
    <row r="7615" spans="1:13" hidden="1" x14ac:dyDescent="0.3">
      <c r="A7615" s="9">
        <v>1688</v>
      </c>
      <c r="B7615" t="s">
        <v>421</v>
      </c>
      <c r="C7615" s="25">
        <v>44649</v>
      </c>
      <c r="D7615" s="26">
        <v>0.39172453703703702</v>
      </c>
      <c r="E7615" t="s">
        <v>26</v>
      </c>
      <c r="F7615" t="s">
        <v>210</v>
      </c>
      <c r="G7615" t="s">
        <v>211</v>
      </c>
      <c r="H7615" t="s">
        <v>422</v>
      </c>
      <c r="I7615">
        <v>175.06</v>
      </c>
      <c r="J7615" s="32">
        <v>0</v>
      </c>
      <c r="K7615" s="90">
        <f t="shared" ref="K7615:K7637" si="469">+L7615-J7615</f>
        <v>430.78</v>
      </c>
      <c r="L7615" s="32">
        <v>430.78</v>
      </c>
      <c r="M7615" s="91">
        <f t="shared" si="468"/>
        <v>40.637912623612984</v>
      </c>
    </row>
    <row r="7616" spans="1:13" hidden="1" x14ac:dyDescent="0.3">
      <c r="A7616" s="9">
        <v>1689</v>
      </c>
      <c r="B7616" t="s">
        <v>421</v>
      </c>
      <c r="C7616" s="25">
        <v>44649</v>
      </c>
      <c r="D7616" s="26">
        <v>0.94525462962962958</v>
      </c>
      <c r="E7616" t="s">
        <v>26</v>
      </c>
      <c r="F7616" t="s">
        <v>165</v>
      </c>
      <c r="G7616" t="s">
        <v>185</v>
      </c>
      <c r="H7616" t="s">
        <v>422</v>
      </c>
      <c r="I7616">
        <v>299.98</v>
      </c>
      <c r="J7616" s="37">
        <v>0</v>
      </c>
      <c r="K7616" s="90">
        <f t="shared" si="469"/>
        <v>548.4</v>
      </c>
      <c r="L7616" s="37">
        <v>548.4</v>
      </c>
      <c r="M7616" s="91">
        <f t="shared" si="468"/>
        <v>54.700948212983228</v>
      </c>
    </row>
    <row r="7617" spans="1:13" hidden="1" x14ac:dyDescent="0.3">
      <c r="A7617" s="9">
        <v>2860</v>
      </c>
      <c r="B7617" t="s">
        <v>421</v>
      </c>
      <c r="C7617" s="25">
        <v>44652</v>
      </c>
      <c r="D7617" s="26">
        <v>0.44387731481481479</v>
      </c>
      <c r="E7617" t="s">
        <v>27</v>
      </c>
      <c r="F7617" t="s">
        <v>169</v>
      </c>
      <c r="G7617" t="s">
        <v>196</v>
      </c>
      <c r="H7617" t="s">
        <v>422</v>
      </c>
      <c r="I7617" s="4">
        <v>268.42</v>
      </c>
      <c r="J7617" s="37">
        <v>0</v>
      </c>
      <c r="K7617" s="97">
        <f t="shared" si="469"/>
        <v>1001.4</v>
      </c>
      <c r="L7617" s="32">
        <v>1001.4</v>
      </c>
      <c r="M7617" s="91">
        <f t="shared" si="468"/>
        <v>26.804473736768525</v>
      </c>
    </row>
    <row r="7618" spans="1:13" hidden="1" x14ac:dyDescent="0.3">
      <c r="A7618" s="9">
        <v>2861</v>
      </c>
      <c r="B7618" t="s">
        <v>421</v>
      </c>
      <c r="C7618" s="25">
        <v>44654</v>
      </c>
      <c r="D7618" s="26">
        <v>0.37231481481481482</v>
      </c>
      <c r="E7618" t="s">
        <v>27</v>
      </c>
      <c r="F7618" t="s">
        <v>366</v>
      </c>
      <c r="G7618" t="s">
        <v>367</v>
      </c>
      <c r="H7618" t="s">
        <v>422</v>
      </c>
      <c r="I7618" s="4">
        <v>503</v>
      </c>
      <c r="J7618" s="32">
        <v>0</v>
      </c>
      <c r="K7618" s="90">
        <f t="shared" si="469"/>
        <v>1131.3</v>
      </c>
      <c r="L7618" s="32">
        <v>1131.3</v>
      </c>
      <c r="M7618" s="91">
        <f t="shared" si="468"/>
        <v>44.462123221073099</v>
      </c>
    </row>
    <row r="7619" spans="1:13" hidden="1" x14ac:dyDescent="0.3">
      <c r="A7619" s="9">
        <v>2862</v>
      </c>
      <c r="B7619" t="s">
        <v>421</v>
      </c>
      <c r="C7619" s="25">
        <v>44654</v>
      </c>
      <c r="D7619" s="26">
        <v>0.93053240740740739</v>
      </c>
      <c r="E7619" t="s">
        <v>27</v>
      </c>
      <c r="F7619" t="s">
        <v>165</v>
      </c>
      <c r="G7619" t="s">
        <v>185</v>
      </c>
      <c r="H7619" t="s">
        <v>422</v>
      </c>
      <c r="I7619" s="4">
        <v>284.93</v>
      </c>
      <c r="J7619" s="38">
        <v>0</v>
      </c>
      <c r="K7619" s="88">
        <f t="shared" si="469"/>
        <v>714.54</v>
      </c>
      <c r="L7619" s="52">
        <v>714.54</v>
      </c>
      <c r="M7619" s="134">
        <f t="shared" si="468"/>
        <v>39.876004142525261</v>
      </c>
    </row>
    <row r="7620" spans="1:13" hidden="1" x14ac:dyDescent="0.3">
      <c r="A7620" s="9">
        <v>2863</v>
      </c>
      <c r="B7620" t="s">
        <v>421</v>
      </c>
      <c r="C7620" s="25">
        <v>44656</v>
      </c>
      <c r="D7620" s="26">
        <v>0.34641203703703699</v>
      </c>
      <c r="E7620" t="s">
        <v>27</v>
      </c>
      <c r="F7620" t="s">
        <v>169</v>
      </c>
      <c r="G7620" t="s">
        <v>196</v>
      </c>
      <c r="H7620" t="s">
        <v>422</v>
      </c>
      <c r="I7620" s="4">
        <v>296.05</v>
      </c>
      <c r="J7620" s="32">
        <v>0</v>
      </c>
      <c r="K7620" s="95">
        <f t="shared" si="469"/>
        <v>1039.21</v>
      </c>
      <c r="L7620" s="32">
        <v>1039.21</v>
      </c>
      <c r="M7620" s="91">
        <f t="shared" si="468"/>
        <v>28.487986066338856</v>
      </c>
    </row>
    <row r="7621" spans="1:13" hidden="1" x14ac:dyDescent="0.3">
      <c r="A7621" s="9">
        <v>2864</v>
      </c>
      <c r="B7621" t="s">
        <v>421</v>
      </c>
      <c r="C7621" s="25">
        <v>44657</v>
      </c>
      <c r="D7621" s="26">
        <v>0.9465972222222222</v>
      </c>
      <c r="E7621" t="s">
        <v>27</v>
      </c>
      <c r="F7621" t="s">
        <v>171</v>
      </c>
      <c r="G7621" t="s">
        <v>172</v>
      </c>
      <c r="H7621" t="s">
        <v>422</v>
      </c>
      <c r="I7621" s="4">
        <v>377.77</v>
      </c>
      <c r="J7621" s="32">
        <v>0</v>
      </c>
      <c r="K7621" s="90">
        <f t="shared" si="469"/>
        <v>1079</v>
      </c>
      <c r="L7621" s="32">
        <v>1079</v>
      </c>
      <c r="M7621" s="119">
        <f t="shared" si="468"/>
        <v>35.011121408711773</v>
      </c>
    </row>
    <row r="7622" spans="1:13" hidden="1" x14ac:dyDescent="0.3">
      <c r="A7622" s="9">
        <v>2865</v>
      </c>
      <c r="B7622" t="s">
        <v>421</v>
      </c>
      <c r="C7622" s="25">
        <v>44665</v>
      </c>
      <c r="D7622" s="26">
        <v>0.81578703703703714</v>
      </c>
      <c r="E7622" t="s">
        <v>27</v>
      </c>
      <c r="F7622" t="s">
        <v>210</v>
      </c>
      <c r="G7622" t="s">
        <v>211</v>
      </c>
      <c r="H7622" t="s">
        <v>422</v>
      </c>
      <c r="I7622" s="4">
        <v>403.46</v>
      </c>
      <c r="J7622" s="32">
        <v>0</v>
      </c>
      <c r="K7622" s="90">
        <f t="shared" si="469"/>
        <v>1106.94</v>
      </c>
      <c r="L7622" s="32">
        <v>1106.94</v>
      </c>
      <c r="M7622" s="91">
        <f t="shared" si="468"/>
        <v>36.448226642817133</v>
      </c>
    </row>
    <row r="7623" spans="1:13" hidden="1" x14ac:dyDescent="0.3">
      <c r="A7623" s="9">
        <v>2866</v>
      </c>
      <c r="B7623" t="s">
        <v>421</v>
      </c>
      <c r="C7623" s="25">
        <v>44666</v>
      </c>
      <c r="D7623" s="26">
        <v>0.68986111111111104</v>
      </c>
      <c r="E7623" t="s">
        <v>27</v>
      </c>
      <c r="F7623" t="s">
        <v>165</v>
      </c>
      <c r="G7623" t="s">
        <v>185</v>
      </c>
      <c r="H7623" t="s">
        <v>422</v>
      </c>
      <c r="I7623" s="4">
        <v>222.17</v>
      </c>
      <c r="J7623" s="32">
        <v>0</v>
      </c>
      <c r="K7623" s="97">
        <f t="shared" si="469"/>
        <v>547</v>
      </c>
      <c r="L7623" s="37">
        <v>547</v>
      </c>
      <c r="M7623" s="36">
        <f t="shared" si="468"/>
        <v>40.616087751371111</v>
      </c>
    </row>
    <row r="7624" spans="1:13" hidden="1" x14ac:dyDescent="0.3">
      <c r="A7624" s="9">
        <v>2867</v>
      </c>
      <c r="B7624" t="s">
        <v>421</v>
      </c>
      <c r="C7624" s="25">
        <v>44667</v>
      </c>
      <c r="D7624" s="26">
        <v>0.77725694444444438</v>
      </c>
      <c r="E7624" t="s">
        <v>27</v>
      </c>
      <c r="F7624" t="s">
        <v>169</v>
      </c>
      <c r="G7624" t="s">
        <v>170</v>
      </c>
      <c r="H7624" t="s">
        <v>422</v>
      </c>
      <c r="I7624" s="4">
        <v>150</v>
      </c>
      <c r="J7624" s="32">
        <v>0</v>
      </c>
      <c r="K7624" s="90">
        <f t="shared" si="469"/>
        <v>1017.37</v>
      </c>
      <c r="L7624" s="32">
        <v>1017.37</v>
      </c>
      <c r="M7624" s="91">
        <f t="shared" si="468"/>
        <v>14.743898483344308</v>
      </c>
    </row>
    <row r="7625" spans="1:13" hidden="1" x14ac:dyDescent="0.3">
      <c r="A7625" s="9">
        <v>2868</v>
      </c>
      <c r="B7625" t="s">
        <v>421</v>
      </c>
      <c r="C7625" s="25">
        <v>44668</v>
      </c>
      <c r="D7625" s="26">
        <v>0.4645023148148148</v>
      </c>
      <c r="E7625" t="s">
        <v>27</v>
      </c>
      <c r="F7625" t="s">
        <v>428</v>
      </c>
      <c r="G7625" t="s">
        <v>429</v>
      </c>
      <c r="H7625" t="s">
        <v>422</v>
      </c>
      <c r="I7625" s="4">
        <v>208</v>
      </c>
      <c r="J7625" s="37">
        <v>0</v>
      </c>
      <c r="K7625" s="97">
        <f t="shared" si="469"/>
        <v>410</v>
      </c>
      <c r="L7625" s="37">
        <v>410</v>
      </c>
      <c r="M7625" s="132">
        <f t="shared" si="468"/>
        <v>50.731707317073173</v>
      </c>
    </row>
    <row r="7626" spans="1:13" hidden="1" x14ac:dyDescent="0.3">
      <c r="A7626" s="9">
        <v>2869</v>
      </c>
      <c r="B7626" t="s">
        <v>421</v>
      </c>
      <c r="C7626" s="25">
        <v>44669</v>
      </c>
      <c r="D7626" s="26">
        <v>0.54329861111111111</v>
      </c>
      <c r="E7626" t="s">
        <v>27</v>
      </c>
      <c r="F7626" t="s">
        <v>175</v>
      </c>
      <c r="G7626" t="s">
        <v>172</v>
      </c>
      <c r="H7626" t="s">
        <v>422</v>
      </c>
      <c r="I7626" s="4">
        <v>187.75</v>
      </c>
      <c r="J7626" s="32">
        <v>0</v>
      </c>
      <c r="K7626" s="90">
        <f t="shared" si="469"/>
        <v>322.33</v>
      </c>
      <c r="L7626" s="32">
        <v>322.33</v>
      </c>
      <c r="M7626" s="91">
        <f t="shared" si="468"/>
        <v>58.247758508361002</v>
      </c>
    </row>
    <row r="7627" spans="1:13" hidden="1" x14ac:dyDescent="0.3">
      <c r="A7627" s="9">
        <v>2870</v>
      </c>
      <c r="B7627" t="s">
        <v>421</v>
      </c>
      <c r="C7627" s="25">
        <v>44669</v>
      </c>
      <c r="D7627" s="26">
        <v>0.94552083333333325</v>
      </c>
      <c r="E7627" t="s">
        <v>27</v>
      </c>
      <c r="F7627" t="s">
        <v>166</v>
      </c>
      <c r="G7627" t="s">
        <v>161</v>
      </c>
      <c r="H7627" t="s">
        <v>422</v>
      </c>
      <c r="I7627" s="4">
        <v>214.2</v>
      </c>
      <c r="J7627" s="37">
        <v>0</v>
      </c>
      <c r="K7627" s="90">
        <f t="shared" si="469"/>
        <v>902.49</v>
      </c>
      <c r="L7627" s="32">
        <v>902.49</v>
      </c>
      <c r="M7627" s="91">
        <f t="shared" si="468"/>
        <v>23.734335006482066</v>
      </c>
    </row>
    <row r="7628" spans="1:13" hidden="1" x14ac:dyDescent="0.3">
      <c r="A7628" s="9">
        <v>2871</v>
      </c>
      <c r="B7628" t="s">
        <v>421</v>
      </c>
      <c r="C7628" s="25">
        <v>44671</v>
      </c>
      <c r="D7628" s="26">
        <v>0.39489583333333328</v>
      </c>
      <c r="E7628" t="s">
        <v>27</v>
      </c>
      <c r="F7628" t="s">
        <v>346</v>
      </c>
      <c r="G7628" t="s">
        <v>203</v>
      </c>
      <c r="H7628" t="s">
        <v>422</v>
      </c>
      <c r="I7628" s="4">
        <v>359.71</v>
      </c>
      <c r="J7628" s="32">
        <v>0</v>
      </c>
      <c r="K7628" s="97">
        <f t="shared" si="469"/>
        <v>1053.44</v>
      </c>
      <c r="L7628" s="37">
        <v>1053.44</v>
      </c>
      <c r="M7628" s="91">
        <f t="shared" si="468"/>
        <v>34.146225698663422</v>
      </c>
    </row>
    <row r="7629" spans="1:13" hidden="1" x14ac:dyDescent="0.3">
      <c r="A7629" s="9">
        <v>2872</v>
      </c>
      <c r="B7629" t="s">
        <v>421</v>
      </c>
      <c r="C7629" s="25">
        <v>44672</v>
      </c>
      <c r="D7629" s="26">
        <v>0.67178240740740736</v>
      </c>
      <c r="E7629" t="s">
        <v>27</v>
      </c>
      <c r="F7629" t="s">
        <v>165</v>
      </c>
      <c r="G7629" t="s">
        <v>185</v>
      </c>
      <c r="H7629" t="s">
        <v>422</v>
      </c>
      <c r="I7629" s="4">
        <v>395</v>
      </c>
      <c r="J7629" s="32">
        <v>0</v>
      </c>
      <c r="K7629" s="90">
        <f t="shared" si="469"/>
        <v>1089</v>
      </c>
      <c r="L7629" s="32">
        <v>1089</v>
      </c>
      <c r="M7629" s="91">
        <f t="shared" si="468"/>
        <v>36.271808999081728</v>
      </c>
    </row>
    <row r="7630" spans="1:13" hidden="1" x14ac:dyDescent="0.3">
      <c r="A7630" s="9">
        <v>2873</v>
      </c>
      <c r="B7630" t="s">
        <v>421</v>
      </c>
      <c r="C7630" s="25">
        <v>44673</v>
      </c>
      <c r="D7630" s="26">
        <v>0.84771990740740744</v>
      </c>
      <c r="E7630" t="s">
        <v>27</v>
      </c>
      <c r="F7630" t="s">
        <v>274</v>
      </c>
      <c r="G7630" t="s">
        <v>495</v>
      </c>
      <c r="H7630" t="s">
        <v>422</v>
      </c>
      <c r="I7630" s="4">
        <v>50.13</v>
      </c>
      <c r="J7630" s="32">
        <v>0</v>
      </c>
      <c r="K7630" s="90">
        <f t="shared" si="469"/>
        <v>1093.6099999999999</v>
      </c>
      <c r="L7630" s="32">
        <v>1093.6099999999999</v>
      </c>
      <c r="M7630" s="91">
        <f t="shared" si="468"/>
        <v>4.5839010250454919</v>
      </c>
    </row>
    <row r="7631" spans="1:13" hidden="1" x14ac:dyDescent="0.3">
      <c r="A7631" s="9">
        <v>2874</v>
      </c>
      <c r="B7631" t="s">
        <v>421</v>
      </c>
      <c r="C7631" s="25">
        <v>44674</v>
      </c>
      <c r="D7631" s="26">
        <v>0.26021990740740741</v>
      </c>
      <c r="E7631" t="s">
        <v>27</v>
      </c>
      <c r="F7631" t="s">
        <v>446</v>
      </c>
      <c r="G7631" t="s">
        <v>402</v>
      </c>
      <c r="H7631" t="s">
        <v>422</v>
      </c>
      <c r="I7631" s="4">
        <v>281.01</v>
      </c>
      <c r="J7631" s="32">
        <v>0</v>
      </c>
      <c r="K7631" s="90">
        <f t="shared" si="469"/>
        <v>90.59</v>
      </c>
      <c r="L7631" s="32">
        <v>90.59</v>
      </c>
      <c r="M7631" s="91">
        <f t="shared" si="468"/>
        <v>310.19980130257198</v>
      </c>
    </row>
    <row r="7632" spans="1:13" hidden="1" x14ac:dyDescent="0.3">
      <c r="A7632" s="9">
        <v>2875</v>
      </c>
      <c r="B7632" t="s">
        <v>421</v>
      </c>
      <c r="C7632" s="25">
        <v>44675</v>
      </c>
      <c r="D7632" s="26">
        <v>0.37334490740740739</v>
      </c>
      <c r="E7632" t="s">
        <v>27</v>
      </c>
      <c r="F7632" t="s">
        <v>311</v>
      </c>
      <c r="G7632" t="s">
        <v>303</v>
      </c>
      <c r="H7632" t="s">
        <v>422</v>
      </c>
      <c r="I7632" s="4">
        <v>264.10000000000002</v>
      </c>
      <c r="J7632" s="32">
        <v>0</v>
      </c>
      <c r="K7632" s="90">
        <f t="shared" si="469"/>
        <v>682.12</v>
      </c>
      <c r="L7632" s="32">
        <v>682.12</v>
      </c>
      <c r="M7632" s="91">
        <f t="shared" si="468"/>
        <v>38.71752770773471</v>
      </c>
    </row>
    <row r="7633" spans="1:13" hidden="1" x14ac:dyDescent="0.3">
      <c r="A7633" s="9">
        <v>2876</v>
      </c>
      <c r="B7633" t="s">
        <v>421</v>
      </c>
      <c r="C7633" s="25">
        <v>44676</v>
      </c>
      <c r="D7633" s="26">
        <v>0.41453703703703698</v>
      </c>
      <c r="E7633" t="s">
        <v>27</v>
      </c>
      <c r="F7633" t="s">
        <v>165</v>
      </c>
      <c r="G7633" t="s">
        <v>185</v>
      </c>
      <c r="H7633" t="s">
        <v>422</v>
      </c>
      <c r="I7633">
        <v>383.87</v>
      </c>
      <c r="J7633" s="32">
        <v>0</v>
      </c>
      <c r="K7633" s="97">
        <f t="shared" si="469"/>
        <v>952.75</v>
      </c>
      <c r="L7633" s="34">
        <v>952.75</v>
      </c>
      <c r="M7633" s="91">
        <f t="shared" si="468"/>
        <v>40.29073733928103</v>
      </c>
    </row>
    <row r="7634" spans="1:13" hidden="1" x14ac:dyDescent="0.3">
      <c r="A7634" s="9">
        <v>2877</v>
      </c>
      <c r="B7634" t="s">
        <v>421</v>
      </c>
      <c r="C7634" s="25">
        <v>44676</v>
      </c>
      <c r="D7634" s="26">
        <v>0.92207175925925933</v>
      </c>
      <c r="E7634" t="s">
        <v>27</v>
      </c>
      <c r="F7634" t="s">
        <v>210</v>
      </c>
      <c r="G7634" t="s">
        <v>211</v>
      </c>
      <c r="H7634" t="s">
        <v>422</v>
      </c>
      <c r="I7634">
        <v>168.16</v>
      </c>
      <c r="J7634" s="32">
        <v>0</v>
      </c>
      <c r="K7634" s="90">
        <f t="shared" si="469"/>
        <v>549.82000000000005</v>
      </c>
      <c r="L7634" s="7">
        <v>549.82000000000005</v>
      </c>
      <c r="M7634" s="91">
        <f t="shared" si="468"/>
        <v>30.584554945254805</v>
      </c>
    </row>
    <row r="7635" spans="1:13" hidden="1" x14ac:dyDescent="0.3">
      <c r="A7635" s="9">
        <v>2878</v>
      </c>
      <c r="B7635" t="s">
        <v>421</v>
      </c>
      <c r="C7635" s="25">
        <v>44677</v>
      </c>
      <c r="D7635" s="26">
        <v>0.99260416666666673</v>
      </c>
      <c r="E7635" t="s">
        <v>27</v>
      </c>
      <c r="F7635" t="s">
        <v>428</v>
      </c>
      <c r="G7635" t="s">
        <v>429</v>
      </c>
      <c r="H7635" t="s">
        <v>422</v>
      </c>
      <c r="I7635">
        <v>200.05</v>
      </c>
      <c r="J7635" s="32">
        <v>0</v>
      </c>
      <c r="K7635" s="88">
        <f t="shared" si="469"/>
        <v>890.18</v>
      </c>
      <c r="L7635" s="51">
        <v>890.18</v>
      </c>
      <c r="M7635" s="91">
        <f t="shared" si="468"/>
        <v>22.472982992203828</v>
      </c>
    </row>
    <row r="7636" spans="1:13" hidden="1" x14ac:dyDescent="0.3">
      <c r="A7636" s="9">
        <v>2879</v>
      </c>
      <c r="B7636" t="s">
        <v>421</v>
      </c>
      <c r="C7636" s="25">
        <v>44679</v>
      </c>
      <c r="D7636" s="26">
        <v>0.37811342592592595</v>
      </c>
      <c r="E7636" t="s">
        <v>27</v>
      </c>
      <c r="F7636" t="s">
        <v>197</v>
      </c>
      <c r="G7636" t="s">
        <v>44</v>
      </c>
      <c r="H7636" t="s">
        <v>422</v>
      </c>
      <c r="I7636">
        <v>245</v>
      </c>
      <c r="J7636" s="32">
        <v>0</v>
      </c>
      <c r="K7636" s="90">
        <f t="shared" si="469"/>
        <v>1217</v>
      </c>
      <c r="L7636" s="11">
        <v>1217</v>
      </c>
      <c r="M7636" s="91">
        <f t="shared" si="468"/>
        <v>20.131470829909613</v>
      </c>
    </row>
    <row r="7637" spans="1:13" hidden="1" x14ac:dyDescent="0.3">
      <c r="A7637" s="9">
        <v>2880</v>
      </c>
      <c r="B7637" t="s">
        <v>421</v>
      </c>
      <c r="C7637" s="25">
        <v>44679</v>
      </c>
      <c r="D7637" s="26">
        <v>0.8922337962962964</v>
      </c>
      <c r="E7637" t="s">
        <v>27</v>
      </c>
      <c r="F7637" t="s">
        <v>210</v>
      </c>
      <c r="G7637" t="s">
        <v>211</v>
      </c>
      <c r="H7637" t="s">
        <v>422</v>
      </c>
      <c r="I7637">
        <v>241.17</v>
      </c>
      <c r="J7637" s="37">
        <v>0</v>
      </c>
      <c r="K7637" s="97">
        <f t="shared" si="469"/>
        <v>587</v>
      </c>
      <c r="L7637" s="34">
        <v>587</v>
      </c>
      <c r="M7637" s="91">
        <f t="shared" si="468"/>
        <v>41.085178875638839</v>
      </c>
    </row>
    <row r="7638" spans="1:13" hidden="1" x14ac:dyDescent="0.3">
      <c r="A7638" s="9">
        <v>3764</v>
      </c>
      <c r="B7638" t="s">
        <v>421</v>
      </c>
      <c r="C7638" s="25">
        <v>44684</v>
      </c>
      <c r="D7638" s="26">
        <v>0.40027777777777779</v>
      </c>
      <c r="E7638" t="s">
        <v>28</v>
      </c>
      <c r="F7638" t="s">
        <v>428</v>
      </c>
      <c r="G7638" t="s">
        <v>429</v>
      </c>
      <c r="H7638" t="s">
        <v>422</v>
      </c>
      <c r="I7638">
        <v>200</v>
      </c>
      <c r="J7638" s="32">
        <v>0</v>
      </c>
      <c r="K7638" s="90">
        <f>+L7638-J7764</f>
        <v>464.71</v>
      </c>
      <c r="L7638" s="32">
        <v>464.71</v>
      </c>
      <c r="M7638" s="91">
        <f t="shared" si="468"/>
        <v>43.037593337780557</v>
      </c>
    </row>
    <row r="7639" spans="1:13" hidden="1" x14ac:dyDescent="0.3">
      <c r="A7639" s="9">
        <v>3875</v>
      </c>
      <c r="B7639" t="s">
        <v>421</v>
      </c>
      <c r="C7639" s="25">
        <v>44686</v>
      </c>
      <c r="D7639" s="26">
        <v>0.34525462962962966</v>
      </c>
      <c r="E7639" t="s">
        <v>28</v>
      </c>
      <c r="F7639" t="s">
        <v>166</v>
      </c>
      <c r="G7639" t="s">
        <v>161</v>
      </c>
      <c r="H7639" t="s">
        <v>422</v>
      </c>
      <c r="I7639">
        <v>340.83</v>
      </c>
      <c r="J7639" s="32">
        <v>0</v>
      </c>
      <c r="K7639" s="90">
        <f>+L7639-J7763</f>
        <v>931.56</v>
      </c>
      <c r="L7639" s="32">
        <v>931.56</v>
      </c>
      <c r="M7639" s="91">
        <f t="shared" si="468"/>
        <v>36.587015329125336</v>
      </c>
    </row>
    <row r="7640" spans="1:13" hidden="1" x14ac:dyDescent="0.3">
      <c r="A7640" s="9">
        <v>3929</v>
      </c>
      <c r="B7640" t="s">
        <v>421</v>
      </c>
      <c r="C7640" s="25">
        <v>44687</v>
      </c>
      <c r="D7640" s="26">
        <v>7.8923611111111111E-2</v>
      </c>
      <c r="E7640" t="s">
        <v>28</v>
      </c>
      <c r="F7640" t="s">
        <v>165</v>
      </c>
      <c r="G7640" t="s">
        <v>185</v>
      </c>
      <c r="H7640" t="s">
        <v>422</v>
      </c>
      <c r="I7640">
        <v>268.16000000000003</v>
      </c>
      <c r="J7640" s="32">
        <v>0</v>
      </c>
      <c r="K7640" s="97">
        <f>+L7640-J7761</f>
        <v>631</v>
      </c>
      <c r="L7640" s="37">
        <v>631</v>
      </c>
      <c r="M7640" s="91">
        <f t="shared" si="468"/>
        <v>42.497622820919176</v>
      </c>
    </row>
    <row r="7641" spans="1:13" hidden="1" x14ac:dyDescent="0.3">
      <c r="A7641" s="9">
        <v>3930</v>
      </c>
      <c r="B7641" t="s">
        <v>421</v>
      </c>
      <c r="C7641" s="25">
        <v>44687</v>
      </c>
      <c r="D7641" s="26">
        <v>0.86828703703703702</v>
      </c>
      <c r="E7641" t="s">
        <v>28</v>
      </c>
      <c r="F7641" t="s">
        <v>210</v>
      </c>
      <c r="G7641" t="s">
        <v>211</v>
      </c>
      <c r="H7641" t="s">
        <v>422</v>
      </c>
      <c r="I7641">
        <v>209.23</v>
      </c>
      <c r="J7641" s="32">
        <v>0</v>
      </c>
      <c r="K7641" s="90">
        <f>+L7641-J7762</f>
        <v>571</v>
      </c>
      <c r="L7641" s="32">
        <v>571</v>
      </c>
      <c r="M7641" s="91">
        <f t="shared" si="468"/>
        <v>36.642732049036773</v>
      </c>
    </row>
    <row r="7642" spans="1:13" hidden="1" x14ac:dyDescent="0.3">
      <c r="A7642" s="9">
        <v>4025</v>
      </c>
      <c r="B7642" t="s">
        <v>421</v>
      </c>
      <c r="C7642" s="25">
        <v>44689</v>
      </c>
      <c r="D7642" s="26">
        <v>5.9872685185185182E-2</v>
      </c>
      <c r="E7642" t="s">
        <v>28</v>
      </c>
      <c r="F7642" t="s">
        <v>428</v>
      </c>
      <c r="G7642" t="s">
        <v>429</v>
      </c>
      <c r="H7642" t="s">
        <v>422</v>
      </c>
      <c r="I7642">
        <v>150.38</v>
      </c>
      <c r="J7642" s="32">
        <v>0</v>
      </c>
      <c r="K7642" s="97">
        <f>+L7642-J7763</f>
        <v>901</v>
      </c>
      <c r="L7642" s="37">
        <v>901</v>
      </c>
      <c r="M7642" s="91">
        <f t="shared" si="468"/>
        <v>16.690344062153162</v>
      </c>
    </row>
    <row r="7643" spans="1:13" hidden="1" x14ac:dyDescent="0.3">
      <c r="A7643" s="9">
        <v>4026</v>
      </c>
      <c r="B7643" t="s">
        <v>421</v>
      </c>
      <c r="C7643" s="25">
        <v>44689</v>
      </c>
      <c r="D7643" s="26">
        <v>0.47212962962962962</v>
      </c>
      <c r="E7643" t="s">
        <v>28</v>
      </c>
      <c r="F7643" t="s">
        <v>175</v>
      </c>
      <c r="G7643" t="s">
        <v>172</v>
      </c>
      <c r="H7643" t="s">
        <v>422</v>
      </c>
      <c r="I7643">
        <v>202.39</v>
      </c>
      <c r="J7643" s="32">
        <v>0</v>
      </c>
      <c r="K7643" s="88">
        <f>+L7643-J7764</f>
        <v>153</v>
      </c>
      <c r="L7643" s="52">
        <v>153</v>
      </c>
      <c r="M7643" s="91">
        <f t="shared" si="468"/>
        <v>132.28104575163397</v>
      </c>
    </row>
    <row r="7644" spans="1:13" hidden="1" x14ac:dyDescent="0.3">
      <c r="A7644" s="9">
        <v>4549</v>
      </c>
      <c r="B7644" t="s">
        <v>421</v>
      </c>
      <c r="C7644" s="25">
        <v>44699</v>
      </c>
      <c r="D7644" s="26">
        <v>0.52247685185185189</v>
      </c>
      <c r="E7644" t="s">
        <v>28</v>
      </c>
      <c r="F7644" t="s">
        <v>197</v>
      </c>
      <c r="G7644" t="s">
        <v>44</v>
      </c>
      <c r="H7644" t="s">
        <v>422</v>
      </c>
      <c r="I7644">
        <v>314.19</v>
      </c>
      <c r="J7644" s="32">
        <v>0</v>
      </c>
      <c r="K7644" s="88">
        <f>+L7644-J7763</f>
        <v>900</v>
      </c>
      <c r="L7644" s="52">
        <v>900</v>
      </c>
      <c r="M7644" s="91">
        <f t="shared" si="468"/>
        <v>34.910000000000004</v>
      </c>
    </row>
    <row r="7645" spans="1:13" hidden="1" x14ac:dyDescent="0.3">
      <c r="A7645" s="9">
        <v>4611</v>
      </c>
      <c r="B7645" t="s">
        <v>421</v>
      </c>
      <c r="C7645" s="25">
        <v>44700</v>
      </c>
      <c r="D7645" s="26">
        <v>0.28097222222222223</v>
      </c>
      <c r="E7645" t="s">
        <v>28</v>
      </c>
      <c r="F7645" t="s">
        <v>210</v>
      </c>
      <c r="G7645" t="s">
        <v>211</v>
      </c>
      <c r="H7645" t="s">
        <v>422</v>
      </c>
      <c r="I7645">
        <v>264.61</v>
      </c>
      <c r="J7645" s="32">
        <v>0</v>
      </c>
      <c r="K7645" s="88">
        <f>+L7645-J7897</f>
        <v>587</v>
      </c>
      <c r="L7645" s="52">
        <v>587</v>
      </c>
      <c r="M7645" s="91">
        <f t="shared" ref="M7645:M7680" si="470">I7645/K7645*100</f>
        <v>45.078364565587734</v>
      </c>
    </row>
    <row r="7646" spans="1:13" hidden="1" x14ac:dyDescent="0.3">
      <c r="A7646" s="9">
        <v>4612</v>
      </c>
      <c r="B7646" t="s">
        <v>421</v>
      </c>
      <c r="C7646" s="25">
        <v>44700</v>
      </c>
      <c r="D7646" s="26">
        <v>0.95174768518518515</v>
      </c>
      <c r="E7646" t="s">
        <v>28</v>
      </c>
      <c r="F7646" t="s">
        <v>165</v>
      </c>
      <c r="G7646" t="s">
        <v>185</v>
      </c>
      <c r="H7646" t="s">
        <v>422</v>
      </c>
      <c r="I7646">
        <v>234.83</v>
      </c>
      <c r="J7646" s="32">
        <v>0</v>
      </c>
      <c r="K7646" s="88">
        <f>+L7646-J7898</f>
        <v>548</v>
      </c>
      <c r="L7646" s="52">
        <v>548</v>
      </c>
      <c r="M7646" s="91">
        <f t="shared" si="470"/>
        <v>42.852189781021899</v>
      </c>
    </row>
    <row r="7647" spans="1:13" hidden="1" x14ac:dyDescent="0.3">
      <c r="A7647" s="9">
        <v>4661</v>
      </c>
      <c r="B7647" t="s">
        <v>421</v>
      </c>
      <c r="C7647" s="25">
        <v>44701</v>
      </c>
      <c r="D7647" s="26">
        <v>0.54511574074074076</v>
      </c>
      <c r="E7647" t="s">
        <v>28</v>
      </c>
      <c r="F7647" t="s">
        <v>346</v>
      </c>
      <c r="G7647" t="s">
        <v>203</v>
      </c>
      <c r="H7647" t="s">
        <v>422</v>
      </c>
      <c r="I7647">
        <v>145.49</v>
      </c>
      <c r="J7647" s="32">
        <v>0</v>
      </c>
      <c r="K7647" s="88">
        <f t="shared" ref="K7647:K7652" si="471">+L7647-J7895</f>
        <v>538</v>
      </c>
      <c r="L7647" s="52">
        <v>538</v>
      </c>
      <c r="M7647" s="91">
        <f t="shared" si="470"/>
        <v>27.042750929368033</v>
      </c>
    </row>
    <row r="7648" spans="1:13" hidden="1" x14ac:dyDescent="0.3">
      <c r="A7648" s="9">
        <v>4722</v>
      </c>
      <c r="B7648" t="s">
        <v>421</v>
      </c>
      <c r="C7648" s="25">
        <v>44702</v>
      </c>
      <c r="D7648" s="26">
        <v>0.78962962962962957</v>
      </c>
      <c r="E7648" t="s">
        <v>28</v>
      </c>
      <c r="F7648" t="s">
        <v>165</v>
      </c>
      <c r="G7648" t="s">
        <v>185</v>
      </c>
      <c r="H7648" t="s">
        <v>422</v>
      </c>
      <c r="I7648">
        <v>180</v>
      </c>
      <c r="J7648" s="32">
        <v>0</v>
      </c>
      <c r="K7648" s="88">
        <f t="shared" si="471"/>
        <v>1090</v>
      </c>
      <c r="L7648" s="52">
        <v>1090</v>
      </c>
      <c r="M7648" s="91">
        <f t="shared" si="470"/>
        <v>16.513761467889911</v>
      </c>
    </row>
    <row r="7649" spans="1:13" hidden="1" x14ac:dyDescent="0.3">
      <c r="A7649" s="9">
        <v>4772</v>
      </c>
      <c r="B7649" t="s">
        <v>421</v>
      </c>
      <c r="C7649" s="25">
        <v>44703</v>
      </c>
      <c r="D7649" s="26">
        <v>0.78811342592592604</v>
      </c>
      <c r="E7649" t="s">
        <v>28</v>
      </c>
      <c r="F7649" t="s">
        <v>346</v>
      </c>
      <c r="G7649" t="s">
        <v>203</v>
      </c>
      <c r="H7649" t="s">
        <v>422</v>
      </c>
      <c r="I7649">
        <f>183.84+185.46</f>
        <v>369.3</v>
      </c>
      <c r="J7649" s="32">
        <v>0</v>
      </c>
      <c r="K7649" s="88">
        <f t="shared" si="471"/>
        <v>544</v>
      </c>
      <c r="L7649" s="52">
        <v>544</v>
      </c>
      <c r="M7649" s="91">
        <f t="shared" si="470"/>
        <v>67.88602941176471</v>
      </c>
    </row>
    <row r="7650" spans="1:13" hidden="1" x14ac:dyDescent="0.3">
      <c r="A7650" s="9">
        <v>4884</v>
      </c>
      <c r="B7650" t="s">
        <v>421</v>
      </c>
      <c r="C7650" s="25">
        <v>44705</v>
      </c>
      <c r="D7650" s="26">
        <v>0.35760416666666667</v>
      </c>
      <c r="E7650" t="s">
        <v>28</v>
      </c>
      <c r="F7650" t="s">
        <v>165</v>
      </c>
      <c r="G7650" t="s">
        <v>185</v>
      </c>
      <c r="H7650" t="s">
        <v>422</v>
      </c>
      <c r="I7650">
        <v>387.21</v>
      </c>
      <c r="J7650" s="32">
        <v>0</v>
      </c>
      <c r="K7650" s="88">
        <f t="shared" si="471"/>
        <v>1057</v>
      </c>
      <c r="L7650" s="52">
        <v>1057</v>
      </c>
      <c r="M7650" s="91">
        <f t="shared" si="470"/>
        <v>36.632923368022702</v>
      </c>
    </row>
    <row r="7651" spans="1:13" hidden="1" x14ac:dyDescent="0.3">
      <c r="A7651" s="9">
        <v>4938</v>
      </c>
      <c r="B7651" t="s">
        <v>421</v>
      </c>
      <c r="C7651" s="25">
        <v>44706</v>
      </c>
      <c r="D7651" s="26">
        <v>0.71438657407407413</v>
      </c>
      <c r="E7651" t="s">
        <v>28</v>
      </c>
      <c r="F7651" t="s">
        <v>169</v>
      </c>
      <c r="G7651" t="s">
        <v>196</v>
      </c>
      <c r="H7651" t="s">
        <v>422</v>
      </c>
      <c r="I7651">
        <v>127.08</v>
      </c>
      <c r="J7651" s="32">
        <v>0</v>
      </c>
      <c r="K7651" s="88">
        <f t="shared" si="471"/>
        <v>405</v>
      </c>
      <c r="L7651" s="52">
        <v>405</v>
      </c>
      <c r="M7651" s="91">
        <f t="shared" si="470"/>
        <v>31.377777777777776</v>
      </c>
    </row>
    <row r="7652" spans="1:13" hidden="1" x14ac:dyDescent="0.3">
      <c r="A7652" s="9">
        <v>4952</v>
      </c>
      <c r="B7652" t="s">
        <v>421</v>
      </c>
      <c r="C7652" s="25">
        <v>44706</v>
      </c>
      <c r="D7652" s="26">
        <v>1.3657407407407409E-3</v>
      </c>
      <c r="E7652" t="s">
        <v>28</v>
      </c>
      <c r="F7652" t="s">
        <v>166</v>
      </c>
      <c r="G7652" t="s">
        <v>161</v>
      </c>
      <c r="H7652" t="s">
        <v>422</v>
      </c>
      <c r="I7652">
        <v>170.79</v>
      </c>
      <c r="J7652" s="32">
        <v>0</v>
      </c>
      <c r="K7652" s="88">
        <f t="shared" si="471"/>
        <v>624</v>
      </c>
      <c r="L7652" s="52">
        <v>624</v>
      </c>
      <c r="M7652" s="91">
        <f t="shared" si="470"/>
        <v>27.370192307692303</v>
      </c>
    </row>
    <row r="7653" spans="1:13" hidden="1" x14ac:dyDescent="0.3">
      <c r="A7653" s="9">
        <v>5034</v>
      </c>
      <c r="B7653" t="s">
        <v>421</v>
      </c>
      <c r="C7653" s="25">
        <v>44708</v>
      </c>
      <c r="D7653" s="26">
        <v>0.83310185185185182</v>
      </c>
      <c r="E7653" t="s">
        <v>28</v>
      </c>
      <c r="F7653" t="s">
        <v>661</v>
      </c>
      <c r="G7653" t="s">
        <v>457</v>
      </c>
      <c r="H7653" t="s">
        <v>422</v>
      </c>
      <c r="I7653">
        <v>150.06</v>
      </c>
      <c r="J7653" s="32">
        <v>0</v>
      </c>
      <c r="K7653" s="90">
        <f>+L7653-J7872</f>
        <v>918</v>
      </c>
      <c r="L7653" s="7">
        <v>918</v>
      </c>
      <c r="M7653" s="91">
        <f t="shared" si="470"/>
        <v>16.346405228758172</v>
      </c>
    </row>
    <row r="7654" spans="1:13" hidden="1" x14ac:dyDescent="0.3">
      <c r="A7654" s="9">
        <v>5035</v>
      </c>
      <c r="B7654" t="s">
        <v>421</v>
      </c>
      <c r="C7654" s="25">
        <v>44708</v>
      </c>
      <c r="D7654" s="26">
        <v>0.91239583333333341</v>
      </c>
      <c r="E7654" t="s">
        <v>28</v>
      </c>
      <c r="F7654" t="s">
        <v>672</v>
      </c>
      <c r="G7654" t="s">
        <v>367</v>
      </c>
      <c r="H7654" t="s">
        <v>422</v>
      </c>
      <c r="I7654">
        <v>253.06</v>
      </c>
      <c r="J7654" s="32">
        <v>0</v>
      </c>
      <c r="K7654" s="90">
        <f>+L7654-J7873</f>
        <v>113</v>
      </c>
      <c r="L7654" s="7">
        <v>113</v>
      </c>
      <c r="M7654" s="91">
        <f t="shared" si="470"/>
        <v>223.94690265486727</v>
      </c>
    </row>
    <row r="7655" spans="1:13" hidden="1" x14ac:dyDescent="0.3">
      <c r="A7655" s="9">
        <v>5151</v>
      </c>
      <c r="B7655" t="s">
        <v>421</v>
      </c>
      <c r="C7655" s="25">
        <v>44710</v>
      </c>
      <c r="D7655" s="26">
        <v>9.0277777777777776E-2</v>
      </c>
      <c r="E7655" t="s">
        <v>28</v>
      </c>
      <c r="F7655" t="s">
        <v>635</v>
      </c>
      <c r="G7655" t="s">
        <v>185</v>
      </c>
      <c r="H7655" t="s">
        <v>422</v>
      </c>
      <c r="I7655">
        <v>307.33999999999997</v>
      </c>
      <c r="J7655" s="32">
        <v>0</v>
      </c>
      <c r="K7655" s="97">
        <f>+L7655-J7874</f>
        <v>755</v>
      </c>
      <c r="L7655" s="34">
        <v>755</v>
      </c>
      <c r="M7655" s="91">
        <f t="shared" si="470"/>
        <v>40.707284768211913</v>
      </c>
    </row>
    <row r="7656" spans="1:13" hidden="1" x14ac:dyDescent="0.3">
      <c r="A7656" s="9">
        <v>5152</v>
      </c>
      <c r="B7656" t="s">
        <v>421</v>
      </c>
      <c r="C7656" s="25">
        <v>44710</v>
      </c>
      <c r="D7656" s="26">
        <v>0.80646990740740743</v>
      </c>
      <c r="E7656" t="s">
        <v>28</v>
      </c>
      <c r="F7656" t="s">
        <v>643</v>
      </c>
      <c r="G7656" t="s">
        <v>203</v>
      </c>
      <c r="H7656" t="s">
        <v>422</v>
      </c>
      <c r="I7656">
        <v>177.85</v>
      </c>
      <c r="J7656" s="32">
        <v>0</v>
      </c>
      <c r="K7656" s="90">
        <f>+L7656-J7874</f>
        <v>538</v>
      </c>
      <c r="L7656" s="7">
        <v>538</v>
      </c>
      <c r="M7656" s="91">
        <f t="shared" si="470"/>
        <v>33.057620817843862</v>
      </c>
    </row>
    <row r="7657" spans="1:13" hidden="1" x14ac:dyDescent="0.3">
      <c r="A7657" s="9">
        <v>5200</v>
      </c>
      <c r="B7657" t="s">
        <v>421</v>
      </c>
      <c r="C7657" s="25">
        <v>44711</v>
      </c>
      <c r="D7657" s="26">
        <v>0.83869212962962969</v>
      </c>
      <c r="E7657" t="s">
        <v>28</v>
      </c>
      <c r="F7657" t="s">
        <v>642</v>
      </c>
      <c r="G7657" t="s">
        <v>203</v>
      </c>
      <c r="H7657" t="s">
        <v>422</v>
      </c>
      <c r="I7657">
        <v>100</v>
      </c>
      <c r="J7657" s="37">
        <v>0</v>
      </c>
      <c r="K7657" s="97">
        <f>+L7657-J7862</f>
        <v>523</v>
      </c>
      <c r="L7657" s="34">
        <v>523</v>
      </c>
      <c r="M7657" s="132">
        <f t="shared" si="470"/>
        <v>19.120458891013385</v>
      </c>
    </row>
    <row r="7658" spans="1:13" hidden="1" x14ac:dyDescent="0.3">
      <c r="A7658" s="9">
        <v>5238</v>
      </c>
      <c r="B7658" t="s">
        <v>421</v>
      </c>
      <c r="C7658" s="25">
        <v>44712</v>
      </c>
      <c r="D7658" s="26">
        <v>0.71167824074074071</v>
      </c>
      <c r="E7658" t="s">
        <v>28</v>
      </c>
      <c r="F7658" t="s">
        <v>635</v>
      </c>
      <c r="G7658" t="s">
        <v>185</v>
      </c>
      <c r="H7658" t="s">
        <v>422</v>
      </c>
      <c r="I7658">
        <v>323.33</v>
      </c>
      <c r="J7658" s="32">
        <v>0</v>
      </c>
      <c r="K7658" s="90">
        <f>+L7658-J7862</f>
        <v>574</v>
      </c>
      <c r="L7658" s="7">
        <v>574</v>
      </c>
      <c r="M7658" s="91">
        <f t="shared" si="470"/>
        <v>56.329268292682919</v>
      </c>
    </row>
    <row r="7659" spans="1:13" hidden="1" x14ac:dyDescent="0.3">
      <c r="A7659" s="9">
        <v>5280</v>
      </c>
      <c r="B7659" t="s">
        <v>421</v>
      </c>
      <c r="C7659" s="25">
        <v>44713</v>
      </c>
      <c r="D7659" s="26">
        <v>0.74378472222222225</v>
      </c>
      <c r="E7659" t="s">
        <v>29</v>
      </c>
      <c r="F7659" t="s">
        <v>637</v>
      </c>
      <c r="G7659" t="s">
        <v>196</v>
      </c>
      <c r="H7659" t="s">
        <v>422</v>
      </c>
      <c r="I7659">
        <v>257.5</v>
      </c>
      <c r="J7659" s="32">
        <v>0</v>
      </c>
      <c r="K7659" s="90">
        <f>+L7659-J7863</f>
        <v>996</v>
      </c>
      <c r="L7659" s="7">
        <v>996</v>
      </c>
      <c r="M7659" s="91">
        <f t="shared" si="470"/>
        <v>25.853413654618475</v>
      </c>
    </row>
    <row r="7660" spans="1:13" hidden="1" x14ac:dyDescent="0.3">
      <c r="A7660" s="9">
        <v>5408</v>
      </c>
      <c r="B7660" t="s">
        <v>421</v>
      </c>
      <c r="C7660" s="25">
        <v>44715</v>
      </c>
      <c r="D7660" s="26">
        <v>0.49355324074074075</v>
      </c>
      <c r="E7660" t="s">
        <v>29</v>
      </c>
      <c r="F7660" t="s">
        <v>654</v>
      </c>
      <c r="G7660" t="s">
        <v>303</v>
      </c>
      <c r="H7660" t="s">
        <v>422</v>
      </c>
      <c r="I7660">
        <v>363</v>
      </c>
      <c r="J7660" s="32">
        <v>0</v>
      </c>
      <c r="K7660" s="88">
        <f>+L7660-J7858</f>
        <v>779</v>
      </c>
      <c r="L7660" s="51">
        <v>779</v>
      </c>
      <c r="M7660" s="91">
        <f t="shared" si="470"/>
        <v>46.598202824133509</v>
      </c>
    </row>
    <row r="7661" spans="1:13" hidden="1" x14ac:dyDescent="0.3">
      <c r="A7661" s="9">
        <v>5409</v>
      </c>
      <c r="B7661" t="s">
        <v>421</v>
      </c>
      <c r="C7661" s="25">
        <v>44715</v>
      </c>
      <c r="D7661" s="26">
        <v>0.86422453703703705</v>
      </c>
      <c r="E7661" t="s">
        <v>29</v>
      </c>
      <c r="F7661" t="s">
        <v>634</v>
      </c>
      <c r="G7661" t="s">
        <v>211</v>
      </c>
      <c r="H7661" t="s">
        <v>422</v>
      </c>
      <c r="I7661">
        <v>167.88</v>
      </c>
      <c r="J7661" s="32">
        <v>0</v>
      </c>
      <c r="K7661" s="88">
        <f>+L7661-J7859</f>
        <v>265</v>
      </c>
      <c r="L7661" s="51">
        <v>265</v>
      </c>
      <c r="M7661" s="91">
        <f t="shared" si="470"/>
        <v>63.350943396226413</v>
      </c>
    </row>
    <row r="7662" spans="1:13" hidden="1" x14ac:dyDescent="0.3">
      <c r="A7662" s="9">
        <v>5460</v>
      </c>
      <c r="B7662" t="s">
        <v>421</v>
      </c>
      <c r="C7662" s="25">
        <v>44716</v>
      </c>
      <c r="D7662" s="26">
        <v>0.7047337962962964</v>
      </c>
      <c r="E7662" t="s">
        <v>29</v>
      </c>
      <c r="F7662" t="s">
        <v>635</v>
      </c>
      <c r="G7662" t="s">
        <v>185</v>
      </c>
      <c r="H7662" t="s">
        <v>422</v>
      </c>
      <c r="I7662" s="127">
        <v>234.83</v>
      </c>
      <c r="J7662" s="32">
        <v>0</v>
      </c>
      <c r="K7662" s="90">
        <f>+L7662-J7860</f>
        <v>547</v>
      </c>
      <c r="L7662" s="7">
        <v>547</v>
      </c>
      <c r="M7662" s="119">
        <f t="shared" si="470"/>
        <v>42.930530164533828</v>
      </c>
    </row>
    <row r="7663" spans="1:13" ht="19.5" hidden="1" customHeight="1" x14ac:dyDescent="0.3">
      <c r="A7663" s="9">
        <v>5510</v>
      </c>
      <c r="B7663" t="s">
        <v>421</v>
      </c>
      <c r="C7663" s="25">
        <v>44717</v>
      </c>
      <c r="D7663" s="26">
        <v>0.70809027777777767</v>
      </c>
      <c r="E7663" t="s">
        <v>29</v>
      </c>
      <c r="F7663" t="s">
        <v>634</v>
      </c>
      <c r="G7663" t="s">
        <v>211</v>
      </c>
      <c r="H7663" t="s">
        <v>422</v>
      </c>
      <c r="I7663" s="127">
        <v>137.04</v>
      </c>
      <c r="J7663" s="32">
        <v>0</v>
      </c>
      <c r="K7663" s="97">
        <f>+L7663-J7861</f>
        <v>515</v>
      </c>
      <c r="L7663" s="34">
        <v>515</v>
      </c>
      <c r="M7663" s="91">
        <f t="shared" si="470"/>
        <v>26.609708737864075</v>
      </c>
    </row>
    <row r="7664" spans="1:13" hidden="1" x14ac:dyDescent="0.3">
      <c r="A7664" s="9">
        <v>5555</v>
      </c>
      <c r="B7664" t="s">
        <v>421</v>
      </c>
      <c r="C7664" s="25">
        <v>44718</v>
      </c>
      <c r="D7664" s="26">
        <v>0.8413425925925927</v>
      </c>
      <c r="E7664" t="s">
        <v>29</v>
      </c>
      <c r="F7664" t="s">
        <v>637</v>
      </c>
      <c r="G7664" t="s">
        <v>196</v>
      </c>
      <c r="H7664" t="s">
        <v>422</v>
      </c>
      <c r="I7664" s="127">
        <v>141.66</v>
      </c>
      <c r="J7664" s="32">
        <v>0</v>
      </c>
      <c r="K7664" s="90">
        <f>+L7664-J7237</f>
        <v>480</v>
      </c>
      <c r="L7664" s="7">
        <v>480</v>
      </c>
      <c r="M7664" s="91">
        <f t="shared" si="470"/>
        <v>29.512499999999996</v>
      </c>
    </row>
    <row r="7665" spans="1:19" hidden="1" x14ac:dyDescent="0.3">
      <c r="A7665" s="9">
        <v>5659</v>
      </c>
      <c r="B7665" t="s">
        <v>421</v>
      </c>
      <c r="C7665" s="25">
        <v>44720</v>
      </c>
      <c r="D7665" s="26">
        <v>0.79005787037037034</v>
      </c>
      <c r="E7665" t="s">
        <v>29</v>
      </c>
      <c r="F7665" t="s">
        <v>672</v>
      </c>
      <c r="G7665" t="s">
        <v>367</v>
      </c>
      <c r="H7665" t="s">
        <v>422</v>
      </c>
      <c r="I7665" s="127">
        <v>50</v>
      </c>
      <c r="J7665" s="37">
        <v>0</v>
      </c>
      <c r="K7665" s="90">
        <v>1136</v>
      </c>
      <c r="L7665" s="7">
        <v>632</v>
      </c>
      <c r="M7665" s="91">
        <f t="shared" si="470"/>
        <v>4.401408450704225</v>
      </c>
    </row>
    <row r="7666" spans="1:19" hidden="1" x14ac:dyDescent="0.3">
      <c r="A7666" s="9">
        <v>5660</v>
      </c>
      <c r="B7666" t="s">
        <v>421</v>
      </c>
      <c r="C7666" s="25">
        <v>44720</v>
      </c>
      <c r="D7666" s="26">
        <v>0.86539351851851853</v>
      </c>
      <c r="E7666" t="s">
        <v>29</v>
      </c>
      <c r="F7666" t="s">
        <v>632</v>
      </c>
      <c r="G7666" t="s">
        <v>161</v>
      </c>
      <c r="H7666" t="s">
        <v>422</v>
      </c>
      <c r="I7666" s="127">
        <v>300</v>
      </c>
      <c r="J7666" s="32">
        <v>0</v>
      </c>
      <c r="K7666" s="97">
        <v>123</v>
      </c>
      <c r="L7666" s="34">
        <v>1136</v>
      </c>
      <c r="M7666" s="132">
        <f t="shared" si="470"/>
        <v>243.90243902439025</v>
      </c>
    </row>
    <row r="7667" spans="1:19" hidden="1" x14ac:dyDescent="0.3">
      <c r="A7667" s="9">
        <v>5661</v>
      </c>
      <c r="B7667" t="s">
        <v>421</v>
      </c>
      <c r="C7667" s="25">
        <v>44720</v>
      </c>
      <c r="D7667" s="26">
        <v>0.92740740740740746</v>
      </c>
      <c r="E7667" t="s">
        <v>29</v>
      </c>
      <c r="F7667" t="s">
        <v>634</v>
      </c>
      <c r="G7667" t="s">
        <v>211</v>
      </c>
      <c r="H7667" t="s">
        <v>422</v>
      </c>
      <c r="I7667">
        <v>150.63</v>
      </c>
      <c r="J7667" s="32">
        <v>0</v>
      </c>
      <c r="K7667" s="90">
        <v>76</v>
      </c>
      <c r="L7667" s="7">
        <v>123</v>
      </c>
      <c r="M7667" s="91">
        <f t="shared" si="470"/>
        <v>198.19736842105263</v>
      </c>
    </row>
    <row r="7668" spans="1:19" hidden="1" x14ac:dyDescent="0.3">
      <c r="A7668" s="9">
        <v>5716</v>
      </c>
      <c r="B7668" t="s">
        <v>421</v>
      </c>
      <c r="C7668" s="25">
        <v>44721</v>
      </c>
      <c r="D7668" s="26">
        <v>0.6882638888888889</v>
      </c>
      <c r="E7668" t="s">
        <v>29</v>
      </c>
      <c r="F7668" t="s">
        <v>635</v>
      </c>
      <c r="G7668" t="s">
        <v>185</v>
      </c>
      <c r="H7668" t="s">
        <v>422</v>
      </c>
      <c r="I7668">
        <v>245.77</v>
      </c>
      <c r="J7668" s="37">
        <v>0</v>
      </c>
      <c r="K7668" s="90">
        <v>548</v>
      </c>
      <c r="L7668" s="7">
        <v>548</v>
      </c>
      <c r="M7668" s="91">
        <f t="shared" si="470"/>
        <v>44.848540145985403</v>
      </c>
    </row>
    <row r="7669" spans="1:19" hidden="1" x14ac:dyDescent="0.3">
      <c r="A7669" s="9">
        <v>5766</v>
      </c>
      <c r="B7669" t="s">
        <v>421</v>
      </c>
      <c r="C7669" s="25">
        <v>44722</v>
      </c>
      <c r="D7669" s="26">
        <v>0.43342592592592594</v>
      </c>
      <c r="E7669" t="s">
        <v>29</v>
      </c>
      <c r="F7669" t="s">
        <v>643</v>
      </c>
      <c r="G7669" t="s">
        <v>203</v>
      </c>
      <c r="H7669" t="s">
        <v>422</v>
      </c>
      <c r="I7669">
        <v>153.80000000000001</v>
      </c>
      <c r="J7669" s="32">
        <v>0</v>
      </c>
      <c r="K7669" s="90">
        <v>538</v>
      </c>
      <c r="L7669" s="34">
        <v>538</v>
      </c>
      <c r="M7669" s="91">
        <f t="shared" si="470"/>
        <v>28.587360594795541</v>
      </c>
    </row>
    <row r="7670" spans="1:19" hidden="1" x14ac:dyDescent="0.3">
      <c r="A7670" s="9">
        <v>5814</v>
      </c>
      <c r="B7670" t="s">
        <v>421</v>
      </c>
      <c r="C7670" s="25">
        <v>44723</v>
      </c>
      <c r="D7670" s="26">
        <v>0.76996527777777779</v>
      </c>
      <c r="E7670" t="s">
        <v>29</v>
      </c>
      <c r="F7670" t="s">
        <v>635</v>
      </c>
      <c r="G7670" t="s">
        <v>185</v>
      </c>
      <c r="H7670" t="s">
        <v>422</v>
      </c>
      <c r="I7670">
        <v>383.65</v>
      </c>
      <c r="J7670" s="32">
        <v>0</v>
      </c>
      <c r="K7670" s="90">
        <v>1090</v>
      </c>
      <c r="L7670" s="7">
        <v>1090</v>
      </c>
      <c r="M7670" s="91">
        <f t="shared" si="470"/>
        <v>35.197247706422012</v>
      </c>
    </row>
    <row r="7671" spans="1:19" hidden="1" x14ac:dyDescent="0.3">
      <c r="A7671" s="9">
        <v>5878</v>
      </c>
      <c r="B7671" t="s">
        <v>421</v>
      </c>
      <c r="C7671" s="25">
        <v>44724</v>
      </c>
      <c r="D7671" s="26">
        <v>0.80598379629629635</v>
      </c>
      <c r="E7671" t="s">
        <v>29</v>
      </c>
      <c r="F7671" t="s">
        <v>634</v>
      </c>
      <c r="G7671" t="s">
        <v>211</v>
      </c>
      <c r="H7671" t="s">
        <v>422</v>
      </c>
      <c r="I7671">
        <v>153.88999999999999</v>
      </c>
      <c r="J7671" s="32">
        <v>0</v>
      </c>
      <c r="K7671" s="97">
        <v>514</v>
      </c>
      <c r="L7671" s="7">
        <v>514</v>
      </c>
      <c r="M7671" s="91">
        <f t="shared" si="470"/>
        <v>29.939688715953306</v>
      </c>
    </row>
    <row r="7672" spans="1:19" hidden="1" x14ac:dyDescent="0.3">
      <c r="A7672" s="9">
        <v>5934</v>
      </c>
      <c r="B7672" t="s">
        <v>421</v>
      </c>
      <c r="C7672" s="25">
        <v>44725</v>
      </c>
      <c r="D7672" s="26">
        <v>0.49608796296296293</v>
      </c>
      <c r="E7672" t="s">
        <v>29</v>
      </c>
      <c r="F7672" t="s">
        <v>637</v>
      </c>
      <c r="G7672" t="s">
        <v>196</v>
      </c>
      <c r="H7672" t="s">
        <v>422</v>
      </c>
      <c r="I7672">
        <v>163.69999999999999</v>
      </c>
      <c r="J7672" s="32">
        <v>0</v>
      </c>
      <c r="K7672" s="88">
        <f>+L7518-J7088</f>
        <v>805</v>
      </c>
      <c r="L7672" s="51">
        <v>1062</v>
      </c>
      <c r="M7672" s="134">
        <f t="shared" si="470"/>
        <v>20.335403726708073</v>
      </c>
      <c r="N7672" s="2"/>
      <c r="O7672" s="2"/>
      <c r="P7672" s="2"/>
      <c r="Q7672" s="2"/>
      <c r="R7672" s="2"/>
      <c r="S7672" s="2"/>
    </row>
    <row r="7673" spans="1:19" hidden="1" x14ac:dyDescent="0.3">
      <c r="A7673" s="9">
        <v>6384</v>
      </c>
      <c r="B7673" t="s">
        <v>421</v>
      </c>
      <c r="C7673" s="25">
        <v>44735</v>
      </c>
      <c r="D7673" s="26">
        <v>0.44613425925925926</v>
      </c>
      <c r="E7673" t="s">
        <v>29</v>
      </c>
      <c r="F7673" t="s">
        <v>639</v>
      </c>
      <c r="G7673" t="s">
        <v>44</v>
      </c>
      <c r="H7673" t="s">
        <v>422</v>
      </c>
      <c r="I7673">
        <v>273.23</v>
      </c>
      <c r="J7673" s="32">
        <v>0</v>
      </c>
      <c r="K7673" s="90">
        <v>721</v>
      </c>
      <c r="L7673" s="7">
        <v>721</v>
      </c>
      <c r="M7673" s="91">
        <f t="shared" si="470"/>
        <v>37.89597780859917</v>
      </c>
    </row>
    <row r="7674" spans="1:19" hidden="1" x14ac:dyDescent="0.3">
      <c r="A7674" s="9">
        <v>6385</v>
      </c>
      <c r="B7674" t="s">
        <v>421</v>
      </c>
      <c r="C7674" s="25">
        <v>44735</v>
      </c>
      <c r="D7674" s="26">
        <v>0.88181712962962966</v>
      </c>
      <c r="E7674" t="s">
        <v>29</v>
      </c>
      <c r="F7674" t="s">
        <v>634</v>
      </c>
      <c r="G7674" t="s">
        <v>211</v>
      </c>
      <c r="H7674" t="s">
        <v>422</v>
      </c>
      <c r="I7674">
        <v>223</v>
      </c>
      <c r="J7674" s="32">
        <v>0</v>
      </c>
      <c r="K7674" s="90">
        <v>587</v>
      </c>
      <c r="L7674" s="7">
        <v>587</v>
      </c>
      <c r="M7674" s="91">
        <f t="shared" si="470"/>
        <v>37.989778534923339</v>
      </c>
    </row>
    <row r="7675" spans="1:19" hidden="1" x14ac:dyDescent="0.3">
      <c r="A7675" s="9">
        <v>6431</v>
      </c>
      <c r="B7675" t="s">
        <v>421</v>
      </c>
      <c r="C7675" s="25">
        <v>44736</v>
      </c>
      <c r="D7675" s="26">
        <v>0.55964120370370374</v>
      </c>
      <c r="E7675" t="s">
        <v>29</v>
      </c>
      <c r="F7675" t="s">
        <v>635</v>
      </c>
      <c r="G7675" t="s">
        <v>185</v>
      </c>
      <c r="H7675" t="s">
        <v>422</v>
      </c>
      <c r="I7675">
        <v>239.06</v>
      </c>
      <c r="J7675" s="32">
        <v>0</v>
      </c>
      <c r="K7675" s="90">
        <v>514</v>
      </c>
      <c r="L7675" s="7">
        <v>514</v>
      </c>
      <c r="M7675" s="91">
        <f t="shared" si="470"/>
        <v>46.509727626459146</v>
      </c>
    </row>
    <row r="7676" spans="1:19" hidden="1" x14ac:dyDescent="0.3">
      <c r="A7676" s="9">
        <v>6493</v>
      </c>
      <c r="B7676" t="s">
        <v>421</v>
      </c>
      <c r="C7676" s="25">
        <v>44737</v>
      </c>
      <c r="D7676" s="26">
        <v>0.42517361111111113</v>
      </c>
      <c r="E7676" t="s">
        <v>29</v>
      </c>
      <c r="F7676" t="s">
        <v>632</v>
      </c>
      <c r="G7676" t="s">
        <v>161</v>
      </c>
      <c r="H7676" t="s">
        <v>422</v>
      </c>
      <c r="I7676" s="148">
        <v>193.49</v>
      </c>
      <c r="J7676" s="32">
        <v>0</v>
      </c>
      <c r="K7676" s="90">
        <v>624</v>
      </c>
      <c r="L7676" s="7">
        <v>624</v>
      </c>
      <c r="M7676" s="91">
        <f t="shared" si="470"/>
        <v>31.008012820512821</v>
      </c>
    </row>
    <row r="7677" spans="1:19" hidden="1" x14ac:dyDescent="0.3">
      <c r="A7677" s="9">
        <v>6494</v>
      </c>
      <c r="B7677" t="s">
        <v>421</v>
      </c>
      <c r="C7677" s="25">
        <v>44737</v>
      </c>
      <c r="D7677" s="26">
        <v>0.70583333333333342</v>
      </c>
      <c r="E7677" t="s">
        <v>29</v>
      </c>
      <c r="F7677" t="s">
        <v>637</v>
      </c>
      <c r="G7677" t="s">
        <v>196</v>
      </c>
      <c r="H7677" t="s">
        <v>422</v>
      </c>
      <c r="I7677" s="148">
        <v>126.63</v>
      </c>
      <c r="J7677" s="37">
        <v>0</v>
      </c>
      <c r="K7677" s="90">
        <v>404</v>
      </c>
      <c r="L7677" s="7">
        <v>404</v>
      </c>
      <c r="M7677" s="119">
        <f t="shared" si="470"/>
        <v>31.344059405940595</v>
      </c>
    </row>
    <row r="7678" spans="1:19" ht="2.25" hidden="1" customHeight="1" x14ac:dyDescent="0.3">
      <c r="A7678" s="9">
        <v>6596</v>
      </c>
      <c r="B7678" t="s">
        <v>421</v>
      </c>
      <c r="C7678" s="25">
        <v>44739</v>
      </c>
      <c r="D7678" s="26">
        <v>0.8601967592592592</v>
      </c>
      <c r="E7678" t="s">
        <v>29</v>
      </c>
      <c r="F7678" t="s">
        <v>639</v>
      </c>
      <c r="G7678" t="s">
        <v>44</v>
      </c>
      <c r="H7678" t="s">
        <v>422</v>
      </c>
      <c r="I7678" s="148">
        <v>234</v>
      </c>
      <c r="J7678" s="32">
        <v>0</v>
      </c>
      <c r="K7678" s="90">
        <v>678</v>
      </c>
      <c r="L7678" s="7">
        <v>678</v>
      </c>
      <c r="M7678" s="119">
        <f t="shared" si="470"/>
        <v>34.513274336283182</v>
      </c>
    </row>
    <row r="7679" spans="1:19" hidden="1" x14ac:dyDescent="0.3">
      <c r="A7679" s="9">
        <v>6656</v>
      </c>
      <c r="B7679" t="s">
        <v>421</v>
      </c>
      <c r="C7679" s="25">
        <v>44740</v>
      </c>
      <c r="D7679" s="26">
        <v>0.48766203703703703</v>
      </c>
      <c r="E7679" t="s">
        <v>29</v>
      </c>
      <c r="F7679" t="s">
        <v>632</v>
      </c>
      <c r="G7679" t="s">
        <v>161</v>
      </c>
      <c r="H7679" t="s">
        <v>422</v>
      </c>
      <c r="I7679" s="148">
        <v>233.77</v>
      </c>
      <c r="J7679" s="32">
        <v>0</v>
      </c>
      <c r="K7679" s="90">
        <v>511</v>
      </c>
      <c r="L7679" s="7">
        <v>511</v>
      </c>
      <c r="M7679" s="91">
        <f t="shared" si="470"/>
        <v>45.747553816046974</v>
      </c>
    </row>
    <row r="7680" spans="1:19" hidden="1" x14ac:dyDescent="0.3">
      <c r="A7680" s="9">
        <v>6714</v>
      </c>
      <c r="B7680" t="s">
        <v>421</v>
      </c>
      <c r="C7680" s="25">
        <v>44741</v>
      </c>
      <c r="D7680" s="26">
        <v>2.3159722222222224E-2</v>
      </c>
      <c r="E7680" t="s">
        <v>29</v>
      </c>
      <c r="F7680" t="s">
        <v>635</v>
      </c>
      <c r="G7680" t="s">
        <v>185</v>
      </c>
      <c r="H7680" t="s">
        <v>422</v>
      </c>
      <c r="I7680" s="148">
        <v>450.93</v>
      </c>
      <c r="J7680" s="37">
        <v>0</v>
      </c>
      <c r="K7680" s="90">
        <v>631</v>
      </c>
      <c r="L7680" s="7">
        <v>631</v>
      </c>
      <c r="M7680" s="91">
        <f t="shared" si="470"/>
        <v>71.462757527733757</v>
      </c>
    </row>
    <row r="7681" spans="1:13" hidden="1" x14ac:dyDescent="0.3">
      <c r="A7681" s="9">
        <v>6751</v>
      </c>
      <c r="B7681" t="s">
        <v>421</v>
      </c>
      <c r="C7681" s="25">
        <v>44742</v>
      </c>
      <c r="D7681" s="26">
        <v>0.75894675925925925</v>
      </c>
      <c r="E7681" t="s">
        <v>29</v>
      </c>
      <c r="F7681" t="s">
        <v>169</v>
      </c>
      <c r="G7681" t="s">
        <v>196</v>
      </c>
      <c r="H7681" t="s">
        <v>422</v>
      </c>
      <c r="I7681" s="148">
        <v>156.57</v>
      </c>
      <c r="J7681" s="54"/>
      <c r="K7681" s="54">
        <v>9852</v>
      </c>
      <c r="L7681" s="54">
        <f>+K7681-J7681</f>
        <v>9852</v>
      </c>
      <c r="M7681" s="139">
        <f>I7681/L7681*100</f>
        <v>1.5892204628501827</v>
      </c>
    </row>
    <row r="7682" spans="1:13" hidden="1" x14ac:dyDescent="0.3">
      <c r="B7682" t="s">
        <v>597</v>
      </c>
      <c r="C7682" s="25">
        <v>44751</v>
      </c>
      <c r="D7682" s="26">
        <v>8.2708333333333328E-2</v>
      </c>
      <c r="E7682" t="s">
        <v>30</v>
      </c>
      <c r="F7682" t="s">
        <v>774</v>
      </c>
      <c r="G7682" t="s">
        <v>161</v>
      </c>
      <c r="H7682" t="s">
        <v>207</v>
      </c>
      <c r="I7682" s="173">
        <v>370.28</v>
      </c>
      <c r="J7682" s="8"/>
      <c r="K7682" s="257"/>
      <c r="L7682" s="24"/>
      <c r="M7682" s="91" t="e">
        <f>I7682/K7682*100</f>
        <v>#DIV/0!</v>
      </c>
    </row>
    <row r="7683" spans="1:13" hidden="1" x14ac:dyDescent="0.3">
      <c r="A7683" s="9">
        <v>6846</v>
      </c>
      <c r="B7683" t="s">
        <v>597</v>
      </c>
      <c r="C7683" s="25">
        <v>44752</v>
      </c>
      <c r="D7683" s="26">
        <v>5.061342592592593E-2</v>
      </c>
      <c r="E7683" t="s">
        <v>30</v>
      </c>
      <c r="F7683" t="s">
        <v>210</v>
      </c>
      <c r="G7683" t="s">
        <v>211</v>
      </c>
      <c r="H7683" t="s">
        <v>207</v>
      </c>
      <c r="I7683" s="173">
        <v>362.48</v>
      </c>
      <c r="J7683" s="160">
        <f>385+200+370+362</f>
        <v>1317</v>
      </c>
      <c r="K7683" s="257"/>
      <c r="L7683" s="160">
        <v>4748</v>
      </c>
      <c r="M7683" s="238">
        <f>+J7683/L7683*100</f>
        <v>27.737994945240104</v>
      </c>
    </row>
    <row r="7684" spans="1:13" hidden="1" x14ac:dyDescent="0.3">
      <c r="A7684" s="9">
        <v>6825</v>
      </c>
      <c r="B7684" t="s">
        <v>597</v>
      </c>
      <c r="C7684" s="25">
        <v>44753</v>
      </c>
      <c r="D7684" s="26">
        <v>0.52804398148148146</v>
      </c>
      <c r="E7684" t="s">
        <v>30</v>
      </c>
      <c r="F7684" t="s">
        <v>534</v>
      </c>
      <c r="G7684" t="s">
        <v>535</v>
      </c>
      <c r="H7684" t="s">
        <v>207</v>
      </c>
      <c r="I7684" s="173">
        <v>308.08</v>
      </c>
      <c r="J7684" s="23"/>
      <c r="K7684" s="90"/>
      <c r="L7684" s="23"/>
      <c r="M7684" s="91" t="e">
        <f>I7684/K7684*100</f>
        <v>#DIV/0!</v>
      </c>
    </row>
    <row r="7685" spans="1:13" hidden="1" x14ac:dyDescent="0.3">
      <c r="B7685" t="s">
        <v>597</v>
      </c>
      <c r="C7685" s="25">
        <v>44754</v>
      </c>
      <c r="D7685" s="26">
        <v>0.46336805555555555</v>
      </c>
      <c r="E7685" t="s">
        <v>30</v>
      </c>
      <c r="F7685" t="s">
        <v>877</v>
      </c>
      <c r="G7685" t="s">
        <v>161</v>
      </c>
      <c r="H7685" t="s">
        <v>207</v>
      </c>
      <c r="I7685" s="173">
        <v>319.56</v>
      </c>
      <c r="J7685" s="231">
        <f>308+319</f>
        <v>627</v>
      </c>
      <c r="K7685" s="90"/>
      <c r="L7685" s="151">
        <v>1663</v>
      </c>
      <c r="M7685" s="150">
        <f>+J7685/L7685*100</f>
        <v>37.702946482260977</v>
      </c>
    </row>
    <row r="7686" spans="1:13" hidden="1" x14ac:dyDescent="0.3">
      <c r="A7686" s="9">
        <v>6826</v>
      </c>
      <c r="B7686" t="s">
        <v>597</v>
      </c>
      <c r="C7686" s="25">
        <v>44754</v>
      </c>
      <c r="D7686" s="26">
        <v>0.99679398148148157</v>
      </c>
      <c r="E7686" t="s">
        <v>30</v>
      </c>
      <c r="F7686" t="s">
        <v>165</v>
      </c>
      <c r="G7686" t="s">
        <v>185</v>
      </c>
      <c r="H7686" t="s">
        <v>207</v>
      </c>
      <c r="I7686" s="173">
        <v>279.01</v>
      </c>
      <c r="J7686" s="23"/>
      <c r="K7686" s="90"/>
      <c r="L7686" s="23"/>
      <c r="M7686" s="91" t="e">
        <f t="shared" ref="M7686:M7717" si="472">I7686/K7686*100</f>
        <v>#DIV/0!</v>
      </c>
    </row>
    <row r="7687" spans="1:13" hidden="1" x14ac:dyDescent="0.3">
      <c r="B7687" t="s">
        <v>597</v>
      </c>
      <c r="C7687" s="25">
        <v>44755</v>
      </c>
      <c r="D7687" s="26">
        <v>0.93453703703703705</v>
      </c>
      <c r="E7687" t="s">
        <v>30</v>
      </c>
      <c r="F7687" t="s">
        <v>293</v>
      </c>
      <c r="G7687" t="s">
        <v>196</v>
      </c>
      <c r="H7687" t="s">
        <v>207</v>
      </c>
      <c r="I7687" s="173">
        <v>297.02999999999997</v>
      </c>
      <c r="J7687" s="23"/>
      <c r="K7687" s="90"/>
      <c r="L7687" s="23"/>
      <c r="M7687" s="91" t="e">
        <f t="shared" si="472"/>
        <v>#DIV/0!</v>
      </c>
    </row>
    <row r="7688" spans="1:13" hidden="1" x14ac:dyDescent="0.3">
      <c r="B7688" t="s">
        <v>597</v>
      </c>
      <c r="C7688" s="25">
        <v>44756</v>
      </c>
      <c r="D7688" s="26">
        <v>0.85715277777777776</v>
      </c>
      <c r="E7688" t="s">
        <v>30</v>
      </c>
      <c r="F7688" t="s">
        <v>175</v>
      </c>
      <c r="G7688" t="s">
        <v>172</v>
      </c>
      <c r="H7688" t="s">
        <v>207</v>
      </c>
      <c r="I7688" s="173">
        <v>237.67</v>
      </c>
      <c r="J7688" s="23"/>
      <c r="K7688" s="90"/>
      <c r="L7688" s="23"/>
      <c r="M7688" s="91" t="e">
        <f t="shared" si="472"/>
        <v>#DIV/0!</v>
      </c>
    </row>
    <row r="7689" spans="1:13" hidden="1" x14ac:dyDescent="0.3">
      <c r="B7689" t="s">
        <v>323</v>
      </c>
      <c r="C7689" s="25">
        <v>44568</v>
      </c>
      <c r="D7689" s="26">
        <v>0.52606481481481482</v>
      </c>
      <c r="E7689" t="s">
        <v>24</v>
      </c>
      <c r="F7689" t="s">
        <v>205</v>
      </c>
      <c r="G7689" t="s">
        <v>206</v>
      </c>
      <c r="H7689" t="s">
        <v>187</v>
      </c>
      <c r="I7689">
        <v>191.51</v>
      </c>
      <c r="J7689" s="34">
        <v>671074</v>
      </c>
      <c r="K7689" s="34">
        <f t="shared" ref="K7689:K7720" si="473">+L7689-J7689</f>
        <v>574</v>
      </c>
      <c r="L7689" s="34">
        <v>671648</v>
      </c>
      <c r="M7689" s="132">
        <f t="shared" si="472"/>
        <v>33.364111498257834</v>
      </c>
    </row>
    <row r="7690" spans="1:13" hidden="1" x14ac:dyDescent="0.3">
      <c r="B7690" t="s">
        <v>323</v>
      </c>
      <c r="C7690" s="25">
        <v>44569</v>
      </c>
      <c r="D7690" s="26">
        <v>0.88797453703703699</v>
      </c>
      <c r="E7690" t="s">
        <v>24</v>
      </c>
      <c r="F7690" t="s">
        <v>210</v>
      </c>
      <c r="G7690" t="s">
        <v>211</v>
      </c>
      <c r="H7690" t="s">
        <v>187</v>
      </c>
      <c r="I7690">
        <v>293.58</v>
      </c>
      <c r="J7690" s="7">
        <v>671648</v>
      </c>
      <c r="K7690" s="7">
        <f t="shared" si="473"/>
        <v>760</v>
      </c>
      <c r="L7690" s="11">
        <v>672408</v>
      </c>
      <c r="M7690" s="91">
        <f t="shared" si="472"/>
        <v>38.628947368421052</v>
      </c>
    </row>
    <row r="7691" spans="1:13" hidden="1" x14ac:dyDescent="0.3">
      <c r="B7691" t="s">
        <v>323</v>
      </c>
      <c r="C7691" s="25">
        <v>44570</v>
      </c>
      <c r="D7691" s="26">
        <v>0.73121527777777784</v>
      </c>
      <c r="E7691" t="s">
        <v>24</v>
      </c>
      <c r="F7691" t="s">
        <v>210</v>
      </c>
      <c r="G7691" t="s">
        <v>211</v>
      </c>
      <c r="H7691" t="s">
        <v>187</v>
      </c>
      <c r="I7691">
        <v>378.05</v>
      </c>
      <c r="J7691" s="7">
        <v>672408</v>
      </c>
      <c r="K7691" s="7">
        <f t="shared" si="473"/>
        <v>1086</v>
      </c>
      <c r="L7691" s="7">
        <v>673494</v>
      </c>
      <c r="M7691" s="91">
        <f t="shared" si="472"/>
        <v>34.811233885819519</v>
      </c>
    </row>
    <row r="7692" spans="1:13" hidden="1" x14ac:dyDescent="0.3">
      <c r="B7692" t="s">
        <v>323</v>
      </c>
      <c r="C7692" s="25">
        <v>44572</v>
      </c>
      <c r="D7692" s="26">
        <v>0.67303240740740744</v>
      </c>
      <c r="E7692" t="s">
        <v>24</v>
      </c>
      <c r="F7692" t="s">
        <v>175</v>
      </c>
      <c r="G7692" t="s">
        <v>172</v>
      </c>
      <c r="H7692" t="s">
        <v>187</v>
      </c>
      <c r="I7692">
        <v>351.69</v>
      </c>
      <c r="J7692" s="7">
        <v>673494</v>
      </c>
      <c r="K7692" s="7">
        <f t="shared" si="473"/>
        <v>998</v>
      </c>
      <c r="L7692" s="7">
        <v>674492</v>
      </c>
      <c r="M7692" s="91">
        <f t="shared" si="472"/>
        <v>35.239478957915829</v>
      </c>
    </row>
    <row r="7693" spans="1:13" hidden="1" x14ac:dyDescent="0.3">
      <c r="B7693" t="s">
        <v>323</v>
      </c>
      <c r="C7693" s="25">
        <v>44573</v>
      </c>
      <c r="D7693" s="26">
        <v>0.55432870370370368</v>
      </c>
      <c r="E7693" t="s">
        <v>24</v>
      </c>
      <c r="F7693" t="s">
        <v>210</v>
      </c>
      <c r="G7693" t="s">
        <v>211</v>
      </c>
      <c r="H7693" t="s">
        <v>187</v>
      </c>
      <c r="I7693">
        <v>323.67</v>
      </c>
      <c r="J7693" s="7">
        <v>674492</v>
      </c>
      <c r="K7693" s="7">
        <f t="shared" si="473"/>
        <v>850</v>
      </c>
      <c r="L7693" s="7">
        <v>675342</v>
      </c>
      <c r="M7693" s="91">
        <f t="shared" si="472"/>
        <v>38.078823529411764</v>
      </c>
    </row>
    <row r="7694" spans="1:13" hidden="1" x14ac:dyDescent="0.3">
      <c r="B7694" t="s">
        <v>323</v>
      </c>
      <c r="C7694" s="25">
        <v>44575</v>
      </c>
      <c r="D7694" s="26">
        <v>0.41010416666666666</v>
      </c>
      <c r="E7694" t="s">
        <v>24</v>
      </c>
      <c r="F7694" t="s">
        <v>210</v>
      </c>
      <c r="G7694" t="s">
        <v>211</v>
      </c>
      <c r="H7694" t="s">
        <v>187</v>
      </c>
      <c r="I7694">
        <v>386.51</v>
      </c>
      <c r="J7694" s="7">
        <v>675342</v>
      </c>
      <c r="K7694" s="34">
        <f t="shared" si="473"/>
        <v>1120</v>
      </c>
      <c r="L7694" s="34">
        <v>676462</v>
      </c>
      <c r="M7694" s="91">
        <f t="shared" si="472"/>
        <v>34.509821428571428</v>
      </c>
    </row>
    <row r="7695" spans="1:13" hidden="1" x14ac:dyDescent="0.3">
      <c r="B7695" t="s">
        <v>323</v>
      </c>
      <c r="C7695" s="25">
        <v>44576</v>
      </c>
      <c r="D7695" s="26">
        <v>0.36274305555555553</v>
      </c>
      <c r="E7695" t="s">
        <v>24</v>
      </c>
      <c r="F7695" t="s">
        <v>205</v>
      </c>
      <c r="G7695" t="s">
        <v>206</v>
      </c>
      <c r="H7695" t="s">
        <v>187</v>
      </c>
      <c r="I7695">
        <v>325.60000000000002</v>
      </c>
      <c r="J7695" s="7">
        <v>0</v>
      </c>
      <c r="K7695" s="7">
        <f t="shared" si="473"/>
        <v>908.82</v>
      </c>
      <c r="L7695" s="7">
        <v>908.82</v>
      </c>
      <c r="M7695" s="91">
        <f t="shared" si="472"/>
        <v>35.826676349552166</v>
      </c>
    </row>
    <row r="7696" spans="1:13" hidden="1" x14ac:dyDescent="0.3">
      <c r="B7696" t="s">
        <v>323</v>
      </c>
      <c r="C7696" s="25">
        <v>44577</v>
      </c>
      <c r="D7696" s="26">
        <v>0.3037037037037037</v>
      </c>
      <c r="E7696" t="s">
        <v>24</v>
      </c>
      <c r="F7696" t="s">
        <v>210</v>
      </c>
      <c r="G7696" t="s">
        <v>211</v>
      </c>
      <c r="H7696" t="s">
        <v>187</v>
      </c>
      <c r="I7696">
        <v>303.13</v>
      </c>
      <c r="J7696" s="7">
        <v>0</v>
      </c>
      <c r="K7696" s="7">
        <f t="shared" si="473"/>
        <v>739.68</v>
      </c>
      <c r="L7696" s="7">
        <v>739.68</v>
      </c>
      <c r="M7696" s="91">
        <f t="shared" si="472"/>
        <v>40.981235128704306</v>
      </c>
    </row>
    <row r="7697" spans="1:13" hidden="1" x14ac:dyDescent="0.3">
      <c r="B7697" t="s">
        <v>323</v>
      </c>
      <c r="C7697" s="25">
        <v>44578</v>
      </c>
      <c r="D7697" s="26">
        <v>0.85</v>
      </c>
      <c r="E7697" t="s">
        <v>24</v>
      </c>
      <c r="F7697" t="s">
        <v>210</v>
      </c>
      <c r="G7697" t="s">
        <v>211</v>
      </c>
      <c r="H7697" t="s">
        <v>187</v>
      </c>
      <c r="I7697">
        <v>520.01</v>
      </c>
      <c r="J7697" s="7">
        <v>0</v>
      </c>
      <c r="K7697" s="7">
        <f t="shared" si="473"/>
        <v>1113.93</v>
      </c>
      <c r="L7697" s="7">
        <v>1113.93</v>
      </c>
      <c r="M7697" s="91">
        <f t="shared" si="472"/>
        <v>46.682466582280753</v>
      </c>
    </row>
    <row r="7698" spans="1:13" hidden="1" x14ac:dyDescent="0.3">
      <c r="B7698" t="s">
        <v>323</v>
      </c>
      <c r="C7698" s="25">
        <v>44580</v>
      </c>
      <c r="D7698" s="26">
        <v>0.111875</v>
      </c>
      <c r="E7698" t="s">
        <v>24</v>
      </c>
      <c r="F7698" t="s">
        <v>175</v>
      </c>
      <c r="G7698" t="s">
        <v>172</v>
      </c>
      <c r="H7698" t="s">
        <v>187</v>
      </c>
      <c r="I7698">
        <v>375.89</v>
      </c>
      <c r="J7698" s="7">
        <v>0</v>
      </c>
      <c r="K7698" s="7">
        <f t="shared" si="473"/>
        <v>924.88</v>
      </c>
      <c r="L7698" s="7">
        <v>924.88</v>
      </c>
      <c r="M7698" s="91">
        <f t="shared" si="472"/>
        <v>40.642029236225241</v>
      </c>
    </row>
    <row r="7699" spans="1:13" hidden="1" x14ac:dyDescent="0.3">
      <c r="B7699" t="s">
        <v>323</v>
      </c>
      <c r="C7699" s="25">
        <v>44581</v>
      </c>
      <c r="D7699" s="26">
        <v>0.37023148148148149</v>
      </c>
      <c r="E7699" t="s">
        <v>24</v>
      </c>
      <c r="F7699" t="s">
        <v>210</v>
      </c>
      <c r="G7699" t="s">
        <v>211</v>
      </c>
      <c r="H7699" t="s">
        <v>187</v>
      </c>
      <c r="I7699">
        <v>328.29</v>
      </c>
      <c r="J7699" s="35">
        <v>680236</v>
      </c>
      <c r="K7699" s="51">
        <f t="shared" si="473"/>
        <v>849</v>
      </c>
      <c r="L7699" s="51">
        <v>681085</v>
      </c>
      <c r="M7699" s="134">
        <f t="shared" si="472"/>
        <v>38.667844522968196</v>
      </c>
    </row>
    <row r="7700" spans="1:13" hidden="1" x14ac:dyDescent="0.3">
      <c r="B7700" t="s">
        <v>323</v>
      </c>
      <c r="C7700" s="25">
        <v>44582</v>
      </c>
      <c r="D7700" s="26">
        <v>0.67722222222222228</v>
      </c>
      <c r="E7700" t="s">
        <v>24</v>
      </c>
      <c r="F7700" t="s">
        <v>210</v>
      </c>
      <c r="G7700" t="s">
        <v>211</v>
      </c>
      <c r="H7700" t="s">
        <v>187</v>
      </c>
      <c r="I7700">
        <v>368.86</v>
      </c>
      <c r="J7700" s="7">
        <v>681085</v>
      </c>
      <c r="K7700" s="7">
        <f t="shared" si="473"/>
        <v>1086</v>
      </c>
      <c r="L7700" s="7">
        <v>682171</v>
      </c>
      <c r="M7700" s="91">
        <f t="shared" si="472"/>
        <v>33.965009208103133</v>
      </c>
    </row>
    <row r="7701" spans="1:13" hidden="1" x14ac:dyDescent="0.3">
      <c r="B7701" t="s">
        <v>323</v>
      </c>
      <c r="C7701" s="25">
        <v>44583</v>
      </c>
      <c r="D7701" s="26">
        <v>0.51292824074074073</v>
      </c>
      <c r="E7701" t="s">
        <v>24</v>
      </c>
      <c r="F7701" t="s">
        <v>175</v>
      </c>
      <c r="G7701" t="s">
        <v>172</v>
      </c>
      <c r="H7701" t="s">
        <v>187</v>
      </c>
      <c r="I7701">
        <v>320.23</v>
      </c>
      <c r="J7701" s="34">
        <v>682171</v>
      </c>
      <c r="K7701" s="51">
        <f t="shared" si="473"/>
        <v>930</v>
      </c>
      <c r="L7701" s="51">
        <v>683101</v>
      </c>
      <c r="M7701" s="134">
        <f t="shared" si="472"/>
        <v>34.433333333333337</v>
      </c>
    </row>
    <row r="7702" spans="1:13" hidden="1" x14ac:dyDescent="0.3">
      <c r="B7702" t="s">
        <v>323</v>
      </c>
      <c r="C7702" s="25">
        <v>44584</v>
      </c>
      <c r="D7702" s="26">
        <v>0.83337962962962964</v>
      </c>
      <c r="E7702" t="s">
        <v>24</v>
      </c>
      <c r="F7702" t="s">
        <v>210</v>
      </c>
      <c r="G7702" t="s">
        <v>211</v>
      </c>
      <c r="H7702" t="s">
        <v>187</v>
      </c>
      <c r="I7702">
        <v>340.61</v>
      </c>
      <c r="J7702" s="7">
        <v>683101</v>
      </c>
      <c r="K7702" s="7">
        <f t="shared" si="473"/>
        <v>850</v>
      </c>
      <c r="L7702" s="7">
        <v>683951</v>
      </c>
      <c r="M7702" s="91">
        <f t="shared" si="472"/>
        <v>40.071764705882359</v>
      </c>
    </row>
    <row r="7703" spans="1:13" hidden="1" x14ac:dyDescent="0.3">
      <c r="B7703" t="s">
        <v>323</v>
      </c>
      <c r="C7703" s="25">
        <v>44587</v>
      </c>
      <c r="D7703" s="26">
        <v>0.32508101851851851</v>
      </c>
      <c r="E7703" t="s">
        <v>24</v>
      </c>
      <c r="F7703" t="s">
        <v>210</v>
      </c>
      <c r="G7703" t="s">
        <v>211</v>
      </c>
      <c r="H7703" t="s">
        <v>187</v>
      </c>
      <c r="I7703">
        <v>449.56</v>
      </c>
      <c r="J7703" s="7">
        <v>683951</v>
      </c>
      <c r="K7703" s="7">
        <f t="shared" si="473"/>
        <v>1141</v>
      </c>
      <c r="L7703" s="32">
        <v>685092</v>
      </c>
      <c r="M7703" s="91">
        <f t="shared" si="472"/>
        <v>39.400525854513582</v>
      </c>
    </row>
    <row r="7704" spans="1:13" hidden="1" x14ac:dyDescent="0.3">
      <c r="B7704" t="s">
        <v>323</v>
      </c>
      <c r="C7704" s="25">
        <v>44588</v>
      </c>
      <c r="D7704" s="26">
        <v>0.14706018518518518</v>
      </c>
      <c r="E7704" t="s">
        <v>24</v>
      </c>
      <c r="F7704" t="s">
        <v>175</v>
      </c>
      <c r="G7704" t="s">
        <v>172</v>
      </c>
      <c r="H7704" t="s">
        <v>187</v>
      </c>
      <c r="I7704">
        <v>367.09</v>
      </c>
      <c r="J7704" s="7">
        <v>685092</v>
      </c>
      <c r="K7704" s="7">
        <f t="shared" si="473"/>
        <v>971</v>
      </c>
      <c r="L7704" s="7">
        <v>686063</v>
      </c>
      <c r="M7704" s="91">
        <f t="shared" si="472"/>
        <v>37.805355303810501</v>
      </c>
    </row>
    <row r="7705" spans="1:13" hidden="1" x14ac:dyDescent="0.3">
      <c r="A7705" s="9">
        <v>262</v>
      </c>
      <c r="B7705" t="s">
        <v>323</v>
      </c>
      <c r="C7705" s="25">
        <v>44598</v>
      </c>
      <c r="D7705" s="26">
        <v>0.35556712962962966</v>
      </c>
      <c r="E7705" t="s">
        <v>25</v>
      </c>
      <c r="F7705" t="s">
        <v>210</v>
      </c>
      <c r="G7705" t="s">
        <v>211</v>
      </c>
      <c r="H7705" t="s">
        <v>187</v>
      </c>
      <c r="I7705">
        <v>379.48</v>
      </c>
      <c r="J7705" s="7">
        <v>686063</v>
      </c>
      <c r="K7705" s="7">
        <f t="shared" si="473"/>
        <v>898</v>
      </c>
      <c r="L7705" s="7">
        <v>686961</v>
      </c>
      <c r="M7705" s="91">
        <f t="shared" si="472"/>
        <v>42.258351893095771</v>
      </c>
    </row>
    <row r="7706" spans="1:13" hidden="1" x14ac:dyDescent="0.3">
      <c r="A7706" s="9">
        <v>263</v>
      </c>
      <c r="B7706" t="s">
        <v>323</v>
      </c>
      <c r="C7706" s="25">
        <v>44598</v>
      </c>
      <c r="D7706" s="26">
        <v>0.87952546296296286</v>
      </c>
      <c r="E7706" t="s">
        <v>25</v>
      </c>
      <c r="F7706" t="s">
        <v>165</v>
      </c>
      <c r="G7706" t="s">
        <v>185</v>
      </c>
      <c r="H7706" t="s">
        <v>187</v>
      </c>
      <c r="I7706">
        <v>225.91</v>
      </c>
      <c r="J7706" s="37">
        <v>686961</v>
      </c>
      <c r="K7706" s="32">
        <f t="shared" si="473"/>
        <v>560</v>
      </c>
      <c r="L7706" s="7">
        <v>687521</v>
      </c>
      <c r="M7706" s="91">
        <f t="shared" si="472"/>
        <v>40.341071428571432</v>
      </c>
    </row>
    <row r="7707" spans="1:13" hidden="1" x14ac:dyDescent="0.3">
      <c r="A7707" s="9">
        <v>264</v>
      </c>
      <c r="B7707" t="s">
        <v>323</v>
      </c>
      <c r="C7707" s="25">
        <v>44600</v>
      </c>
      <c r="D7707" s="26">
        <v>0.59409722222222217</v>
      </c>
      <c r="E7707" t="s">
        <v>25</v>
      </c>
      <c r="F7707" t="s">
        <v>202</v>
      </c>
      <c r="G7707" t="s">
        <v>203</v>
      </c>
      <c r="H7707" t="s">
        <v>187</v>
      </c>
      <c r="I7707">
        <v>336.42</v>
      </c>
      <c r="J7707" s="7">
        <v>687521</v>
      </c>
      <c r="K7707" s="7">
        <f t="shared" si="473"/>
        <v>1078</v>
      </c>
      <c r="L7707" s="7">
        <v>688599</v>
      </c>
      <c r="M7707" s="91">
        <f t="shared" si="472"/>
        <v>31.207792207792206</v>
      </c>
    </row>
    <row r="7708" spans="1:13" hidden="1" x14ac:dyDescent="0.3">
      <c r="A7708" s="9">
        <v>265</v>
      </c>
      <c r="B7708" t="s">
        <v>323</v>
      </c>
      <c r="C7708" s="25">
        <v>44601</v>
      </c>
      <c r="D7708" s="26">
        <v>0.9399074074074073</v>
      </c>
      <c r="E7708" t="s">
        <v>25</v>
      </c>
      <c r="F7708" t="s">
        <v>210</v>
      </c>
      <c r="G7708" t="s">
        <v>211</v>
      </c>
      <c r="H7708" t="s">
        <v>187</v>
      </c>
      <c r="I7708">
        <v>354.64</v>
      </c>
      <c r="J7708" s="7">
        <v>688599</v>
      </c>
      <c r="K7708" s="7">
        <f t="shared" si="473"/>
        <v>1114</v>
      </c>
      <c r="L7708" s="32">
        <v>689713</v>
      </c>
      <c r="M7708" s="91">
        <f t="shared" si="472"/>
        <v>31.834829443447038</v>
      </c>
    </row>
    <row r="7709" spans="1:13" hidden="1" x14ac:dyDescent="0.3">
      <c r="A7709" s="9">
        <v>266</v>
      </c>
      <c r="B7709" t="s">
        <v>323</v>
      </c>
      <c r="C7709" s="25">
        <v>44603</v>
      </c>
      <c r="D7709" s="26">
        <v>0.45097222222222227</v>
      </c>
      <c r="E7709" t="s">
        <v>25</v>
      </c>
      <c r="F7709" t="s">
        <v>175</v>
      </c>
      <c r="G7709" t="s">
        <v>172</v>
      </c>
      <c r="H7709" t="s">
        <v>187</v>
      </c>
      <c r="I7709">
        <v>358.79</v>
      </c>
      <c r="J7709" s="32">
        <v>689713</v>
      </c>
      <c r="K7709" s="32">
        <f t="shared" si="473"/>
        <v>1012</v>
      </c>
      <c r="L7709" s="32">
        <v>690725</v>
      </c>
      <c r="M7709" s="91">
        <f t="shared" si="472"/>
        <v>35.453557312252961</v>
      </c>
    </row>
    <row r="7710" spans="1:13" hidden="1" x14ac:dyDescent="0.3">
      <c r="A7710" s="9">
        <v>267</v>
      </c>
      <c r="B7710" t="s">
        <v>323</v>
      </c>
      <c r="C7710" s="25">
        <v>44604</v>
      </c>
      <c r="D7710" s="26">
        <v>0.39812500000000001</v>
      </c>
      <c r="E7710" t="s">
        <v>25</v>
      </c>
      <c r="F7710" t="s">
        <v>210</v>
      </c>
      <c r="G7710" t="s">
        <v>211</v>
      </c>
      <c r="H7710" t="s">
        <v>187</v>
      </c>
      <c r="I7710">
        <v>336.77</v>
      </c>
      <c r="J7710" s="37">
        <v>690725</v>
      </c>
      <c r="K7710" s="37">
        <f t="shared" si="473"/>
        <v>853</v>
      </c>
      <c r="L7710" s="37">
        <v>691578</v>
      </c>
      <c r="M7710" s="91">
        <f t="shared" si="472"/>
        <v>39.480656506447829</v>
      </c>
    </row>
    <row r="7711" spans="1:13" hidden="1" x14ac:dyDescent="0.3">
      <c r="A7711" s="9">
        <v>268</v>
      </c>
      <c r="B7711" t="s">
        <v>323</v>
      </c>
      <c r="C7711" s="25">
        <v>44606</v>
      </c>
      <c r="D7711" s="26">
        <v>0.3420023148148148</v>
      </c>
      <c r="E7711" t="s">
        <v>25</v>
      </c>
      <c r="F7711" t="s">
        <v>340</v>
      </c>
      <c r="G7711" t="s">
        <v>337</v>
      </c>
      <c r="H7711" t="s">
        <v>187</v>
      </c>
      <c r="I7711">
        <v>471.53</v>
      </c>
      <c r="J7711" s="32">
        <v>691578</v>
      </c>
      <c r="K7711" s="32">
        <f t="shared" si="473"/>
        <v>1353</v>
      </c>
      <c r="L7711" s="32">
        <v>692931</v>
      </c>
      <c r="M7711" s="91">
        <f t="shared" si="472"/>
        <v>34.850702143385071</v>
      </c>
    </row>
    <row r="7712" spans="1:13" hidden="1" x14ac:dyDescent="0.3">
      <c r="A7712" s="9">
        <v>269</v>
      </c>
      <c r="B7712" t="s">
        <v>323</v>
      </c>
      <c r="C7712" s="25">
        <v>44608</v>
      </c>
      <c r="D7712" s="26">
        <v>0.38663194444444443</v>
      </c>
      <c r="E7712" t="s">
        <v>25</v>
      </c>
      <c r="F7712" t="s">
        <v>210</v>
      </c>
      <c r="G7712" t="s">
        <v>211</v>
      </c>
      <c r="H7712" t="s">
        <v>187</v>
      </c>
      <c r="I7712">
        <v>447.56</v>
      </c>
      <c r="J7712" s="32">
        <v>692931</v>
      </c>
      <c r="K7712" s="32">
        <f t="shared" si="473"/>
        <v>1404</v>
      </c>
      <c r="L7712" s="32">
        <v>694335</v>
      </c>
      <c r="M7712" s="91">
        <f t="shared" si="472"/>
        <v>31.87749287749288</v>
      </c>
    </row>
    <row r="7713" spans="1:13" hidden="1" x14ac:dyDescent="0.3">
      <c r="A7713" s="9">
        <v>270</v>
      </c>
      <c r="B7713" t="s">
        <v>323</v>
      </c>
      <c r="C7713" s="25">
        <v>44609</v>
      </c>
      <c r="D7713" s="26">
        <v>0.53531249999999997</v>
      </c>
      <c r="E7713" t="s">
        <v>25</v>
      </c>
      <c r="F7713" t="s">
        <v>428</v>
      </c>
      <c r="G7713" t="s">
        <v>429</v>
      </c>
      <c r="H7713" t="s">
        <v>187</v>
      </c>
      <c r="I7713">
        <v>349.73</v>
      </c>
      <c r="J7713" s="32">
        <v>694335</v>
      </c>
      <c r="K7713" s="32">
        <f t="shared" si="473"/>
        <v>942</v>
      </c>
      <c r="L7713" s="32">
        <v>695277</v>
      </c>
      <c r="M7713" s="91">
        <f t="shared" si="472"/>
        <v>37.126326963906585</v>
      </c>
    </row>
    <row r="7714" spans="1:13" hidden="1" x14ac:dyDescent="0.3">
      <c r="A7714" s="9">
        <v>271</v>
      </c>
      <c r="B7714" t="s">
        <v>323</v>
      </c>
      <c r="C7714" s="25">
        <v>44610</v>
      </c>
      <c r="D7714" s="26">
        <v>0.6921180555555555</v>
      </c>
      <c r="E7714" t="s">
        <v>25</v>
      </c>
      <c r="F7714" t="s">
        <v>210</v>
      </c>
      <c r="G7714" t="s">
        <v>211</v>
      </c>
      <c r="H7714" t="s">
        <v>187</v>
      </c>
      <c r="I7714">
        <v>331.96</v>
      </c>
      <c r="J7714" s="32">
        <v>695277</v>
      </c>
      <c r="K7714" s="32">
        <f t="shared" si="473"/>
        <v>858</v>
      </c>
      <c r="L7714" s="32">
        <v>696135</v>
      </c>
      <c r="M7714" s="91">
        <f t="shared" si="472"/>
        <v>38.689976689976682</v>
      </c>
    </row>
    <row r="7715" spans="1:13" hidden="1" x14ac:dyDescent="0.3">
      <c r="A7715" s="9">
        <v>272</v>
      </c>
      <c r="B7715" t="s">
        <v>323</v>
      </c>
      <c r="C7715" s="25">
        <v>44612</v>
      </c>
      <c r="D7715" s="26">
        <v>0.4287731481481481</v>
      </c>
      <c r="E7715" t="s">
        <v>25</v>
      </c>
      <c r="F7715" t="s">
        <v>210</v>
      </c>
      <c r="G7715" t="s">
        <v>211</v>
      </c>
      <c r="H7715" t="s">
        <v>187</v>
      </c>
      <c r="I7715">
        <v>384.41</v>
      </c>
      <c r="J7715" s="37">
        <v>696135</v>
      </c>
      <c r="K7715" s="37">
        <f t="shared" si="473"/>
        <v>1089</v>
      </c>
      <c r="L7715" s="37">
        <v>697224</v>
      </c>
      <c r="M7715" s="132">
        <f t="shared" si="472"/>
        <v>35.299357208448114</v>
      </c>
    </row>
    <row r="7716" spans="1:13" hidden="1" x14ac:dyDescent="0.3">
      <c r="A7716" s="9">
        <v>273</v>
      </c>
      <c r="B7716" t="s">
        <v>323</v>
      </c>
      <c r="C7716" s="25">
        <v>44615</v>
      </c>
      <c r="D7716" s="26">
        <v>0.6037731481481482</v>
      </c>
      <c r="E7716" t="s">
        <v>25</v>
      </c>
      <c r="F7716" t="s">
        <v>175</v>
      </c>
      <c r="G7716" t="s">
        <v>172</v>
      </c>
      <c r="H7716" t="s">
        <v>187</v>
      </c>
      <c r="I7716">
        <v>337.45</v>
      </c>
      <c r="J7716" s="32">
        <v>697224</v>
      </c>
      <c r="K7716" s="32">
        <f t="shared" si="473"/>
        <v>1038</v>
      </c>
      <c r="L7716" s="32">
        <v>698262</v>
      </c>
      <c r="M7716" s="91">
        <f t="shared" si="472"/>
        <v>32.509633911368013</v>
      </c>
    </row>
    <row r="7717" spans="1:13" hidden="1" x14ac:dyDescent="0.3">
      <c r="A7717" s="9">
        <v>274</v>
      </c>
      <c r="B7717" t="s">
        <v>323</v>
      </c>
      <c r="C7717" s="25">
        <v>44616</v>
      </c>
      <c r="D7717" s="26">
        <v>0.70190972222222225</v>
      </c>
      <c r="E7717" t="s">
        <v>25</v>
      </c>
      <c r="F7717" t="s">
        <v>210</v>
      </c>
      <c r="G7717" t="s">
        <v>211</v>
      </c>
      <c r="H7717" t="s">
        <v>187</v>
      </c>
      <c r="I7717">
        <v>344.48</v>
      </c>
      <c r="J7717" s="32">
        <v>698262</v>
      </c>
      <c r="K7717" s="32">
        <f t="shared" si="473"/>
        <v>851</v>
      </c>
      <c r="L7717" s="32">
        <v>699113</v>
      </c>
      <c r="M7717" s="91">
        <f t="shared" si="472"/>
        <v>40.479435957696829</v>
      </c>
    </row>
    <row r="7718" spans="1:13" hidden="1" x14ac:dyDescent="0.3">
      <c r="A7718" s="9">
        <v>275</v>
      </c>
      <c r="B7718" t="s">
        <v>323</v>
      </c>
      <c r="C7718" s="25">
        <v>44618</v>
      </c>
      <c r="D7718" s="26">
        <v>0.75429398148148152</v>
      </c>
      <c r="E7718" t="s">
        <v>25</v>
      </c>
      <c r="F7718" t="s">
        <v>210</v>
      </c>
      <c r="G7718" t="s">
        <v>211</v>
      </c>
      <c r="H7718" t="s">
        <v>187</v>
      </c>
      <c r="I7718">
        <v>454.58</v>
      </c>
      <c r="J7718" s="32">
        <v>699113</v>
      </c>
      <c r="K7718" s="32">
        <f t="shared" si="473"/>
        <v>1149</v>
      </c>
      <c r="L7718" s="32">
        <v>700262</v>
      </c>
      <c r="M7718" s="133">
        <f t="shared" ref="M7718:M7749" si="474">I7718/K7718*100</f>
        <v>39.563098346388166</v>
      </c>
    </row>
    <row r="7719" spans="1:13" hidden="1" x14ac:dyDescent="0.3">
      <c r="A7719" s="9">
        <v>276</v>
      </c>
      <c r="B7719" t="s">
        <v>323</v>
      </c>
      <c r="C7719" s="25">
        <v>44620</v>
      </c>
      <c r="D7719" s="26">
        <v>0.66457175925925926</v>
      </c>
      <c r="E7719" t="s">
        <v>25</v>
      </c>
      <c r="F7719" t="s">
        <v>343</v>
      </c>
      <c r="G7719" t="s">
        <v>344</v>
      </c>
      <c r="H7719" t="s">
        <v>187</v>
      </c>
      <c r="I7719">
        <v>338.55</v>
      </c>
      <c r="J7719" s="32">
        <v>700262</v>
      </c>
      <c r="K7719" s="32">
        <f t="shared" si="473"/>
        <v>1049</v>
      </c>
      <c r="L7719" s="32">
        <v>701311</v>
      </c>
      <c r="M7719" s="133">
        <f t="shared" si="474"/>
        <v>32.273593898951383</v>
      </c>
    </row>
    <row r="7720" spans="1:13" hidden="1" x14ac:dyDescent="0.3">
      <c r="A7720" s="9">
        <v>277</v>
      </c>
      <c r="B7720" t="s">
        <v>323</v>
      </c>
      <c r="C7720" s="25">
        <v>44620</v>
      </c>
      <c r="D7720" s="26">
        <v>0.99434027777777778</v>
      </c>
      <c r="E7720" t="s">
        <v>25</v>
      </c>
      <c r="F7720" t="s">
        <v>210</v>
      </c>
      <c r="G7720" t="s">
        <v>211</v>
      </c>
      <c r="H7720" t="s">
        <v>187</v>
      </c>
      <c r="I7720">
        <v>211.29</v>
      </c>
      <c r="J7720" s="32">
        <v>701311</v>
      </c>
      <c r="K7720" s="37">
        <f t="shared" si="473"/>
        <v>518</v>
      </c>
      <c r="L7720" s="37">
        <v>701829</v>
      </c>
      <c r="M7720" s="119">
        <f t="shared" si="474"/>
        <v>40.789575289575289</v>
      </c>
    </row>
    <row r="7721" spans="1:13" hidden="1" x14ac:dyDescent="0.3">
      <c r="A7721" s="9">
        <v>1313</v>
      </c>
      <c r="B7721" t="s">
        <v>323</v>
      </c>
      <c r="C7721" s="25">
        <v>44622</v>
      </c>
      <c r="D7721" s="26">
        <v>0.88313657407407409</v>
      </c>
      <c r="E7721" t="s">
        <v>26</v>
      </c>
      <c r="F7721" t="s">
        <v>210</v>
      </c>
      <c r="G7721" t="s">
        <v>211</v>
      </c>
      <c r="H7721" t="s">
        <v>187</v>
      </c>
      <c r="I7721">
        <v>448.48</v>
      </c>
      <c r="J7721" s="32">
        <v>701829</v>
      </c>
      <c r="K7721" s="90">
        <f t="shared" ref="K7721:K7740" si="475">+L7721-J7721</f>
        <v>1149</v>
      </c>
      <c r="L7721" s="32">
        <v>702978</v>
      </c>
      <c r="M7721" s="91">
        <f t="shared" si="474"/>
        <v>39.032201914708445</v>
      </c>
    </row>
    <row r="7722" spans="1:13" hidden="1" x14ac:dyDescent="0.3">
      <c r="A7722" s="9">
        <v>1314</v>
      </c>
      <c r="B7722" t="s">
        <v>323</v>
      </c>
      <c r="C7722" s="25">
        <v>44625</v>
      </c>
      <c r="D7722" s="26">
        <v>0.43289351851851854</v>
      </c>
      <c r="E7722" t="s">
        <v>26</v>
      </c>
      <c r="F7722" t="s">
        <v>175</v>
      </c>
      <c r="G7722" t="s">
        <v>172</v>
      </c>
      <c r="H7722" t="s">
        <v>187</v>
      </c>
      <c r="I7722">
        <v>381.47</v>
      </c>
      <c r="J7722" s="32">
        <v>702978</v>
      </c>
      <c r="K7722" s="90">
        <f t="shared" si="475"/>
        <v>1035</v>
      </c>
      <c r="L7722" s="32">
        <v>704013</v>
      </c>
      <c r="M7722" s="91">
        <f t="shared" si="474"/>
        <v>36.85700483091788</v>
      </c>
    </row>
    <row r="7723" spans="1:13" hidden="1" x14ac:dyDescent="0.3">
      <c r="A7723" s="9">
        <v>1318</v>
      </c>
      <c r="B7723" t="s">
        <v>323</v>
      </c>
      <c r="C7723" s="25">
        <v>44636</v>
      </c>
      <c r="D7723" s="26">
        <v>0.34605324074074079</v>
      </c>
      <c r="E7723" t="s">
        <v>26</v>
      </c>
      <c r="F7723" t="s">
        <v>175</v>
      </c>
      <c r="G7723" t="s">
        <v>172</v>
      </c>
      <c r="H7723" t="s">
        <v>187</v>
      </c>
      <c r="I7723">
        <v>449.87</v>
      </c>
      <c r="J7723" s="32">
        <v>707040</v>
      </c>
      <c r="K7723" s="90">
        <f t="shared" si="475"/>
        <v>1719</v>
      </c>
      <c r="L7723" s="32">
        <v>708759</v>
      </c>
      <c r="M7723" s="91">
        <f t="shared" si="474"/>
        <v>26.170447934845843</v>
      </c>
    </row>
    <row r="7724" spans="1:13" hidden="1" x14ac:dyDescent="0.3">
      <c r="A7724" s="9">
        <v>1319</v>
      </c>
      <c r="B7724" t="s">
        <v>323</v>
      </c>
      <c r="C7724" s="25">
        <v>44637</v>
      </c>
      <c r="D7724" s="26">
        <v>0.35924768518518518</v>
      </c>
      <c r="E7724" t="s">
        <v>26</v>
      </c>
      <c r="F7724" t="s">
        <v>210</v>
      </c>
      <c r="G7724" t="s">
        <v>211</v>
      </c>
      <c r="H7724" t="s">
        <v>187</v>
      </c>
      <c r="I7724">
        <v>333.76</v>
      </c>
      <c r="J7724" s="37">
        <v>708759</v>
      </c>
      <c r="K7724" s="90">
        <f t="shared" si="475"/>
        <v>892</v>
      </c>
      <c r="L7724" s="32">
        <v>709651</v>
      </c>
      <c r="M7724" s="91">
        <f t="shared" si="474"/>
        <v>37.417040358744394</v>
      </c>
    </row>
    <row r="7725" spans="1:13" hidden="1" x14ac:dyDescent="0.3">
      <c r="A7725" s="9">
        <v>1320</v>
      </c>
      <c r="B7725" t="s">
        <v>323</v>
      </c>
      <c r="C7725" s="25">
        <v>44638</v>
      </c>
      <c r="D7725" s="26">
        <v>0.41983796296296294</v>
      </c>
      <c r="E7725" t="s">
        <v>26</v>
      </c>
      <c r="F7725" t="s">
        <v>210</v>
      </c>
      <c r="G7725" t="s">
        <v>211</v>
      </c>
      <c r="H7725" t="s">
        <v>187</v>
      </c>
      <c r="I7725">
        <v>353.05</v>
      </c>
      <c r="J7725" s="32">
        <v>709651</v>
      </c>
      <c r="K7725" s="90">
        <f t="shared" si="475"/>
        <v>901</v>
      </c>
      <c r="L7725" s="32">
        <v>710552</v>
      </c>
      <c r="M7725" s="91">
        <f t="shared" si="474"/>
        <v>39.184239733629298</v>
      </c>
    </row>
    <row r="7726" spans="1:13" hidden="1" x14ac:dyDescent="0.3">
      <c r="A7726" s="9">
        <v>1321</v>
      </c>
      <c r="B7726" t="s">
        <v>323</v>
      </c>
      <c r="C7726" s="25">
        <v>44641</v>
      </c>
      <c r="D7726" s="26">
        <v>5.3495370370370367E-2</v>
      </c>
      <c r="E7726" t="s">
        <v>26</v>
      </c>
      <c r="F7726" t="s">
        <v>175</v>
      </c>
      <c r="G7726" t="s">
        <v>172</v>
      </c>
      <c r="H7726" t="s">
        <v>187</v>
      </c>
      <c r="I7726">
        <v>342.97</v>
      </c>
      <c r="J7726" s="32">
        <v>710552</v>
      </c>
      <c r="K7726" s="90">
        <f t="shared" si="475"/>
        <v>987</v>
      </c>
      <c r="L7726" s="32">
        <v>711539</v>
      </c>
      <c r="M7726" s="91">
        <f t="shared" si="474"/>
        <v>34.748733535967581</v>
      </c>
    </row>
    <row r="7727" spans="1:13" hidden="1" x14ac:dyDescent="0.3">
      <c r="A7727" s="9">
        <v>1322</v>
      </c>
      <c r="B7727" t="s">
        <v>323</v>
      </c>
      <c r="C7727" s="25">
        <v>44641</v>
      </c>
      <c r="D7727" s="26">
        <v>0.85939814814814808</v>
      </c>
      <c r="E7727" t="s">
        <v>26</v>
      </c>
      <c r="F7727" t="s">
        <v>210</v>
      </c>
      <c r="G7727" t="s">
        <v>211</v>
      </c>
      <c r="H7727" t="s">
        <v>187</v>
      </c>
      <c r="I7727">
        <v>350.34</v>
      </c>
      <c r="J7727" s="32">
        <v>711539</v>
      </c>
      <c r="K7727" s="90">
        <f t="shared" si="475"/>
        <v>887</v>
      </c>
      <c r="L7727" s="32">
        <v>712426</v>
      </c>
      <c r="M7727" s="91">
        <f t="shared" si="474"/>
        <v>39.497181510710256</v>
      </c>
    </row>
    <row r="7728" spans="1:13" hidden="1" x14ac:dyDescent="0.3">
      <c r="A7728" s="9">
        <v>1323</v>
      </c>
      <c r="B7728" t="s">
        <v>323</v>
      </c>
      <c r="C7728" s="25">
        <v>44645</v>
      </c>
      <c r="D7728" s="26">
        <v>0.74362268518518526</v>
      </c>
      <c r="E7728" t="s">
        <v>26</v>
      </c>
      <c r="F7728" t="s">
        <v>210</v>
      </c>
      <c r="G7728" t="s">
        <v>211</v>
      </c>
      <c r="H7728" t="s">
        <v>187</v>
      </c>
      <c r="I7728">
        <v>331.74</v>
      </c>
      <c r="J7728" s="32">
        <v>712426</v>
      </c>
      <c r="K7728" s="90">
        <f t="shared" si="475"/>
        <v>903</v>
      </c>
      <c r="L7728" s="32">
        <v>713329</v>
      </c>
      <c r="M7728" s="91">
        <f t="shared" si="474"/>
        <v>36.737541528239205</v>
      </c>
    </row>
    <row r="7729" spans="1:13" hidden="1" x14ac:dyDescent="0.3">
      <c r="A7729" s="9">
        <v>1324</v>
      </c>
      <c r="B7729" t="s">
        <v>323</v>
      </c>
      <c r="C7729" s="25">
        <v>44647</v>
      </c>
      <c r="D7729" s="26">
        <v>0.33386574074074077</v>
      </c>
      <c r="E7729" t="s">
        <v>26</v>
      </c>
      <c r="F7729" t="s">
        <v>428</v>
      </c>
      <c r="G7729" t="s">
        <v>429</v>
      </c>
      <c r="H7729" t="s">
        <v>187</v>
      </c>
      <c r="I7729">
        <v>150.78</v>
      </c>
      <c r="J7729" s="32">
        <v>713329</v>
      </c>
      <c r="K7729" s="90">
        <f t="shared" si="475"/>
        <v>922</v>
      </c>
      <c r="L7729" s="32">
        <v>714251</v>
      </c>
      <c r="M7729" s="91">
        <f t="shared" si="474"/>
        <v>16.353579175704986</v>
      </c>
    </row>
    <row r="7730" spans="1:13" hidden="1" x14ac:dyDescent="0.3">
      <c r="A7730" s="9">
        <v>1325</v>
      </c>
      <c r="B7730" t="s">
        <v>323</v>
      </c>
      <c r="C7730" s="25">
        <v>44650</v>
      </c>
      <c r="D7730" s="26">
        <v>0.89770833333333344</v>
      </c>
      <c r="E7730" t="s">
        <v>26</v>
      </c>
      <c r="F7730" t="s">
        <v>175</v>
      </c>
      <c r="G7730" t="s">
        <v>172</v>
      </c>
      <c r="H7730" t="s">
        <v>187</v>
      </c>
      <c r="I7730">
        <v>252.53</v>
      </c>
      <c r="J7730" s="32">
        <v>714251</v>
      </c>
      <c r="K7730" s="90">
        <f t="shared" si="475"/>
        <v>190</v>
      </c>
      <c r="L7730" s="32">
        <v>714441</v>
      </c>
      <c r="M7730" s="91">
        <f t="shared" si="474"/>
        <v>132.91052631578947</v>
      </c>
    </row>
    <row r="7731" spans="1:13" hidden="1" x14ac:dyDescent="0.3">
      <c r="A7731" s="9">
        <v>2502</v>
      </c>
      <c r="B7731" t="s">
        <v>323</v>
      </c>
      <c r="C7731" s="25">
        <v>44652</v>
      </c>
      <c r="D7731" s="26">
        <v>0.54643518518518519</v>
      </c>
      <c r="E7731" t="s">
        <v>27</v>
      </c>
      <c r="F7731" t="s">
        <v>210</v>
      </c>
      <c r="G7731" t="s">
        <v>211</v>
      </c>
      <c r="H7731" t="s">
        <v>187</v>
      </c>
      <c r="I7731" s="57">
        <v>344</v>
      </c>
      <c r="J7731" s="32">
        <v>714441</v>
      </c>
      <c r="K7731" s="90">
        <f t="shared" si="475"/>
        <v>844</v>
      </c>
      <c r="L7731" s="182">
        <v>715285</v>
      </c>
      <c r="M7731" s="91">
        <f t="shared" si="474"/>
        <v>40.758293838862556</v>
      </c>
    </row>
    <row r="7732" spans="1:13" hidden="1" x14ac:dyDescent="0.3">
      <c r="A7732" s="9">
        <v>2503</v>
      </c>
      <c r="B7732" t="s">
        <v>323</v>
      </c>
      <c r="C7732" s="25">
        <v>44656</v>
      </c>
      <c r="D7732" s="26">
        <v>0.76223379629629628</v>
      </c>
      <c r="E7732" t="s">
        <v>27</v>
      </c>
      <c r="F7732" t="s">
        <v>210</v>
      </c>
      <c r="G7732" t="s">
        <v>211</v>
      </c>
      <c r="H7732" t="s">
        <v>187</v>
      </c>
      <c r="I7732" s="4">
        <v>448.86</v>
      </c>
      <c r="J7732" s="37">
        <v>715285</v>
      </c>
      <c r="K7732" s="90">
        <f t="shared" si="475"/>
        <v>1130</v>
      </c>
      <c r="L7732" s="32">
        <v>716415</v>
      </c>
      <c r="M7732" s="91">
        <f t="shared" si="474"/>
        <v>39.722123893805311</v>
      </c>
    </row>
    <row r="7733" spans="1:13" hidden="1" x14ac:dyDescent="0.3">
      <c r="A7733" s="9">
        <v>2504</v>
      </c>
      <c r="B7733" t="s">
        <v>323</v>
      </c>
      <c r="C7733" s="25">
        <v>44658</v>
      </c>
      <c r="D7733" s="26">
        <v>0.45986111111111111</v>
      </c>
      <c r="E7733" t="s">
        <v>27</v>
      </c>
      <c r="F7733" t="s">
        <v>428</v>
      </c>
      <c r="G7733" t="s">
        <v>429</v>
      </c>
      <c r="H7733" t="s">
        <v>187</v>
      </c>
      <c r="I7733" s="4">
        <f>100.16+200.31</f>
        <v>300.47000000000003</v>
      </c>
      <c r="J7733" s="32">
        <v>716415</v>
      </c>
      <c r="K7733" s="90">
        <f t="shared" si="475"/>
        <v>950</v>
      </c>
      <c r="L7733" s="32">
        <v>717365</v>
      </c>
      <c r="M7733" s="91">
        <f t="shared" si="474"/>
        <v>31.628421052631584</v>
      </c>
    </row>
    <row r="7734" spans="1:13" hidden="1" x14ac:dyDescent="0.3">
      <c r="A7734" s="9">
        <v>2505</v>
      </c>
      <c r="B7734" t="s">
        <v>323</v>
      </c>
      <c r="C7734" s="25">
        <v>44659</v>
      </c>
      <c r="D7734" s="26">
        <v>0.67436342592592602</v>
      </c>
      <c r="E7734" t="s">
        <v>27</v>
      </c>
      <c r="F7734" t="s">
        <v>210</v>
      </c>
      <c r="G7734" t="s">
        <v>211</v>
      </c>
      <c r="H7734" t="s">
        <v>187</v>
      </c>
      <c r="I7734" s="4">
        <v>381.82</v>
      </c>
      <c r="J7734" s="32">
        <v>717365</v>
      </c>
      <c r="K7734" s="97">
        <f t="shared" si="475"/>
        <v>990</v>
      </c>
      <c r="L7734" s="37">
        <v>718355</v>
      </c>
      <c r="M7734" s="91">
        <f t="shared" si="474"/>
        <v>38.567676767676765</v>
      </c>
    </row>
    <row r="7735" spans="1:13" hidden="1" x14ac:dyDescent="0.3">
      <c r="A7735" s="9">
        <v>2506</v>
      </c>
      <c r="B7735" t="s">
        <v>323</v>
      </c>
      <c r="C7735" s="25">
        <v>44660</v>
      </c>
      <c r="D7735" s="26">
        <v>0.83841435185185187</v>
      </c>
      <c r="E7735" t="s">
        <v>27</v>
      </c>
      <c r="F7735" t="s">
        <v>210</v>
      </c>
      <c r="G7735" t="s">
        <v>211</v>
      </c>
      <c r="H7735" t="s">
        <v>187</v>
      </c>
      <c r="I7735" s="4">
        <v>357.58</v>
      </c>
      <c r="J7735" s="32">
        <v>718355</v>
      </c>
      <c r="K7735" s="90">
        <f t="shared" si="475"/>
        <v>1077</v>
      </c>
      <c r="L7735" s="32">
        <v>719432</v>
      </c>
      <c r="M7735" s="91">
        <f t="shared" si="474"/>
        <v>33.201485608170842</v>
      </c>
    </row>
    <row r="7736" spans="1:13" hidden="1" x14ac:dyDescent="0.3">
      <c r="A7736" s="9">
        <v>2507</v>
      </c>
      <c r="B7736" t="s">
        <v>323</v>
      </c>
      <c r="C7736" s="25">
        <v>44663</v>
      </c>
      <c r="D7736" s="26">
        <v>0.40228009259259262</v>
      </c>
      <c r="E7736" t="s">
        <v>27</v>
      </c>
      <c r="F7736" t="s">
        <v>428</v>
      </c>
      <c r="G7736" t="s">
        <v>429</v>
      </c>
      <c r="H7736" t="s">
        <v>187</v>
      </c>
      <c r="I7736" s="4">
        <f>101.5+201.58</f>
        <v>303.08000000000004</v>
      </c>
      <c r="J7736" s="32">
        <v>719432</v>
      </c>
      <c r="K7736" s="90">
        <f t="shared" si="475"/>
        <v>936</v>
      </c>
      <c r="L7736" s="32">
        <v>720368</v>
      </c>
      <c r="M7736" s="91">
        <f t="shared" si="474"/>
        <v>32.380341880341881</v>
      </c>
    </row>
    <row r="7737" spans="1:13" hidden="1" x14ac:dyDescent="0.3">
      <c r="A7737" s="9">
        <v>2508</v>
      </c>
      <c r="B7737" t="s">
        <v>323</v>
      </c>
      <c r="C7737" s="25">
        <v>44665</v>
      </c>
      <c r="D7737" s="26">
        <v>0.29444444444444445</v>
      </c>
      <c r="E7737" t="s">
        <v>27</v>
      </c>
      <c r="F7737" t="s">
        <v>210</v>
      </c>
      <c r="G7737" t="s">
        <v>211</v>
      </c>
      <c r="H7737" t="s">
        <v>187</v>
      </c>
      <c r="I7737" s="4">
        <f>282.07+158.71</f>
        <v>440.78</v>
      </c>
      <c r="J7737" s="32">
        <v>720368</v>
      </c>
      <c r="K7737" s="90">
        <f t="shared" si="475"/>
        <v>1027</v>
      </c>
      <c r="L7737" s="32">
        <v>721395</v>
      </c>
      <c r="M7737" s="91">
        <f t="shared" si="474"/>
        <v>42.919182083739045</v>
      </c>
    </row>
    <row r="7738" spans="1:13" hidden="1" x14ac:dyDescent="0.3">
      <c r="A7738" s="9">
        <v>2509</v>
      </c>
      <c r="B7738" t="s">
        <v>323</v>
      </c>
      <c r="C7738" s="25">
        <v>44666</v>
      </c>
      <c r="D7738" s="26">
        <v>0.30459490740740741</v>
      </c>
      <c r="E7738" t="s">
        <v>27</v>
      </c>
      <c r="F7738" t="s">
        <v>210</v>
      </c>
      <c r="G7738" t="s">
        <v>211</v>
      </c>
      <c r="H7738" t="s">
        <v>187</v>
      </c>
      <c r="I7738" s="4">
        <v>386.29</v>
      </c>
      <c r="J7738" s="32">
        <v>721395</v>
      </c>
      <c r="K7738" s="90">
        <f t="shared" si="475"/>
        <v>1078</v>
      </c>
      <c r="L7738" s="32">
        <v>722473</v>
      </c>
      <c r="M7738" s="91">
        <f t="shared" si="474"/>
        <v>35.833951762523192</v>
      </c>
    </row>
    <row r="7739" spans="1:13" hidden="1" x14ac:dyDescent="0.3">
      <c r="A7739" s="9">
        <v>2510</v>
      </c>
      <c r="B7739" t="s">
        <v>323</v>
      </c>
      <c r="C7739" s="25">
        <v>44667</v>
      </c>
      <c r="D7739" s="26">
        <v>0.57486111111111116</v>
      </c>
      <c r="E7739" t="s">
        <v>27</v>
      </c>
      <c r="F7739" t="s">
        <v>428</v>
      </c>
      <c r="G7739" t="s">
        <v>429</v>
      </c>
      <c r="H7739" t="s">
        <v>187</v>
      </c>
      <c r="I7739" s="4">
        <f>150.34+193.49</f>
        <v>343.83000000000004</v>
      </c>
      <c r="J7739" s="32">
        <v>722473</v>
      </c>
      <c r="K7739" s="90">
        <f t="shared" si="475"/>
        <v>917</v>
      </c>
      <c r="L7739" s="32">
        <v>723390</v>
      </c>
      <c r="M7739" s="91">
        <f t="shared" si="474"/>
        <v>37.495092693565979</v>
      </c>
    </row>
    <row r="7740" spans="1:13" hidden="1" x14ac:dyDescent="0.3">
      <c r="A7740" s="9">
        <v>2511</v>
      </c>
      <c r="B7740" t="s">
        <v>323</v>
      </c>
      <c r="C7740" s="25">
        <v>44675</v>
      </c>
      <c r="D7740" s="26">
        <v>0.47706018518518517</v>
      </c>
      <c r="E7740" t="s">
        <v>27</v>
      </c>
      <c r="F7740" t="s">
        <v>210</v>
      </c>
      <c r="G7740" t="s">
        <v>211</v>
      </c>
      <c r="H7740" t="s">
        <v>187</v>
      </c>
      <c r="I7740" s="4">
        <v>412.38</v>
      </c>
      <c r="J7740" s="32">
        <v>723390</v>
      </c>
      <c r="K7740" s="90">
        <f t="shared" si="475"/>
        <v>1053</v>
      </c>
      <c r="L7740" s="32">
        <v>724443</v>
      </c>
      <c r="M7740" s="91">
        <f t="shared" si="474"/>
        <v>39.162393162393158</v>
      </c>
    </row>
    <row r="7741" spans="1:13" hidden="1" x14ac:dyDescent="0.3">
      <c r="A7741" s="9">
        <v>2512</v>
      </c>
      <c r="B7741" t="s">
        <v>323</v>
      </c>
      <c r="C7741" s="25">
        <v>44677</v>
      </c>
      <c r="D7741" s="26">
        <v>0.76431712962962972</v>
      </c>
      <c r="E7741" t="s">
        <v>27</v>
      </c>
      <c r="F7741" t="s">
        <v>210</v>
      </c>
      <c r="G7741" t="s">
        <v>211</v>
      </c>
      <c r="H7741" t="s">
        <v>187</v>
      </c>
      <c r="I7741">
        <v>456.82</v>
      </c>
      <c r="J7741" s="32">
        <v>0</v>
      </c>
      <c r="K7741" s="90">
        <f>+L7741-J10070</f>
        <v>1114</v>
      </c>
      <c r="L7741" s="7">
        <v>1114</v>
      </c>
      <c r="M7741" s="91">
        <f t="shared" si="474"/>
        <v>41.007181328545784</v>
      </c>
    </row>
    <row r="7742" spans="1:13" hidden="1" x14ac:dyDescent="0.3">
      <c r="A7742" s="9">
        <v>2513</v>
      </c>
      <c r="B7742" t="s">
        <v>323</v>
      </c>
      <c r="C7742" s="25">
        <v>44678</v>
      </c>
      <c r="D7742" s="26">
        <v>0.81913194444444448</v>
      </c>
      <c r="E7742" t="s">
        <v>27</v>
      </c>
      <c r="F7742" t="s">
        <v>428</v>
      </c>
      <c r="G7742" t="s">
        <v>429</v>
      </c>
      <c r="H7742" t="s">
        <v>187</v>
      </c>
      <c r="I7742">
        <f>150.14+155.02</f>
        <v>305.15999999999997</v>
      </c>
      <c r="J7742" s="32">
        <v>0</v>
      </c>
      <c r="K7742" s="90">
        <f t="shared" ref="K7742:K7752" si="476">+L7742-J7742</f>
        <v>896</v>
      </c>
      <c r="L7742" s="7">
        <v>896</v>
      </c>
      <c r="M7742" s="91">
        <f t="shared" si="474"/>
        <v>34.058035714285708</v>
      </c>
    </row>
    <row r="7743" spans="1:13" hidden="1" x14ac:dyDescent="0.3">
      <c r="A7743" s="9">
        <v>2514</v>
      </c>
      <c r="B7743" t="s">
        <v>323</v>
      </c>
      <c r="C7743" s="25">
        <v>44680</v>
      </c>
      <c r="D7743" s="26">
        <v>0.47146990740740741</v>
      </c>
      <c r="E7743" t="s">
        <v>27</v>
      </c>
      <c r="F7743" t="s">
        <v>210</v>
      </c>
      <c r="G7743" t="s">
        <v>211</v>
      </c>
      <c r="H7743" t="s">
        <v>187</v>
      </c>
      <c r="I7743">
        <v>389.21</v>
      </c>
      <c r="J7743" s="37">
        <v>0</v>
      </c>
      <c r="K7743" s="90">
        <f t="shared" si="476"/>
        <v>987</v>
      </c>
      <c r="L7743" s="32">
        <v>987</v>
      </c>
      <c r="M7743" s="91">
        <f t="shared" si="474"/>
        <v>39.433637284701113</v>
      </c>
    </row>
    <row r="7744" spans="1:13" hidden="1" x14ac:dyDescent="0.3">
      <c r="A7744" s="9">
        <v>2515</v>
      </c>
      <c r="B7744" t="s">
        <v>323</v>
      </c>
      <c r="C7744" s="25">
        <v>44681</v>
      </c>
      <c r="D7744" s="26">
        <v>0.75728009259259255</v>
      </c>
      <c r="E7744" t="s">
        <v>27</v>
      </c>
      <c r="F7744" t="s">
        <v>210</v>
      </c>
      <c r="G7744" t="s">
        <v>211</v>
      </c>
      <c r="H7744" t="s">
        <v>187</v>
      </c>
      <c r="I7744">
        <v>357.41</v>
      </c>
      <c r="J7744" s="32">
        <v>0</v>
      </c>
      <c r="K7744" s="90">
        <f t="shared" si="476"/>
        <v>1062</v>
      </c>
      <c r="L7744" s="32">
        <v>1062</v>
      </c>
      <c r="M7744" s="91">
        <f t="shared" si="474"/>
        <v>33.654425612052734</v>
      </c>
    </row>
    <row r="7745" spans="1:13" hidden="1" x14ac:dyDescent="0.3">
      <c r="A7745" s="9">
        <v>3713</v>
      </c>
      <c r="B7745" t="s">
        <v>323</v>
      </c>
      <c r="C7745" s="25">
        <v>44683</v>
      </c>
      <c r="D7745" s="26">
        <v>0.7669097222222222</v>
      </c>
      <c r="E7745" t="s">
        <v>28</v>
      </c>
      <c r="F7745" t="s">
        <v>428</v>
      </c>
      <c r="G7745" t="s">
        <v>429</v>
      </c>
      <c r="H7745" t="s">
        <v>187</v>
      </c>
      <c r="I7745">
        <v>300</v>
      </c>
      <c r="J7745" s="32">
        <v>0</v>
      </c>
      <c r="K7745" s="90">
        <f t="shared" si="476"/>
        <v>902</v>
      </c>
      <c r="L7745" s="32">
        <v>902</v>
      </c>
      <c r="M7745" s="91">
        <f t="shared" si="474"/>
        <v>33.259423503325941</v>
      </c>
    </row>
    <row r="7746" spans="1:13" hidden="1" x14ac:dyDescent="0.3">
      <c r="A7746" s="9">
        <v>3795</v>
      </c>
      <c r="B7746" t="s">
        <v>323</v>
      </c>
      <c r="C7746" s="25">
        <v>44685</v>
      </c>
      <c r="D7746" s="26">
        <v>0.54561342592592588</v>
      </c>
      <c r="E7746" t="s">
        <v>28</v>
      </c>
      <c r="F7746" t="s">
        <v>210</v>
      </c>
      <c r="G7746" t="s">
        <v>211</v>
      </c>
      <c r="H7746" t="s">
        <v>187</v>
      </c>
      <c r="I7746">
        <v>421.98</v>
      </c>
      <c r="J7746" s="32">
        <v>0</v>
      </c>
      <c r="K7746" s="90">
        <f t="shared" si="476"/>
        <v>980</v>
      </c>
      <c r="L7746" s="32">
        <v>980</v>
      </c>
      <c r="M7746" s="91">
        <f t="shared" si="474"/>
        <v>43.059183673469391</v>
      </c>
    </row>
    <row r="7747" spans="1:13" hidden="1" x14ac:dyDescent="0.3">
      <c r="A7747" s="9">
        <v>3862</v>
      </c>
      <c r="B7747" t="s">
        <v>323</v>
      </c>
      <c r="C7747" s="25">
        <v>44686</v>
      </c>
      <c r="D7747" s="26">
        <v>0.59600694444444446</v>
      </c>
      <c r="E7747" t="s">
        <v>28</v>
      </c>
      <c r="F7747" t="s">
        <v>210</v>
      </c>
      <c r="G7747" t="s">
        <v>211</v>
      </c>
      <c r="H7747" t="s">
        <v>187</v>
      </c>
      <c r="I7747">
        <v>363.83</v>
      </c>
      <c r="J7747" s="32">
        <v>0</v>
      </c>
      <c r="K7747" s="90">
        <f t="shared" si="476"/>
        <v>1063</v>
      </c>
      <c r="L7747" s="32">
        <v>1063</v>
      </c>
      <c r="M7747" s="91">
        <f t="shared" si="474"/>
        <v>34.226716839134525</v>
      </c>
    </row>
    <row r="7748" spans="1:13" hidden="1" x14ac:dyDescent="0.3">
      <c r="A7748" s="9">
        <v>3912</v>
      </c>
      <c r="B7748" t="s">
        <v>323</v>
      </c>
      <c r="C7748" s="25">
        <v>44687</v>
      </c>
      <c r="D7748" s="26">
        <v>0.59399305555555559</v>
      </c>
      <c r="E7748" t="s">
        <v>28</v>
      </c>
      <c r="F7748" t="s">
        <v>428</v>
      </c>
      <c r="G7748" t="s">
        <v>429</v>
      </c>
      <c r="H7748" t="s">
        <v>187</v>
      </c>
      <c r="I7748">
        <v>401</v>
      </c>
      <c r="J7748" s="32">
        <v>0</v>
      </c>
      <c r="K7748" s="90">
        <f t="shared" si="476"/>
        <v>892</v>
      </c>
      <c r="L7748" s="32">
        <v>892</v>
      </c>
      <c r="M7748" s="91">
        <f t="shared" si="474"/>
        <v>44.955156950672645</v>
      </c>
    </row>
    <row r="7749" spans="1:13" hidden="1" x14ac:dyDescent="0.3">
      <c r="A7749" s="9">
        <v>4014</v>
      </c>
      <c r="B7749" t="s">
        <v>323</v>
      </c>
      <c r="C7749" s="25">
        <v>44689</v>
      </c>
      <c r="D7749" s="26">
        <v>0.23575231481481482</v>
      </c>
      <c r="E7749" t="s">
        <v>28</v>
      </c>
      <c r="F7749" t="s">
        <v>210</v>
      </c>
      <c r="G7749" t="s">
        <v>211</v>
      </c>
      <c r="H7749" t="s">
        <v>187</v>
      </c>
      <c r="I7749">
        <v>399.4</v>
      </c>
      <c r="J7749" s="32">
        <v>0</v>
      </c>
      <c r="K7749" s="90">
        <f t="shared" si="476"/>
        <v>982</v>
      </c>
      <c r="L7749" s="32">
        <v>982</v>
      </c>
      <c r="M7749" s="91">
        <f t="shared" si="474"/>
        <v>40.672097759674131</v>
      </c>
    </row>
    <row r="7750" spans="1:13" hidden="1" x14ac:dyDescent="0.3">
      <c r="A7750" s="9">
        <v>4015</v>
      </c>
      <c r="B7750" t="s">
        <v>323</v>
      </c>
      <c r="C7750" s="25">
        <v>44689</v>
      </c>
      <c r="D7750" s="26">
        <v>0.97020833333333334</v>
      </c>
      <c r="E7750" t="s">
        <v>28</v>
      </c>
      <c r="F7750" t="s">
        <v>210</v>
      </c>
      <c r="G7750" t="s">
        <v>211</v>
      </c>
      <c r="H7750" t="s">
        <v>187</v>
      </c>
      <c r="I7750">
        <v>390.08</v>
      </c>
      <c r="J7750" s="32">
        <v>0</v>
      </c>
      <c r="K7750" s="90">
        <f t="shared" si="476"/>
        <v>1062</v>
      </c>
      <c r="L7750" s="32">
        <v>1062</v>
      </c>
      <c r="M7750" s="91">
        <f t="shared" ref="M7750:M7786" si="477">I7750/K7750*100</f>
        <v>36.730696798493405</v>
      </c>
    </row>
    <row r="7751" spans="1:13" hidden="1" x14ac:dyDescent="0.3">
      <c r="A7751" s="9">
        <v>4104</v>
      </c>
      <c r="B7751" t="s">
        <v>323</v>
      </c>
      <c r="C7751" s="25">
        <v>44691</v>
      </c>
      <c r="D7751" s="26">
        <v>0.45959490740740744</v>
      </c>
      <c r="E7751" t="s">
        <v>28</v>
      </c>
      <c r="F7751" t="s">
        <v>262</v>
      </c>
      <c r="G7751" t="s">
        <v>263</v>
      </c>
      <c r="H7751" t="s">
        <v>187</v>
      </c>
      <c r="I7751">
        <v>325</v>
      </c>
      <c r="J7751" s="37">
        <v>0</v>
      </c>
      <c r="K7751" s="90">
        <f t="shared" si="476"/>
        <v>904</v>
      </c>
      <c r="L7751" s="32">
        <v>904</v>
      </c>
      <c r="M7751" s="91">
        <f t="shared" si="477"/>
        <v>35.951327433628315</v>
      </c>
    </row>
    <row r="7752" spans="1:13" hidden="1" x14ac:dyDescent="0.3">
      <c r="A7752" s="9">
        <v>4156</v>
      </c>
      <c r="B7752" t="s">
        <v>323</v>
      </c>
      <c r="C7752" s="25">
        <v>44692</v>
      </c>
      <c r="D7752" s="26">
        <v>0.85273148148148159</v>
      </c>
      <c r="E7752" t="s">
        <v>28</v>
      </c>
      <c r="F7752" t="s">
        <v>210</v>
      </c>
      <c r="G7752" t="s">
        <v>211</v>
      </c>
      <c r="H7752" t="s">
        <v>187</v>
      </c>
      <c r="I7752">
        <v>339</v>
      </c>
      <c r="J7752" s="32">
        <v>0</v>
      </c>
      <c r="K7752" s="90">
        <f t="shared" si="476"/>
        <v>878</v>
      </c>
      <c r="L7752" s="32">
        <v>878</v>
      </c>
      <c r="M7752" s="91">
        <f t="shared" si="477"/>
        <v>38.610478359908882</v>
      </c>
    </row>
    <row r="7753" spans="1:13" hidden="1" x14ac:dyDescent="0.3">
      <c r="A7753" s="9">
        <v>4252</v>
      </c>
      <c r="B7753" t="s">
        <v>323</v>
      </c>
      <c r="C7753" s="25">
        <v>44694</v>
      </c>
      <c r="D7753" s="26">
        <v>0.50633101851851847</v>
      </c>
      <c r="E7753" t="s">
        <v>28</v>
      </c>
      <c r="F7753" t="s">
        <v>166</v>
      </c>
      <c r="G7753" t="s">
        <v>161</v>
      </c>
      <c r="H7753" t="s">
        <v>187</v>
      </c>
      <c r="I7753">
        <v>481.17</v>
      </c>
      <c r="J7753" s="32">
        <v>0</v>
      </c>
      <c r="K7753" s="90">
        <f t="shared" ref="K7753:K7760" si="478">+L7753-J7874</f>
        <v>1198</v>
      </c>
      <c r="L7753" s="32">
        <v>1198</v>
      </c>
      <c r="M7753" s="91">
        <f t="shared" si="477"/>
        <v>40.164440734557601</v>
      </c>
    </row>
    <row r="7754" spans="1:13" hidden="1" x14ac:dyDescent="0.3">
      <c r="A7754" s="9">
        <v>4300</v>
      </c>
      <c r="B7754" t="s">
        <v>323</v>
      </c>
      <c r="C7754" s="25">
        <v>44695</v>
      </c>
      <c r="D7754" s="26">
        <v>0.76581018518518518</v>
      </c>
      <c r="E7754" t="s">
        <v>28</v>
      </c>
      <c r="F7754" t="s">
        <v>428</v>
      </c>
      <c r="G7754" t="s">
        <v>429</v>
      </c>
      <c r="H7754" t="s">
        <v>187</v>
      </c>
      <c r="I7754">
        <f>100.06+100.13</f>
        <v>200.19</v>
      </c>
      <c r="J7754" s="32">
        <v>0</v>
      </c>
      <c r="K7754" s="90">
        <f t="shared" si="478"/>
        <v>840</v>
      </c>
      <c r="L7754" s="32">
        <v>840</v>
      </c>
      <c r="M7754" s="91">
        <f t="shared" si="477"/>
        <v>23.832142857142856</v>
      </c>
    </row>
    <row r="7755" spans="1:13" hidden="1" x14ac:dyDescent="0.3">
      <c r="A7755" s="9">
        <v>4812</v>
      </c>
      <c r="B7755" t="s">
        <v>323</v>
      </c>
      <c r="C7755" s="25">
        <v>44704</v>
      </c>
      <c r="D7755" s="26">
        <v>0.83497685185185189</v>
      </c>
      <c r="E7755" t="s">
        <v>28</v>
      </c>
      <c r="F7755" t="s">
        <v>262</v>
      </c>
      <c r="G7755" t="s">
        <v>263</v>
      </c>
      <c r="H7755" t="s">
        <v>187</v>
      </c>
      <c r="I7755">
        <v>200</v>
      </c>
      <c r="J7755" s="37">
        <v>0</v>
      </c>
      <c r="K7755" s="90">
        <f t="shared" si="478"/>
        <v>520</v>
      </c>
      <c r="L7755" s="32">
        <v>520</v>
      </c>
      <c r="M7755" s="91">
        <f t="shared" si="477"/>
        <v>38.461538461538467</v>
      </c>
    </row>
    <row r="7756" spans="1:13" hidden="1" x14ac:dyDescent="0.3">
      <c r="A7756" s="9">
        <v>4862</v>
      </c>
      <c r="B7756" t="s">
        <v>323</v>
      </c>
      <c r="C7756" s="25">
        <v>44705</v>
      </c>
      <c r="D7756" s="26">
        <v>0.94856481481481481</v>
      </c>
      <c r="E7756" t="s">
        <v>28</v>
      </c>
      <c r="F7756" t="s">
        <v>166</v>
      </c>
      <c r="G7756" t="s">
        <v>161</v>
      </c>
      <c r="H7756" t="s">
        <v>187</v>
      </c>
      <c r="I7756">
        <v>377.66</v>
      </c>
      <c r="J7756" s="32">
        <v>0</v>
      </c>
      <c r="K7756" s="90">
        <f t="shared" si="478"/>
        <v>806</v>
      </c>
      <c r="L7756" s="32">
        <v>806</v>
      </c>
      <c r="M7756" s="91">
        <f t="shared" si="477"/>
        <v>46.856079404466506</v>
      </c>
    </row>
    <row r="7757" spans="1:13" hidden="1" x14ac:dyDescent="0.3">
      <c r="A7757" s="9">
        <v>4974</v>
      </c>
      <c r="B7757" t="s">
        <v>323</v>
      </c>
      <c r="C7757" s="25">
        <v>44707</v>
      </c>
      <c r="D7757" s="26">
        <v>0.76623842592592595</v>
      </c>
      <c r="E7757" t="s">
        <v>28</v>
      </c>
      <c r="F7757" t="s">
        <v>633</v>
      </c>
      <c r="G7757" t="s">
        <v>322</v>
      </c>
      <c r="H7757" t="s">
        <v>187</v>
      </c>
      <c r="I7757">
        <v>200.01</v>
      </c>
      <c r="J7757" s="32">
        <v>0</v>
      </c>
      <c r="K7757" s="90">
        <f t="shared" si="478"/>
        <v>1170</v>
      </c>
      <c r="L7757" s="7">
        <v>1170</v>
      </c>
      <c r="M7757" s="91">
        <f t="shared" si="477"/>
        <v>17.094871794871793</v>
      </c>
    </row>
    <row r="7758" spans="1:13" hidden="1" x14ac:dyDescent="0.3">
      <c r="A7758" s="9">
        <v>4975</v>
      </c>
      <c r="B7758" t="s">
        <v>323</v>
      </c>
      <c r="C7758" s="25">
        <v>44707</v>
      </c>
      <c r="D7758" s="26">
        <v>0.81888888888888889</v>
      </c>
      <c r="E7758" t="s">
        <v>28</v>
      </c>
      <c r="F7758" t="s">
        <v>634</v>
      </c>
      <c r="G7758" t="s">
        <v>211</v>
      </c>
      <c r="H7758" t="s">
        <v>187</v>
      </c>
      <c r="I7758">
        <v>315.19</v>
      </c>
      <c r="J7758" s="32">
        <v>0</v>
      </c>
      <c r="K7758" s="90">
        <f t="shared" si="478"/>
        <v>29</v>
      </c>
      <c r="L7758" s="7">
        <v>29</v>
      </c>
      <c r="M7758" s="36">
        <f t="shared" si="477"/>
        <v>1086.8620689655172</v>
      </c>
    </row>
    <row r="7759" spans="1:13" hidden="1" x14ac:dyDescent="0.3">
      <c r="A7759" s="9">
        <v>5074</v>
      </c>
      <c r="B7759" t="s">
        <v>323</v>
      </c>
      <c r="C7759" s="25">
        <v>44709</v>
      </c>
      <c r="D7759" s="26">
        <v>0.43372685185185184</v>
      </c>
      <c r="E7759" t="s">
        <v>28</v>
      </c>
      <c r="F7759" t="s">
        <v>651</v>
      </c>
      <c r="G7759" t="s">
        <v>172</v>
      </c>
      <c r="H7759" t="s">
        <v>187</v>
      </c>
      <c r="I7759">
        <v>332.8</v>
      </c>
      <c r="J7759" s="32">
        <v>0</v>
      </c>
      <c r="K7759" s="90">
        <f t="shared" si="478"/>
        <v>991</v>
      </c>
      <c r="L7759" s="7">
        <v>991</v>
      </c>
      <c r="M7759" s="36">
        <f t="shared" si="477"/>
        <v>33.582240161453079</v>
      </c>
    </row>
    <row r="7760" spans="1:13" hidden="1" x14ac:dyDescent="0.3">
      <c r="A7760" s="9">
        <v>5127</v>
      </c>
      <c r="B7760" t="s">
        <v>323</v>
      </c>
      <c r="C7760" s="25">
        <v>44710</v>
      </c>
      <c r="D7760" s="26">
        <v>0.69233796296296291</v>
      </c>
      <c r="E7760" t="s">
        <v>28</v>
      </c>
      <c r="F7760" t="s">
        <v>632</v>
      </c>
      <c r="G7760" t="s">
        <v>161</v>
      </c>
      <c r="H7760" t="s">
        <v>187</v>
      </c>
      <c r="I7760">
        <v>315.77999999999997</v>
      </c>
      <c r="J7760" s="33">
        <v>0</v>
      </c>
      <c r="K7760" s="88">
        <f t="shared" si="478"/>
        <v>753</v>
      </c>
      <c r="L7760" s="51">
        <v>753</v>
      </c>
      <c r="M7760" s="134">
        <f t="shared" si="477"/>
        <v>41.936254980079681</v>
      </c>
    </row>
    <row r="7761" spans="1:19" hidden="1" x14ac:dyDescent="0.3">
      <c r="A7761" s="9">
        <v>5183</v>
      </c>
      <c r="B7761" t="s">
        <v>323</v>
      </c>
      <c r="C7761" s="25">
        <v>44711</v>
      </c>
      <c r="D7761" s="26">
        <v>0.66456018518518511</v>
      </c>
      <c r="E7761" t="s">
        <v>28</v>
      </c>
      <c r="F7761" t="s">
        <v>635</v>
      </c>
      <c r="G7761" t="s">
        <v>185</v>
      </c>
      <c r="H7761" t="s">
        <v>187</v>
      </c>
      <c r="I7761">
        <v>293.45999999999998</v>
      </c>
      <c r="J7761" s="32">
        <v>0</v>
      </c>
      <c r="K7761" s="90">
        <f>+L7761-J7881</f>
        <v>1385</v>
      </c>
      <c r="L7761" s="7">
        <v>1385</v>
      </c>
      <c r="M7761" s="91">
        <f t="shared" si="477"/>
        <v>21.188447653429602</v>
      </c>
    </row>
    <row r="7762" spans="1:19" hidden="1" x14ac:dyDescent="0.3">
      <c r="A7762" s="9">
        <v>5268</v>
      </c>
      <c r="B7762" t="s">
        <v>323</v>
      </c>
      <c r="C7762" s="25">
        <v>44713</v>
      </c>
      <c r="D7762" s="26">
        <v>0.72815972222222225</v>
      </c>
      <c r="E7762" t="s">
        <v>29</v>
      </c>
      <c r="F7762" t="s">
        <v>635</v>
      </c>
      <c r="G7762" t="s">
        <v>185</v>
      </c>
      <c r="H7762" t="s">
        <v>187</v>
      </c>
      <c r="I7762">
        <v>195.42</v>
      </c>
      <c r="J7762" s="32">
        <v>0</v>
      </c>
      <c r="K7762" s="90">
        <f>+L7762-J7881</f>
        <v>440</v>
      </c>
      <c r="L7762" s="7">
        <v>440</v>
      </c>
      <c r="M7762" s="91">
        <f t="shared" si="477"/>
        <v>44.413636363636364</v>
      </c>
    </row>
    <row r="7763" spans="1:19" hidden="1" x14ac:dyDescent="0.3">
      <c r="A7763" s="9">
        <v>5321</v>
      </c>
      <c r="B7763" t="s">
        <v>323</v>
      </c>
      <c r="C7763" s="25">
        <v>44714</v>
      </c>
      <c r="D7763" s="26">
        <v>0.71636574074074078</v>
      </c>
      <c r="E7763" t="s">
        <v>29</v>
      </c>
      <c r="F7763" t="s">
        <v>635</v>
      </c>
      <c r="G7763" t="s">
        <v>185</v>
      </c>
      <c r="H7763" t="s">
        <v>187</v>
      </c>
      <c r="I7763">
        <v>186.02</v>
      </c>
      <c r="J7763" s="32">
        <v>0</v>
      </c>
      <c r="K7763" s="90">
        <f>+L7763-J7882</f>
        <v>439</v>
      </c>
      <c r="L7763" s="7">
        <v>439</v>
      </c>
      <c r="M7763" s="91">
        <f t="shared" si="477"/>
        <v>42.373576309794991</v>
      </c>
    </row>
    <row r="7764" spans="1:19" ht="14.25" hidden="1" customHeight="1" x14ac:dyDescent="0.3">
      <c r="A7764" s="9">
        <v>5389</v>
      </c>
      <c r="B7764" t="s">
        <v>323</v>
      </c>
      <c r="C7764" s="25">
        <v>44715</v>
      </c>
      <c r="D7764" s="26">
        <v>0.82262731481481488</v>
      </c>
      <c r="E7764" t="s">
        <v>29</v>
      </c>
      <c r="F7764" t="s">
        <v>707</v>
      </c>
      <c r="G7764" t="s">
        <v>45</v>
      </c>
      <c r="H7764" t="s">
        <v>187</v>
      </c>
      <c r="I7764">
        <v>192.87</v>
      </c>
      <c r="J7764" s="37">
        <v>0</v>
      </c>
      <c r="K7764" s="90">
        <f>+L7764-J7883</f>
        <v>449</v>
      </c>
      <c r="L7764" s="7">
        <v>449</v>
      </c>
      <c r="M7764" s="91">
        <f t="shared" si="477"/>
        <v>42.955456570155903</v>
      </c>
    </row>
    <row r="7765" spans="1:19" hidden="1" x14ac:dyDescent="0.3">
      <c r="A7765" s="9">
        <v>5446</v>
      </c>
      <c r="B7765" t="s">
        <v>323</v>
      </c>
      <c r="C7765" s="25">
        <v>44716</v>
      </c>
      <c r="D7765" s="26">
        <v>0.77039351851851856</v>
      </c>
      <c r="E7765" t="s">
        <v>29</v>
      </c>
      <c r="F7765" t="s">
        <v>635</v>
      </c>
      <c r="G7765" t="s">
        <v>185</v>
      </c>
      <c r="H7765" t="s">
        <v>187</v>
      </c>
      <c r="I7765">
        <v>157.16</v>
      </c>
      <c r="J7765" s="32">
        <v>0</v>
      </c>
      <c r="K7765" s="90">
        <f>+L7765-J7884</f>
        <v>351</v>
      </c>
      <c r="L7765" s="7">
        <v>351</v>
      </c>
      <c r="M7765" s="91">
        <f t="shared" si="477"/>
        <v>44.774928774928775</v>
      </c>
    </row>
    <row r="7766" spans="1:19" hidden="1" x14ac:dyDescent="0.3">
      <c r="A7766" s="9">
        <v>5501</v>
      </c>
      <c r="B7766" t="s">
        <v>323</v>
      </c>
      <c r="C7766" s="25">
        <v>44717</v>
      </c>
      <c r="D7766" s="26">
        <v>0.59518518518518515</v>
      </c>
      <c r="E7766" t="s">
        <v>29</v>
      </c>
      <c r="F7766" t="s">
        <v>632</v>
      </c>
      <c r="G7766" t="s">
        <v>161</v>
      </c>
      <c r="H7766" t="s">
        <v>187</v>
      </c>
      <c r="I7766">
        <v>168.74</v>
      </c>
      <c r="J7766" s="32">
        <v>0</v>
      </c>
      <c r="K7766" s="90">
        <f>+L7766-J7884</f>
        <v>590</v>
      </c>
      <c r="L7766" s="7">
        <v>590</v>
      </c>
      <c r="M7766" s="91">
        <f t="shared" si="477"/>
        <v>28.6</v>
      </c>
    </row>
    <row r="7767" spans="1:19" hidden="1" x14ac:dyDescent="0.3">
      <c r="A7767" s="9">
        <v>5645</v>
      </c>
      <c r="B7767" t="s">
        <v>323</v>
      </c>
      <c r="C7767" s="25">
        <v>44720</v>
      </c>
      <c r="D7767" s="26">
        <v>0.58635416666666662</v>
      </c>
      <c r="E7767" t="s">
        <v>29</v>
      </c>
      <c r="F7767" t="s">
        <v>662</v>
      </c>
      <c r="G7767" t="s">
        <v>542</v>
      </c>
      <c r="H7767" t="s">
        <v>187</v>
      </c>
      <c r="I7767">
        <v>50</v>
      </c>
      <c r="J7767" s="37">
        <v>0</v>
      </c>
      <c r="K7767" s="90" t="e">
        <f>+L7767-#REF!</f>
        <v>#REF!</v>
      </c>
      <c r="L7767" s="7">
        <v>1182</v>
      </c>
      <c r="M7767" s="91" t="e">
        <f t="shared" si="477"/>
        <v>#REF!</v>
      </c>
    </row>
    <row r="7768" spans="1:19" hidden="1" x14ac:dyDescent="0.3">
      <c r="A7768" s="9">
        <v>5646</v>
      </c>
      <c r="B7768" t="s">
        <v>323</v>
      </c>
      <c r="C7768" s="25">
        <v>44720</v>
      </c>
      <c r="D7768" s="26">
        <v>0.69818287037037041</v>
      </c>
      <c r="E7768" t="s">
        <v>29</v>
      </c>
      <c r="F7768" t="s">
        <v>654</v>
      </c>
      <c r="G7768" t="s">
        <v>303</v>
      </c>
      <c r="H7768" t="s">
        <v>187</v>
      </c>
      <c r="I7768">
        <v>310</v>
      </c>
      <c r="J7768" s="32">
        <v>0</v>
      </c>
      <c r="K7768" s="90">
        <f>+L7768-J7342</f>
        <v>105</v>
      </c>
      <c r="L7768" s="7">
        <v>105</v>
      </c>
      <c r="M7768" s="91">
        <f t="shared" si="477"/>
        <v>295.23809523809524</v>
      </c>
    </row>
    <row r="7769" spans="1:19" hidden="1" x14ac:dyDescent="0.3">
      <c r="A7769" s="9">
        <v>5647</v>
      </c>
      <c r="B7769" t="s">
        <v>323</v>
      </c>
      <c r="C7769" s="25">
        <v>44720</v>
      </c>
      <c r="D7769" s="26">
        <v>0.99438657407407405</v>
      </c>
      <c r="E7769" t="s">
        <v>29</v>
      </c>
      <c r="F7769" t="s">
        <v>634</v>
      </c>
      <c r="G7769" t="s">
        <v>211</v>
      </c>
      <c r="H7769" t="s">
        <v>187</v>
      </c>
      <c r="I7769">
        <v>279.06</v>
      </c>
      <c r="J7769" s="32">
        <v>0</v>
      </c>
      <c r="K7769" s="90">
        <f t="shared" ref="K7769:K7774" si="479">+L7769-J7344</f>
        <v>431</v>
      </c>
      <c r="L7769" s="7">
        <v>431</v>
      </c>
      <c r="M7769" s="91">
        <f t="shared" si="477"/>
        <v>64.747099767981439</v>
      </c>
    </row>
    <row r="7770" spans="1:19" hidden="1" x14ac:dyDescent="0.3">
      <c r="A7770" s="9">
        <v>5710</v>
      </c>
      <c r="B7770" t="s">
        <v>323</v>
      </c>
      <c r="C7770" s="25">
        <v>44721</v>
      </c>
      <c r="D7770" s="26">
        <v>0.63263888888888886</v>
      </c>
      <c r="E7770" t="s">
        <v>29</v>
      </c>
      <c r="F7770" t="s">
        <v>635</v>
      </c>
      <c r="G7770" t="s">
        <v>185</v>
      </c>
      <c r="H7770" t="s">
        <v>187</v>
      </c>
      <c r="I7770">
        <v>251.26</v>
      </c>
      <c r="J7770" s="37">
        <v>0</v>
      </c>
      <c r="K7770" s="90">
        <f t="shared" si="479"/>
        <v>548</v>
      </c>
      <c r="L7770" s="7">
        <v>548</v>
      </c>
      <c r="M7770" s="91">
        <f t="shared" si="477"/>
        <v>45.850364963503651</v>
      </c>
    </row>
    <row r="7771" spans="1:19" hidden="1" x14ac:dyDescent="0.3">
      <c r="A7771" s="9">
        <v>5711</v>
      </c>
      <c r="B7771" t="s">
        <v>323</v>
      </c>
      <c r="C7771" s="25">
        <v>44721</v>
      </c>
      <c r="D7771" s="26">
        <v>0.98752314814814823</v>
      </c>
      <c r="E7771" t="s">
        <v>29</v>
      </c>
      <c r="F7771" t="s">
        <v>634</v>
      </c>
      <c r="G7771" t="s">
        <v>211</v>
      </c>
      <c r="H7771" t="s">
        <v>187</v>
      </c>
      <c r="I7771">
        <v>137.4</v>
      </c>
      <c r="J7771" s="32">
        <v>0</v>
      </c>
      <c r="K7771" s="90">
        <f t="shared" si="479"/>
        <v>514</v>
      </c>
      <c r="L7771" s="7">
        <v>514</v>
      </c>
      <c r="M7771" s="91">
        <f t="shared" si="477"/>
        <v>26.731517509727627</v>
      </c>
    </row>
    <row r="7772" spans="1:19" hidden="1" x14ac:dyDescent="0.3">
      <c r="A7772" s="9">
        <v>5794</v>
      </c>
      <c r="B7772" t="s">
        <v>323</v>
      </c>
      <c r="C7772" s="25">
        <v>44723</v>
      </c>
      <c r="D7772" s="26">
        <v>0.70412037037037034</v>
      </c>
      <c r="E7772" t="s">
        <v>29</v>
      </c>
      <c r="F7772" t="s">
        <v>639</v>
      </c>
      <c r="G7772" t="s">
        <v>44</v>
      </c>
      <c r="H7772" t="s">
        <v>187</v>
      </c>
      <c r="I7772">
        <v>231</v>
      </c>
      <c r="J7772" s="32">
        <v>0</v>
      </c>
      <c r="K7772" s="90">
        <f t="shared" si="479"/>
        <v>1163</v>
      </c>
      <c r="L7772" s="7">
        <v>1163</v>
      </c>
      <c r="M7772" s="91">
        <f t="shared" si="477"/>
        <v>19.862424763542563</v>
      </c>
    </row>
    <row r="7773" spans="1:19" hidden="1" x14ac:dyDescent="0.3">
      <c r="A7773" s="9">
        <v>5795</v>
      </c>
      <c r="B7773" t="s">
        <v>323</v>
      </c>
      <c r="C7773" s="25">
        <v>44723</v>
      </c>
      <c r="D7773" s="26">
        <v>0.7769907407407407</v>
      </c>
      <c r="E7773" t="s">
        <v>29</v>
      </c>
      <c r="F7773" t="s">
        <v>663</v>
      </c>
      <c r="G7773" t="s">
        <v>344</v>
      </c>
      <c r="H7773" t="s">
        <v>187</v>
      </c>
      <c r="I7773">
        <v>100</v>
      </c>
      <c r="J7773" s="37">
        <v>0</v>
      </c>
      <c r="K7773" s="90">
        <f t="shared" si="479"/>
        <v>79</v>
      </c>
      <c r="L7773" s="7">
        <v>79</v>
      </c>
      <c r="M7773" s="133">
        <f t="shared" si="477"/>
        <v>126.58227848101266</v>
      </c>
    </row>
    <row r="7774" spans="1:19" hidden="1" x14ac:dyDescent="0.3">
      <c r="A7774" s="9">
        <v>5860</v>
      </c>
      <c r="B7774" t="s">
        <v>323</v>
      </c>
      <c r="C7774" s="25">
        <v>44724</v>
      </c>
      <c r="D7774" s="26">
        <v>0.48906250000000001</v>
      </c>
      <c r="E7774" t="s">
        <v>29</v>
      </c>
      <c r="F7774" t="s">
        <v>634</v>
      </c>
      <c r="G7774" t="s">
        <v>211</v>
      </c>
      <c r="H7774" t="s">
        <v>187</v>
      </c>
      <c r="I7774">
        <v>323.69</v>
      </c>
      <c r="J7774" s="32">
        <v>0</v>
      </c>
      <c r="K7774" s="90">
        <f t="shared" si="479"/>
        <v>505</v>
      </c>
      <c r="L7774" s="7">
        <v>505</v>
      </c>
      <c r="M7774" s="133">
        <f t="shared" si="477"/>
        <v>64.097029702970303</v>
      </c>
    </row>
    <row r="7775" spans="1:19" hidden="1" x14ac:dyDescent="0.3">
      <c r="A7775" s="9">
        <v>5915</v>
      </c>
      <c r="B7775" t="s">
        <v>323</v>
      </c>
      <c r="C7775" s="25">
        <v>44725</v>
      </c>
      <c r="D7775" s="26">
        <v>0.46043981481481483</v>
      </c>
      <c r="E7775" t="s">
        <v>29</v>
      </c>
      <c r="F7775" t="s">
        <v>634</v>
      </c>
      <c r="G7775" t="s">
        <v>211</v>
      </c>
      <c r="H7775" t="s">
        <v>187</v>
      </c>
      <c r="I7775">
        <v>320.27</v>
      </c>
      <c r="J7775" s="32">
        <v>0</v>
      </c>
      <c r="K7775" s="90">
        <v>908</v>
      </c>
      <c r="L7775" s="7">
        <v>908</v>
      </c>
      <c r="M7775" s="133">
        <f t="shared" si="477"/>
        <v>35.272026431718061</v>
      </c>
      <c r="N7775" s="2"/>
      <c r="O7775" s="2"/>
      <c r="P7775" s="2"/>
      <c r="Q7775" s="2"/>
      <c r="R7775" s="2"/>
      <c r="S7775" s="2"/>
    </row>
    <row r="7776" spans="1:19" hidden="1" x14ac:dyDescent="0.3">
      <c r="A7776" s="9">
        <v>5916</v>
      </c>
      <c r="B7776" t="s">
        <v>323</v>
      </c>
      <c r="C7776" s="25">
        <v>44725</v>
      </c>
      <c r="D7776" s="26">
        <v>0.94118055555555558</v>
      </c>
      <c r="E7776" t="s">
        <v>29</v>
      </c>
      <c r="F7776" t="s">
        <v>656</v>
      </c>
      <c r="G7776" t="s">
        <v>495</v>
      </c>
      <c r="H7776" t="s">
        <v>187</v>
      </c>
      <c r="I7776">
        <v>50.05</v>
      </c>
      <c r="J7776" s="32">
        <v>0</v>
      </c>
      <c r="K7776" s="90">
        <v>571</v>
      </c>
      <c r="L7776" s="7">
        <v>571</v>
      </c>
      <c r="M7776" s="133">
        <f t="shared" si="477"/>
        <v>8.7653239929947464</v>
      </c>
      <c r="N7776" s="2"/>
      <c r="O7776" s="2"/>
      <c r="P7776" s="2"/>
      <c r="Q7776" s="2"/>
      <c r="R7776" s="2"/>
      <c r="S7776" s="2"/>
    </row>
    <row r="7777" spans="1:13" hidden="1" x14ac:dyDescent="0.3">
      <c r="A7777" s="9">
        <v>6287</v>
      </c>
      <c r="B7777" t="s">
        <v>323</v>
      </c>
      <c r="C7777" s="25">
        <v>44733</v>
      </c>
      <c r="D7777" s="26">
        <v>0.84643518518518512</v>
      </c>
      <c r="E7777" t="s">
        <v>29</v>
      </c>
      <c r="F7777" t="s">
        <v>651</v>
      </c>
      <c r="G7777" t="s">
        <v>172</v>
      </c>
      <c r="H7777" t="s">
        <v>187</v>
      </c>
      <c r="I7777">
        <v>165.72</v>
      </c>
      <c r="J7777" s="32">
        <v>0</v>
      </c>
      <c r="K7777" s="90">
        <v>602</v>
      </c>
      <c r="L7777" s="7">
        <v>602</v>
      </c>
      <c r="M7777" s="91">
        <f t="shared" si="477"/>
        <v>27.528239202657804</v>
      </c>
    </row>
    <row r="7778" spans="1:13" hidden="1" x14ac:dyDescent="0.3">
      <c r="A7778" s="9">
        <v>6319</v>
      </c>
      <c r="B7778" t="s">
        <v>323</v>
      </c>
      <c r="C7778" s="25">
        <v>44734</v>
      </c>
      <c r="D7778" s="26">
        <v>0.78671296296296289</v>
      </c>
      <c r="E7778" t="s">
        <v>29</v>
      </c>
      <c r="F7778" t="s">
        <v>632</v>
      </c>
      <c r="G7778" t="s">
        <v>161</v>
      </c>
      <c r="H7778" t="s">
        <v>187</v>
      </c>
      <c r="I7778">
        <v>297.95</v>
      </c>
      <c r="J7778" s="32">
        <v>0</v>
      </c>
      <c r="K7778" s="90">
        <v>755</v>
      </c>
      <c r="L7778" s="7">
        <v>755</v>
      </c>
      <c r="M7778" s="91">
        <f t="shared" si="477"/>
        <v>39.463576158940391</v>
      </c>
    </row>
    <row r="7779" spans="1:13" hidden="1" x14ac:dyDescent="0.3">
      <c r="A7779" s="9">
        <v>6370</v>
      </c>
      <c r="B7779" t="s">
        <v>323</v>
      </c>
      <c r="C7779" s="25">
        <v>44735</v>
      </c>
      <c r="D7779" s="26">
        <v>0.64143518518518516</v>
      </c>
      <c r="E7779" t="s">
        <v>29</v>
      </c>
      <c r="F7779" t="s">
        <v>635</v>
      </c>
      <c r="G7779" t="s">
        <v>185</v>
      </c>
      <c r="H7779" t="s">
        <v>187</v>
      </c>
      <c r="I7779">
        <v>275.52</v>
      </c>
      <c r="J7779" s="32">
        <v>0</v>
      </c>
      <c r="K7779" s="90">
        <v>623</v>
      </c>
      <c r="L7779" s="7">
        <v>623</v>
      </c>
      <c r="M7779" s="91">
        <f t="shared" si="477"/>
        <v>44.224719101123597</v>
      </c>
    </row>
    <row r="7780" spans="1:13" hidden="1" x14ac:dyDescent="0.3">
      <c r="A7780" s="9">
        <v>6414</v>
      </c>
      <c r="B7780" t="s">
        <v>323</v>
      </c>
      <c r="C7780" s="25">
        <v>44736</v>
      </c>
      <c r="D7780" s="26">
        <v>0.60185185185185186</v>
      </c>
      <c r="E7780" t="s">
        <v>29</v>
      </c>
      <c r="F7780" t="s">
        <v>758</v>
      </c>
      <c r="G7780" t="s">
        <v>337</v>
      </c>
      <c r="H7780" t="s">
        <v>187</v>
      </c>
      <c r="I7780">
        <v>224.24</v>
      </c>
      <c r="J7780" s="32">
        <v>0</v>
      </c>
      <c r="K7780" s="90">
        <v>824</v>
      </c>
      <c r="L7780" s="7">
        <v>824</v>
      </c>
      <c r="M7780" s="91">
        <f t="shared" si="477"/>
        <v>27.21359223300971</v>
      </c>
    </row>
    <row r="7781" spans="1:13" hidden="1" x14ac:dyDescent="0.3">
      <c r="A7781" s="9">
        <v>6477</v>
      </c>
      <c r="B7781" t="s">
        <v>323</v>
      </c>
      <c r="C7781" s="25">
        <v>44737</v>
      </c>
      <c r="D7781" s="26">
        <v>0.6255208333333333</v>
      </c>
      <c r="E7781" t="s">
        <v>29</v>
      </c>
      <c r="F7781" t="s">
        <v>635</v>
      </c>
      <c r="G7781" t="s">
        <v>185</v>
      </c>
      <c r="H7781" t="s">
        <v>187</v>
      </c>
      <c r="I7781">
        <v>353.35</v>
      </c>
      <c r="J7781" s="32">
        <v>0</v>
      </c>
      <c r="K7781" s="90">
        <v>803</v>
      </c>
      <c r="L7781" s="7">
        <v>803</v>
      </c>
      <c r="M7781" s="91">
        <f t="shared" si="477"/>
        <v>44.003735990037363</v>
      </c>
    </row>
    <row r="7782" spans="1:13" hidden="1" x14ac:dyDescent="0.3">
      <c r="A7782" s="9">
        <v>6526</v>
      </c>
      <c r="B7782" t="s">
        <v>323</v>
      </c>
      <c r="C7782" s="25">
        <v>44738</v>
      </c>
      <c r="D7782" s="26">
        <v>0.33556712962962965</v>
      </c>
      <c r="E7782" t="s">
        <v>29</v>
      </c>
      <c r="F7782" t="s">
        <v>634</v>
      </c>
      <c r="G7782" t="s">
        <v>211</v>
      </c>
      <c r="H7782" t="s">
        <v>187</v>
      </c>
      <c r="I7782">
        <v>155.16999999999999</v>
      </c>
      <c r="J7782" s="37">
        <v>0</v>
      </c>
      <c r="K7782" s="90">
        <v>514</v>
      </c>
      <c r="L7782" s="7">
        <v>514</v>
      </c>
      <c r="M7782" s="91">
        <f t="shared" si="477"/>
        <v>30.188715953307387</v>
      </c>
    </row>
    <row r="7783" spans="1:13" hidden="1" x14ac:dyDescent="0.3">
      <c r="A7783" s="9">
        <v>6579</v>
      </c>
      <c r="B7783" t="s">
        <v>323</v>
      </c>
      <c r="C7783" s="25">
        <v>44739</v>
      </c>
      <c r="D7783" s="26">
        <v>0.34167824074074077</v>
      </c>
      <c r="E7783" t="s">
        <v>29</v>
      </c>
      <c r="F7783" t="s">
        <v>637</v>
      </c>
      <c r="G7783" t="s">
        <v>196</v>
      </c>
      <c r="H7783" t="s">
        <v>187</v>
      </c>
      <c r="I7783">
        <v>170.78</v>
      </c>
      <c r="J7783" s="32">
        <v>0</v>
      </c>
      <c r="K7783" s="90">
        <v>481</v>
      </c>
      <c r="L7783" s="7">
        <v>481</v>
      </c>
      <c r="M7783" s="91">
        <f t="shared" si="477"/>
        <v>35.505197505197508</v>
      </c>
    </row>
    <row r="7784" spans="1:13" ht="15" hidden="1" customHeight="1" x14ac:dyDescent="0.3">
      <c r="A7784" s="9">
        <v>6635</v>
      </c>
      <c r="B7784" t="s">
        <v>323</v>
      </c>
      <c r="C7784" s="25">
        <v>44740</v>
      </c>
      <c r="D7784" s="26">
        <v>0.33332175925925928</v>
      </c>
      <c r="E7784" t="s">
        <v>29</v>
      </c>
      <c r="F7784" t="s">
        <v>651</v>
      </c>
      <c r="G7784" t="s">
        <v>172</v>
      </c>
      <c r="H7784" t="s">
        <v>187</v>
      </c>
      <c r="I7784">
        <v>211.69</v>
      </c>
      <c r="J7784" s="32">
        <v>0</v>
      </c>
      <c r="K7784" s="90">
        <v>579</v>
      </c>
      <c r="L7784" s="7">
        <v>579</v>
      </c>
      <c r="M7784" s="91">
        <f t="shared" si="477"/>
        <v>36.561312607944728</v>
      </c>
    </row>
    <row r="7785" spans="1:13" ht="15" hidden="1" customHeight="1" x14ac:dyDescent="0.3">
      <c r="A7785" s="9">
        <v>6636</v>
      </c>
      <c r="B7785" t="s">
        <v>323</v>
      </c>
      <c r="C7785" s="25">
        <v>44740</v>
      </c>
      <c r="D7785" s="26">
        <v>0.89777777777777779</v>
      </c>
      <c r="E7785" t="s">
        <v>29</v>
      </c>
      <c r="F7785" t="s">
        <v>634</v>
      </c>
      <c r="G7785" t="s">
        <v>211</v>
      </c>
      <c r="H7785" t="s">
        <v>187</v>
      </c>
      <c r="I7785">
        <v>266.26</v>
      </c>
      <c r="J7785" s="32">
        <v>0</v>
      </c>
      <c r="K7785" s="90">
        <v>696</v>
      </c>
      <c r="L7785" s="7">
        <v>696</v>
      </c>
      <c r="M7785" s="91">
        <f t="shared" si="477"/>
        <v>38.255747126436781</v>
      </c>
    </row>
    <row r="7786" spans="1:13" ht="15" hidden="1" customHeight="1" x14ac:dyDescent="0.3">
      <c r="A7786" s="9">
        <v>6702</v>
      </c>
      <c r="B7786" t="s">
        <v>323</v>
      </c>
      <c r="C7786" s="25">
        <v>44741</v>
      </c>
      <c r="D7786" s="26">
        <v>0.69587962962962957</v>
      </c>
      <c r="E7786" t="s">
        <v>29</v>
      </c>
      <c r="F7786" t="s">
        <v>635</v>
      </c>
      <c r="G7786" t="s">
        <v>185</v>
      </c>
      <c r="H7786" t="s">
        <v>187</v>
      </c>
      <c r="I7786">
        <v>140.47</v>
      </c>
      <c r="J7786" s="52">
        <v>0</v>
      </c>
      <c r="K7786" s="88">
        <v>548</v>
      </c>
      <c r="L7786" s="51">
        <v>548</v>
      </c>
      <c r="M7786" s="91">
        <f t="shared" si="477"/>
        <v>25.633211678832119</v>
      </c>
    </row>
    <row r="7787" spans="1:13" ht="15" hidden="1" customHeight="1" x14ac:dyDescent="0.3">
      <c r="A7787" s="9">
        <v>6751</v>
      </c>
      <c r="B7787" t="s">
        <v>323</v>
      </c>
      <c r="C7787" s="25">
        <v>44742</v>
      </c>
      <c r="D7787" s="26">
        <v>0.96109953703703699</v>
      </c>
      <c r="E7787" t="s">
        <v>29</v>
      </c>
      <c r="F7787" t="s">
        <v>165</v>
      </c>
      <c r="G7787" t="s">
        <v>185</v>
      </c>
      <c r="H7787" t="s">
        <v>187</v>
      </c>
      <c r="I7787" s="148">
        <v>176.16</v>
      </c>
      <c r="J7787"/>
      <c r="K7787">
        <v>759331</v>
      </c>
      <c r="L7787">
        <f>+K7787-J7787</f>
        <v>759331</v>
      </c>
      <c r="M7787" s="139">
        <f>I7787/L7787*100</f>
        <v>2.3199368918166124E-2</v>
      </c>
    </row>
    <row r="7788" spans="1:13" ht="15" hidden="1" customHeight="1" x14ac:dyDescent="0.3">
      <c r="A7788" s="9">
        <v>6820</v>
      </c>
      <c r="B7788" t="s">
        <v>597</v>
      </c>
      <c r="C7788" s="25">
        <v>44757</v>
      </c>
      <c r="D7788" s="26">
        <v>0.63018518518518518</v>
      </c>
      <c r="E7788" t="s">
        <v>30</v>
      </c>
      <c r="F7788" t="s">
        <v>210</v>
      </c>
      <c r="G7788" t="s">
        <v>211</v>
      </c>
      <c r="H7788" t="s">
        <v>207</v>
      </c>
      <c r="I7788" s="173">
        <v>315.68</v>
      </c>
      <c r="J7788" s="231">
        <f>316+237+297+279</f>
        <v>1129</v>
      </c>
      <c r="K7788" s="151"/>
      <c r="L7788" s="151">
        <v>2852</v>
      </c>
      <c r="M7788" s="149">
        <f>+J7788/L7788*100</f>
        <v>39.586255259467038</v>
      </c>
    </row>
    <row r="7789" spans="1:13" ht="15" hidden="1" customHeight="1" x14ac:dyDescent="0.3">
      <c r="B7789" t="s">
        <v>597</v>
      </c>
      <c r="C7789" s="25">
        <v>44758</v>
      </c>
      <c r="D7789" s="26">
        <v>5.9965277777777777E-2</v>
      </c>
      <c r="E7789" t="s">
        <v>30</v>
      </c>
      <c r="F7789" t="s">
        <v>165</v>
      </c>
      <c r="G7789" t="s">
        <v>185</v>
      </c>
      <c r="H7789" t="s">
        <v>207</v>
      </c>
      <c r="I7789" s="173">
        <v>253</v>
      </c>
      <c r="J7789" s="23"/>
      <c r="K7789" s="90"/>
      <c r="L7789" s="23"/>
      <c r="M7789" s="91" t="e">
        <f t="shared" ref="M7789:M7820" si="480">I7789/K7789*100</f>
        <v>#DIV/0!</v>
      </c>
    </row>
    <row r="7790" spans="1:13" ht="15" hidden="1" customHeight="1" x14ac:dyDescent="0.3">
      <c r="A7790" s="9">
        <v>999</v>
      </c>
      <c r="B7790" t="s">
        <v>416</v>
      </c>
      <c r="C7790" s="25">
        <v>44594</v>
      </c>
      <c r="D7790" s="26">
        <v>0.67760416666666667</v>
      </c>
      <c r="E7790" t="s">
        <v>25</v>
      </c>
      <c r="F7790" t="s">
        <v>175</v>
      </c>
      <c r="G7790" t="s">
        <v>172</v>
      </c>
      <c r="H7790" t="s">
        <v>114</v>
      </c>
      <c r="I7790">
        <v>717.32</v>
      </c>
      <c r="J7790" s="51">
        <v>0</v>
      </c>
      <c r="K7790" s="51">
        <f t="shared" ref="K7790:K7821" si="481">+L7790-J7790</f>
        <v>2113.92</v>
      </c>
      <c r="L7790" s="51">
        <v>2113.92</v>
      </c>
      <c r="M7790" s="132">
        <f t="shared" si="480"/>
        <v>33.933166818044199</v>
      </c>
    </row>
    <row r="7791" spans="1:13" ht="15" hidden="1" customHeight="1" x14ac:dyDescent="0.3">
      <c r="A7791" s="9">
        <v>1126</v>
      </c>
      <c r="B7791" t="s">
        <v>416</v>
      </c>
      <c r="C7791" s="25">
        <v>44598</v>
      </c>
      <c r="D7791" s="26">
        <v>0.937962962962963</v>
      </c>
      <c r="E7791" t="s">
        <v>25</v>
      </c>
      <c r="F7791" t="s">
        <v>169</v>
      </c>
      <c r="G7791" t="s">
        <v>170</v>
      </c>
      <c r="H7791" t="s">
        <v>282</v>
      </c>
      <c r="I7791">
        <v>383.11</v>
      </c>
      <c r="J7791" s="51">
        <v>0</v>
      </c>
      <c r="K7791" s="51">
        <f t="shared" si="481"/>
        <v>1047.1600000000001</v>
      </c>
      <c r="L7791" s="51">
        <v>1047.1600000000001</v>
      </c>
      <c r="M7791" s="91">
        <f t="shared" si="480"/>
        <v>36.585622063485999</v>
      </c>
    </row>
    <row r="7792" spans="1:13" ht="15" hidden="1" customHeight="1" x14ac:dyDescent="0.3">
      <c r="A7792" s="9">
        <v>1127</v>
      </c>
      <c r="B7792" t="s">
        <v>416</v>
      </c>
      <c r="C7792" s="25">
        <v>44600</v>
      </c>
      <c r="D7792" s="26">
        <v>0.70452546296296292</v>
      </c>
      <c r="E7792" t="s">
        <v>25</v>
      </c>
      <c r="F7792" t="s">
        <v>175</v>
      </c>
      <c r="G7792" t="s">
        <v>172</v>
      </c>
      <c r="H7792" t="s">
        <v>282</v>
      </c>
      <c r="I7792">
        <v>453.59</v>
      </c>
      <c r="J7792" s="51">
        <v>0</v>
      </c>
      <c r="K7792" s="51">
        <f t="shared" si="481"/>
        <v>1094.69</v>
      </c>
      <c r="L7792" s="51">
        <v>1094.69</v>
      </c>
      <c r="M7792" s="91">
        <f t="shared" si="480"/>
        <v>41.435474883300287</v>
      </c>
    </row>
    <row r="7793" spans="1:13" ht="15" hidden="1" customHeight="1" x14ac:dyDescent="0.3">
      <c r="A7793" s="9">
        <v>1128</v>
      </c>
      <c r="B7793" t="s">
        <v>416</v>
      </c>
      <c r="C7793" s="25">
        <v>44601</v>
      </c>
      <c r="D7793" s="26">
        <v>0.79776620370370377</v>
      </c>
      <c r="E7793" t="s">
        <v>25</v>
      </c>
      <c r="F7793" t="s">
        <v>210</v>
      </c>
      <c r="G7793" t="s">
        <v>211</v>
      </c>
      <c r="H7793" t="s">
        <v>282</v>
      </c>
      <c r="I7793">
        <v>337.88</v>
      </c>
      <c r="J7793" s="51">
        <v>0</v>
      </c>
      <c r="K7793" s="51">
        <f t="shared" si="481"/>
        <v>828.48</v>
      </c>
      <c r="L7793" s="52">
        <v>828.48</v>
      </c>
      <c r="M7793" s="91">
        <f t="shared" si="480"/>
        <v>40.783120896098879</v>
      </c>
    </row>
    <row r="7794" spans="1:13" ht="15" hidden="1" customHeight="1" x14ac:dyDescent="0.3">
      <c r="A7794" s="9">
        <v>1129</v>
      </c>
      <c r="B7794" t="s">
        <v>416</v>
      </c>
      <c r="C7794" s="25">
        <v>44602</v>
      </c>
      <c r="D7794" s="26">
        <v>0.8982175925925926</v>
      </c>
      <c r="E7794" t="s">
        <v>25</v>
      </c>
      <c r="F7794" t="s">
        <v>210</v>
      </c>
      <c r="G7794" t="s">
        <v>211</v>
      </c>
      <c r="H7794" t="s">
        <v>282</v>
      </c>
      <c r="I7794">
        <v>445.84</v>
      </c>
      <c r="J7794" s="51">
        <v>0</v>
      </c>
      <c r="K7794" s="51">
        <f t="shared" si="481"/>
        <v>1063.26</v>
      </c>
      <c r="L7794" s="52">
        <v>1063.26</v>
      </c>
      <c r="M7794" s="91">
        <f t="shared" si="480"/>
        <v>41.931418467731312</v>
      </c>
    </row>
    <row r="7795" spans="1:13" ht="15" hidden="1" customHeight="1" x14ac:dyDescent="0.3">
      <c r="A7795" s="9">
        <v>1130</v>
      </c>
      <c r="B7795" t="s">
        <v>416</v>
      </c>
      <c r="C7795" s="25">
        <v>44604</v>
      </c>
      <c r="D7795" s="26">
        <v>0.53245370370370371</v>
      </c>
      <c r="E7795" t="s">
        <v>25</v>
      </c>
      <c r="F7795" t="s">
        <v>175</v>
      </c>
      <c r="G7795" t="s">
        <v>172</v>
      </c>
      <c r="H7795" t="s">
        <v>282</v>
      </c>
      <c r="I7795">
        <v>432.01</v>
      </c>
      <c r="J7795" s="51">
        <v>0</v>
      </c>
      <c r="K7795" s="51">
        <f t="shared" si="481"/>
        <v>1000.82</v>
      </c>
      <c r="L7795" s="51">
        <v>1000.82</v>
      </c>
      <c r="M7795" s="91">
        <f t="shared" si="480"/>
        <v>43.165604204552267</v>
      </c>
    </row>
    <row r="7796" spans="1:13" ht="15" hidden="1" customHeight="1" x14ac:dyDescent="0.3">
      <c r="A7796" s="9">
        <v>1131</v>
      </c>
      <c r="B7796" t="s">
        <v>416</v>
      </c>
      <c r="C7796" s="25">
        <v>44605</v>
      </c>
      <c r="D7796" s="26">
        <v>0.64539351851851856</v>
      </c>
      <c r="E7796" t="s">
        <v>25</v>
      </c>
      <c r="F7796" t="s">
        <v>210</v>
      </c>
      <c r="G7796" t="s">
        <v>211</v>
      </c>
      <c r="H7796" t="s">
        <v>282</v>
      </c>
      <c r="I7796">
        <v>389.09</v>
      </c>
      <c r="J7796" s="51">
        <v>0</v>
      </c>
      <c r="K7796" s="51">
        <f t="shared" si="481"/>
        <v>830.81</v>
      </c>
      <c r="L7796" s="51">
        <v>830.81</v>
      </c>
      <c r="M7796" s="91">
        <f t="shared" si="480"/>
        <v>46.832609140477366</v>
      </c>
    </row>
    <row r="7797" spans="1:13" ht="15" hidden="1" customHeight="1" x14ac:dyDescent="0.3">
      <c r="A7797" s="9">
        <v>1132</v>
      </c>
      <c r="B7797" t="s">
        <v>416</v>
      </c>
      <c r="C7797" s="25">
        <v>44606</v>
      </c>
      <c r="D7797" s="26">
        <v>0.49396990740740737</v>
      </c>
      <c r="E7797" t="s">
        <v>25</v>
      </c>
      <c r="F7797" t="s">
        <v>210</v>
      </c>
      <c r="G7797" t="s">
        <v>211</v>
      </c>
      <c r="H7797" t="s">
        <v>282</v>
      </c>
      <c r="I7797">
        <v>418.73</v>
      </c>
      <c r="J7797" s="51">
        <v>0</v>
      </c>
      <c r="K7797" s="51">
        <f t="shared" si="481"/>
        <v>1062.8900000000001</v>
      </c>
      <c r="L7797" s="51">
        <v>1062.8900000000001</v>
      </c>
      <c r="M7797" s="91">
        <f t="shared" si="480"/>
        <v>39.395421915720348</v>
      </c>
    </row>
    <row r="7798" spans="1:13" ht="15" hidden="1" customHeight="1" x14ac:dyDescent="0.3">
      <c r="A7798" s="9">
        <v>1133</v>
      </c>
      <c r="B7798" t="s">
        <v>416</v>
      </c>
      <c r="C7798" s="25">
        <v>44607</v>
      </c>
      <c r="D7798" s="26">
        <v>0.86307870370370365</v>
      </c>
      <c r="E7798" t="s">
        <v>25</v>
      </c>
      <c r="F7798" t="s">
        <v>175</v>
      </c>
      <c r="G7798" t="s">
        <v>172</v>
      </c>
      <c r="H7798" t="s">
        <v>282</v>
      </c>
      <c r="I7798">
        <v>369.73</v>
      </c>
      <c r="J7798" s="51">
        <v>0</v>
      </c>
      <c r="K7798" s="51">
        <f t="shared" si="481"/>
        <v>969.62</v>
      </c>
      <c r="L7798" s="51">
        <v>969.62</v>
      </c>
      <c r="M7798" s="91">
        <f t="shared" si="480"/>
        <v>38.13143293248902</v>
      </c>
    </row>
    <row r="7799" spans="1:13" ht="15" hidden="1" customHeight="1" x14ac:dyDescent="0.3">
      <c r="A7799" s="9">
        <v>1134</v>
      </c>
      <c r="B7799" t="s">
        <v>416</v>
      </c>
      <c r="C7799" s="25">
        <v>44609</v>
      </c>
      <c r="D7799" s="26">
        <v>5.4340277777777779E-2</v>
      </c>
      <c r="E7799" t="s">
        <v>25</v>
      </c>
      <c r="F7799" t="s">
        <v>210</v>
      </c>
      <c r="G7799" t="s">
        <v>211</v>
      </c>
      <c r="H7799" t="s">
        <v>282</v>
      </c>
      <c r="I7799">
        <v>372.01</v>
      </c>
      <c r="J7799" s="51">
        <v>0</v>
      </c>
      <c r="K7799" s="51">
        <f t="shared" si="481"/>
        <v>831.97</v>
      </c>
      <c r="L7799" s="51">
        <v>831.97</v>
      </c>
      <c r="M7799" s="91">
        <f t="shared" si="480"/>
        <v>44.714352680986089</v>
      </c>
    </row>
    <row r="7800" spans="1:13" ht="15" hidden="1" customHeight="1" x14ac:dyDescent="0.3">
      <c r="A7800" s="9">
        <v>1135</v>
      </c>
      <c r="B7800" t="s">
        <v>416</v>
      </c>
      <c r="C7800" s="25">
        <v>44610</v>
      </c>
      <c r="D7800" s="26">
        <v>6.7766203703703703E-2</v>
      </c>
      <c r="E7800" t="s">
        <v>25</v>
      </c>
      <c r="F7800" t="s">
        <v>210</v>
      </c>
      <c r="G7800" t="s">
        <v>211</v>
      </c>
      <c r="H7800" t="s">
        <v>282</v>
      </c>
      <c r="I7800">
        <v>467.9</v>
      </c>
      <c r="J7800" s="51">
        <v>0</v>
      </c>
      <c r="K7800" s="51">
        <f t="shared" si="481"/>
        <v>1062.43</v>
      </c>
      <c r="L7800" s="51">
        <v>1062.43</v>
      </c>
      <c r="M7800" s="91">
        <f t="shared" si="480"/>
        <v>44.040548553787069</v>
      </c>
    </row>
    <row r="7801" spans="1:13" ht="15" hidden="1" customHeight="1" x14ac:dyDescent="0.3">
      <c r="A7801" s="9">
        <v>1136</v>
      </c>
      <c r="B7801" t="s">
        <v>416</v>
      </c>
      <c r="C7801" s="25">
        <v>44611</v>
      </c>
      <c r="D7801" s="26">
        <v>0.37600694444444444</v>
      </c>
      <c r="E7801" t="s">
        <v>25</v>
      </c>
      <c r="F7801" t="s">
        <v>428</v>
      </c>
      <c r="G7801" t="s">
        <v>429</v>
      </c>
      <c r="H7801" t="s">
        <v>282</v>
      </c>
      <c r="I7801">
        <v>380.59</v>
      </c>
      <c r="J7801" s="51">
        <v>0</v>
      </c>
      <c r="K7801" s="51">
        <f t="shared" si="481"/>
        <v>917.49</v>
      </c>
      <c r="L7801" s="51">
        <v>917.49</v>
      </c>
      <c r="M7801" s="91">
        <f t="shared" si="480"/>
        <v>41.481651026169217</v>
      </c>
    </row>
    <row r="7802" spans="1:13" ht="15" hidden="1" customHeight="1" x14ac:dyDescent="0.3">
      <c r="A7802" s="9">
        <v>1137</v>
      </c>
      <c r="B7802" t="s">
        <v>416</v>
      </c>
      <c r="C7802" s="25">
        <v>44612</v>
      </c>
      <c r="D7802" s="26">
        <v>0.51788194444444446</v>
      </c>
      <c r="E7802" t="s">
        <v>25</v>
      </c>
      <c r="F7802" t="s">
        <v>210</v>
      </c>
      <c r="G7802" t="s">
        <v>211</v>
      </c>
      <c r="H7802" t="s">
        <v>282</v>
      </c>
      <c r="I7802">
        <v>361.02</v>
      </c>
      <c r="J7802" s="51">
        <v>0</v>
      </c>
      <c r="K7802" s="51">
        <f t="shared" si="481"/>
        <v>827.15</v>
      </c>
      <c r="L7802" s="51">
        <v>827.15</v>
      </c>
      <c r="M7802" s="91">
        <f t="shared" si="480"/>
        <v>43.646255213685549</v>
      </c>
    </row>
    <row r="7803" spans="1:13" ht="15" hidden="1" customHeight="1" x14ac:dyDescent="0.3">
      <c r="A7803" s="9">
        <v>1138</v>
      </c>
      <c r="B7803" t="s">
        <v>416</v>
      </c>
      <c r="C7803" s="25">
        <v>44613</v>
      </c>
      <c r="D7803" s="26">
        <v>0.86140046296296291</v>
      </c>
      <c r="E7803" t="s">
        <v>25</v>
      </c>
      <c r="F7803" t="s">
        <v>210</v>
      </c>
      <c r="G7803" t="s">
        <v>211</v>
      </c>
      <c r="H7803" t="s">
        <v>282</v>
      </c>
      <c r="I7803">
        <v>514.66999999999996</v>
      </c>
      <c r="J7803" s="51">
        <v>0</v>
      </c>
      <c r="K7803" s="51">
        <f t="shared" si="481"/>
        <v>1065.23</v>
      </c>
      <c r="L7803" s="51">
        <v>1065.23</v>
      </c>
      <c r="M7803" s="91">
        <f t="shared" si="480"/>
        <v>48.315387287252513</v>
      </c>
    </row>
    <row r="7804" spans="1:13" ht="15" hidden="1" customHeight="1" x14ac:dyDescent="0.3">
      <c r="A7804" s="9">
        <v>1139</v>
      </c>
      <c r="B7804" t="s">
        <v>416</v>
      </c>
      <c r="C7804" s="25">
        <v>44615</v>
      </c>
      <c r="D7804" s="26">
        <v>0.52186342592592594</v>
      </c>
      <c r="E7804" t="s">
        <v>25</v>
      </c>
      <c r="F7804" t="s">
        <v>175</v>
      </c>
      <c r="G7804" t="s">
        <v>172</v>
      </c>
      <c r="H7804" t="s">
        <v>282</v>
      </c>
      <c r="I7804">
        <v>379.33</v>
      </c>
      <c r="J7804" s="51">
        <v>0</v>
      </c>
      <c r="K7804" s="51">
        <f t="shared" si="481"/>
        <v>932.14</v>
      </c>
      <c r="L7804" s="51">
        <v>932.14</v>
      </c>
      <c r="M7804" s="91">
        <f t="shared" si="480"/>
        <v>40.694530864462422</v>
      </c>
    </row>
    <row r="7805" spans="1:13" ht="15" hidden="1" customHeight="1" x14ac:dyDescent="0.3">
      <c r="A7805" s="9">
        <v>1140</v>
      </c>
      <c r="B7805" t="s">
        <v>416</v>
      </c>
      <c r="C7805" s="25">
        <v>44617</v>
      </c>
      <c r="D7805" s="26">
        <v>0.88752314814814814</v>
      </c>
      <c r="E7805" t="s">
        <v>25</v>
      </c>
      <c r="F7805" t="s">
        <v>210</v>
      </c>
      <c r="G7805" t="s">
        <v>211</v>
      </c>
      <c r="H7805" t="s">
        <v>282</v>
      </c>
      <c r="I7805">
        <v>369.39</v>
      </c>
      <c r="J7805" s="51">
        <v>0</v>
      </c>
      <c r="K7805" s="51">
        <f t="shared" si="481"/>
        <v>839.77</v>
      </c>
      <c r="L7805" s="51">
        <v>839.77</v>
      </c>
      <c r="M7805" s="91">
        <f t="shared" si="480"/>
        <v>43.987044071591029</v>
      </c>
    </row>
    <row r="7806" spans="1:13" ht="15" hidden="1" customHeight="1" x14ac:dyDescent="0.3">
      <c r="A7806" s="9">
        <v>1141</v>
      </c>
      <c r="B7806" t="s">
        <v>416</v>
      </c>
      <c r="C7806" s="25">
        <v>44619</v>
      </c>
      <c r="D7806" s="26">
        <v>0.22045138888888891</v>
      </c>
      <c r="E7806" t="s">
        <v>25</v>
      </c>
      <c r="F7806" t="s">
        <v>202</v>
      </c>
      <c r="G7806" t="s">
        <v>203</v>
      </c>
      <c r="H7806" t="s">
        <v>282</v>
      </c>
      <c r="I7806">
        <v>818.18</v>
      </c>
      <c r="J7806" s="51">
        <v>0</v>
      </c>
      <c r="K7806" s="51">
        <f t="shared" si="481"/>
        <v>1088.9000000000001</v>
      </c>
      <c r="L7806" s="52">
        <v>1088.9000000000001</v>
      </c>
      <c r="M7806" s="91">
        <f t="shared" si="480"/>
        <v>75.138212875378812</v>
      </c>
    </row>
    <row r="7807" spans="1:13" ht="15" hidden="1" customHeight="1" x14ac:dyDescent="0.3">
      <c r="A7807" s="9">
        <v>2315</v>
      </c>
      <c r="B7807" t="s">
        <v>416</v>
      </c>
      <c r="C7807" s="25">
        <v>44621</v>
      </c>
      <c r="D7807" s="26">
        <v>0.70072916666666663</v>
      </c>
      <c r="E7807" t="s">
        <v>26</v>
      </c>
      <c r="F7807" t="s">
        <v>165</v>
      </c>
      <c r="G7807" t="s">
        <v>185</v>
      </c>
      <c r="H7807" t="s">
        <v>282</v>
      </c>
      <c r="I7807">
        <v>100</v>
      </c>
      <c r="J7807" s="51">
        <v>0</v>
      </c>
      <c r="K7807" s="88">
        <f t="shared" si="481"/>
        <v>1089.51</v>
      </c>
      <c r="L7807" s="51">
        <v>1089.51</v>
      </c>
      <c r="M7807" s="91">
        <f t="shared" si="480"/>
        <v>9.1784380134188766</v>
      </c>
    </row>
    <row r="7808" spans="1:13" ht="15" hidden="1" customHeight="1" x14ac:dyDescent="0.3">
      <c r="A7808" s="9">
        <v>2316</v>
      </c>
      <c r="B7808" t="s">
        <v>416</v>
      </c>
      <c r="C7808" s="25">
        <v>44622</v>
      </c>
      <c r="D7808" s="26">
        <v>8.965277777777779E-2</v>
      </c>
      <c r="E7808" t="s">
        <v>26</v>
      </c>
      <c r="F7808" t="s">
        <v>210</v>
      </c>
      <c r="G7808" t="s">
        <v>211</v>
      </c>
      <c r="H7808" t="s">
        <v>282</v>
      </c>
      <c r="I7808">
        <v>520.28</v>
      </c>
      <c r="J7808" s="51">
        <v>0</v>
      </c>
      <c r="K7808" s="88">
        <f t="shared" si="481"/>
        <v>514.5</v>
      </c>
      <c r="L7808" s="51">
        <v>514.5</v>
      </c>
      <c r="M7808" s="91">
        <f t="shared" si="480"/>
        <v>101.12342079689019</v>
      </c>
    </row>
    <row r="7809" spans="1:13" ht="15" hidden="1" customHeight="1" x14ac:dyDescent="0.3">
      <c r="A7809" s="9">
        <v>2317</v>
      </c>
      <c r="B7809" t="s">
        <v>416</v>
      </c>
      <c r="C7809" s="25">
        <v>44623</v>
      </c>
      <c r="D7809" s="26">
        <v>0.43290509259259258</v>
      </c>
      <c r="E7809" t="s">
        <v>26</v>
      </c>
      <c r="F7809" t="s">
        <v>428</v>
      </c>
      <c r="G7809" t="s">
        <v>429</v>
      </c>
      <c r="H7809" t="s">
        <v>282</v>
      </c>
      <c r="I7809">
        <v>358.54</v>
      </c>
      <c r="J7809" s="51">
        <v>0</v>
      </c>
      <c r="K7809" s="88">
        <f t="shared" si="481"/>
        <v>914.13</v>
      </c>
      <c r="L7809" s="51">
        <v>914.13</v>
      </c>
      <c r="M7809" s="91">
        <f t="shared" si="480"/>
        <v>39.221992495596908</v>
      </c>
    </row>
    <row r="7810" spans="1:13" ht="15" hidden="1" customHeight="1" x14ac:dyDescent="0.3">
      <c r="A7810" s="9">
        <v>2318</v>
      </c>
      <c r="B7810" t="s">
        <v>416</v>
      </c>
      <c r="C7810" s="25">
        <v>44624</v>
      </c>
      <c r="D7810" s="26">
        <v>0.16871527777777776</v>
      </c>
      <c r="E7810" t="s">
        <v>26</v>
      </c>
      <c r="F7810" t="s">
        <v>210</v>
      </c>
      <c r="G7810" t="s">
        <v>211</v>
      </c>
      <c r="H7810" t="s">
        <v>282</v>
      </c>
      <c r="I7810">
        <v>347.09</v>
      </c>
      <c r="J7810" s="51">
        <v>0</v>
      </c>
      <c r="K7810" s="88">
        <f t="shared" si="481"/>
        <v>816.46</v>
      </c>
      <c r="L7810" s="51">
        <v>816.46</v>
      </c>
      <c r="M7810" s="91">
        <f t="shared" si="480"/>
        <v>42.511574357592529</v>
      </c>
    </row>
    <row r="7811" spans="1:13" ht="15" hidden="1" customHeight="1" x14ac:dyDescent="0.3">
      <c r="A7811" s="9">
        <v>2319</v>
      </c>
      <c r="B7811" t="s">
        <v>416</v>
      </c>
      <c r="C7811" s="25">
        <v>44626</v>
      </c>
      <c r="D7811" s="26">
        <v>4.1828703703703701E-2</v>
      </c>
      <c r="E7811" t="s">
        <v>26</v>
      </c>
      <c r="F7811" t="s">
        <v>202</v>
      </c>
      <c r="G7811" t="s">
        <v>203</v>
      </c>
      <c r="H7811" t="s">
        <v>282</v>
      </c>
      <c r="I7811">
        <v>432.5</v>
      </c>
      <c r="J7811" s="51">
        <v>0</v>
      </c>
      <c r="K7811" s="88">
        <f t="shared" si="481"/>
        <v>1090.6199999999999</v>
      </c>
      <c r="L7811" s="51">
        <v>1090.6199999999999</v>
      </c>
      <c r="M7811" s="91">
        <f t="shared" si="480"/>
        <v>39.656342264033306</v>
      </c>
    </row>
    <row r="7812" spans="1:13" ht="15" hidden="1" customHeight="1" x14ac:dyDescent="0.3">
      <c r="A7812" s="9">
        <v>2320</v>
      </c>
      <c r="B7812" t="s">
        <v>416</v>
      </c>
      <c r="C7812" s="25">
        <v>44628</v>
      </c>
      <c r="D7812" s="26">
        <v>0.62228009259259254</v>
      </c>
      <c r="E7812" t="s">
        <v>26</v>
      </c>
      <c r="F7812" t="s">
        <v>165</v>
      </c>
      <c r="G7812" t="s">
        <v>185</v>
      </c>
      <c r="H7812" t="s">
        <v>282</v>
      </c>
      <c r="I7812">
        <v>168.67</v>
      </c>
      <c r="J7812" s="51">
        <v>0</v>
      </c>
      <c r="K7812" s="88">
        <f t="shared" si="481"/>
        <v>1089.51</v>
      </c>
      <c r="L7812" s="51">
        <v>1089.51</v>
      </c>
      <c r="M7812" s="91">
        <f t="shared" si="480"/>
        <v>15.481271397233618</v>
      </c>
    </row>
    <row r="7813" spans="1:13" ht="15" hidden="1" customHeight="1" x14ac:dyDescent="0.3">
      <c r="A7813" s="9">
        <v>2321</v>
      </c>
      <c r="B7813" t="s">
        <v>416</v>
      </c>
      <c r="C7813" s="25">
        <v>44629</v>
      </c>
      <c r="D7813" s="26">
        <v>1.8715277777777779E-2</v>
      </c>
      <c r="E7813" t="s">
        <v>26</v>
      </c>
      <c r="F7813" t="s">
        <v>210</v>
      </c>
      <c r="G7813" t="s">
        <v>211</v>
      </c>
      <c r="H7813" t="s">
        <v>282</v>
      </c>
      <c r="I7813">
        <v>460.54</v>
      </c>
      <c r="J7813" s="51">
        <v>0</v>
      </c>
      <c r="K7813" s="88">
        <f t="shared" si="481"/>
        <v>514.84</v>
      </c>
      <c r="L7813" s="51">
        <v>514.84</v>
      </c>
      <c r="M7813" s="91">
        <f t="shared" si="480"/>
        <v>89.453033952295854</v>
      </c>
    </row>
    <row r="7814" spans="1:13" ht="15" hidden="1" customHeight="1" x14ac:dyDescent="0.3">
      <c r="A7814" s="9">
        <v>2322</v>
      </c>
      <c r="B7814" t="s">
        <v>416</v>
      </c>
      <c r="C7814" s="25">
        <v>44630</v>
      </c>
      <c r="D7814" s="26">
        <v>0.46835648148148151</v>
      </c>
      <c r="E7814" t="s">
        <v>26</v>
      </c>
      <c r="F7814" t="s">
        <v>428</v>
      </c>
      <c r="G7814" t="s">
        <v>429</v>
      </c>
      <c r="H7814" t="s">
        <v>282</v>
      </c>
      <c r="I7814">
        <v>366.03</v>
      </c>
      <c r="J7814" s="51">
        <v>0</v>
      </c>
      <c r="K7814" s="88">
        <f t="shared" si="481"/>
        <v>917.86</v>
      </c>
      <c r="L7814" s="51">
        <v>917.86</v>
      </c>
      <c r="M7814" s="91">
        <f t="shared" si="480"/>
        <v>39.878630727997731</v>
      </c>
    </row>
    <row r="7815" spans="1:13" ht="15" hidden="1" customHeight="1" x14ac:dyDescent="0.3">
      <c r="A7815" s="9">
        <v>2323</v>
      </c>
      <c r="B7815" t="s">
        <v>416</v>
      </c>
      <c r="C7815" s="25">
        <v>44634</v>
      </c>
      <c r="D7815" s="26">
        <v>0.78540509259259261</v>
      </c>
      <c r="E7815" t="s">
        <v>26</v>
      </c>
      <c r="F7815" t="s">
        <v>210</v>
      </c>
      <c r="G7815" t="s">
        <v>211</v>
      </c>
      <c r="H7815" t="s">
        <v>282</v>
      </c>
      <c r="I7815">
        <v>462.11</v>
      </c>
      <c r="J7815" s="51">
        <v>0</v>
      </c>
      <c r="K7815" s="88">
        <f t="shared" si="481"/>
        <v>1042.3800000000001</v>
      </c>
      <c r="L7815" s="51">
        <v>1042.3800000000001</v>
      </c>
      <c r="M7815" s="91">
        <f t="shared" si="480"/>
        <v>44.332201308543908</v>
      </c>
    </row>
    <row r="7816" spans="1:13" ht="15" hidden="1" customHeight="1" x14ac:dyDescent="0.3">
      <c r="A7816" s="9">
        <v>2324</v>
      </c>
      <c r="B7816" t="s">
        <v>416</v>
      </c>
      <c r="C7816" s="25">
        <v>44635</v>
      </c>
      <c r="D7816" s="26">
        <v>0.85392361111111104</v>
      </c>
      <c r="E7816" t="s">
        <v>26</v>
      </c>
      <c r="F7816" t="s">
        <v>210</v>
      </c>
      <c r="G7816" t="s">
        <v>211</v>
      </c>
      <c r="H7816" t="s">
        <v>282</v>
      </c>
      <c r="I7816">
        <v>356.04</v>
      </c>
      <c r="J7816" s="51">
        <v>0</v>
      </c>
      <c r="K7816" s="88">
        <f t="shared" si="481"/>
        <v>885.73</v>
      </c>
      <c r="L7816" s="51">
        <v>885.73</v>
      </c>
      <c r="M7816" s="91">
        <f t="shared" si="480"/>
        <v>40.197351337314984</v>
      </c>
    </row>
    <row r="7817" spans="1:13" ht="15" hidden="1" customHeight="1" x14ac:dyDescent="0.3">
      <c r="A7817" s="9">
        <v>2325</v>
      </c>
      <c r="B7817" t="s">
        <v>416</v>
      </c>
      <c r="C7817" s="25">
        <v>44636</v>
      </c>
      <c r="D7817" s="26">
        <v>0.80917824074074074</v>
      </c>
      <c r="E7817" t="s">
        <v>26</v>
      </c>
      <c r="F7817" t="s">
        <v>446</v>
      </c>
      <c r="G7817" t="s">
        <v>402</v>
      </c>
      <c r="H7817" t="s">
        <v>282</v>
      </c>
      <c r="I7817">
        <v>150</v>
      </c>
      <c r="J7817" s="51">
        <v>0</v>
      </c>
      <c r="K7817" s="88">
        <f t="shared" si="481"/>
        <v>669.3</v>
      </c>
      <c r="L7817" s="52">
        <v>669.3</v>
      </c>
      <c r="M7817" s="91">
        <f t="shared" si="480"/>
        <v>22.41147467503362</v>
      </c>
    </row>
    <row r="7818" spans="1:13" ht="15" hidden="1" customHeight="1" x14ac:dyDescent="0.3">
      <c r="A7818" s="9">
        <v>2326</v>
      </c>
      <c r="B7818" t="s">
        <v>416</v>
      </c>
      <c r="C7818" s="25">
        <v>44637</v>
      </c>
      <c r="D7818" s="26">
        <v>0.77053240740740747</v>
      </c>
      <c r="E7818" t="s">
        <v>26</v>
      </c>
      <c r="F7818" t="s">
        <v>197</v>
      </c>
      <c r="G7818" t="s">
        <v>44</v>
      </c>
      <c r="H7818" t="s">
        <v>282</v>
      </c>
      <c r="I7818">
        <v>200.01</v>
      </c>
      <c r="J7818" s="52">
        <v>0</v>
      </c>
      <c r="K7818" s="88">
        <f t="shared" si="481"/>
        <v>478.51</v>
      </c>
      <c r="L7818" s="51">
        <v>478.51</v>
      </c>
      <c r="M7818" s="91">
        <f t="shared" si="480"/>
        <v>41.798499508892185</v>
      </c>
    </row>
    <row r="7819" spans="1:13" ht="15" hidden="1" customHeight="1" x14ac:dyDescent="0.3">
      <c r="A7819" s="9">
        <v>2327</v>
      </c>
      <c r="B7819" t="s">
        <v>416</v>
      </c>
      <c r="C7819" s="25">
        <v>44637</v>
      </c>
      <c r="D7819" s="26">
        <v>0.88993055555555556</v>
      </c>
      <c r="E7819" t="s">
        <v>26</v>
      </c>
      <c r="F7819" t="s">
        <v>343</v>
      </c>
      <c r="G7819" t="s">
        <v>344</v>
      </c>
      <c r="H7819" t="s">
        <v>282</v>
      </c>
      <c r="I7819">
        <v>178.9</v>
      </c>
      <c r="J7819" s="52">
        <v>0</v>
      </c>
      <c r="K7819" s="88">
        <f t="shared" si="481"/>
        <v>82.17</v>
      </c>
      <c r="L7819" s="51">
        <v>82.17</v>
      </c>
      <c r="M7819" s="91">
        <f t="shared" si="480"/>
        <v>217.71936229767556</v>
      </c>
    </row>
    <row r="7820" spans="1:13" ht="15" hidden="1" customHeight="1" x14ac:dyDescent="0.3">
      <c r="A7820" s="9">
        <v>2328</v>
      </c>
      <c r="B7820" t="s">
        <v>416</v>
      </c>
      <c r="C7820" s="25">
        <v>44638</v>
      </c>
      <c r="D7820" s="26">
        <v>0.58546296296296296</v>
      </c>
      <c r="E7820" t="s">
        <v>26</v>
      </c>
      <c r="F7820" t="s">
        <v>210</v>
      </c>
      <c r="G7820" t="s">
        <v>211</v>
      </c>
      <c r="H7820" t="s">
        <v>282</v>
      </c>
      <c r="I7820">
        <v>235.91</v>
      </c>
      <c r="J7820" s="52">
        <v>0</v>
      </c>
      <c r="K7820" s="88">
        <f t="shared" si="481"/>
        <v>505.15</v>
      </c>
      <c r="L7820" s="51">
        <v>505.15</v>
      </c>
      <c r="M7820" s="91">
        <f t="shared" si="480"/>
        <v>46.700979906958331</v>
      </c>
    </row>
    <row r="7821" spans="1:13" ht="15" hidden="1" customHeight="1" x14ac:dyDescent="0.3">
      <c r="A7821" s="9">
        <v>2329</v>
      </c>
      <c r="B7821" t="s">
        <v>416</v>
      </c>
      <c r="C7821" s="25">
        <v>44639</v>
      </c>
      <c r="D7821" s="26">
        <v>0.8580902777777778</v>
      </c>
      <c r="E7821" t="s">
        <v>26</v>
      </c>
      <c r="F7821" t="s">
        <v>210</v>
      </c>
      <c r="G7821" t="s">
        <v>211</v>
      </c>
      <c r="H7821" t="s">
        <v>282</v>
      </c>
      <c r="I7821">
        <v>455.51</v>
      </c>
      <c r="J7821" s="52">
        <v>0</v>
      </c>
      <c r="K7821" s="88">
        <f t="shared" si="481"/>
        <v>1063.47</v>
      </c>
      <c r="L7821" s="51">
        <v>1063.47</v>
      </c>
      <c r="M7821" s="91">
        <f t="shared" ref="M7821:M7852" si="482">I7821/K7821*100</f>
        <v>42.832425926448323</v>
      </c>
    </row>
    <row r="7822" spans="1:13" ht="15" hidden="1" customHeight="1" x14ac:dyDescent="0.3">
      <c r="A7822" s="9">
        <v>2330</v>
      </c>
      <c r="B7822" t="s">
        <v>416</v>
      </c>
      <c r="C7822" s="25">
        <v>44642</v>
      </c>
      <c r="D7822" s="26">
        <v>0.4475810185185185</v>
      </c>
      <c r="E7822" t="s">
        <v>26</v>
      </c>
      <c r="F7822" t="s">
        <v>428</v>
      </c>
      <c r="G7822" t="s">
        <v>429</v>
      </c>
      <c r="H7822" t="s">
        <v>282</v>
      </c>
      <c r="I7822">
        <v>250.18</v>
      </c>
      <c r="J7822" s="52">
        <v>0</v>
      </c>
      <c r="K7822" s="88">
        <f t="shared" ref="K7822:K7846" si="483">+L7822-J7822</f>
        <v>905.48</v>
      </c>
      <c r="L7822" s="51">
        <v>905.48</v>
      </c>
      <c r="M7822" s="91">
        <f t="shared" si="482"/>
        <v>27.629544550956396</v>
      </c>
    </row>
    <row r="7823" spans="1:13" ht="15" hidden="1" customHeight="1" x14ac:dyDescent="0.3">
      <c r="A7823" s="9">
        <v>2331</v>
      </c>
      <c r="B7823" t="s">
        <v>416</v>
      </c>
      <c r="C7823" s="25">
        <v>44642</v>
      </c>
      <c r="D7823" s="26">
        <v>0.70545138888888881</v>
      </c>
      <c r="E7823" t="s">
        <v>26</v>
      </c>
      <c r="F7823" t="s">
        <v>197</v>
      </c>
      <c r="G7823" t="s">
        <v>44</v>
      </c>
      <c r="H7823" t="s">
        <v>282</v>
      </c>
      <c r="I7823">
        <v>248.62</v>
      </c>
      <c r="J7823" s="52">
        <v>0</v>
      </c>
      <c r="K7823" s="88">
        <f t="shared" si="483"/>
        <v>229.5</v>
      </c>
      <c r="L7823" s="51">
        <v>229.5</v>
      </c>
      <c r="M7823" s="91">
        <f t="shared" si="482"/>
        <v>108.33115468409586</v>
      </c>
    </row>
    <row r="7824" spans="1:13" ht="15" hidden="1" customHeight="1" x14ac:dyDescent="0.3">
      <c r="A7824" s="9">
        <v>2332</v>
      </c>
      <c r="B7824" t="s">
        <v>416</v>
      </c>
      <c r="C7824" s="25">
        <v>44643</v>
      </c>
      <c r="D7824" s="26">
        <v>0.45173611111111112</v>
      </c>
      <c r="E7824" t="s">
        <v>26</v>
      </c>
      <c r="F7824" t="s">
        <v>210</v>
      </c>
      <c r="G7824" t="s">
        <v>211</v>
      </c>
      <c r="H7824" t="s">
        <v>282</v>
      </c>
      <c r="I7824">
        <v>244.09</v>
      </c>
      <c r="J7824" s="52">
        <v>0</v>
      </c>
      <c r="K7824" s="88">
        <f t="shared" si="483"/>
        <v>587.58000000000004</v>
      </c>
      <c r="L7824" s="51">
        <v>587.58000000000004</v>
      </c>
      <c r="M7824" s="91">
        <f t="shared" si="482"/>
        <v>41.541577317131285</v>
      </c>
    </row>
    <row r="7825" spans="1:13" ht="15" hidden="1" customHeight="1" x14ac:dyDescent="0.3">
      <c r="A7825" s="9">
        <v>2333</v>
      </c>
      <c r="B7825" t="s">
        <v>416</v>
      </c>
      <c r="C7825" s="25">
        <v>44644</v>
      </c>
      <c r="D7825" s="26">
        <v>0.74115740740740732</v>
      </c>
      <c r="E7825" t="s">
        <v>26</v>
      </c>
      <c r="F7825" t="s">
        <v>210</v>
      </c>
      <c r="G7825" t="s">
        <v>211</v>
      </c>
      <c r="H7825" t="s">
        <v>282</v>
      </c>
      <c r="I7825">
        <v>482.96</v>
      </c>
      <c r="J7825" s="52">
        <v>0</v>
      </c>
      <c r="K7825" s="88">
        <f t="shared" si="483"/>
        <v>1062.69</v>
      </c>
      <c r="L7825" s="51">
        <v>1062.69</v>
      </c>
      <c r="M7825" s="91">
        <f t="shared" si="482"/>
        <v>45.446931842776344</v>
      </c>
    </row>
    <row r="7826" spans="1:13" ht="15" hidden="1" customHeight="1" x14ac:dyDescent="0.3">
      <c r="A7826" s="9">
        <v>2334</v>
      </c>
      <c r="B7826" t="s">
        <v>416</v>
      </c>
      <c r="C7826" s="25">
        <v>44646</v>
      </c>
      <c r="D7826" s="26">
        <v>0.34435185185185185</v>
      </c>
      <c r="E7826" t="s">
        <v>26</v>
      </c>
      <c r="F7826" t="s">
        <v>428</v>
      </c>
      <c r="G7826" t="s">
        <v>429</v>
      </c>
      <c r="H7826" t="s">
        <v>282</v>
      </c>
      <c r="I7826">
        <v>399.34</v>
      </c>
      <c r="J7826" s="52">
        <v>0</v>
      </c>
      <c r="K7826" s="88">
        <f t="shared" si="483"/>
        <v>942.48</v>
      </c>
      <c r="L7826" s="51">
        <v>942.48</v>
      </c>
      <c r="M7826" s="91">
        <f t="shared" si="482"/>
        <v>42.371190900602663</v>
      </c>
    </row>
    <row r="7827" spans="1:13" ht="15" hidden="1" customHeight="1" x14ac:dyDescent="0.3">
      <c r="A7827" s="9">
        <v>2335</v>
      </c>
      <c r="B7827" t="s">
        <v>416</v>
      </c>
      <c r="C7827" s="25">
        <v>44648</v>
      </c>
      <c r="D7827" s="26">
        <v>2.2939814814814816E-2</v>
      </c>
      <c r="E7827" t="s">
        <v>26</v>
      </c>
      <c r="F7827" t="s">
        <v>210</v>
      </c>
      <c r="G7827" t="s">
        <v>211</v>
      </c>
      <c r="H7827" t="s">
        <v>282</v>
      </c>
      <c r="I7827">
        <v>408.64</v>
      </c>
      <c r="J7827" s="52">
        <v>0</v>
      </c>
      <c r="K7827" s="88">
        <f t="shared" si="483"/>
        <v>594</v>
      </c>
      <c r="L7827" s="51">
        <v>594</v>
      </c>
      <c r="M7827" s="91">
        <f t="shared" si="482"/>
        <v>68.794612794612803</v>
      </c>
    </row>
    <row r="7828" spans="1:13" ht="15" hidden="1" customHeight="1" x14ac:dyDescent="0.3">
      <c r="A7828" s="9">
        <v>2336</v>
      </c>
      <c r="B7828" t="s">
        <v>416</v>
      </c>
      <c r="C7828" s="25">
        <v>44649</v>
      </c>
      <c r="D7828" s="26">
        <v>0.44528935185185187</v>
      </c>
      <c r="E7828" t="s">
        <v>26</v>
      </c>
      <c r="F7828" t="s">
        <v>210</v>
      </c>
      <c r="G7828" t="s">
        <v>211</v>
      </c>
      <c r="H7828" t="s">
        <v>282</v>
      </c>
      <c r="I7828">
        <v>451.36</v>
      </c>
      <c r="J7828" s="52">
        <v>0</v>
      </c>
      <c r="K7828" s="88">
        <f t="shared" si="483"/>
        <v>1064.21</v>
      </c>
      <c r="L7828" s="51">
        <v>1064.21</v>
      </c>
      <c r="M7828" s="91">
        <f t="shared" si="482"/>
        <v>42.412681707557724</v>
      </c>
    </row>
    <row r="7829" spans="1:13" ht="15" hidden="1" customHeight="1" x14ac:dyDescent="0.3">
      <c r="A7829" s="9">
        <v>2337</v>
      </c>
      <c r="B7829" t="s">
        <v>416</v>
      </c>
      <c r="C7829" s="25">
        <v>44651</v>
      </c>
      <c r="D7829" s="26">
        <v>0.54658564814814814</v>
      </c>
      <c r="E7829" t="s">
        <v>26</v>
      </c>
      <c r="F7829" t="s">
        <v>175</v>
      </c>
      <c r="G7829" t="s">
        <v>172</v>
      </c>
      <c r="H7829" t="s">
        <v>282</v>
      </c>
      <c r="I7829">
        <v>524.27</v>
      </c>
      <c r="J7829" s="52">
        <v>0</v>
      </c>
      <c r="K7829" s="88">
        <f t="shared" si="483"/>
        <v>1518.53</v>
      </c>
      <c r="L7829" s="51">
        <v>1518.53</v>
      </c>
      <c r="M7829" s="91">
        <f t="shared" si="482"/>
        <v>34.524836519528755</v>
      </c>
    </row>
    <row r="7830" spans="1:13" ht="15" hidden="1" customHeight="1" x14ac:dyDescent="0.3">
      <c r="A7830" s="9">
        <v>3580</v>
      </c>
      <c r="B7830" t="s">
        <v>416</v>
      </c>
      <c r="C7830" s="25">
        <v>44652</v>
      </c>
      <c r="D7830" s="26">
        <v>0.51962962962962966</v>
      </c>
      <c r="E7830" t="s">
        <v>27</v>
      </c>
      <c r="F7830" t="s">
        <v>210</v>
      </c>
      <c r="G7830" t="s">
        <v>211</v>
      </c>
      <c r="H7830" t="s">
        <v>282</v>
      </c>
      <c r="I7830" s="4">
        <v>305.45</v>
      </c>
      <c r="J7830" s="52">
        <v>0</v>
      </c>
      <c r="K7830" s="88">
        <f t="shared" si="483"/>
        <v>697.25</v>
      </c>
      <c r="L7830" s="51">
        <v>697.25</v>
      </c>
      <c r="M7830" s="91">
        <f t="shared" si="482"/>
        <v>43.807816421656504</v>
      </c>
    </row>
    <row r="7831" spans="1:13" ht="15" hidden="1" customHeight="1" x14ac:dyDescent="0.3">
      <c r="A7831" s="9">
        <v>3581</v>
      </c>
      <c r="B7831" t="s">
        <v>416</v>
      </c>
      <c r="C7831" s="25">
        <v>44653</v>
      </c>
      <c r="D7831" s="26">
        <v>0.57430555555555551</v>
      </c>
      <c r="E7831" t="s">
        <v>27</v>
      </c>
      <c r="F7831" t="s">
        <v>278</v>
      </c>
      <c r="G7831" t="s">
        <v>279</v>
      </c>
      <c r="H7831" t="s">
        <v>282</v>
      </c>
      <c r="I7831" s="4">
        <v>329.41</v>
      </c>
      <c r="J7831" s="52">
        <v>0</v>
      </c>
      <c r="K7831" s="88">
        <f t="shared" si="483"/>
        <v>713.58</v>
      </c>
      <c r="L7831" s="51">
        <v>713.58</v>
      </c>
      <c r="M7831" s="91">
        <f t="shared" si="482"/>
        <v>46.163009052944311</v>
      </c>
    </row>
    <row r="7832" spans="1:13" ht="15" hidden="1" customHeight="1" x14ac:dyDescent="0.3">
      <c r="A7832" s="9">
        <v>3582</v>
      </c>
      <c r="B7832" t="s">
        <v>416</v>
      </c>
      <c r="C7832" s="25">
        <v>44655</v>
      </c>
      <c r="D7832" s="26">
        <v>0.71136574074074066</v>
      </c>
      <c r="E7832" t="s">
        <v>27</v>
      </c>
      <c r="F7832" t="s">
        <v>428</v>
      </c>
      <c r="G7832" t="s">
        <v>429</v>
      </c>
      <c r="H7832" t="s">
        <v>282</v>
      </c>
      <c r="I7832" s="4">
        <v>306</v>
      </c>
      <c r="J7832" s="52">
        <v>0</v>
      </c>
      <c r="K7832" s="88">
        <f t="shared" si="483"/>
        <v>1265.1500000000001</v>
      </c>
      <c r="L7832" s="51">
        <v>1265.1500000000001</v>
      </c>
      <c r="M7832" s="91">
        <f t="shared" si="482"/>
        <v>24.186855313599175</v>
      </c>
    </row>
    <row r="7833" spans="1:13" ht="15" hidden="1" customHeight="1" x14ac:dyDescent="0.3">
      <c r="A7833" s="9">
        <v>3583</v>
      </c>
      <c r="B7833" t="s">
        <v>416</v>
      </c>
      <c r="C7833" s="25">
        <v>44656</v>
      </c>
      <c r="D7833" s="26">
        <v>0.58374999999999999</v>
      </c>
      <c r="E7833" t="s">
        <v>27</v>
      </c>
      <c r="F7833" t="s">
        <v>197</v>
      </c>
      <c r="G7833" t="s">
        <v>44</v>
      </c>
      <c r="H7833" t="s">
        <v>282</v>
      </c>
      <c r="I7833" s="4">
        <v>100.09</v>
      </c>
      <c r="J7833" s="52">
        <v>0</v>
      </c>
      <c r="K7833" s="88">
        <f t="shared" si="483"/>
        <v>386.81</v>
      </c>
      <c r="L7833" s="52">
        <v>386.81</v>
      </c>
      <c r="M7833" s="91">
        <f t="shared" si="482"/>
        <v>25.87575295364649</v>
      </c>
    </row>
    <row r="7834" spans="1:13" hidden="1" x14ac:dyDescent="0.3">
      <c r="A7834" s="9">
        <v>3584</v>
      </c>
      <c r="B7834" t="s">
        <v>416</v>
      </c>
      <c r="C7834" s="25">
        <v>44657</v>
      </c>
      <c r="D7834" s="26">
        <v>0.4548726851851852</v>
      </c>
      <c r="E7834" t="s">
        <v>27</v>
      </c>
      <c r="F7834" t="s">
        <v>210</v>
      </c>
      <c r="G7834" t="s">
        <v>211</v>
      </c>
      <c r="H7834" t="s">
        <v>282</v>
      </c>
      <c r="I7834" s="4">
        <v>505.21</v>
      </c>
      <c r="J7834" s="52">
        <v>0</v>
      </c>
      <c r="K7834" s="88">
        <f t="shared" si="483"/>
        <v>594.71</v>
      </c>
      <c r="L7834" s="52">
        <v>594.71</v>
      </c>
      <c r="M7834" s="91">
        <f t="shared" si="482"/>
        <v>84.950648215096422</v>
      </c>
    </row>
    <row r="7835" spans="1:13" hidden="1" x14ac:dyDescent="0.3">
      <c r="A7835" s="9">
        <v>3585</v>
      </c>
      <c r="B7835" t="s">
        <v>416</v>
      </c>
      <c r="C7835" s="25">
        <v>44658</v>
      </c>
      <c r="D7835" s="26">
        <v>0.35518518518518521</v>
      </c>
      <c r="E7835" t="s">
        <v>27</v>
      </c>
      <c r="F7835" t="s">
        <v>210</v>
      </c>
      <c r="G7835" t="s">
        <v>211</v>
      </c>
      <c r="H7835" t="s">
        <v>282</v>
      </c>
      <c r="I7835" s="4">
        <v>407.21</v>
      </c>
      <c r="J7835" s="52">
        <v>0</v>
      </c>
      <c r="K7835" s="88">
        <f t="shared" si="483"/>
        <v>1062.28</v>
      </c>
      <c r="L7835" s="51">
        <v>1062.28</v>
      </c>
      <c r="M7835" s="91">
        <f t="shared" si="482"/>
        <v>38.333584365703956</v>
      </c>
    </row>
    <row r="7836" spans="1:13" hidden="1" x14ac:dyDescent="0.3">
      <c r="A7836" s="9">
        <v>3586</v>
      </c>
      <c r="B7836" t="s">
        <v>416</v>
      </c>
      <c r="C7836" s="25">
        <v>44659</v>
      </c>
      <c r="D7836" s="26">
        <v>0.64158564814814811</v>
      </c>
      <c r="E7836" t="s">
        <v>27</v>
      </c>
      <c r="F7836" t="s">
        <v>428</v>
      </c>
      <c r="G7836" t="s">
        <v>429</v>
      </c>
      <c r="H7836" t="s">
        <v>282</v>
      </c>
      <c r="I7836" s="4">
        <v>100.19</v>
      </c>
      <c r="J7836" s="52">
        <v>0</v>
      </c>
      <c r="K7836" s="88">
        <f t="shared" si="483"/>
        <v>917.96</v>
      </c>
      <c r="L7836" s="52">
        <v>917.96</v>
      </c>
      <c r="M7836" s="91">
        <f t="shared" si="482"/>
        <v>10.914418928929365</v>
      </c>
    </row>
    <row r="7837" spans="1:13" hidden="1" x14ac:dyDescent="0.3">
      <c r="A7837" s="9">
        <v>3587</v>
      </c>
      <c r="B7837" t="s">
        <v>416</v>
      </c>
      <c r="C7837" s="25">
        <v>44665</v>
      </c>
      <c r="D7837" s="26">
        <v>0.31903935185185184</v>
      </c>
      <c r="E7837" t="s">
        <v>27</v>
      </c>
      <c r="F7837" t="s">
        <v>175</v>
      </c>
      <c r="G7837" t="s">
        <v>172</v>
      </c>
      <c r="H7837" t="s">
        <v>282</v>
      </c>
      <c r="I7837" s="4">
        <v>371.98</v>
      </c>
      <c r="J7837" s="52">
        <v>0</v>
      </c>
      <c r="K7837" s="88">
        <f t="shared" si="483"/>
        <v>305.99</v>
      </c>
      <c r="L7837" s="52">
        <v>305.99</v>
      </c>
      <c r="M7837" s="91">
        <f t="shared" si="482"/>
        <v>121.5660642504657</v>
      </c>
    </row>
    <row r="7838" spans="1:13" hidden="1" x14ac:dyDescent="0.3">
      <c r="A7838" s="9">
        <v>3588</v>
      </c>
      <c r="B7838" t="s">
        <v>416</v>
      </c>
      <c r="C7838" s="25">
        <v>44666</v>
      </c>
      <c r="D7838" s="26">
        <v>0.44378472222222221</v>
      </c>
      <c r="E7838" t="s">
        <v>27</v>
      </c>
      <c r="F7838" t="s">
        <v>210</v>
      </c>
      <c r="G7838" t="s">
        <v>211</v>
      </c>
      <c r="H7838" t="s">
        <v>282</v>
      </c>
      <c r="I7838" s="4">
        <v>336.97</v>
      </c>
      <c r="J7838" s="38">
        <v>0</v>
      </c>
      <c r="K7838" s="88">
        <f t="shared" si="483"/>
        <v>730</v>
      </c>
      <c r="L7838" s="52">
        <v>730</v>
      </c>
      <c r="M7838" s="91">
        <f t="shared" si="482"/>
        <v>46.160273972602745</v>
      </c>
    </row>
    <row r="7839" spans="1:13" hidden="1" x14ac:dyDescent="0.3">
      <c r="A7839" s="9">
        <v>3589</v>
      </c>
      <c r="B7839" t="s">
        <v>416</v>
      </c>
      <c r="C7839" s="25">
        <v>44667</v>
      </c>
      <c r="D7839" s="26">
        <v>0.20583333333333331</v>
      </c>
      <c r="E7839" t="s">
        <v>27</v>
      </c>
      <c r="F7839" t="s">
        <v>210</v>
      </c>
      <c r="G7839" t="s">
        <v>211</v>
      </c>
      <c r="H7839" t="s">
        <v>282</v>
      </c>
      <c r="I7839" s="4">
        <v>430.86</v>
      </c>
      <c r="J7839" s="52">
        <v>0</v>
      </c>
      <c r="K7839" s="88">
        <f t="shared" si="483"/>
        <v>1062.23</v>
      </c>
      <c r="L7839" s="52">
        <v>1062.23</v>
      </c>
      <c r="M7839" s="91">
        <f t="shared" si="482"/>
        <v>40.561836890315654</v>
      </c>
    </row>
    <row r="7840" spans="1:13" hidden="1" x14ac:dyDescent="0.3">
      <c r="A7840" s="9">
        <v>3590</v>
      </c>
      <c r="B7840" t="s">
        <v>416</v>
      </c>
      <c r="C7840" s="25">
        <v>44669</v>
      </c>
      <c r="D7840" s="26">
        <v>0.42675925925925928</v>
      </c>
      <c r="E7840" t="s">
        <v>27</v>
      </c>
      <c r="F7840" t="s">
        <v>428</v>
      </c>
      <c r="G7840" t="s">
        <v>429</v>
      </c>
      <c r="H7840" t="s">
        <v>282</v>
      </c>
      <c r="I7840" s="4">
        <f>99.99+200</f>
        <v>299.99</v>
      </c>
      <c r="J7840" s="52">
        <v>0</v>
      </c>
      <c r="K7840" s="88">
        <f t="shared" si="483"/>
        <v>919.21</v>
      </c>
      <c r="L7840" s="52">
        <v>919.21</v>
      </c>
      <c r="M7840" s="91">
        <f t="shared" si="482"/>
        <v>32.635632771619107</v>
      </c>
    </row>
    <row r="7841" spans="1:13" hidden="1" x14ac:dyDescent="0.3">
      <c r="A7841" s="9">
        <v>3591</v>
      </c>
      <c r="B7841" t="s">
        <v>416</v>
      </c>
      <c r="C7841" s="25">
        <v>44670</v>
      </c>
      <c r="D7841" s="26">
        <v>0.64408564814814817</v>
      </c>
      <c r="E7841" t="s">
        <v>27</v>
      </c>
      <c r="F7841" t="s">
        <v>557</v>
      </c>
      <c r="G7841" t="s">
        <v>558</v>
      </c>
      <c r="H7841" t="s">
        <v>282</v>
      </c>
      <c r="I7841" s="4">
        <v>100</v>
      </c>
      <c r="J7841" s="52">
        <v>0</v>
      </c>
      <c r="K7841" s="88">
        <f t="shared" si="483"/>
        <v>351.96</v>
      </c>
      <c r="L7841" s="52">
        <v>351.96</v>
      </c>
      <c r="M7841" s="91">
        <f t="shared" si="482"/>
        <v>28.412319581770657</v>
      </c>
    </row>
    <row r="7842" spans="1:13" hidden="1" x14ac:dyDescent="0.3">
      <c r="A7842" s="9">
        <v>3592</v>
      </c>
      <c r="B7842" t="s">
        <v>416</v>
      </c>
      <c r="C7842" s="25">
        <v>44671</v>
      </c>
      <c r="D7842" s="26">
        <v>0.71251157407407406</v>
      </c>
      <c r="E7842" t="s">
        <v>27</v>
      </c>
      <c r="F7842" t="s">
        <v>166</v>
      </c>
      <c r="G7842" t="s">
        <v>161</v>
      </c>
      <c r="H7842" t="s">
        <v>282</v>
      </c>
      <c r="I7842" s="4">
        <v>282.85000000000002</v>
      </c>
      <c r="J7842" s="52">
        <v>0</v>
      </c>
      <c r="K7842" s="88">
        <f t="shared" si="483"/>
        <v>430</v>
      </c>
      <c r="L7842" s="52">
        <v>430</v>
      </c>
      <c r="M7842" s="91">
        <f t="shared" si="482"/>
        <v>65.779069767441868</v>
      </c>
    </row>
    <row r="7843" spans="1:13" hidden="1" x14ac:dyDescent="0.3">
      <c r="A7843" s="9">
        <v>3593</v>
      </c>
      <c r="B7843" t="s">
        <v>416</v>
      </c>
      <c r="C7843" s="25">
        <v>44674</v>
      </c>
      <c r="D7843" s="26">
        <v>0.666875</v>
      </c>
      <c r="E7843" t="s">
        <v>27</v>
      </c>
      <c r="F7843" t="s">
        <v>165</v>
      </c>
      <c r="G7843" t="s">
        <v>185</v>
      </c>
      <c r="H7843" t="s">
        <v>282</v>
      </c>
      <c r="I7843" s="4">
        <v>341.1</v>
      </c>
      <c r="J7843" s="52">
        <v>0</v>
      </c>
      <c r="K7843" s="88">
        <f t="shared" si="483"/>
        <v>634.35</v>
      </c>
      <c r="L7843" s="52">
        <v>634.35</v>
      </c>
      <c r="M7843" s="91">
        <f t="shared" si="482"/>
        <v>53.77157720501301</v>
      </c>
    </row>
    <row r="7844" spans="1:13" hidden="1" x14ac:dyDescent="0.3">
      <c r="A7844" s="9">
        <v>3594</v>
      </c>
      <c r="B7844" t="s">
        <v>416</v>
      </c>
      <c r="C7844" s="25">
        <v>44675</v>
      </c>
      <c r="D7844" s="26">
        <v>0.70925925925925926</v>
      </c>
      <c r="E7844" t="s">
        <v>27</v>
      </c>
      <c r="F7844" t="s">
        <v>210</v>
      </c>
      <c r="G7844" t="s">
        <v>211</v>
      </c>
      <c r="H7844" t="s">
        <v>282</v>
      </c>
      <c r="I7844" s="4">
        <v>182.66</v>
      </c>
      <c r="J7844" s="52">
        <v>0</v>
      </c>
      <c r="K7844" s="88">
        <f t="shared" si="483"/>
        <v>514.76</v>
      </c>
      <c r="L7844" s="52">
        <v>514.76</v>
      </c>
      <c r="M7844" s="91">
        <f t="shared" si="482"/>
        <v>35.484497629963478</v>
      </c>
    </row>
    <row r="7845" spans="1:13" hidden="1" x14ac:dyDescent="0.3">
      <c r="A7845" s="9">
        <v>3595</v>
      </c>
      <c r="B7845" t="s">
        <v>416</v>
      </c>
      <c r="C7845" s="25">
        <v>44677</v>
      </c>
      <c r="D7845" s="26">
        <v>0.4409837962962963</v>
      </c>
      <c r="E7845" t="s">
        <v>27</v>
      </c>
      <c r="F7845" t="s">
        <v>428</v>
      </c>
      <c r="G7845" t="s">
        <v>429</v>
      </c>
      <c r="H7845" t="s">
        <v>282</v>
      </c>
      <c r="I7845">
        <f>150.09+200.52</f>
        <v>350.61</v>
      </c>
      <c r="J7845" s="52">
        <v>0</v>
      </c>
      <c r="K7845" s="88">
        <f t="shared" si="483"/>
        <v>903.69</v>
      </c>
      <c r="L7845" s="51">
        <v>903.69</v>
      </c>
      <c r="M7845" s="91">
        <f t="shared" si="482"/>
        <v>38.797596520930853</v>
      </c>
    </row>
    <row r="7846" spans="1:13" hidden="1" x14ac:dyDescent="0.3">
      <c r="A7846" s="9">
        <v>3596</v>
      </c>
      <c r="B7846" t="s">
        <v>416</v>
      </c>
      <c r="C7846" s="25">
        <v>44679</v>
      </c>
      <c r="D7846" s="26">
        <v>0.51837962962962958</v>
      </c>
      <c r="E7846" t="s">
        <v>27</v>
      </c>
      <c r="F7846" t="s">
        <v>197</v>
      </c>
      <c r="G7846" t="s">
        <v>44</v>
      </c>
      <c r="H7846" t="s">
        <v>282</v>
      </c>
      <c r="I7846">
        <v>150.79</v>
      </c>
      <c r="J7846" s="52">
        <v>0</v>
      </c>
      <c r="K7846" s="88">
        <f t="shared" si="483"/>
        <v>690</v>
      </c>
      <c r="L7846" s="51">
        <v>690</v>
      </c>
      <c r="M7846" s="91">
        <f t="shared" si="482"/>
        <v>21.853623188405795</v>
      </c>
    </row>
    <row r="7847" spans="1:13" hidden="1" x14ac:dyDescent="0.3">
      <c r="A7847" s="9">
        <v>3746</v>
      </c>
      <c r="B7847" t="s">
        <v>416</v>
      </c>
      <c r="C7847" s="25">
        <v>44683</v>
      </c>
      <c r="D7847" s="26">
        <v>0.81609953703703697</v>
      </c>
      <c r="E7847" t="s">
        <v>28</v>
      </c>
      <c r="F7847" t="s">
        <v>428</v>
      </c>
      <c r="G7847" t="s">
        <v>429</v>
      </c>
      <c r="H7847" t="s">
        <v>282</v>
      </c>
      <c r="I7847">
        <v>309</v>
      </c>
      <c r="J7847" s="52">
        <v>0</v>
      </c>
      <c r="K7847" s="88">
        <f>+L7847-J7969</f>
        <v>909.35</v>
      </c>
      <c r="L7847" s="52">
        <v>909.35</v>
      </c>
      <c r="M7847" s="91">
        <f t="shared" si="482"/>
        <v>33.980315610051136</v>
      </c>
    </row>
    <row r="7848" spans="1:13" hidden="1" x14ac:dyDescent="0.3">
      <c r="A7848" s="9">
        <v>3787</v>
      </c>
      <c r="B7848" t="s">
        <v>416</v>
      </c>
      <c r="C7848" s="25">
        <v>44684</v>
      </c>
      <c r="D7848" s="26">
        <v>0.84914351851851855</v>
      </c>
      <c r="E7848" t="s">
        <v>28</v>
      </c>
      <c r="F7848" t="s">
        <v>197</v>
      </c>
      <c r="G7848" t="s">
        <v>44</v>
      </c>
      <c r="H7848" t="s">
        <v>282</v>
      </c>
      <c r="I7848">
        <v>195</v>
      </c>
      <c r="J7848" s="52">
        <v>0</v>
      </c>
      <c r="K7848" s="88">
        <f>+L7848-J7969</f>
        <v>391</v>
      </c>
      <c r="L7848" s="52">
        <v>391</v>
      </c>
      <c r="M7848" s="91">
        <f t="shared" si="482"/>
        <v>49.872122762148337</v>
      </c>
    </row>
    <row r="7849" spans="1:13" hidden="1" x14ac:dyDescent="0.3">
      <c r="A7849" s="9">
        <v>3854</v>
      </c>
      <c r="B7849" t="s">
        <v>416</v>
      </c>
      <c r="C7849" s="25">
        <v>44685</v>
      </c>
      <c r="D7849" s="26">
        <v>0.56106481481481485</v>
      </c>
      <c r="E7849" t="s">
        <v>28</v>
      </c>
      <c r="F7849" t="s">
        <v>210</v>
      </c>
      <c r="G7849" t="s">
        <v>211</v>
      </c>
      <c r="H7849" t="s">
        <v>282</v>
      </c>
      <c r="I7849">
        <v>265.86</v>
      </c>
      <c r="J7849" s="52">
        <v>0</v>
      </c>
      <c r="K7849" s="88">
        <f>+L7849-J7967</f>
        <v>587</v>
      </c>
      <c r="L7849" s="52">
        <v>587</v>
      </c>
      <c r="M7849" s="91">
        <f t="shared" si="482"/>
        <v>45.291311754684841</v>
      </c>
    </row>
    <row r="7850" spans="1:13" hidden="1" x14ac:dyDescent="0.3">
      <c r="A7850" s="9">
        <v>3906</v>
      </c>
      <c r="B7850" t="s">
        <v>416</v>
      </c>
      <c r="C7850" s="25">
        <v>44686</v>
      </c>
      <c r="D7850" s="26">
        <v>0.49018518518518522</v>
      </c>
      <c r="E7850" t="s">
        <v>28</v>
      </c>
      <c r="F7850" t="s">
        <v>210</v>
      </c>
      <c r="G7850" t="s">
        <v>211</v>
      </c>
      <c r="H7850" t="s">
        <v>282</v>
      </c>
      <c r="I7850">
        <v>412.74</v>
      </c>
      <c r="J7850" s="52">
        <v>0</v>
      </c>
      <c r="K7850" s="88">
        <f>+L7850-J7968</f>
        <v>1062.92</v>
      </c>
      <c r="L7850" s="52">
        <v>1062.92</v>
      </c>
      <c r="M7850" s="91">
        <f t="shared" si="482"/>
        <v>38.830768072855903</v>
      </c>
    </row>
    <row r="7851" spans="1:13" hidden="1" x14ac:dyDescent="0.3">
      <c r="A7851" s="9">
        <v>3961</v>
      </c>
      <c r="B7851" t="s">
        <v>416</v>
      </c>
      <c r="C7851" s="25">
        <v>44687</v>
      </c>
      <c r="D7851" s="26">
        <v>0.71202546296296287</v>
      </c>
      <c r="E7851" t="s">
        <v>28</v>
      </c>
      <c r="F7851" t="s">
        <v>428</v>
      </c>
      <c r="G7851" t="s">
        <v>429</v>
      </c>
      <c r="H7851" t="s">
        <v>282</v>
      </c>
      <c r="I7851">
        <v>363</v>
      </c>
      <c r="J7851" s="52">
        <v>0</v>
      </c>
      <c r="K7851" s="88">
        <f>+L7851-J7970</f>
        <v>949</v>
      </c>
      <c r="L7851" s="52">
        <v>949</v>
      </c>
      <c r="M7851" s="91">
        <f t="shared" si="482"/>
        <v>38.250790305584829</v>
      </c>
    </row>
    <row r="7852" spans="1:13" hidden="1" x14ac:dyDescent="0.3">
      <c r="A7852" s="9">
        <v>4008</v>
      </c>
      <c r="B7852" t="s">
        <v>416</v>
      </c>
      <c r="C7852" s="25">
        <v>44688</v>
      </c>
      <c r="D7852" s="26">
        <v>0.77405092592592595</v>
      </c>
      <c r="E7852" t="s">
        <v>28</v>
      </c>
      <c r="F7852" t="s">
        <v>210</v>
      </c>
      <c r="G7852" t="s">
        <v>211</v>
      </c>
      <c r="H7852" t="s">
        <v>282</v>
      </c>
      <c r="I7852">
        <v>424.53</v>
      </c>
      <c r="J7852" s="52">
        <v>0</v>
      </c>
      <c r="K7852" s="88">
        <f>+L7852-J7972</f>
        <v>968</v>
      </c>
      <c r="L7852" s="52">
        <v>968</v>
      </c>
      <c r="M7852" s="91">
        <f t="shared" si="482"/>
        <v>43.856404958677679</v>
      </c>
    </row>
    <row r="7853" spans="1:13" hidden="1" x14ac:dyDescent="0.3">
      <c r="A7853" s="9">
        <v>4055</v>
      </c>
      <c r="B7853" t="s">
        <v>416</v>
      </c>
      <c r="C7853" s="25">
        <v>44689</v>
      </c>
      <c r="D7853" s="26">
        <v>0.78267361111111111</v>
      </c>
      <c r="E7853" t="s">
        <v>28</v>
      </c>
      <c r="F7853" t="s">
        <v>210</v>
      </c>
      <c r="G7853" t="s">
        <v>211</v>
      </c>
      <c r="H7853" t="s">
        <v>282</v>
      </c>
      <c r="I7853">
        <v>405.88</v>
      </c>
      <c r="J7853" s="52">
        <v>0</v>
      </c>
      <c r="K7853" s="88">
        <f>+L7853-J7973</f>
        <v>1063</v>
      </c>
      <c r="L7853" s="52">
        <v>1063</v>
      </c>
      <c r="M7853" s="91">
        <f t="shared" ref="M7853:M7885" si="484">I7853/K7853*100</f>
        <v>38.18250235183443</v>
      </c>
    </row>
    <row r="7854" spans="1:13" hidden="1" x14ac:dyDescent="0.3">
      <c r="A7854" s="9">
        <v>4148</v>
      </c>
      <c r="B7854" t="s">
        <v>416</v>
      </c>
      <c r="C7854" s="25">
        <v>44691</v>
      </c>
      <c r="D7854" s="26">
        <v>0.5788078703703704</v>
      </c>
      <c r="E7854" t="s">
        <v>28</v>
      </c>
      <c r="F7854" t="s">
        <v>428</v>
      </c>
      <c r="G7854" t="s">
        <v>429</v>
      </c>
      <c r="H7854" t="s">
        <v>282</v>
      </c>
      <c r="I7854">
        <f>96.97+200.04</f>
        <v>297.01</v>
      </c>
      <c r="J7854" s="52">
        <v>0</v>
      </c>
      <c r="K7854" s="88">
        <f t="shared" ref="K7854:K7859" si="485">+L7854-J7976</f>
        <v>952</v>
      </c>
      <c r="L7854" s="52">
        <v>952</v>
      </c>
      <c r="M7854" s="91">
        <f t="shared" si="484"/>
        <v>31.198529411764703</v>
      </c>
    </row>
    <row r="7855" spans="1:13" hidden="1" x14ac:dyDescent="0.3">
      <c r="A7855" s="9">
        <v>4236</v>
      </c>
      <c r="B7855" t="s">
        <v>416</v>
      </c>
      <c r="C7855" s="25">
        <v>44693</v>
      </c>
      <c r="D7855" s="26">
        <v>0.51624999999999999</v>
      </c>
      <c r="E7855" t="s">
        <v>28</v>
      </c>
      <c r="F7855" t="s">
        <v>210</v>
      </c>
      <c r="G7855" t="s">
        <v>211</v>
      </c>
      <c r="H7855" t="s">
        <v>282</v>
      </c>
      <c r="I7855">
        <f>84.45+414.54</f>
        <v>498.99</v>
      </c>
      <c r="J7855" s="52">
        <v>0</v>
      </c>
      <c r="K7855" s="88">
        <f t="shared" si="485"/>
        <v>969</v>
      </c>
      <c r="L7855" s="52">
        <v>969</v>
      </c>
      <c r="M7855" s="91">
        <f t="shared" si="484"/>
        <v>51.495356037151709</v>
      </c>
    </row>
    <row r="7856" spans="1:13" hidden="1" x14ac:dyDescent="0.3">
      <c r="A7856" s="9">
        <v>4290</v>
      </c>
      <c r="B7856" t="s">
        <v>416</v>
      </c>
      <c r="C7856" s="25">
        <v>44694</v>
      </c>
      <c r="D7856" s="26">
        <v>7.3715277777777768E-2</v>
      </c>
      <c r="E7856" t="s">
        <v>28</v>
      </c>
      <c r="F7856" t="s">
        <v>165</v>
      </c>
      <c r="G7856" t="s">
        <v>185</v>
      </c>
      <c r="H7856" t="s">
        <v>282</v>
      </c>
      <c r="I7856">
        <v>271.39999999999998</v>
      </c>
      <c r="J7856" s="52">
        <v>0</v>
      </c>
      <c r="K7856" s="88">
        <f t="shared" si="485"/>
        <v>549</v>
      </c>
      <c r="L7856" s="52">
        <v>549</v>
      </c>
      <c r="M7856" s="91">
        <f t="shared" si="484"/>
        <v>49.435336976320578</v>
      </c>
    </row>
    <row r="7857" spans="1:13" hidden="1" x14ac:dyDescent="0.3">
      <c r="A7857" s="9">
        <v>4356</v>
      </c>
      <c r="B7857" t="s">
        <v>416</v>
      </c>
      <c r="C7857" s="25">
        <v>44695</v>
      </c>
      <c r="D7857" s="26">
        <v>0.64340277777777777</v>
      </c>
      <c r="E7857" t="s">
        <v>28</v>
      </c>
      <c r="F7857" t="s">
        <v>428</v>
      </c>
      <c r="G7857" t="s">
        <v>429</v>
      </c>
      <c r="H7857" t="s">
        <v>282</v>
      </c>
      <c r="I7857">
        <f>100.05+100.02</f>
        <v>200.07</v>
      </c>
      <c r="J7857" s="52">
        <v>0</v>
      </c>
      <c r="K7857" s="88">
        <f t="shared" si="485"/>
        <v>1429</v>
      </c>
      <c r="L7857" s="52">
        <v>1429</v>
      </c>
      <c r="M7857" s="91">
        <f t="shared" si="484"/>
        <v>14.000699790062981</v>
      </c>
    </row>
    <row r="7858" spans="1:13" hidden="1" x14ac:dyDescent="0.3">
      <c r="A7858" s="9">
        <v>4689</v>
      </c>
      <c r="B7858" t="s">
        <v>416</v>
      </c>
      <c r="C7858" s="25">
        <v>44701</v>
      </c>
      <c r="D7858" s="26">
        <v>0.44186342592592592</v>
      </c>
      <c r="E7858" t="s">
        <v>28</v>
      </c>
      <c r="F7858" t="s">
        <v>262</v>
      </c>
      <c r="G7858" t="s">
        <v>263</v>
      </c>
      <c r="H7858" t="s">
        <v>282</v>
      </c>
      <c r="I7858">
        <v>398.71</v>
      </c>
      <c r="J7858" s="52">
        <v>0</v>
      </c>
      <c r="K7858" s="88">
        <f t="shared" si="485"/>
        <v>357</v>
      </c>
      <c r="L7858" s="52">
        <v>357</v>
      </c>
      <c r="M7858" s="91">
        <f t="shared" si="484"/>
        <v>111.68347338935574</v>
      </c>
    </row>
    <row r="7859" spans="1:13" hidden="1" x14ac:dyDescent="0.3">
      <c r="A7859" s="9">
        <v>4749</v>
      </c>
      <c r="B7859" t="s">
        <v>416</v>
      </c>
      <c r="C7859" s="25">
        <v>44702</v>
      </c>
      <c r="D7859" s="26">
        <v>0.68016203703703704</v>
      </c>
      <c r="E7859" t="s">
        <v>28</v>
      </c>
      <c r="F7859" t="s">
        <v>210</v>
      </c>
      <c r="G7859" t="s">
        <v>211</v>
      </c>
      <c r="H7859" t="s">
        <v>282</v>
      </c>
      <c r="I7859">
        <v>468.62</v>
      </c>
      <c r="J7859" s="52">
        <v>0</v>
      </c>
      <c r="K7859" s="88">
        <f t="shared" si="485"/>
        <v>808</v>
      </c>
      <c r="L7859" s="52">
        <v>808</v>
      </c>
      <c r="M7859" s="91">
        <f t="shared" si="484"/>
        <v>57.99752475247525</v>
      </c>
    </row>
    <row r="7860" spans="1:13" hidden="1" x14ac:dyDescent="0.3">
      <c r="A7860" s="9">
        <v>4802</v>
      </c>
      <c r="B7860" t="s">
        <v>416</v>
      </c>
      <c r="C7860" s="25">
        <v>44703</v>
      </c>
      <c r="D7860" s="26">
        <v>0.6077893518518519</v>
      </c>
      <c r="E7860" t="s">
        <v>28</v>
      </c>
      <c r="F7860" t="s">
        <v>165</v>
      </c>
      <c r="G7860" t="s">
        <v>185</v>
      </c>
      <c r="H7860" t="s">
        <v>282</v>
      </c>
      <c r="I7860">
        <v>263.8</v>
      </c>
      <c r="J7860" s="52">
        <v>0</v>
      </c>
      <c r="K7860" s="88">
        <f t="shared" ref="K7860:K7865" si="486">+L7860-J8058</f>
        <v>549</v>
      </c>
      <c r="L7860" s="52">
        <v>549</v>
      </c>
      <c r="M7860" s="91">
        <f t="shared" si="484"/>
        <v>48.051001821493628</v>
      </c>
    </row>
    <row r="7861" spans="1:13" hidden="1" x14ac:dyDescent="0.3">
      <c r="A7861" s="9">
        <v>4848</v>
      </c>
      <c r="B7861" t="s">
        <v>416</v>
      </c>
      <c r="C7861" s="25">
        <v>44704</v>
      </c>
      <c r="D7861" s="26">
        <v>2.5486111111111112E-2</v>
      </c>
      <c r="E7861" t="s">
        <v>28</v>
      </c>
      <c r="F7861" t="s">
        <v>166</v>
      </c>
      <c r="G7861" t="s">
        <v>161</v>
      </c>
      <c r="H7861" t="s">
        <v>282</v>
      </c>
      <c r="I7861">
        <v>203.46</v>
      </c>
      <c r="J7861" s="52">
        <v>0</v>
      </c>
      <c r="K7861" s="88">
        <f t="shared" si="486"/>
        <v>590</v>
      </c>
      <c r="L7861" s="52">
        <v>590</v>
      </c>
      <c r="M7861" s="91">
        <f t="shared" si="484"/>
        <v>34.484745762711867</v>
      </c>
    </row>
    <row r="7862" spans="1:13" hidden="1" x14ac:dyDescent="0.3">
      <c r="A7862" s="9">
        <v>4849</v>
      </c>
      <c r="B7862" t="s">
        <v>416</v>
      </c>
      <c r="C7862" s="25">
        <v>44704</v>
      </c>
      <c r="D7862" s="26">
        <v>0.48718750000000005</v>
      </c>
      <c r="E7862" t="s">
        <v>28</v>
      </c>
      <c r="F7862" t="s">
        <v>169</v>
      </c>
      <c r="G7862" t="s">
        <v>196</v>
      </c>
      <c r="H7862" t="s">
        <v>282</v>
      </c>
      <c r="I7862">
        <v>130.03</v>
      </c>
      <c r="J7862" s="52">
        <v>0</v>
      </c>
      <c r="K7862" s="88">
        <f t="shared" si="486"/>
        <v>406</v>
      </c>
      <c r="L7862" s="52">
        <v>406</v>
      </c>
      <c r="M7862" s="91">
        <f t="shared" si="484"/>
        <v>32.027093596059117</v>
      </c>
    </row>
    <row r="7863" spans="1:13" hidden="1" x14ac:dyDescent="0.3">
      <c r="A7863" s="9">
        <v>4969</v>
      </c>
      <c r="B7863" t="s">
        <v>416</v>
      </c>
      <c r="C7863" s="25">
        <v>44706</v>
      </c>
      <c r="D7863" s="26">
        <v>0.59425925925925926</v>
      </c>
      <c r="E7863" t="s">
        <v>28</v>
      </c>
      <c r="F7863" t="s">
        <v>166</v>
      </c>
      <c r="G7863" t="s">
        <v>161</v>
      </c>
      <c r="H7863" t="s">
        <v>282</v>
      </c>
      <c r="I7863">
        <v>565</v>
      </c>
      <c r="J7863" s="52">
        <v>0</v>
      </c>
      <c r="K7863" s="88">
        <f t="shared" si="486"/>
        <v>1275</v>
      </c>
      <c r="L7863" s="52">
        <v>1275</v>
      </c>
      <c r="M7863" s="91">
        <f t="shared" si="484"/>
        <v>44.313725490196077</v>
      </c>
    </row>
    <row r="7864" spans="1:13" hidden="1" x14ac:dyDescent="0.3">
      <c r="A7864" s="9">
        <v>5062</v>
      </c>
      <c r="B7864" t="s">
        <v>416</v>
      </c>
      <c r="C7864" s="25">
        <v>44708</v>
      </c>
      <c r="D7864" s="26">
        <v>0.60497685185185179</v>
      </c>
      <c r="E7864" t="s">
        <v>28</v>
      </c>
      <c r="F7864" t="s">
        <v>635</v>
      </c>
      <c r="G7864" t="s">
        <v>185</v>
      </c>
      <c r="H7864" t="s">
        <v>282</v>
      </c>
      <c r="I7864">
        <v>345.12</v>
      </c>
      <c r="J7864" s="52">
        <v>0</v>
      </c>
      <c r="K7864" s="88">
        <f t="shared" si="486"/>
        <v>653</v>
      </c>
      <c r="L7864" s="51">
        <v>653</v>
      </c>
      <c r="M7864" s="91">
        <f t="shared" si="484"/>
        <v>52.851454823889746</v>
      </c>
    </row>
    <row r="7865" spans="1:13" hidden="1" x14ac:dyDescent="0.3">
      <c r="A7865" s="9">
        <v>5116</v>
      </c>
      <c r="B7865" t="s">
        <v>416</v>
      </c>
      <c r="C7865" s="25">
        <v>44709</v>
      </c>
      <c r="D7865" s="26">
        <v>0.60070601851851857</v>
      </c>
      <c r="E7865" t="s">
        <v>28</v>
      </c>
      <c r="F7865" t="s">
        <v>637</v>
      </c>
      <c r="G7865" t="s">
        <v>196</v>
      </c>
      <c r="H7865" t="s">
        <v>282</v>
      </c>
      <c r="I7865">
        <v>336</v>
      </c>
      <c r="J7865" s="52">
        <v>0</v>
      </c>
      <c r="K7865" s="88">
        <f t="shared" si="486"/>
        <v>1006</v>
      </c>
      <c r="L7865" s="51">
        <v>1006</v>
      </c>
      <c r="M7865" s="91">
        <f t="shared" si="484"/>
        <v>33.399602385685881</v>
      </c>
    </row>
    <row r="7866" spans="1:13" hidden="1" x14ac:dyDescent="0.3">
      <c r="A7866" s="9">
        <v>5253</v>
      </c>
      <c r="B7866" t="s">
        <v>416</v>
      </c>
      <c r="C7866" s="25">
        <v>44712</v>
      </c>
      <c r="D7866" s="26">
        <v>0.85594907407407417</v>
      </c>
      <c r="E7866" t="s">
        <v>28</v>
      </c>
      <c r="F7866" t="s">
        <v>663</v>
      </c>
      <c r="G7866" t="s">
        <v>344</v>
      </c>
      <c r="H7866" t="s">
        <v>411</v>
      </c>
      <c r="I7866">
        <v>47.27</v>
      </c>
      <c r="J7866" s="52"/>
      <c r="K7866" s="88"/>
      <c r="L7866" s="51"/>
      <c r="M7866" s="91" t="e">
        <f t="shared" si="484"/>
        <v>#DIV/0!</v>
      </c>
    </row>
    <row r="7867" spans="1:13" hidden="1" x14ac:dyDescent="0.3">
      <c r="A7867" s="9">
        <v>5368</v>
      </c>
      <c r="B7867" t="s">
        <v>416</v>
      </c>
      <c r="C7867" s="25">
        <v>44714</v>
      </c>
      <c r="D7867" s="26">
        <v>0.66981481481481486</v>
      </c>
      <c r="E7867" t="s">
        <v>29</v>
      </c>
      <c r="F7867" t="s">
        <v>651</v>
      </c>
      <c r="G7867" t="s">
        <v>172</v>
      </c>
      <c r="H7867" t="s">
        <v>411</v>
      </c>
      <c r="I7867">
        <v>47.54</v>
      </c>
      <c r="J7867" s="194"/>
      <c r="K7867" s="194"/>
      <c r="L7867" s="194"/>
      <c r="M7867" s="91" t="e">
        <f t="shared" si="484"/>
        <v>#DIV/0!</v>
      </c>
    </row>
    <row r="7868" spans="1:13" hidden="1" x14ac:dyDescent="0.3">
      <c r="A7868" s="9">
        <v>5489</v>
      </c>
      <c r="B7868" t="s">
        <v>416</v>
      </c>
      <c r="C7868" s="25">
        <v>44716</v>
      </c>
      <c r="D7868" s="26">
        <v>0.538599537037037</v>
      </c>
      <c r="E7868" t="s">
        <v>29</v>
      </c>
      <c r="F7868" t="s">
        <v>639</v>
      </c>
      <c r="G7868">
        <v>0</v>
      </c>
      <c r="H7868" t="s">
        <v>282</v>
      </c>
      <c r="I7868">
        <v>115.48</v>
      </c>
      <c r="J7868" s="52">
        <v>0</v>
      </c>
      <c r="K7868" s="88">
        <f>+L7868-J8057</f>
        <v>870</v>
      </c>
      <c r="L7868" s="51">
        <v>870</v>
      </c>
      <c r="M7868" s="91">
        <f t="shared" si="484"/>
        <v>13.273563218390805</v>
      </c>
    </row>
    <row r="7869" spans="1:13" hidden="1" x14ac:dyDescent="0.3">
      <c r="A7869" s="9">
        <v>5490</v>
      </c>
      <c r="B7869" t="s">
        <v>416</v>
      </c>
      <c r="C7869" s="25">
        <v>44716</v>
      </c>
      <c r="D7869" s="26">
        <v>0.59711805555555553</v>
      </c>
      <c r="E7869" t="s">
        <v>29</v>
      </c>
      <c r="F7869" t="s">
        <v>639</v>
      </c>
      <c r="G7869" t="s">
        <v>44</v>
      </c>
      <c r="H7869" t="s">
        <v>282</v>
      </c>
      <c r="I7869">
        <v>115.49</v>
      </c>
      <c r="J7869" s="52">
        <v>0</v>
      </c>
      <c r="K7869" s="88">
        <f>+L7869-J8058</f>
        <v>220</v>
      </c>
      <c r="L7869" s="51">
        <v>220</v>
      </c>
      <c r="M7869" s="91">
        <f t="shared" si="484"/>
        <v>52.495454545454542</v>
      </c>
    </row>
    <row r="7870" spans="1:13" hidden="1" x14ac:dyDescent="0.3">
      <c r="A7870" s="9">
        <v>5534</v>
      </c>
      <c r="B7870" t="s">
        <v>416</v>
      </c>
      <c r="C7870" s="25">
        <v>44717</v>
      </c>
      <c r="D7870" s="26">
        <v>3.6261574074074078E-2</v>
      </c>
      <c r="E7870" t="s">
        <v>29</v>
      </c>
      <c r="F7870" t="s">
        <v>632</v>
      </c>
      <c r="G7870" t="s">
        <v>161</v>
      </c>
      <c r="H7870" t="s">
        <v>282</v>
      </c>
      <c r="I7870">
        <v>392.85</v>
      </c>
      <c r="J7870" s="52">
        <v>0</v>
      </c>
      <c r="K7870" s="88">
        <f>+L7870-J8059</f>
        <v>520</v>
      </c>
      <c r="L7870" s="51">
        <v>520</v>
      </c>
      <c r="M7870" s="91">
        <f t="shared" si="484"/>
        <v>75.54807692307692</v>
      </c>
    </row>
    <row r="7871" spans="1:13" hidden="1" x14ac:dyDescent="0.3">
      <c r="A7871" s="9">
        <v>5566</v>
      </c>
      <c r="B7871" t="s">
        <v>416</v>
      </c>
      <c r="C7871" s="25">
        <v>44718</v>
      </c>
      <c r="D7871" s="26">
        <v>0.64418981481481474</v>
      </c>
      <c r="E7871" t="s">
        <v>29</v>
      </c>
      <c r="F7871" t="s">
        <v>634</v>
      </c>
      <c r="G7871" t="s">
        <v>211</v>
      </c>
      <c r="H7871" t="s">
        <v>282</v>
      </c>
      <c r="I7871">
        <v>471.49</v>
      </c>
      <c r="J7871" s="52">
        <v>0</v>
      </c>
      <c r="K7871" s="88">
        <f>+L7871-J8055</f>
        <v>1146</v>
      </c>
      <c r="L7871" s="51">
        <v>1146</v>
      </c>
      <c r="M7871" s="91">
        <f t="shared" si="484"/>
        <v>41.142233856893547</v>
      </c>
    </row>
    <row r="7872" spans="1:13" hidden="1" x14ac:dyDescent="0.3">
      <c r="A7872" s="9">
        <v>5632</v>
      </c>
      <c r="B7872" t="s">
        <v>416</v>
      </c>
      <c r="C7872" s="25">
        <v>44719</v>
      </c>
      <c r="D7872" s="26">
        <v>0.47820601851851857</v>
      </c>
      <c r="E7872" t="s">
        <v>29</v>
      </c>
      <c r="F7872" t="s">
        <v>653</v>
      </c>
      <c r="G7872" t="s">
        <v>402</v>
      </c>
      <c r="H7872" t="s">
        <v>282</v>
      </c>
      <c r="I7872">
        <v>35</v>
      </c>
      <c r="J7872" s="52">
        <v>0</v>
      </c>
      <c r="K7872" s="88">
        <f>+L7872-J7453</f>
        <v>128</v>
      </c>
      <c r="L7872" s="51">
        <v>647</v>
      </c>
      <c r="M7872" s="91">
        <f t="shared" si="484"/>
        <v>27.34375</v>
      </c>
    </row>
    <row r="7873" spans="1:19" hidden="1" x14ac:dyDescent="0.3">
      <c r="A7873" s="9">
        <v>5694</v>
      </c>
      <c r="B7873" t="s">
        <v>416</v>
      </c>
      <c r="C7873" s="25">
        <v>44720</v>
      </c>
      <c r="D7873" s="26">
        <v>0.81090277777777775</v>
      </c>
      <c r="E7873" t="s">
        <v>29</v>
      </c>
      <c r="F7873" t="s">
        <v>651</v>
      </c>
      <c r="G7873" t="s">
        <v>172</v>
      </c>
      <c r="H7873" t="s">
        <v>282</v>
      </c>
      <c r="I7873">
        <v>381.19</v>
      </c>
      <c r="J7873" s="52">
        <v>0</v>
      </c>
      <c r="K7873" s="88" t="e">
        <f>+L7873-#REF!</f>
        <v>#REF!</v>
      </c>
      <c r="L7873" s="51">
        <v>454</v>
      </c>
      <c r="M7873" s="91" t="e">
        <f t="shared" si="484"/>
        <v>#REF!</v>
      </c>
    </row>
    <row r="7874" spans="1:19" hidden="1" x14ac:dyDescent="0.3">
      <c r="A7874" s="9">
        <v>5744</v>
      </c>
      <c r="B7874" t="s">
        <v>416</v>
      </c>
      <c r="C7874" s="25">
        <v>44721</v>
      </c>
      <c r="D7874" s="26">
        <v>0.78925925925925933</v>
      </c>
      <c r="E7874" t="s">
        <v>29</v>
      </c>
      <c r="F7874" t="s">
        <v>632</v>
      </c>
      <c r="G7874" t="s">
        <v>161</v>
      </c>
      <c r="H7874" t="s">
        <v>282</v>
      </c>
      <c r="I7874">
        <v>296.12</v>
      </c>
      <c r="J7874" s="52">
        <v>0</v>
      </c>
      <c r="K7874" s="88">
        <f>+L7874-J7454</f>
        <v>612</v>
      </c>
      <c r="L7874" s="51">
        <v>612</v>
      </c>
      <c r="M7874" s="91">
        <f t="shared" si="484"/>
        <v>48.385620915032682</v>
      </c>
    </row>
    <row r="7875" spans="1:19" hidden="1" x14ac:dyDescent="0.3">
      <c r="A7875" s="9">
        <v>5784</v>
      </c>
      <c r="B7875" t="s">
        <v>416</v>
      </c>
      <c r="C7875" s="25">
        <v>44722</v>
      </c>
      <c r="D7875" s="26">
        <v>0.44037037037037036</v>
      </c>
      <c r="E7875" t="s">
        <v>29</v>
      </c>
      <c r="F7875" t="s">
        <v>635</v>
      </c>
      <c r="G7875" t="s">
        <v>185</v>
      </c>
      <c r="H7875" t="s">
        <v>282</v>
      </c>
      <c r="I7875">
        <v>317.82</v>
      </c>
      <c r="J7875" s="52">
        <v>0</v>
      </c>
      <c r="K7875" s="88" t="e">
        <f>+L7875-#REF!</f>
        <v>#REF!</v>
      </c>
      <c r="L7875" s="51">
        <v>631</v>
      </c>
      <c r="M7875" s="91" t="e">
        <f t="shared" si="484"/>
        <v>#REF!</v>
      </c>
    </row>
    <row r="7876" spans="1:19" hidden="1" x14ac:dyDescent="0.3">
      <c r="A7876" s="9">
        <v>5785</v>
      </c>
      <c r="B7876" t="s">
        <v>416</v>
      </c>
      <c r="C7876" s="25">
        <v>44722</v>
      </c>
      <c r="D7876" s="26">
        <v>0.85403935185185187</v>
      </c>
      <c r="E7876" t="s">
        <v>29</v>
      </c>
      <c r="F7876" t="s">
        <v>632</v>
      </c>
      <c r="G7876" t="s">
        <v>161</v>
      </c>
      <c r="H7876" t="s">
        <v>282</v>
      </c>
      <c r="I7876">
        <v>178.43</v>
      </c>
      <c r="J7876" s="52">
        <v>0</v>
      </c>
      <c r="K7876" s="88" t="e">
        <f>+L7876-#REF!</f>
        <v>#REF!</v>
      </c>
      <c r="L7876" s="51">
        <v>590</v>
      </c>
      <c r="M7876" s="91" t="e">
        <f t="shared" si="484"/>
        <v>#REF!</v>
      </c>
    </row>
    <row r="7877" spans="1:19" hidden="1" x14ac:dyDescent="0.3">
      <c r="A7877" s="9">
        <v>5850</v>
      </c>
      <c r="B7877" t="s">
        <v>416</v>
      </c>
      <c r="C7877" s="25">
        <v>44723</v>
      </c>
      <c r="D7877" s="26">
        <v>0.92836805555555557</v>
      </c>
      <c r="E7877" t="s">
        <v>29</v>
      </c>
      <c r="F7877" t="s">
        <v>651</v>
      </c>
      <c r="G7877" t="s">
        <v>172</v>
      </c>
      <c r="H7877" t="s">
        <v>282</v>
      </c>
      <c r="I7877">
        <v>374.12</v>
      </c>
      <c r="J7877" s="52">
        <v>0</v>
      </c>
      <c r="K7877" s="88">
        <f>+L7877-J7455</f>
        <v>961</v>
      </c>
      <c r="L7877" s="51">
        <v>961</v>
      </c>
      <c r="M7877" s="91">
        <f t="shared" si="484"/>
        <v>38.930280957336109</v>
      </c>
    </row>
    <row r="7878" spans="1:19" hidden="1" x14ac:dyDescent="0.3">
      <c r="A7878" s="9">
        <v>5900</v>
      </c>
      <c r="B7878" t="s">
        <v>416</v>
      </c>
      <c r="C7878" s="25">
        <v>44724</v>
      </c>
      <c r="D7878" s="26">
        <v>0.81297453703703704</v>
      </c>
      <c r="E7878" t="s">
        <v>29</v>
      </c>
      <c r="F7878" t="s">
        <v>632</v>
      </c>
      <c r="G7878" t="s">
        <v>161</v>
      </c>
      <c r="H7878" t="s">
        <v>282</v>
      </c>
      <c r="I7878">
        <v>271.3</v>
      </c>
      <c r="J7878" s="52">
        <v>0</v>
      </c>
      <c r="K7878" s="88" t="e">
        <f>+L7878-#REF!</f>
        <v>#REF!</v>
      </c>
      <c r="L7878" s="51">
        <v>618</v>
      </c>
      <c r="M7878" s="91" t="e">
        <f t="shared" si="484"/>
        <v>#REF!</v>
      </c>
    </row>
    <row r="7879" spans="1:19" hidden="1" x14ac:dyDescent="0.3">
      <c r="A7879" s="9">
        <v>5959</v>
      </c>
      <c r="B7879" t="s">
        <v>416</v>
      </c>
      <c r="C7879" s="25">
        <v>44725</v>
      </c>
      <c r="D7879" s="26">
        <v>0.95464120370370376</v>
      </c>
      <c r="E7879" t="s">
        <v>29</v>
      </c>
      <c r="F7879" t="s">
        <v>634</v>
      </c>
      <c r="G7879" t="s">
        <v>211</v>
      </c>
      <c r="H7879" t="s">
        <v>282</v>
      </c>
      <c r="I7879">
        <v>477.78</v>
      </c>
      <c r="J7879" s="52">
        <v>0</v>
      </c>
      <c r="K7879" s="88">
        <f>+L7879-J7460</f>
        <v>-629710</v>
      </c>
      <c r="L7879" s="51">
        <v>1052</v>
      </c>
      <c r="M7879" s="91">
        <f t="shared" si="484"/>
        <v>-7.5873020914389161E-2</v>
      </c>
      <c r="N7879" s="2"/>
      <c r="O7879" s="2"/>
      <c r="P7879" s="2"/>
      <c r="Q7879" s="2"/>
      <c r="R7879" s="2"/>
      <c r="S7879" s="2"/>
    </row>
    <row r="7880" spans="1:19" hidden="1" x14ac:dyDescent="0.3">
      <c r="A7880" s="9">
        <v>6016</v>
      </c>
      <c r="B7880" t="s">
        <v>416</v>
      </c>
      <c r="C7880" s="25">
        <v>44726</v>
      </c>
      <c r="D7880" s="26">
        <v>0.70660879629629625</v>
      </c>
      <c r="E7880" t="s">
        <v>29</v>
      </c>
      <c r="F7880" t="s">
        <v>637</v>
      </c>
      <c r="G7880" t="s">
        <v>196</v>
      </c>
      <c r="H7880" t="s">
        <v>282</v>
      </c>
      <c r="I7880">
        <v>177.73</v>
      </c>
      <c r="J7880" s="52">
        <v>0</v>
      </c>
      <c r="K7880" s="88">
        <v>482</v>
      </c>
      <c r="L7880" s="51">
        <v>482</v>
      </c>
      <c r="M7880" s="91">
        <f t="shared" si="484"/>
        <v>36.873443983402488</v>
      </c>
    </row>
    <row r="7881" spans="1:19" hidden="1" x14ac:dyDescent="0.3">
      <c r="A7881" s="9">
        <v>6181</v>
      </c>
      <c r="B7881" t="s">
        <v>416</v>
      </c>
      <c r="C7881" s="25">
        <v>44729</v>
      </c>
      <c r="D7881" s="26">
        <v>0.63590277777777782</v>
      </c>
      <c r="E7881" t="s">
        <v>29</v>
      </c>
      <c r="F7881" t="s">
        <v>639</v>
      </c>
      <c r="G7881" t="s">
        <v>44</v>
      </c>
      <c r="H7881" t="s">
        <v>282</v>
      </c>
      <c r="I7881">
        <v>234</v>
      </c>
      <c r="J7881" s="52">
        <v>0</v>
      </c>
      <c r="K7881" s="88">
        <v>754</v>
      </c>
      <c r="L7881" s="51">
        <v>754</v>
      </c>
      <c r="M7881" s="91">
        <f t="shared" si="484"/>
        <v>31.03448275862069</v>
      </c>
    </row>
    <row r="7882" spans="1:19" hidden="1" x14ac:dyDescent="0.3">
      <c r="A7882" s="9">
        <v>6182</v>
      </c>
      <c r="B7882" t="s">
        <v>416</v>
      </c>
      <c r="C7882" s="25">
        <v>44729</v>
      </c>
      <c r="D7882" s="26">
        <v>0.97050925925925924</v>
      </c>
      <c r="E7882" t="s">
        <v>29</v>
      </c>
      <c r="F7882" t="s">
        <v>632</v>
      </c>
      <c r="G7882" t="s">
        <v>161</v>
      </c>
      <c r="H7882" t="s">
        <v>282</v>
      </c>
      <c r="I7882">
        <v>335.34</v>
      </c>
      <c r="J7882" s="52">
        <v>0</v>
      </c>
      <c r="K7882" s="88">
        <v>511</v>
      </c>
      <c r="L7882" s="51">
        <v>511</v>
      </c>
      <c r="M7882" s="91">
        <f t="shared" si="484"/>
        <v>65.624266144814086</v>
      </c>
    </row>
    <row r="7883" spans="1:19" hidden="1" x14ac:dyDescent="0.3">
      <c r="A7883" s="9">
        <v>6281</v>
      </c>
      <c r="B7883" t="s">
        <v>416</v>
      </c>
      <c r="C7883" s="25">
        <v>44732</v>
      </c>
      <c r="D7883" s="26">
        <v>0.91893518518518524</v>
      </c>
      <c r="E7883" t="s">
        <v>29</v>
      </c>
      <c r="F7883" t="s">
        <v>634</v>
      </c>
      <c r="G7883" t="s">
        <v>211</v>
      </c>
      <c r="H7883" t="s">
        <v>282</v>
      </c>
      <c r="I7883" s="148">
        <v>502</v>
      </c>
      <c r="J7883" s="52">
        <v>0</v>
      </c>
      <c r="K7883" s="88">
        <v>1062</v>
      </c>
      <c r="L7883" s="51">
        <v>1062</v>
      </c>
      <c r="M7883" s="91">
        <f t="shared" si="484"/>
        <v>47.269303201506588</v>
      </c>
    </row>
    <row r="7884" spans="1:19" hidden="1" x14ac:dyDescent="0.3">
      <c r="A7884" s="9">
        <v>6623</v>
      </c>
      <c r="B7884" t="s">
        <v>416</v>
      </c>
      <c r="C7884" s="25">
        <v>44739</v>
      </c>
      <c r="D7884" s="26">
        <v>0.86827546296296287</v>
      </c>
      <c r="E7884" t="s">
        <v>29</v>
      </c>
      <c r="F7884" t="s">
        <v>765</v>
      </c>
      <c r="G7884" t="s">
        <v>172</v>
      </c>
      <c r="H7884" t="s">
        <v>282</v>
      </c>
      <c r="I7884" s="148">
        <v>438</v>
      </c>
      <c r="J7884" s="52">
        <v>0</v>
      </c>
      <c r="K7884" s="88">
        <v>1000</v>
      </c>
      <c r="L7884" s="51">
        <v>1000</v>
      </c>
      <c r="M7884" s="91">
        <f t="shared" si="484"/>
        <v>43.8</v>
      </c>
    </row>
    <row r="7885" spans="1:19" hidden="1" x14ac:dyDescent="0.3">
      <c r="A7885" s="9">
        <v>6741</v>
      </c>
      <c r="B7885" t="s">
        <v>416</v>
      </c>
      <c r="C7885" s="25">
        <v>44741</v>
      </c>
      <c r="D7885" s="26">
        <v>0.51461805555555562</v>
      </c>
      <c r="E7885" t="s">
        <v>29</v>
      </c>
      <c r="F7885" t="s">
        <v>639</v>
      </c>
      <c r="G7885" t="s">
        <v>44</v>
      </c>
      <c r="H7885" t="s">
        <v>282</v>
      </c>
      <c r="I7885" s="148">
        <v>63.81</v>
      </c>
      <c r="J7885" s="52">
        <v>0</v>
      </c>
      <c r="K7885" s="88">
        <v>356</v>
      </c>
      <c r="L7885" s="51">
        <v>356</v>
      </c>
      <c r="M7885" s="91">
        <f t="shared" si="484"/>
        <v>17.924157303370787</v>
      </c>
    </row>
    <row r="7886" spans="1:19" hidden="1" x14ac:dyDescent="0.3">
      <c r="A7886" s="9">
        <v>6751</v>
      </c>
      <c r="B7886" t="s">
        <v>416</v>
      </c>
      <c r="C7886" s="25">
        <v>44742</v>
      </c>
      <c r="D7886" s="26">
        <v>0.41464120370370372</v>
      </c>
      <c r="E7886" t="s">
        <v>29</v>
      </c>
      <c r="F7886" t="s">
        <v>166</v>
      </c>
      <c r="G7886" t="s">
        <v>161</v>
      </c>
      <c r="H7886" t="s">
        <v>282</v>
      </c>
      <c r="I7886" s="148">
        <v>270.33999999999997</v>
      </c>
      <c r="J7886"/>
      <c r="K7886">
        <v>1234</v>
      </c>
      <c r="L7886">
        <f>+K7886-J7886</f>
        <v>1234</v>
      </c>
      <c r="M7886" s="91">
        <f>I7886/L7886*100</f>
        <v>21.907617504051863</v>
      </c>
    </row>
    <row r="7887" spans="1:19" hidden="1" x14ac:dyDescent="0.3">
      <c r="A7887" s="9">
        <v>6751</v>
      </c>
      <c r="B7887" t="s">
        <v>416</v>
      </c>
      <c r="C7887" s="25">
        <v>44742</v>
      </c>
      <c r="D7887" s="26">
        <v>0.83987268518518521</v>
      </c>
      <c r="E7887" t="s">
        <v>29</v>
      </c>
      <c r="F7887" t="s">
        <v>165</v>
      </c>
      <c r="G7887" t="s">
        <v>185</v>
      </c>
      <c r="H7887" t="s">
        <v>282</v>
      </c>
      <c r="I7887" s="148">
        <v>308.95</v>
      </c>
      <c r="J7887"/>
      <c r="K7887">
        <v>2158</v>
      </c>
      <c r="L7887">
        <f>+K7887-J7887</f>
        <v>2158</v>
      </c>
      <c r="M7887" s="139">
        <f>I7887/L7887*100</f>
        <v>14.316496756255791</v>
      </c>
    </row>
    <row r="7888" spans="1:19" hidden="1" x14ac:dyDescent="0.3">
      <c r="B7888" t="s">
        <v>597</v>
      </c>
      <c r="C7888" s="25">
        <v>44759</v>
      </c>
      <c r="D7888" s="26">
        <v>0.40556712962962965</v>
      </c>
      <c r="E7888" t="s">
        <v>30</v>
      </c>
      <c r="F7888" t="s">
        <v>169</v>
      </c>
      <c r="G7888" t="s">
        <v>196</v>
      </c>
      <c r="H7888" t="s">
        <v>207</v>
      </c>
      <c r="I7888" s="173">
        <v>281.67</v>
      </c>
      <c r="J7888" s="23"/>
      <c r="K7888" s="90"/>
      <c r="L7888" s="23"/>
      <c r="M7888" s="91" t="e">
        <f>I7888/K7888*100</f>
        <v>#DIV/0!</v>
      </c>
    </row>
    <row r="7889" spans="1:13" hidden="1" x14ac:dyDescent="0.3">
      <c r="B7889" t="s">
        <v>597</v>
      </c>
      <c r="C7889" s="25">
        <v>44760</v>
      </c>
      <c r="D7889" s="26">
        <v>0.45324074074074078</v>
      </c>
      <c r="E7889" t="s">
        <v>30</v>
      </c>
      <c r="F7889" t="s">
        <v>262</v>
      </c>
      <c r="G7889" t="s">
        <v>263</v>
      </c>
      <c r="H7889" t="s">
        <v>207</v>
      </c>
      <c r="I7889" s="160">
        <v>155.94999999999999</v>
      </c>
      <c r="J7889" s="8"/>
      <c r="K7889" s="8">
        <v>123455</v>
      </c>
      <c r="L7889" s="8">
        <f>+K7889-J7889</f>
        <v>123455</v>
      </c>
      <c r="M7889" s="254">
        <f>I7889/K7889*100</f>
        <v>0.12632133165930906</v>
      </c>
    </row>
    <row r="7890" spans="1:13" hidden="1" x14ac:dyDescent="0.3">
      <c r="B7890" t="s">
        <v>597</v>
      </c>
      <c r="C7890" s="25">
        <v>44761</v>
      </c>
      <c r="D7890" s="26">
        <v>0.77123842592592595</v>
      </c>
      <c r="E7890" t="s">
        <v>30</v>
      </c>
      <c r="F7890" t="s">
        <v>210</v>
      </c>
      <c r="G7890" t="s">
        <v>211</v>
      </c>
      <c r="H7890" t="s">
        <v>207</v>
      </c>
      <c r="I7890" s="160">
        <v>359.53</v>
      </c>
      <c r="J7890" s="160">
        <f>253+282+156+359</f>
        <v>1050</v>
      </c>
      <c r="K7890" s="160">
        <v>8033</v>
      </c>
      <c r="L7890" s="160">
        <v>2770</v>
      </c>
      <c r="M7890" s="254">
        <f>+J7890/L7890*100</f>
        <v>37.906137184115522</v>
      </c>
    </row>
    <row r="7891" spans="1:13" hidden="1" x14ac:dyDescent="0.3">
      <c r="B7891" s="44" t="s">
        <v>597</v>
      </c>
      <c r="C7891" s="59">
        <v>44762</v>
      </c>
      <c r="D7891" s="60">
        <v>0.88877314814814812</v>
      </c>
      <c r="E7891" s="44" t="s">
        <v>30</v>
      </c>
      <c r="F7891" s="44" t="s">
        <v>165</v>
      </c>
      <c r="G7891" s="44" t="s">
        <v>185</v>
      </c>
      <c r="H7891" s="75" t="s">
        <v>207</v>
      </c>
      <c r="I7891" s="161">
        <v>254.58</v>
      </c>
      <c r="J7891" s="44"/>
      <c r="K7891" s="44">
        <v>1500</v>
      </c>
      <c r="L7891" s="44">
        <f>+K7891-J7891</f>
        <v>1500</v>
      </c>
      <c r="M7891" s="267">
        <f>+J7891/L7891*100</f>
        <v>0</v>
      </c>
    </row>
    <row r="7892" spans="1:13" hidden="1" x14ac:dyDescent="0.3">
      <c r="B7892" s="8" t="s">
        <v>597</v>
      </c>
      <c r="C7892" s="21">
        <v>44763</v>
      </c>
      <c r="D7892" s="22">
        <v>0.78355324074074073</v>
      </c>
      <c r="E7892" s="8" t="s">
        <v>30</v>
      </c>
      <c r="F7892" s="8" t="s">
        <v>210</v>
      </c>
      <c r="G7892" s="8" t="s">
        <v>211</v>
      </c>
      <c r="H7892" s="24" t="s">
        <v>207</v>
      </c>
      <c r="I7892" s="160">
        <v>214.36</v>
      </c>
      <c r="J7892" s="160">
        <f>254+198</f>
        <v>452</v>
      </c>
      <c r="K7892" s="160">
        <v>8033</v>
      </c>
      <c r="L7892" s="160">
        <v>1125</v>
      </c>
      <c r="M7892" s="254">
        <f>+J7892/L7892*100</f>
        <v>40.177777777777777</v>
      </c>
    </row>
    <row r="7893" spans="1:13" hidden="1" x14ac:dyDescent="0.3">
      <c r="A7893" s="9">
        <v>5735</v>
      </c>
      <c r="B7893" t="s">
        <v>741</v>
      </c>
      <c r="C7893" s="25">
        <v>44721</v>
      </c>
      <c r="D7893" s="26">
        <v>7.4444444444444438E-2</v>
      </c>
      <c r="E7893" t="s">
        <v>29</v>
      </c>
      <c r="F7893" t="s">
        <v>644</v>
      </c>
      <c r="G7893" t="s">
        <v>303</v>
      </c>
      <c r="H7893" t="s">
        <v>111</v>
      </c>
      <c r="I7893">
        <v>218.71</v>
      </c>
      <c r="J7893" s="52">
        <v>0</v>
      </c>
      <c r="K7893" s="88">
        <f>+L7893-J8091</f>
        <v>1204</v>
      </c>
      <c r="L7893" s="51">
        <v>1204</v>
      </c>
      <c r="M7893" s="132">
        <f t="shared" ref="M7893:M7909" si="487">I7893/K7893*100</f>
        <v>18.16528239202658</v>
      </c>
    </row>
    <row r="7894" spans="1:13" hidden="1" x14ac:dyDescent="0.3">
      <c r="A7894" s="9">
        <v>5736</v>
      </c>
      <c r="B7894" t="s">
        <v>741</v>
      </c>
      <c r="C7894" s="25">
        <v>44721</v>
      </c>
      <c r="D7894" s="26">
        <v>0.50703703703703706</v>
      </c>
      <c r="E7894" t="s">
        <v>29</v>
      </c>
      <c r="F7894" t="s">
        <v>632</v>
      </c>
      <c r="G7894" t="s">
        <v>161</v>
      </c>
      <c r="H7894" t="s">
        <v>111</v>
      </c>
      <c r="I7894">
        <v>122.51</v>
      </c>
      <c r="J7894" s="52">
        <v>0</v>
      </c>
      <c r="K7894" s="88">
        <f>+L7894-J8092</f>
        <v>357</v>
      </c>
      <c r="L7894" s="51">
        <v>357</v>
      </c>
      <c r="M7894" s="91">
        <f t="shared" si="487"/>
        <v>34.31652661064426</v>
      </c>
    </row>
    <row r="7895" spans="1:13" hidden="1" x14ac:dyDescent="0.3">
      <c r="A7895" s="9">
        <v>5841</v>
      </c>
      <c r="B7895" t="s">
        <v>741</v>
      </c>
      <c r="C7895" s="25">
        <v>44723</v>
      </c>
      <c r="D7895" s="26">
        <v>0.32241898148148146</v>
      </c>
      <c r="E7895" t="s">
        <v>29</v>
      </c>
      <c r="F7895" t="s">
        <v>685</v>
      </c>
      <c r="G7895" t="s">
        <v>392</v>
      </c>
      <c r="H7895" t="s">
        <v>411</v>
      </c>
      <c r="I7895">
        <v>50.84</v>
      </c>
      <c r="K7895" s="88"/>
      <c r="L7895" s="3"/>
      <c r="M7895" s="91" t="e">
        <f t="shared" si="487"/>
        <v>#DIV/0!</v>
      </c>
    </row>
    <row r="7896" spans="1:13" hidden="1" x14ac:dyDescent="0.3">
      <c r="B7896" t="s">
        <v>253</v>
      </c>
      <c r="C7896" s="25">
        <v>44564</v>
      </c>
      <c r="D7896" s="26">
        <v>0.395474537037037</v>
      </c>
      <c r="E7896" t="s">
        <v>24</v>
      </c>
      <c r="F7896" t="s">
        <v>343</v>
      </c>
      <c r="G7896" t="s">
        <v>344</v>
      </c>
      <c r="H7896" t="s">
        <v>140</v>
      </c>
      <c r="I7896">
        <v>380.45</v>
      </c>
      <c r="J7896" s="51">
        <v>0</v>
      </c>
      <c r="K7896" s="51">
        <f t="shared" ref="K7896:K7909" si="488">+L7896-J7896</f>
        <v>741.7</v>
      </c>
      <c r="L7896" s="51">
        <v>741.7</v>
      </c>
      <c r="M7896" s="91">
        <f t="shared" si="487"/>
        <v>51.294323850613452</v>
      </c>
    </row>
    <row r="7897" spans="1:13" hidden="1" x14ac:dyDescent="0.3">
      <c r="B7897" t="s">
        <v>253</v>
      </c>
      <c r="C7897" s="25">
        <v>44564</v>
      </c>
      <c r="D7897" s="26">
        <v>0.8162962962962963</v>
      </c>
      <c r="E7897" t="s">
        <v>24</v>
      </c>
      <c r="F7897" t="s">
        <v>210</v>
      </c>
      <c r="G7897" t="s">
        <v>211</v>
      </c>
      <c r="H7897" t="s">
        <v>140</v>
      </c>
      <c r="I7897">
        <v>300.45999999999998</v>
      </c>
      <c r="J7897" s="51">
        <v>0</v>
      </c>
      <c r="K7897" s="51">
        <f t="shared" si="488"/>
        <v>496.5</v>
      </c>
      <c r="L7897" s="51">
        <v>496.5</v>
      </c>
      <c r="M7897" s="91">
        <f t="shared" si="487"/>
        <v>60.515609264853978</v>
      </c>
    </row>
    <row r="7898" spans="1:13" hidden="1" x14ac:dyDescent="0.3">
      <c r="B7898" t="s">
        <v>253</v>
      </c>
      <c r="C7898" s="25">
        <v>44567</v>
      </c>
      <c r="D7898" s="26">
        <v>0.58678240740740739</v>
      </c>
      <c r="E7898" t="s">
        <v>24</v>
      </c>
      <c r="F7898" t="s">
        <v>210</v>
      </c>
      <c r="G7898" t="s">
        <v>211</v>
      </c>
      <c r="H7898" t="s">
        <v>140</v>
      </c>
      <c r="I7898">
        <v>481.02</v>
      </c>
      <c r="J7898" s="51">
        <v>0</v>
      </c>
      <c r="K7898" s="51">
        <f t="shared" si="488"/>
        <v>1065.94</v>
      </c>
      <c r="L7898" s="51">
        <v>1065.94</v>
      </c>
      <c r="M7898" s="91">
        <f t="shared" si="487"/>
        <v>45.126367337748832</v>
      </c>
    </row>
    <row r="7899" spans="1:13" hidden="1" x14ac:dyDescent="0.3">
      <c r="B7899" t="s">
        <v>253</v>
      </c>
      <c r="C7899" s="25">
        <v>44571</v>
      </c>
      <c r="D7899" s="26">
        <v>0.21405092592592592</v>
      </c>
      <c r="E7899" t="s">
        <v>24</v>
      </c>
      <c r="F7899" t="s">
        <v>175</v>
      </c>
      <c r="G7899" t="s">
        <v>172</v>
      </c>
      <c r="H7899" t="s">
        <v>140</v>
      </c>
      <c r="I7899">
        <v>413.21</v>
      </c>
      <c r="J7899" s="51">
        <v>0</v>
      </c>
      <c r="K7899" s="51">
        <f t="shared" si="488"/>
        <v>916.26</v>
      </c>
      <c r="L7899" s="51">
        <v>916.26</v>
      </c>
      <c r="M7899" s="91">
        <f t="shared" si="487"/>
        <v>45.097461419247807</v>
      </c>
    </row>
    <row r="7900" spans="1:13" hidden="1" x14ac:dyDescent="0.3">
      <c r="B7900" t="s">
        <v>253</v>
      </c>
      <c r="C7900" s="25">
        <v>44573</v>
      </c>
      <c r="D7900" s="26">
        <v>0.68291666666666673</v>
      </c>
      <c r="E7900" t="s">
        <v>24</v>
      </c>
      <c r="F7900" t="s">
        <v>210</v>
      </c>
      <c r="G7900" t="s">
        <v>211</v>
      </c>
      <c r="H7900" t="s">
        <v>140</v>
      </c>
      <c r="I7900">
        <v>430.04</v>
      </c>
      <c r="J7900" s="51">
        <v>0</v>
      </c>
      <c r="K7900" s="51">
        <f t="shared" si="488"/>
        <v>482.7</v>
      </c>
      <c r="L7900" s="51">
        <v>482.7</v>
      </c>
      <c r="M7900" s="91">
        <f t="shared" si="487"/>
        <v>89.09053242179408</v>
      </c>
    </row>
    <row r="7901" spans="1:13" hidden="1" x14ac:dyDescent="0.3">
      <c r="B7901" t="s">
        <v>253</v>
      </c>
      <c r="C7901" s="25">
        <v>44575</v>
      </c>
      <c r="D7901" s="26">
        <v>0.58741898148148153</v>
      </c>
      <c r="E7901" t="s">
        <v>24</v>
      </c>
      <c r="F7901" t="s">
        <v>210</v>
      </c>
      <c r="G7901" t="s">
        <v>211</v>
      </c>
      <c r="H7901" t="s">
        <v>140</v>
      </c>
      <c r="I7901">
        <v>480.89</v>
      </c>
      <c r="J7901" s="51">
        <v>0</v>
      </c>
      <c r="K7901" s="51">
        <f t="shared" si="488"/>
        <v>1062.93</v>
      </c>
      <c r="L7901" s="51">
        <v>1062.93</v>
      </c>
      <c r="M7901" s="91">
        <f t="shared" si="487"/>
        <v>45.241925620689976</v>
      </c>
    </row>
    <row r="7902" spans="1:13" hidden="1" x14ac:dyDescent="0.3">
      <c r="B7902" t="s">
        <v>253</v>
      </c>
      <c r="C7902" s="25">
        <v>44579</v>
      </c>
      <c r="D7902" s="26">
        <v>0.51892361111111118</v>
      </c>
      <c r="E7902" t="s">
        <v>24</v>
      </c>
      <c r="F7902" t="s">
        <v>175</v>
      </c>
      <c r="G7902" t="s">
        <v>172</v>
      </c>
      <c r="H7902" t="s">
        <v>261</v>
      </c>
      <c r="I7902">
        <v>253.14</v>
      </c>
      <c r="J7902" s="51">
        <v>0</v>
      </c>
      <c r="K7902" s="51">
        <f t="shared" si="488"/>
        <v>1384.56</v>
      </c>
      <c r="L7902" s="51">
        <v>1384.56</v>
      </c>
      <c r="M7902" s="91">
        <f t="shared" si="487"/>
        <v>18.283064655919571</v>
      </c>
    </row>
    <row r="7903" spans="1:13" hidden="1" x14ac:dyDescent="0.3">
      <c r="B7903" t="s">
        <v>253</v>
      </c>
      <c r="C7903" s="25">
        <v>44580</v>
      </c>
      <c r="D7903" s="26">
        <v>0.5527199074074074</v>
      </c>
      <c r="E7903" t="s">
        <v>24</v>
      </c>
      <c r="F7903" t="s">
        <v>175</v>
      </c>
      <c r="G7903" t="s">
        <v>172</v>
      </c>
      <c r="H7903" t="s">
        <v>261</v>
      </c>
      <c r="I7903">
        <v>185.09</v>
      </c>
      <c r="J7903" s="51">
        <v>0</v>
      </c>
      <c r="K7903" s="51">
        <f t="shared" si="488"/>
        <v>391.94</v>
      </c>
      <c r="L7903" s="51">
        <v>391.94</v>
      </c>
      <c r="M7903" s="91">
        <f t="shared" si="487"/>
        <v>47.224064907894068</v>
      </c>
    </row>
    <row r="7904" spans="1:13" hidden="1" x14ac:dyDescent="0.3">
      <c r="A7904" s="9">
        <v>807</v>
      </c>
      <c r="B7904" t="s">
        <v>253</v>
      </c>
      <c r="C7904" s="25">
        <v>44596</v>
      </c>
      <c r="D7904" s="26">
        <v>0.77994212962962972</v>
      </c>
      <c r="E7904" t="s">
        <v>25</v>
      </c>
      <c r="F7904" t="s">
        <v>175</v>
      </c>
      <c r="G7904" t="s">
        <v>172</v>
      </c>
      <c r="H7904" t="s">
        <v>140</v>
      </c>
      <c r="I7904">
        <v>460.02</v>
      </c>
      <c r="J7904" s="51">
        <v>0</v>
      </c>
      <c r="K7904" s="51">
        <f t="shared" si="488"/>
        <v>979.36</v>
      </c>
      <c r="L7904" s="51">
        <v>979.36</v>
      </c>
      <c r="M7904" s="91">
        <f t="shared" si="487"/>
        <v>46.971491586342104</v>
      </c>
    </row>
    <row r="7905" spans="1:13" hidden="1" x14ac:dyDescent="0.3">
      <c r="A7905" s="9">
        <v>808</v>
      </c>
      <c r="B7905" t="s">
        <v>253</v>
      </c>
      <c r="C7905" s="25">
        <v>44598</v>
      </c>
      <c r="D7905" s="26">
        <v>0.96797453703703706</v>
      </c>
      <c r="E7905" t="s">
        <v>25</v>
      </c>
      <c r="F7905" t="s">
        <v>210</v>
      </c>
      <c r="G7905" t="s">
        <v>211</v>
      </c>
      <c r="H7905" t="s">
        <v>140</v>
      </c>
      <c r="I7905">
        <v>410.36</v>
      </c>
      <c r="J7905" s="51">
        <v>0</v>
      </c>
      <c r="K7905" s="51">
        <f t="shared" si="488"/>
        <v>828.76</v>
      </c>
      <c r="L7905" s="51">
        <v>828.76</v>
      </c>
      <c r="M7905" s="91">
        <f t="shared" si="487"/>
        <v>49.514937979632222</v>
      </c>
    </row>
    <row r="7906" spans="1:13" hidden="1" x14ac:dyDescent="0.3">
      <c r="A7906" s="9">
        <v>809</v>
      </c>
      <c r="B7906" t="s">
        <v>253</v>
      </c>
      <c r="C7906" s="25">
        <v>44616</v>
      </c>
      <c r="D7906" s="26">
        <v>0.84733796296296304</v>
      </c>
      <c r="E7906" t="s">
        <v>25</v>
      </c>
      <c r="F7906" t="s">
        <v>461</v>
      </c>
      <c r="G7906" t="s">
        <v>462</v>
      </c>
      <c r="H7906" t="s">
        <v>140</v>
      </c>
      <c r="I7906">
        <v>120</v>
      </c>
      <c r="J7906" s="51">
        <v>0</v>
      </c>
      <c r="K7906" s="51">
        <f t="shared" si="488"/>
        <v>943.85</v>
      </c>
      <c r="L7906" s="51">
        <v>943.85</v>
      </c>
      <c r="M7906" s="91">
        <f t="shared" si="487"/>
        <v>12.71388462149706</v>
      </c>
    </row>
    <row r="7907" spans="1:13" hidden="1" x14ac:dyDescent="0.3">
      <c r="A7907" s="9">
        <v>810</v>
      </c>
      <c r="B7907" t="s">
        <v>253</v>
      </c>
      <c r="C7907" s="25">
        <v>44616</v>
      </c>
      <c r="D7907" s="26">
        <v>0.91035879629629635</v>
      </c>
      <c r="E7907" t="s">
        <v>25</v>
      </c>
      <c r="F7907" t="s">
        <v>168</v>
      </c>
      <c r="G7907" t="s">
        <v>460</v>
      </c>
      <c r="H7907" t="s">
        <v>140</v>
      </c>
      <c r="I7907">
        <v>337.51</v>
      </c>
      <c r="J7907" s="51">
        <v>0</v>
      </c>
      <c r="K7907" s="51">
        <f t="shared" si="488"/>
        <v>94.1</v>
      </c>
      <c r="L7907" s="51">
        <v>94.1</v>
      </c>
      <c r="M7907" s="91">
        <f t="shared" si="487"/>
        <v>358.67162592986188</v>
      </c>
    </row>
    <row r="7908" spans="1:13" hidden="1" x14ac:dyDescent="0.3">
      <c r="A7908" s="9">
        <v>1790</v>
      </c>
      <c r="B7908" t="s">
        <v>253</v>
      </c>
      <c r="C7908" s="25">
        <v>44637</v>
      </c>
      <c r="D7908" s="26">
        <v>0.39146990740740745</v>
      </c>
      <c r="E7908" t="s">
        <v>26</v>
      </c>
      <c r="F7908" t="s">
        <v>339</v>
      </c>
      <c r="G7908" t="s">
        <v>392</v>
      </c>
      <c r="H7908" t="s">
        <v>232</v>
      </c>
      <c r="I7908">
        <v>100</v>
      </c>
      <c r="J7908" s="52">
        <v>0</v>
      </c>
      <c r="K7908" s="88">
        <f t="shared" si="488"/>
        <v>10000</v>
      </c>
      <c r="L7908">
        <v>10000</v>
      </c>
      <c r="M7908" s="91">
        <f t="shared" si="487"/>
        <v>1</v>
      </c>
    </row>
    <row r="7909" spans="1:13" hidden="1" x14ac:dyDescent="0.3">
      <c r="A7909" s="9">
        <v>1945</v>
      </c>
      <c r="B7909" t="s">
        <v>253</v>
      </c>
      <c r="C7909" s="25">
        <v>44636</v>
      </c>
      <c r="D7909" s="26">
        <v>0.26563657407407409</v>
      </c>
      <c r="E7909" t="s">
        <v>26</v>
      </c>
      <c r="F7909" t="s">
        <v>339</v>
      </c>
      <c r="G7909" t="s">
        <v>392</v>
      </c>
      <c r="H7909" t="s">
        <v>140</v>
      </c>
      <c r="I7909">
        <v>241.54</v>
      </c>
      <c r="J7909" s="51">
        <v>0</v>
      </c>
      <c r="K7909" s="88">
        <f t="shared" si="488"/>
        <v>1058.96</v>
      </c>
      <c r="L7909" s="51">
        <v>1058.96</v>
      </c>
      <c r="M7909" s="139">
        <f t="shared" si="487"/>
        <v>22.809171262370626</v>
      </c>
    </row>
    <row r="7910" spans="1:13" hidden="1" x14ac:dyDescent="0.3">
      <c r="B7910" t="s">
        <v>597</v>
      </c>
      <c r="C7910" s="25">
        <v>44764</v>
      </c>
      <c r="D7910" s="26">
        <v>0.31003472222222223</v>
      </c>
      <c r="E7910" t="s">
        <v>30</v>
      </c>
      <c r="F7910" t="s">
        <v>169</v>
      </c>
      <c r="G7910" t="s">
        <v>196</v>
      </c>
      <c r="H7910" t="s">
        <v>207</v>
      </c>
      <c r="I7910" s="160">
        <v>198.48</v>
      </c>
      <c r="J7910" s="8"/>
      <c r="K7910" s="8">
        <v>86859</v>
      </c>
      <c r="L7910" s="24">
        <f>+K7910-J7910</f>
        <v>86859</v>
      </c>
      <c r="M7910" s="254">
        <f>+J7910/L7910*100</f>
        <v>0</v>
      </c>
    </row>
    <row r="7911" spans="1:13" hidden="1" x14ac:dyDescent="0.3">
      <c r="B7911" t="s">
        <v>188</v>
      </c>
      <c r="C7911" s="25">
        <v>44566</v>
      </c>
      <c r="D7911" s="26">
        <v>0.40994212962962967</v>
      </c>
      <c r="E7911" t="s">
        <v>24</v>
      </c>
      <c r="F7911" t="s">
        <v>210</v>
      </c>
      <c r="G7911" t="s">
        <v>211</v>
      </c>
      <c r="H7911" t="s">
        <v>189</v>
      </c>
      <c r="I7911">
        <v>355.51</v>
      </c>
      <c r="J7911" s="51">
        <v>585049</v>
      </c>
      <c r="K7911" s="51">
        <f t="shared" ref="K7911:K7942" si="489">+L7911-J7911</f>
        <v>866</v>
      </c>
      <c r="L7911" s="51">
        <v>585915</v>
      </c>
      <c r="M7911" s="132">
        <f t="shared" ref="M7911:M7942" si="490">I7911/K7911*100</f>
        <v>41.051963048498848</v>
      </c>
    </row>
    <row r="7912" spans="1:13" hidden="1" x14ac:dyDescent="0.3">
      <c r="B7912" t="s">
        <v>188</v>
      </c>
      <c r="C7912" s="25">
        <v>44567</v>
      </c>
      <c r="D7912" s="26">
        <v>0.93650462962962966</v>
      </c>
      <c r="E7912" t="s">
        <v>24</v>
      </c>
      <c r="F7912" t="s">
        <v>210</v>
      </c>
      <c r="G7912" t="s">
        <v>211</v>
      </c>
      <c r="H7912" t="s">
        <v>189</v>
      </c>
      <c r="I7912">
        <v>377.19</v>
      </c>
      <c r="J7912" s="51">
        <v>585915</v>
      </c>
      <c r="K7912" s="51">
        <f t="shared" si="489"/>
        <v>1084</v>
      </c>
      <c r="L7912" s="51">
        <v>586999</v>
      </c>
      <c r="M7912" s="91">
        <f t="shared" si="490"/>
        <v>34.796125461254611</v>
      </c>
    </row>
    <row r="7913" spans="1:13" hidden="1" x14ac:dyDescent="0.3">
      <c r="B7913" t="s">
        <v>188</v>
      </c>
      <c r="C7913" s="25">
        <v>44569</v>
      </c>
      <c r="D7913" s="26">
        <v>0.86166666666666669</v>
      </c>
      <c r="E7913" t="s">
        <v>24</v>
      </c>
      <c r="F7913" t="s">
        <v>197</v>
      </c>
      <c r="G7913" t="s">
        <v>44</v>
      </c>
      <c r="H7913" t="s">
        <v>189</v>
      </c>
      <c r="I7913">
        <v>429.97</v>
      </c>
      <c r="J7913" s="51">
        <v>0</v>
      </c>
      <c r="K7913" s="51">
        <f t="shared" si="489"/>
        <v>1137.3399999999999</v>
      </c>
      <c r="L7913" s="51">
        <v>1137.3399999999999</v>
      </c>
      <c r="M7913" s="91">
        <f t="shared" si="490"/>
        <v>37.804878048780495</v>
      </c>
    </row>
    <row r="7914" spans="1:13" hidden="1" x14ac:dyDescent="0.3">
      <c r="B7914" t="s">
        <v>188</v>
      </c>
      <c r="C7914" s="25">
        <v>44571</v>
      </c>
      <c r="D7914" s="26">
        <v>0.39399305555555553</v>
      </c>
      <c r="E7914" t="s">
        <v>24</v>
      </c>
      <c r="F7914" t="s">
        <v>210</v>
      </c>
      <c r="G7914" t="s">
        <v>211</v>
      </c>
      <c r="H7914" t="s">
        <v>189</v>
      </c>
      <c r="I7914">
        <v>218.96</v>
      </c>
      <c r="J7914" s="51">
        <v>0</v>
      </c>
      <c r="K7914" s="51">
        <f t="shared" si="489"/>
        <v>589.99</v>
      </c>
      <c r="L7914" s="51">
        <v>589.99</v>
      </c>
      <c r="M7914" s="91">
        <f t="shared" si="490"/>
        <v>37.112493432092073</v>
      </c>
    </row>
    <row r="7915" spans="1:13" hidden="1" x14ac:dyDescent="0.3">
      <c r="B7915" t="s">
        <v>188</v>
      </c>
      <c r="C7915" s="25">
        <v>44573</v>
      </c>
      <c r="D7915" s="26">
        <v>0.44585648148148144</v>
      </c>
      <c r="E7915" t="s">
        <v>24</v>
      </c>
      <c r="F7915" t="s">
        <v>210</v>
      </c>
      <c r="G7915" t="s">
        <v>211</v>
      </c>
      <c r="H7915" t="s">
        <v>189</v>
      </c>
      <c r="I7915">
        <v>442.9</v>
      </c>
      <c r="J7915" s="51">
        <v>0</v>
      </c>
      <c r="K7915" s="51">
        <f t="shared" si="489"/>
        <v>1125.6600000000001</v>
      </c>
      <c r="L7915" s="51">
        <v>1125.6600000000001</v>
      </c>
      <c r="M7915" s="91">
        <f t="shared" si="490"/>
        <v>39.345806016026145</v>
      </c>
    </row>
    <row r="7916" spans="1:13" hidden="1" x14ac:dyDescent="0.3">
      <c r="B7916" t="s">
        <v>188</v>
      </c>
      <c r="C7916" s="25">
        <v>44575</v>
      </c>
      <c r="D7916" s="26">
        <v>0.48067129629629629</v>
      </c>
      <c r="E7916" t="s">
        <v>24</v>
      </c>
      <c r="F7916" t="s">
        <v>197</v>
      </c>
      <c r="G7916" t="s">
        <v>44</v>
      </c>
      <c r="H7916" t="s">
        <v>189</v>
      </c>
      <c r="I7916">
        <v>385.45</v>
      </c>
      <c r="J7916" s="51">
        <v>0</v>
      </c>
      <c r="K7916" s="51">
        <f t="shared" si="489"/>
        <v>1143.9000000000001</v>
      </c>
      <c r="L7916" s="51">
        <v>1143.9000000000001</v>
      </c>
      <c r="M7916" s="91">
        <f t="shared" si="490"/>
        <v>33.696127283853478</v>
      </c>
    </row>
    <row r="7917" spans="1:13" hidden="1" x14ac:dyDescent="0.3">
      <c r="B7917" t="s">
        <v>188</v>
      </c>
      <c r="C7917" s="25">
        <v>44576</v>
      </c>
      <c r="D7917" s="26">
        <v>0.70894675925925921</v>
      </c>
      <c r="E7917" t="s">
        <v>24</v>
      </c>
      <c r="F7917" t="s">
        <v>210</v>
      </c>
      <c r="G7917" t="s">
        <v>211</v>
      </c>
      <c r="H7917" t="s">
        <v>189</v>
      </c>
      <c r="I7917">
        <v>288.83999999999997</v>
      </c>
      <c r="J7917" s="51">
        <v>0</v>
      </c>
      <c r="K7917" s="51">
        <f t="shared" si="489"/>
        <v>589.48</v>
      </c>
      <c r="L7917" s="51">
        <v>589.48</v>
      </c>
      <c r="M7917" s="91">
        <f t="shared" si="490"/>
        <v>48.999117866594283</v>
      </c>
    </row>
    <row r="7918" spans="1:13" hidden="1" x14ac:dyDescent="0.3">
      <c r="B7918" t="s">
        <v>188</v>
      </c>
      <c r="C7918" s="25">
        <v>44579</v>
      </c>
      <c r="D7918" s="26">
        <v>0.42005787037037035</v>
      </c>
      <c r="E7918" t="s">
        <v>24</v>
      </c>
      <c r="F7918" t="s">
        <v>210</v>
      </c>
      <c r="G7918" t="s">
        <v>211</v>
      </c>
      <c r="H7918" t="s">
        <v>189</v>
      </c>
      <c r="I7918">
        <v>469.49</v>
      </c>
      <c r="J7918" s="51">
        <v>0</v>
      </c>
      <c r="K7918" s="51">
        <f t="shared" si="489"/>
        <v>1593.16</v>
      </c>
      <c r="L7918" s="51">
        <v>1593.16</v>
      </c>
      <c r="M7918" s="91">
        <f t="shared" si="490"/>
        <v>29.469105425694845</v>
      </c>
    </row>
    <row r="7919" spans="1:13" hidden="1" x14ac:dyDescent="0.3">
      <c r="B7919" t="s">
        <v>188</v>
      </c>
      <c r="C7919" s="25">
        <v>44581</v>
      </c>
      <c r="D7919" s="26">
        <v>0.65659722222222217</v>
      </c>
      <c r="E7919" t="s">
        <v>24</v>
      </c>
      <c r="F7919" t="s">
        <v>175</v>
      </c>
      <c r="G7919" t="s">
        <v>172</v>
      </c>
      <c r="H7919" t="s">
        <v>189</v>
      </c>
      <c r="I7919">
        <v>382.66</v>
      </c>
      <c r="J7919" s="51">
        <v>0</v>
      </c>
      <c r="K7919" s="51">
        <f t="shared" si="489"/>
        <v>970.19</v>
      </c>
      <c r="L7919" s="51">
        <v>970.19</v>
      </c>
      <c r="M7919" s="91">
        <f t="shared" si="490"/>
        <v>39.441758830744497</v>
      </c>
    </row>
    <row r="7920" spans="1:13" hidden="1" x14ac:dyDescent="0.3">
      <c r="B7920" t="s">
        <v>188</v>
      </c>
      <c r="C7920" s="25">
        <v>44583</v>
      </c>
      <c r="D7920" s="26">
        <v>6.4004629629629628E-3</v>
      </c>
      <c r="E7920" t="s">
        <v>24</v>
      </c>
      <c r="F7920" t="s">
        <v>210</v>
      </c>
      <c r="G7920" t="s">
        <v>211</v>
      </c>
      <c r="H7920" t="s">
        <v>189</v>
      </c>
      <c r="I7920">
        <v>343.38</v>
      </c>
      <c r="J7920" s="51">
        <v>0</v>
      </c>
      <c r="K7920" s="51">
        <f t="shared" si="489"/>
        <v>835.39</v>
      </c>
      <c r="L7920" s="51">
        <v>835.39</v>
      </c>
      <c r="M7920" s="91">
        <f t="shared" si="490"/>
        <v>41.104154945594274</v>
      </c>
    </row>
    <row r="7921" spans="1:13" hidden="1" x14ac:dyDescent="0.3">
      <c r="B7921" t="s">
        <v>188</v>
      </c>
      <c r="C7921" s="25">
        <v>44584</v>
      </c>
      <c r="D7921" s="26">
        <v>0.86458333333333337</v>
      </c>
      <c r="E7921" t="s">
        <v>24</v>
      </c>
      <c r="F7921" t="s">
        <v>202</v>
      </c>
      <c r="G7921" t="s">
        <v>203</v>
      </c>
      <c r="H7921" t="s">
        <v>189</v>
      </c>
      <c r="I7921">
        <v>388.59</v>
      </c>
      <c r="J7921" s="51">
        <v>594647</v>
      </c>
      <c r="K7921" s="51">
        <f t="shared" si="489"/>
        <v>1111</v>
      </c>
      <c r="L7921" s="51">
        <v>595758</v>
      </c>
      <c r="M7921" s="91">
        <f t="shared" si="490"/>
        <v>34.976597659765972</v>
      </c>
    </row>
    <row r="7922" spans="1:13" hidden="1" x14ac:dyDescent="0.3">
      <c r="B7922" t="s">
        <v>188</v>
      </c>
      <c r="C7922" s="25">
        <v>44586</v>
      </c>
      <c r="D7922" s="26">
        <v>0.38813657407407409</v>
      </c>
      <c r="E7922" t="s">
        <v>24</v>
      </c>
      <c r="F7922" t="s">
        <v>202</v>
      </c>
      <c r="G7922" t="s">
        <v>203</v>
      </c>
      <c r="H7922" t="s">
        <v>189</v>
      </c>
      <c r="I7922">
        <v>189.57</v>
      </c>
      <c r="J7922" s="51">
        <v>595758</v>
      </c>
      <c r="K7922" s="51">
        <f t="shared" si="489"/>
        <v>1099</v>
      </c>
      <c r="L7922" s="51">
        <v>596857</v>
      </c>
      <c r="M7922" s="91">
        <f t="shared" si="490"/>
        <v>17.24931756141947</v>
      </c>
    </row>
    <row r="7923" spans="1:13" hidden="1" x14ac:dyDescent="0.3">
      <c r="B7923" t="s">
        <v>188</v>
      </c>
      <c r="C7923" s="25">
        <v>44587</v>
      </c>
      <c r="D7923" s="26">
        <v>0.83509259259259261</v>
      </c>
      <c r="E7923" t="s">
        <v>24</v>
      </c>
      <c r="F7923" t="s">
        <v>210</v>
      </c>
      <c r="G7923" t="s">
        <v>211</v>
      </c>
      <c r="H7923" t="s">
        <v>189</v>
      </c>
      <c r="I7923">
        <v>400.82</v>
      </c>
      <c r="J7923" s="51">
        <v>0</v>
      </c>
      <c r="K7923" s="51">
        <f t="shared" si="489"/>
        <v>1094.78</v>
      </c>
      <c r="L7923" s="52">
        <v>1094.78</v>
      </c>
      <c r="M7923" s="91">
        <f t="shared" si="490"/>
        <v>36.611922029996897</v>
      </c>
    </row>
    <row r="7924" spans="1:13" hidden="1" x14ac:dyDescent="0.3">
      <c r="B7924" t="s">
        <v>188</v>
      </c>
      <c r="C7924" s="25">
        <v>44589</v>
      </c>
      <c r="D7924" s="26">
        <v>0.90390046296296289</v>
      </c>
      <c r="E7924" t="s">
        <v>24</v>
      </c>
      <c r="F7924" t="s">
        <v>175</v>
      </c>
      <c r="G7924" t="s">
        <v>172</v>
      </c>
      <c r="H7924" t="s">
        <v>189</v>
      </c>
      <c r="I7924">
        <v>378.64</v>
      </c>
      <c r="J7924" s="51">
        <v>0</v>
      </c>
      <c r="K7924" s="51">
        <f t="shared" si="489"/>
        <v>1288.95</v>
      </c>
      <c r="L7924" s="51">
        <v>1288.95</v>
      </c>
      <c r="M7924" s="91">
        <f t="shared" si="490"/>
        <v>29.375848558904533</v>
      </c>
    </row>
    <row r="7925" spans="1:13" hidden="1" x14ac:dyDescent="0.3">
      <c r="B7925" t="s">
        <v>188</v>
      </c>
      <c r="C7925" s="25">
        <v>44591</v>
      </c>
      <c r="D7925" s="26">
        <v>0.45766203703703701</v>
      </c>
      <c r="E7925" t="s">
        <v>24</v>
      </c>
      <c r="F7925" t="s">
        <v>210</v>
      </c>
      <c r="G7925" t="s">
        <v>211</v>
      </c>
      <c r="H7925" t="s">
        <v>189</v>
      </c>
      <c r="I7925">
        <v>422.75</v>
      </c>
      <c r="J7925" s="51">
        <v>0</v>
      </c>
      <c r="K7925" s="51">
        <f t="shared" si="489"/>
        <v>834.54</v>
      </c>
      <c r="L7925" s="51">
        <v>834.54</v>
      </c>
      <c r="M7925" s="91">
        <f t="shared" si="490"/>
        <v>50.65664917199895</v>
      </c>
    </row>
    <row r="7926" spans="1:13" hidden="1" x14ac:dyDescent="0.3">
      <c r="B7926" t="s">
        <v>188</v>
      </c>
      <c r="C7926" s="25">
        <v>44592</v>
      </c>
      <c r="D7926" s="26">
        <v>0.52833333333333332</v>
      </c>
      <c r="E7926" t="s">
        <v>24</v>
      </c>
      <c r="F7926" t="s">
        <v>210</v>
      </c>
      <c r="G7926" t="s">
        <v>211</v>
      </c>
      <c r="H7926" t="s">
        <v>189</v>
      </c>
      <c r="I7926">
        <v>402.01</v>
      </c>
      <c r="J7926" s="51">
        <v>0</v>
      </c>
      <c r="K7926" s="51">
        <f t="shared" si="489"/>
        <v>1066.17</v>
      </c>
      <c r="L7926" s="51">
        <v>1066.17</v>
      </c>
      <c r="M7926" s="91">
        <f t="shared" si="490"/>
        <v>37.705994353620902</v>
      </c>
    </row>
    <row r="7927" spans="1:13" hidden="1" x14ac:dyDescent="0.3">
      <c r="A7927" s="9">
        <v>278</v>
      </c>
      <c r="B7927" t="s">
        <v>188</v>
      </c>
      <c r="C7927" s="25">
        <v>44594</v>
      </c>
      <c r="D7927" s="26">
        <v>0.46719907407407407</v>
      </c>
      <c r="E7927" t="s">
        <v>25</v>
      </c>
      <c r="F7927" t="s">
        <v>171</v>
      </c>
      <c r="G7927" t="s">
        <v>172</v>
      </c>
      <c r="H7927" t="s">
        <v>189</v>
      </c>
      <c r="I7927">
        <v>383.24</v>
      </c>
      <c r="J7927" s="51">
        <v>0</v>
      </c>
      <c r="K7927" s="51">
        <f t="shared" si="489"/>
        <v>1072.9100000000001</v>
      </c>
      <c r="L7927" s="51">
        <v>1072.9100000000001</v>
      </c>
      <c r="M7927" s="91">
        <f t="shared" si="490"/>
        <v>35.719678258194996</v>
      </c>
    </row>
    <row r="7928" spans="1:13" hidden="1" x14ac:dyDescent="0.3">
      <c r="A7928" s="9">
        <v>279</v>
      </c>
      <c r="B7928" t="s">
        <v>188</v>
      </c>
      <c r="C7928" s="25">
        <v>44595</v>
      </c>
      <c r="D7928" s="26">
        <v>0.48339120370370375</v>
      </c>
      <c r="E7928" t="s">
        <v>25</v>
      </c>
      <c r="F7928" t="s">
        <v>210</v>
      </c>
      <c r="G7928" t="s">
        <v>211</v>
      </c>
      <c r="H7928" t="s">
        <v>189</v>
      </c>
      <c r="I7928">
        <v>253.5</v>
      </c>
      <c r="J7928" s="52">
        <v>0</v>
      </c>
      <c r="K7928" s="52">
        <f t="shared" si="489"/>
        <v>695.39</v>
      </c>
      <c r="L7928" s="51">
        <v>695.39</v>
      </c>
      <c r="M7928" s="91">
        <f t="shared" si="490"/>
        <v>36.454363738333882</v>
      </c>
    </row>
    <row r="7929" spans="1:13" hidden="1" x14ac:dyDescent="0.3">
      <c r="A7929" s="9">
        <v>280</v>
      </c>
      <c r="B7929" t="s">
        <v>188</v>
      </c>
      <c r="C7929" s="25">
        <v>44596</v>
      </c>
      <c r="D7929" s="26">
        <v>0.64077546296296295</v>
      </c>
      <c r="E7929" t="s">
        <v>25</v>
      </c>
      <c r="F7929" t="s">
        <v>210</v>
      </c>
      <c r="G7929" t="s">
        <v>211</v>
      </c>
      <c r="H7929" t="s">
        <v>189</v>
      </c>
      <c r="I7929">
        <v>407.32</v>
      </c>
      <c r="J7929" s="52">
        <v>0</v>
      </c>
      <c r="K7929" s="52">
        <f t="shared" si="489"/>
        <v>1066.27</v>
      </c>
      <c r="L7929" s="51">
        <v>1066.27</v>
      </c>
      <c r="M7929" s="91">
        <f t="shared" si="490"/>
        <v>38.200455794498581</v>
      </c>
    </row>
    <row r="7930" spans="1:13" hidden="1" x14ac:dyDescent="0.3">
      <c r="A7930" s="9">
        <v>281</v>
      </c>
      <c r="B7930" t="s">
        <v>188</v>
      </c>
      <c r="C7930" s="25">
        <v>44598</v>
      </c>
      <c r="D7930" s="26">
        <v>0.52746527777777774</v>
      </c>
      <c r="E7930" t="s">
        <v>25</v>
      </c>
      <c r="F7930" t="s">
        <v>171</v>
      </c>
      <c r="G7930" t="s">
        <v>172</v>
      </c>
      <c r="H7930" t="s">
        <v>189</v>
      </c>
      <c r="I7930">
        <v>386.86</v>
      </c>
      <c r="J7930" s="52">
        <v>0</v>
      </c>
      <c r="K7930" s="52">
        <f t="shared" si="489"/>
        <v>1197.57</v>
      </c>
      <c r="L7930" s="51">
        <v>1197.57</v>
      </c>
      <c r="M7930" s="91">
        <f t="shared" si="490"/>
        <v>32.303748423891712</v>
      </c>
    </row>
    <row r="7931" spans="1:13" hidden="1" x14ac:dyDescent="0.3">
      <c r="A7931" s="9">
        <v>282</v>
      </c>
      <c r="B7931" t="s">
        <v>188</v>
      </c>
      <c r="C7931" s="25">
        <v>44599</v>
      </c>
      <c r="D7931" s="26">
        <v>0.48792824074074076</v>
      </c>
      <c r="E7931" t="s">
        <v>25</v>
      </c>
      <c r="F7931" t="s">
        <v>210</v>
      </c>
      <c r="G7931" t="s">
        <v>211</v>
      </c>
      <c r="H7931" t="s">
        <v>189</v>
      </c>
      <c r="I7931">
        <v>292.7</v>
      </c>
      <c r="J7931" s="52">
        <v>0</v>
      </c>
      <c r="K7931" s="52">
        <f t="shared" si="489"/>
        <v>695.54</v>
      </c>
      <c r="L7931" s="51">
        <v>695.54</v>
      </c>
      <c r="M7931" s="91">
        <f t="shared" si="490"/>
        <v>42.082410788739679</v>
      </c>
    </row>
    <row r="7932" spans="1:13" hidden="1" x14ac:dyDescent="0.3">
      <c r="A7932" s="9">
        <v>283</v>
      </c>
      <c r="B7932" t="s">
        <v>188</v>
      </c>
      <c r="C7932" s="25">
        <v>44600</v>
      </c>
      <c r="D7932" s="26">
        <v>0.74410879629629623</v>
      </c>
      <c r="E7932" t="s">
        <v>25</v>
      </c>
      <c r="F7932" t="s">
        <v>210</v>
      </c>
      <c r="G7932" t="s">
        <v>211</v>
      </c>
      <c r="H7932" t="s">
        <v>189</v>
      </c>
      <c r="I7932">
        <v>432.18</v>
      </c>
      <c r="J7932" s="52">
        <v>0</v>
      </c>
      <c r="K7932" s="52">
        <f t="shared" si="489"/>
        <v>1065.77</v>
      </c>
      <c r="L7932" s="51">
        <v>1065.77</v>
      </c>
      <c r="M7932" s="91">
        <f t="shared" si="490"/>
        <v>40.550963153400829</v>
      </c>
    </row>
    <row r="7933" spans="1:13" hidden="1" x14ac:dyDescent="0.3">
      <c r="A7933" s="9">
        <v>284</v>
      </c>
      <c r="B7933" t="s">
        <v>188</v>
      </c>
      <c r="C7933" s="25">
        <v>44602</v>
      </c>
      <c r="D7933" s="26">
        <v>0.45993055555555556</v>
      </c>
      <c r="E7933" t="s">
        <v>25</v>
      </c>
      <c r="F7933" t="s">
        <v>175</v>
      </c>
      <c r="G7933" t="s">
        <v>172</v>
      </c>
      <c r="H7933" t="s">
        <v>189</v>
      </c>
      <c r="I7933">
        <v>380.42</v>
      </c>
      <c r="J7933" s="52">
        <v>0</v>
      </c>
      <c r="K7933" s="52">
        <f t="shared" si="489"/>
        <v>1027.98</v>
      </c>
      <c r="L7933" s="52">
        <v>1027.98</v>
      </c>
      <c r="M7933" s="91">
        <f t="shared" si="490"/>
        <v>37.006556547792755</v>
      </c>
    </row>
    <row r="7934" spans="1:13" hidden="1" x14ac:dyDescent="0.3">
      <c r="A7934" s="9">
        <v>285</v>
      </c>
      <c r="B7934" t="s">
        <v>188</v>
      </c>
      <c r="C7934" s="25">
        <v>44603</v>
      </c>
      <c r="D7934" s="26">
        <v>0.43046296296296299</v>
      </c>
      <c r="E7934" t="s">
        <v>25</v>
      </c>
      <c r="F7934" t="s">
        <v>171</v>
      </c>
      <c r="G7934" t="s">
        <v>172</v>
      </c>
      <c r="H7934" t="s">
        <v>189</v>
      </c>
      <c r="I7934">
        <v>187.87</v>
      </c>
      <c r="J7934" s="52">
        <v>0</v>
      </c>
      <c r="K7934" s="52">
        <f t="shared" si="489"/>
        <v>550.85</v>
      </c>
      <c r="L7934" s="51">
        <v>550.85</v>
      </c>
      <c r="M7934" s="91">
        <f t="shared" si="490"/>
        <v>34.105473359353731</v>
      </c>
    </row>
    <row r="7935" spans="1:13" hidden="1" x14ac:dyDescent="0.3">
      <c r="A7935" s="9">
        <v>286</v>
      </c>
      <c r="B7935" t="s">
        <v>188</v>
      </c>
      <c r="C7935" s="25">
        <v>44604</v>
      </c>
      <c r="D7935" s="26">
        <v>0.50265046296296301</v>
      </c>
      <c r="E7935" t="s">
        <v>25</v>
      </c>
      <c r="F7935" t="s">
        <v>210</v>
      </c>
      <c r="G7935" t="s">
        <v>211</v>
      </c>
      <c r="H7935" t="s">
        <v>189</v>
      </c>
      <c r="I7935">
        <v>310.66000000000003</v>
      </c>
      <c r="J7935" s="52">
        <v>0</v>
      </c>
      <c r="K7935" s="52">
        <f t="shared" si="489"/>
        <v>695.42</v>
      </c>
      <c r="L7935" s="51">
        <v>695.42</v>
      </c>
      <c r="M7935" s="91">
        <f t="shared" si="490"/>
        <v>44.672284374910134</v>
      </c>
    </row>
    <row r="7936" spans="1:13" hidden="1" x14ac:dyDescent="0.3">
      <c r="A7936" s="9">
        <v>287</v>
      </c>
      <c r="B7936" t="s">
        <v>188</v>
      </c>
      <c r="C7936" s="25">
        <v>44605</v>
      </c>
      <c r="D7936" s="26">
        <v>0.76050925925925927</v>
      </c>
      <c r="E7936" t="s">
        <v>25</v>
      </c>
      <c r="F7936" t="s">
        <v>346</v>
      </c>
      <c r="G7936" t="s">
        <v>203</v>
      </c>
      <c r="H7936" t="s">
        <v>189</v>
      </c>
      <c r="I7936">
        <v>408.9</v>
      </c>
      <c r="J7936" s="52">
        <v>0</v>
      </c>
      <c r="K7936" s="52">
        <f t="shared" si="489"/>
        <v>1090.22</v>
      </c>
      <c r="L7936" s="51">
        <v>1090.22</v>
      </c>
      <c r="M7936" s="91">
        <f t="shared" si="490"/>
        <v>37.506191410907888</v>
      </c>
    </row>
    <row r="7937" spans="1:13" hidden="1" x14ac:dyDescent="0.3">
      <c r="A7937" s="9">
        <v>288</v>
      </c>
      <c r="B7937" t="s">
        <v>188</v>
      </c>
      <c r="C7937" s="25">
        <v>44607</v>
      </c>
      <c r="D7937" s="26">
        <v>6.5312499999999996E-2</v>
      </c>
      <c r="E7937" t="s">
        <v>25</v>
      </c>
      <c r="F7937" t="s">
        <v>202</v>
      </c>
      <c r="G7937" t="s">
        <v>203</v>
      </c>
      <c r="H7937" t="s">
        <v>189</v>
      </c>
      <c r="I7937">
        <v>183.4</v>
      </c>
      <c r="J7937" s="52">
        <v>0</v>
      </c>
      <c r="K7937" s="52">
        <f t="shared" si="489"/>
        <v>520.16999999999996</v>
      </c>
      <c r="L7937" s="52">
        <v>520.16999999999996</v>
      </c>
      <c r="M7937" s="91">
        <f t="shared" si="490"/>
        <v>35.257704212084519</v>
      </c>
    </row>
    <row r="7938" spans="1:13" hidden="1" x14ac:dyDescent="0.3">
      <c r="A7938" s="9">
        <v>289</v>
      </c>
      <c r="B7938" t="s">
        <v>188</v>
      </c>
      <c r="C7938" s="25">
        <v>44608</v>
      </c>
      <c r="D7938" s="26">
        <v>0.6033680555555555</v>
      </c>
      <c r="E7938" t="s">
        <v>25</v>
      </c>
      <c r="F7938" t="s">
        <v>210</v>
      </c>
      <c r="G7938" t="s">
        <v>211</v>
      </c>
      <c r="H7938" t="s">
        <v>189</v>
      </c>
      <c r="I7938">
        <v>396.64</v>
      </c>
      <c r="J7938" s="52">
        <v>0</v>
      </c>
      <c r="K7938" s="52">
        <f t="shared" si="489"/>
        <v>1093.68</v>
      </c>
      <c r="L7938" s="52">
        <v>1093.68</v>
      </c>
      <c r="M7938" s="91">
        <f t="shared" si="490"/>
        <v>36.266549630604928</v>
      </c>
    </row>
    <row r="7939" spans="1:13" hidden="1" x14ac:dyDescent="0.3">
      <c r="A7939" s="9">
        <v>290</v>
      </c>
      <c r="B7939" t="s">
        <v>188</v>
      </c>
      <c r="C7939" s="25">
        <v>44609</v>
      </c>
      <c r="D7939" s="26">
        <v>0.8890162037037036</v>
      </c>
      <c r="E7939" t="s">
        <v>25</v>
      </c>
      <c r="F7939" t="s">
        <v>171</v>
      </c>
      <c r="G7939" t="s">
        <v>172</v>
      </c>
      <c r="H7939" t="s">
        <v>189</v>
      </c>
      <c r="I7939">
        <v>368.05</v>
      </c>
      <c r="J7939" s="52">
        <v>0</v>
      </c>
      <c r="K7939" s="52">
        <f t="shared" si="489"/>
        <v>932.63</v>
      </c>
      <c r="L7939" s="52">
        <v>932.63</v>
      </c>
      <c r="M7939" s="91">
        <f t="shared" si="490"/>
        <v>39.463667263545034</v>
      </c>
    </row>
    <row r="7940" spans="1:13" hidden="1" x14ac:dyDescent="0.3">
      <c r="A7940" s="9">
        <v>291</v>
      </c>
      <c r="B7940" t="s">
        <v>188</v>
      </c>
      <c r="C7940" s="25">
        <v>44619</v>
      </c>
      <c r="D7940" s="26">
        <v>0.39428240740740739</v>
      </c>
      <c r="E7940" t="s">
        <v>25</v>
      </c>
      <c r="F7940" t="s">
        <v>171</v>
      </c>
      <c r="G7940" t="s">
        <v>172</v>
      </c>
      <c r="H7940" t="s">
        <v>189</v>
      </c>
      <c r="I7940">
        <v>204.44</v>
      </c>
      <c r="J7940" s="52">
        <v>0</v>
      </c>
      <c r="K7940" s="52">
        <f t="shared" si="489"/>
        <v>564.64</v>
      </c>
      <c r="L7940" s="52">
        <v>564.64</v>
      </c>
      <c r="M7940" s="91">
        <f t="shared" si="490"/>
        <v>36.207140833097199</v>
      </c>
    </row>
    <row r="7941" spans="1:13" hidden="1" x14ac:dyDescent="0.3">
      <c r="A7941" s="9">
        <v>292</v>
      </c>
      <c r="B7941" t="s">
        <v>188</v>
      </c>
      <c r="C7941" s="25">
        <v>44620</v>
      </c>
      <c r="D7941" s="26">
        <v>0.52081018518518518</v>
      </c>
      <c r="E7941" t="s">
        <v>25</v>
      </c>
      <c r="F7941" t="s">
        <v>210</v>
      </c>
      <c r="G7941" t="s">
        <v>211</v>
      </c>
      <c r="H7941" t="s">
        <v>189</v>
      </c>
      <c r="I7941">
        <v>313.76</v>
      </c>
      <c r="J7941" s="52">
        <v>0</v>
      </c>
      <c r="K7941" s="52">
        <f t="shared" si="489"/>
        <v>695.44</v>
      </c>
      <c r="L7941" s="52">
        <v>695.44</v>
      </c>
      <c r="M7941" s="91">
        <f t="shared" si="490"/>
        <v>45.116760611986649</v>
      </c>
    </row>
    <row r="7942" spans="1:13" hidden="1" x14ac:dyDescent="0.3">
      <c r="A7942" s="9">
        <v>1326</v>
      </c>
      <c r="B7942" t="s">
        <v>188</v>
      </c>
      <c r="C7942" s="25">
        <v>44622</v>
      </c>
      <c r="D7942" s="26">
        <v>0.4142824074074074</v>
      </c>
      <c r="E7942" t="s">
        <v>26</v>
      </c>
      <c r="F7942" t="s">
        <v>210</v>
      </c>
      <c r="G7942" t="s">
        <v>211</v>
      </c>
      <c r="H7942" t="s">
        <v>189</v>
      </c>
      <c r="I7942">
        <v>416.8</v>
      </c>
      <c r="J7942" s="52">
        <v>0</v>
      </c>
      <c r="K7942" s="88">
        <f t="shared" si="489"/>
        <v>1066.3699999999999</v>
      </c>
      <c r="L7942" s="52">
        <v>1066.3699999999999</v>
      </c>
      <c r="M7942" s="91">
        <f t="shared" si="490"/>
        <v>39.085870757804521</v>
      </c>
    </row>
    <row r="7943" spans="1:13" hidden="1" x14ac:dyDescent="0.3">
      <c r="A7943" s="9">
        <v>1327</v>
      </c>
      <c r="B7943" t="s">
        <v>188</v>
      </c>
      <c r="C7943" s="25">
        <v>44624</v>
      </c>
      <c r="D7943" s="26">
        <v>0.37141203703703707</v>
      </c>
      <c r="E7943" t="s">
        <v>26</v>
      </c>
      <c r="F7943" t="s">
        <v>171</v>
      </c>
      <c r="G7943" t="s">
        <v>172</v>
      </c>
      <c r="H7943" t="s">
        <v>189</v>
      </c>
      <c r="I7943">
        <v>394.5</v>
      </c>
      <c r="J7943" s="52">
        <v>0</v>
      </c>
      <c r="K7943" s="88">
        <f t="shared" ref="K7943:K7974" si="491">+L7943-J7943</f>
        <v>1077.6500000000001</v>
      </c>
      <c r="L7943" s="52">
        <v>1077.6500000000001</v>
      </c>
      <c r="M7943" s="91">
        <f t="shared" ref="M7943:M7974" si="492">I7943/K7943*100</f>
        <v>36.607432839975871</v>
      </c>
    </row>
    <row r="7944" spans="1:13" hidden="1" x14ac:dyDescent="0.3">
      <c r="A7944" s="9">
        <v>1328</v>
      </c>
      <c r="B7944" t="s">
        <v>188</v>
      </c>
      <c r="C7944" s="25">
        <v>44625</v>
      </c>
      <c r="D7944" s="26">
        <v>0.66451388888888896</v>
      </c>
      <c r="E7944" t="s">
        <v>26</v>
      </c>
      <c r="F7944" t="s">
        <v>210</v>
      </c>
      <c r="G7944" t="s">
        <v>211</v>
      </c>
      <c r="H7944" t="s">
        <v>189</v>
      </c>
      <c r="I7944">
        <v>301.7</v>
      </c>
      <c r="J7944" s="52">
        <v>0</v>
      </c>
      <c r="K7944" s="88">
        <f t="shared" si="491"/>
        <v>719.59</v>
      </c>
      <c r="L7944" s="52">
        <v>719.59</v>
      </c>
      <c r="M7944" s="91">
        <f t="shared" si="492"/>
        <v>41.926652677218968</v>
      </c>
    </row>
    <row r="7945" spans="1:13" hidden="1" x14ac:dyDescent="0.3">
      <c r="A7945" s="9">
        <v>1329</v>
      </c>
      <c r="B7945" t="s">
        <v>188</v>
      </c>
      <c r="C7945" s="25">
        <v>44626</v>
      </c>
      <c r="D7945" s="26">
        <v>0.91252314814814817</v>
      </c>
      <c r="E7945" t="s">
        <v>26</v>
      </c>
      <c r="F7945" t="s">
        <v>278</v>
      </c>
      <c r="G7945" t="s">
        <v>279</v>
      </c>
      <c r="H7945" t="s">
        <v>189</v>
      </c>
      <c r="I7945">
        <v>307.05</v>
      </c>
      <c r="J7945" s="52">
        <v>0</v>
      </c>
      <c r="K7945" s="88">
        <f t="shared" si="491"/>
        <v>744.58</v>
      </c>
      <c r="L7945" s="52">
        <v>744.58</v>
      </c>
      <c r="M7945" s="91">
        <f t="shared" si="492"/>
        <v>41.238013376668725</v>
      </c>
    </row>
    <row r="7946" spans="1:13" hidden="1" x14ac:dyDescent="0.3">
      <c r="A7946" s="9">
        <v>1330</v>
      </c>
      <c r="B7946" t="s">
        <v>188</v>
      </c>
      <c r="C7946" s="25">
        <v>44628</v>
      </c>
      <c r="D7946" s="26">
        <v>0.35523148148148148</v>
      </c>
      <c r="E7946" t="s">
        <v>26</v>
      </c>
      <c r="F7946" t="s">
        <v>202</v>
      </c>
      <c r="G7946" t="s">
        <v>203</v>
      </c>
      <c r="H7946" t="s">
        <v>189</v>
      </c>
      <c r="I7946">
        <v>303.45</v>
      </c>
      <c r="J7946" s="52">
        <v>0</v>
      </c>
      <c r="K7946" s="88">
        <f t="shared" si="491"/>
        <v>890.87</v>
      </c>
      <c r="L7946" s="52">
        <v>890.87</v>
      </c>
      <c r="M7946" s="91">
        <f t="shared" si="492"/>
        <v>34.062208852021058</v>
      </c>
    </row>
    <row r="7947" spans="1:13" hidden="1" x14ac:dyDescent="0.3">
      <c r="A7947" s="9">
        <v>1331</v>
      </c>
      <c r="B7947" t="s">
        <v>188</v>
      </c>
      <c r="C7947" s="25">
        <v>44629</v>
      </c>
      <c r="D7947" s="26">
        <v>0.81887731481481474</v>
      </c>
      <c r="E7947" t="s">
        <v>26</v>
      </c>
      <c r="F7947" t="s">
        <v>210</v>
      </c>
      <c r="G7947" t="s">
        <v>211</v>
      </c>
      <c r="H7947" t="s">
        <v>189</v>
      </c>
      <c r="I7947">
        <v>402</v>
      </c>
      <c r="J7947" s="52">
        <v>0</v>
      </c>
      <c r="K7947" s="88">
        <f t="shared" si="491"/>
        <v>1056.22</v>
      </c>
      <c r="L7947" s="52">
        <v>1056.22</v>
      </c>
      <c r="M7947" s="91">
        <f t="shared" si="492"/>
        <v>38.060252598890379</v>
      </c>
    </row>
    <row r="7948" spans="1:13" hidden="1" x14ac:dyDescent="0.3">
      <c r="A7948" s="9">
        <v>1332</v>
      </c>
      <c r="B7948" t="s">
        <v>188</v>
      </c>
      <c r="C7948" s="25">
        <v>44632</v>
      </c>
      <c r="D7948" s="26">
        <v>0.62109953703703702</v>
      </c>
      <c r="E7948" t="s">
        <v>26</v>
      </c>
      <c r="F7948" t="s">
        <v>197</v>
      </c>
      <c r="G7948" t="s">
        <v>44</v>
      </c>
      <c r="H7948" t="s">
        <v>189</v>
      </c>
      <c r="I7948">
        <v>384.93</v>
      </c>
      <c r="J7948" s="52">
        <v>0</v>
      </c>
      <c r="K7948" s="88">
        <f t="shared" si="491"/>
        <v>1279.94</v>
      </c>
      <c r="L7948" s="52">
        <v>1279.94</v>
      </c>
      <c r="M7948" s="91">
        <f t="shared" si="492"/>
        <v>30.07406597184243</v>
      </c>
    </row>
    <row r="7949" spans="1:13" hidden="1" x14ac:dyDescent="0.3">
      <c r="A7949" s="9">
        <v>1333</v>
      </c>
      <c r="B7949" t="s">
        <v>188</v>
      </c>
      <c r="C7949" s="25">
        <v>44633</v>
      </c>
      <c r="D7949" s="26">
        <v>0.48715277777777777</v>
      </c>
      <c r="E7949" t="s">
        <v>26</v>
      </c>
      <c r="F7949" t="s">
        <v>210</v>
      </c>
      <c r="G7949" t="s">
        <v>211</v>
      </c>
      <c r="H7949" t="s">
        <v>189</v>
      </c>
      <c r="I7949">
        <v>311.24</v>
      </c>
      <c r="J7949" s="52">
        <v>0</v>
      </c>
      <c r="K7949" s="88">
        <f t="shared" si="491"/>
        <v>589.49</v>
      </c>
      <c r="L7949" s="52">
        <v>589.49</v>
      </c>
      <c r="M7949" s="91">
        <f t="shared" si="492"/>
        <v>52.798181478905491</v>
      </c>
    </row>
    <row r="7950" spans="1:13" hidden="1" x14ac:dyDescent="0.3">
      <c r="A7950" s="9">
        <v>1334</v>
      </c>
      <c r="B7950" t="s">
        <v>188</v>
      </c>
      <c r="C7950" s="25">
        <v>44634</v>
      </c>
      <c r="D7950" s="26">
        <v>0.55398148148148152</v>
      </c>
      <c r="E7950" t="s">
        <v>26</v>
      </c>
      <c r="F7950" t="s">
        <v>210</v>
      </c>
      <c r="G7950" t="s">
        <v>211</v>
      </c>
      <c r="H7950" t="s">
        <v>189</v>
      </c>
      <c r="I7950">
        <v>335.18</v>
      </c>
      <c r="J7950" s="52">
        <v>0</v>
      </c>
      <c r="K7950" s="88">
        <f t="shared" si="491"/>
        <v>891.52</v>
      </c>
      <c r="L7950" s="52">
        <v>891.52</v>
      </c>
      <c r="M7950" s="91">
        <f t="shared" si="492"/>
        <v>37.596464465183061</v>
      </c>
    </row>
    <row r="7951" spans="1:13" hidden="1" x14ac:dyDescent="0.3">
      <c r="A7951" s="9">
        <v>1335</v>
      </c>
      <c r="B7951" t="s">
        <v>188</v>
      </c>
      <c r="C7951" s="25">
        <v>44637</v>
      </c>
      <c r="D7951" s="26">
        <v>0.38376157407407407</v>
      </c>
      <c r="E7951" t="s">
        <v>26</v>
      </c>
      <c r="F7951" t="s">
        <v>197</v>
      </c>
      <c r="G7951" t="s">
        <v>44</v>
      </c>
      <c r="H7951" t="s">
        <v>189</v>
      </c>
      <c r="I7951">
        <v>200.01</v>
      </c>
      <c r="J7951" s="52">
        <v>0</v>
      </c>
      <c r="K7951" s="88">
        <f t="shared" si="491"/>
        <v>1210.32</v>
      </c>
      <c r="L7951" s="52">
        <v>1210.32</v>
      </c>
      <c r="M7951" s="91">
        <f t="shared" si="492"/>
        <v>16.525381717231806</v>
      </c>
    </row>
    <row r="7952" spans="1:13" hidden="1" x14ac:dyDescent="0.3">
      <c r="A7952" s="9">
        <v>1336</v>
      </c>
      <c r="B7952" t="s">
        <v>188</v>
      </c>
      <c r="C7952" s="25">
        <v>44637</v>
      </c>
      <c r="D7952" s="26">
        <v>0.91538194444444443</v>
      </c>
      <c r="E7952" t="s">
        <v>26</v>
      </c>
      <c r="F7952" t="s">
        <v>166</v>
      </c>
      <c r="G7952" t="s">
        <v>161</v>
      </c>
      <c r="H7952" t="s">
        <v>189</v>
      </c>
      <c r="I7952">
        <v>432.67</v>
      </c>
      <c r="J7952" s="52">
        <v>0</v>
      </c>
      <c r="K7952" s="88">
        <f t="shared" si="491"/>
        <v>513.57000000000005</v>
      </c>
      <c r="L7952" s="52">
        <v>513.57000000000005</v>
      </c>
      <c r="M7952" s="91">
        <f t="shared" si="492"/>
        <v>84.247522246237111</v>
      </c>
    </row>
    <row r="7953" spans="1:13" hidden="1" x14ac:dyDescent="0.3">
      <c r="A7953" s="9">
        <v>1337</v>
      </c>
      <c r="B7953" t="s">
        <v>188</v>
      </c>
      <c r="C7953" s="25">
        <v>44639</v>
      </c>
      <c r="D7953" s="26">
        <v>0.56929398148148147</v>
      </c>
      <c r="E7953" t="s">
        <v>26</v>
      </c>
      <c r="F7953" t="s">
        <v>166</v>
      </c>
      <c r="G7953" t="s">
        <v>161</v>
      </c>
      <c r="H7953" t="s">
        <v>189</v>
      </c>
      <c r="I7953">
        <v>320.13</v>
      </c>
      <c r="J7953" s="52">
        <v>0</v>
      </c>
      <c r="K7953" s="88">
        <f t="shared" si="491"/>
        <v>1220.58</v>
      </c>
      <c r="L7953" s="52">
        <v>1220.58</v>
      </c>
      <c r="M7953" s="91">
        <f t="shared" si="492"/>
        <v>26.22769503023153</v>
      </c>
    </row>
    <row r="7954" spans="1:13" hidden="1" x14ac:dyDescent="0.3">
      <c r="A7954" s="9">
        <v>1338</v>
      </c>
      <c r="B7954" t="s">
        <v>188</v>
      </c>
      <c r="C7954" s="25">
        <v>44642</v>
      </c>
      <c r="D7954" s="26">
        <v>0.43315972222222227</v>
      </c>
      <c r="E7954" t="s">
        <v>26</v>
      </c>
      <c r="F7954" t="s">
        <v>428</v>
      </c>
      <c r="G7954" t="s">
        <v>429</v>
      </c>
      <c r="H7954" t="s">
        <v>189</v>
      </c>
      <c r="I7954">
        <v>302.49</v>
      </c>
      <c r="J7954" s="52">
        <v>0</v>
      </c>
      <c r="K7954" s="88">
        <f t="shared" si="491"/>
        <v>839.87</v>
      </c>
      <c r="L7954" s="52">
        <v>839.87</v>
      </c>
      <c r="M7954" s="91">
        <f t="shared" si="492"/>
        <v>36.016288235084005</v>
      </c>
    </row>
    <row r="7955" spans="1:13" hidden="1" x14ac:dyDescent="0.3">
      <c r="A7955" s="9">
        <v>1341</v>
      </c>
      <c r="B7955" t="s">
        <v>188</v>
      </c>
      <c r="C7955" s="25">
        <v>44650</v>
      </c>
      <c r="D7955" s="26">
        <v>0.66091435185185188</v>
      </c>
      <c r="E7955" t="s">
        <v>26</v>
      </c>
      <c r="F7955" t="s">
        <v>175</v>
      </c>
      <c r="G7955" t="s">
        <v>172</v>
      </c>
      <c r="H7955" t="s">
        <v>189</v>
      </c>
      <c r="I7955">
        <v>378.45</v>
      </c>
      <c r="J7955" s="52">
        <v>0</v>
      </c>
      <c r="K7955" s="88">
        <f t="shared" si="491"/>
        <v>1286.73</v>
      </c>
      <c r="L7955" s="52">
        <v>1286.73</v>
      </c>
      <c r="M7955" s="91">
        <f t="shared" si="492"/>
        <v>29.411764705882355</v>
      </c>
    </row>
    <row r="7956" spans="1:13" hidden="1" x14ac:dyDescent="0.3">
      <c r="A7956" s="9">
        <v>2516</v>
      </c>
      <c r="B7956" t="s">
        <v>188</v>
      </c>
      <c r="C7956" s="25">
        <v>44652</v>
      </c>
      <c r="D7956" s="26">
        <v>1.8206018518518517E-2</v>
      </c>
      <c r="E7956" t="s">
        <v>27</v>
      </c>
      <c r="F7956" t="s">
        <v>166</v>
      </c>
      <c r="G7956" t="s">
        <v>161</v>
      </c>
      <c r="H7956" t="s">
        <v>189</v>
      </c>
      <c r="I7956" s="4">
        <v>310.35000000000002</v>
      </c>
      <c r="J7956" s="52">
        <v>0</v>
      </c>
      <c r="K7956" s="88">
        <f t="shared" si="491"/>
        <v>620</v>
      </c>
      <c r="L7956" s="52">
        <v>620</v>
      </c>
      <c r="M7956" s="91">
        <f t="shared" si="492"/>
        <v>50.056451612903231</v>
      </c>
    </row>
    <row r="7957" spans="1:13" hidden="1" x14ac:dyDescent="0.3">
      <c r="A7957" s="9">
        <v>2517</v>
      </c>
      <c r="B7957" t="s">
        <v>188</v>
      </c>
      <c r="C7957" s="25">
        <v>44652</v>
      </c>
      <c r="D7957" s="26">
        <v>0.82996527777777773</v>
      </c>
      <c r="E7957" t="s">
        <v>27</v>
      </c>
      <c r="F7957" t="s">
        <v>165</v>
      </c>
      <c r="G7957" t="s">
        <v>185</v>
      </c>
      <c r="H7957" t="s">
        <v>189</v>
      </c>
      <c r="I7957" s="4">
        <v>312.01</v>
      </c>
      <c r="J7957" s="52">
        <v>0</v>
      </c>
      <c r="K7957" s="88">
        <f t="shared" si="491"/>
        <v>1388.8</v>
      </c>
      <c r="L7957" s="52">
        <v>1388.8</v>
      </c>
      <c r="M7957" s="91">
        <f t="shared" si="492"/>
        <v>22.466157834101384</v>
      </c>
    </row>
    <row r="7958" spans="1:13" hidden="1" x14ac:dyDescent="0.3">
      <c r="A7958" s="9">
        <v>2518</v>
      </c>
      <c r="B7958" t="s">
        <v>188</v>
      </c>
      <c r="C7958" s="25">
        <v>44656</v>
      </c>
      <c r="D7958" s="26">
        <v>0.77270833333333344</v>
      </c>
      <c r="E7958" t="s">
        <v>27</v>
      </c>
      <c r="F7958" t="s">
        <v>210</v>
      </c>
      <c r="G7958" t="s">
        <v>211</v>
      </c>
      <c r="H7958" t="s">
        <v>189</v>
      </c>
      <c r="I7958" s="4">
        <v>225.03</v>
      </c>
      <c r="J7958" s="52">
        <v>0</v>
      </c>
      <c r="K7958" s="88">
        <f t="shared" si="491"/>
        <v>567.85</v>
      </c>
      <c r="L7958" s="52">
        <v>567.85</v>
      </c>
      <c r="M7958" s="91">
        <f t="shared" si="492"/>
        <v>39.628422999031429</v>
      </c>
    </row>
    <row r="7959" spans="1:13" hidden="1" x14ac:dyDescent="0.3">
      <c r="A7959" s="9">
        <v>2519</v>
      </c>
      <c r="B7959" t="s">
        <v>188</v>
      </c>
      <c r="C7959" s="25">
        <v>44658</v>
      </c>
      <c r="D7959" s="26">
        <v>0.40753472222222226</v>
      </c>
      <c r="E7959" t="s">
        <v>27</v>
      </c>
      <c r="F7959" t="s">
        <v>428</v>
      </c>
      <c r="G7959" t="s">
        <v>429</v>
      </c>
      <c r="H7959" t="s">
        <v>189</v>
      </c>
      <c r="I7959" s="4">
        <f>100+200.05</f>
        <v>300.05</v>
      </c>
      <c r="J7959" s="52">
        <v>0</v>
      </c>
      <c r="K7959" s="88">
        <f t="shared" si="491"/>
        <v>919</v>
      </c>
      <c r="L7959" s="52">
        <v>919</v>
      </c>
      <c r="M7959" s="91">
        <f t="shared" si="492"/>
        <v>32.649619151251365</v>
      </c>
    </row>
    <row r="7960" spans="1:13" hidden="1" x14ac:dyDescent="0.3">
      <c r="A7960" s="9">
        <v>2520</v>
      </c>
      <c r="B7960" t="s">
        <v>188</v>
      </c>
      <c r="C7960" s="25">
        <v>44659</v>
      </c>
      <c r="D7960" s="26">
        <v>0.45466435185185183</v>
      </c>
      <c r="E7960" t="s">
        <v>27</v>
      </c>
      <c r="F7960" t="s">
        <v>210</v>
      </c>
      <c r="G7960" t="s">
        <v>211</v>
      </c>
      <c r="H7960" t="s">
        <v>189</v>
      </c>
      <c r="I7960" s="4">
        <v>421.06</v>
      </c>
      <c r="J7960" s="52">
        <v>0</v>
      </c>
      <c r="K7960" s="88">
        <f t="shared" si="491"/>
        <v>980.48</v>
      </c>
      <c r="L7960" s="85">
        <v>980.48</v>
      </c>
      <c r="M7960" s="91">
        <f t="shared" si="492"/>
        <v>42.944272193211489</v>
      </c>
    </row>
    <row r="7961" spans="1:13" hidden="1" x14ac:dyDescent="0.3">
      <c r="A7961" s="9">
        <v>2521</v>
      </c>
      <c r="B7961" t="s">
        <v>188</v>
      </c>
      <c r="C7961" s="25">
        <v>44660</v>
      </c>
      <c r="D7961" s="26">
        <v>0.40687500000000004</v>
      </c>
      <c r="E7961" t="s">
        <v>27</v>
      </c>
      <c r="F7961" t="s">
        <v>210</v>
      </c>
      <c r="G7961" t="s">
        <v>211</v>
      </c>
      <c r="H7961" t="s">
        <v>189</v>
      </c>
      <c r="I7961" s="4">
        <v>398.78</v>
      </c>
      <c r="J7961" s="52">
        <v>0</v>
      </c>
      <c r="K7961" s="88">
        <f t="shared" si="491"/>
        <v>1065.4100000000001</v>
      </c>
      <c r="L7961" s="52">
        <v>1065.4100000000001</v>
      </c>
      <c r="M7961" s="91">
        <f t="shared" si="492"/>
        <v>37.42972189110295</v>
      </c>
    </row>
    <row r="7962" spans="1:13" hidden="1" x14ac:dyDescent="0.3">
      <c r="A7962" s="9">
        <v>2522</v>
      </c>
      <c r="B7962" t="s">
        <v>188</v>
      </c>
      <c r="C7962" s="25">
        <v>44661</v>
      </c>
      <c r="D7962" s="26">
        <v>0.52152777777777781</v>
      </c>
      <c r="E7962" t="s">
        <v>27</v>
      </c>
      <c r="F7962" t="s">
        <v>428</v>
      </c>
      <c r="G7962" t="s">
        <v>429</v>
      </c>
      <c r="H7962" t="s">
        <v>189</v>
      </c>
      <c r="I7962" s="4">
        <v>200.11</v>
      </c>
      <c r="J7962" s="52">
        <v>0</v>
      </c>
      <c r="K7962" s="88">
        <f t="shared" si="491"/>
        <v>904.54</v>
      </c>
      <c r="L7962" s="52">
        <v>904.54</v>
      </c>
      <c r="M7962" s="91">
        <f t="shared" si="492"/>
        <v>22.122846971941541</v>
      </c>
    </row>
    <row r="7963" spans="1:13" hidden="1" x14ac:dyDescent="0.3">
      <c r="A7963" s="9">
        <v>2523</v>
      </c>
      <c r="B7963" t="s">
        <v>188</v>
      </c>
      <c r="C7963" s="25">
        <v>44662</v>
      </c>
      <c r="D7963" s="26">
        <v>0.5864583333333333</v>
      </c>
      <c r="E7963" t="s">
        <v>27</v>
      </c>
      <c r="F7963" t="s">
        <v>171</v>
      </c>
      <c r="G7963" t="s">
        <v>172</v>
      </c>
      <c r="H7963" t="s">
        <v>189</v>
      </c>
      <c r="I7963" s="4">
        <v>251.48</v>
      </c>
      <c r="J7963" s="52">
        <v>0</v>
      </c>
      <c r="K7963" s="88">
        <f t="shared" si="491"/>
        <v>286.44</v>
      </c>
      <c r="L7963" s="52">
        <v>286.44</v>
      </c>
      <c r="M7963" s="91">
        <f t="shared" si="492"/>
        <v>87.795000698226502</v>
      </c>
    </row>
    <row r="7964" spans="1:13" hidden="1" x14ac:dyDescent="0.3">
      <c r="A7964" s="9">
        <v>2524</v>
      </c>
      <c r="B7964" t="s">
        <v>188</v>
      </c>
      <c r="C7964" s="25">
        <v>44663</v>
      </c>
      <c r="D7964" s="26">
        <v>0.36340277777777774</v>
      </c>
      <c r="E7964" t="s">
        <v>27</v>
      </c>
      <c r="F7964" t="s">
        <v>166</v>
      </c>
      <c r="G7964" t="s">
        <v>161</v>
      </c>
      <c r="H7964" t="s">
        <v>189</v>
      </c>
      <c r="I7964" s="4">
        <v>259.81</v>
      </c>
      <c r="J7964" s="52">
        <v>0</v>
      </c>
      <c r="K7964" s="88">
        <f t="shared" si="491"/>
        <v>618.41999999999996</v>
      </c>
      <c r="L7964" s="52">
        <v>618.41999999999996</v>
      </c>
      <c r="M7964" s="91">
        <f t="shared" si="492"/>
        <v>42.011901296853274</v>
      </c>
    </row>
    <row r="7965" spans="1:13" hidden="1" x14ac:dyDescent="0.3">
      <c r="A7965" s="9">
        <v>2525</v>
      </c>
      <c r="B7965" t="s">
        <v>188</v>
      </c>
      <c r="C7965" s="25">
        <v>44663</v>
      </c>
      <c r="D7965" s="26">
        <v>0.90386574074074078</v>
      </c>
      <c r="E7965" t="s">
        <v>27</v>
      </c>
      <c r="F7965" t="s">
        <v>165</v>
      </c>
      <c r="G7965" t="s">
        <v>185</v>
      </c>
      <c r="H7965" t="s">
        <v>189</v>
      </c>
      <c r="I7965" s="4">
        <v>304.14</v>
      </c>
      <c r="J7965" s="52">
        <v>0</v>
      </c>
      <c r="K7965" s="88">
        <f t="shared" si="491"/>
        <v>1244.5</v>
      </c>
      <c r="L7965" s="52">
        <v>1244.5</v>
      </c>
      <c r="M7965" s="91">
        <f t="shared" si="492"/>
        <v>24.43873041382081</v>
      </c>
    </row>
    <row r="7966" spans="1:13" hidden="1" x14ac:dyDescent="0.3">
      <c r="A7966" s="9">
        <v>2526</v>
      </c>
      <c r="B7966" t="s">
        <v>188</v>
      </c>
      <c r="C7966" s="25">
        <v>44665</v>
      </c>
      <c r="D7966" s="26">
        <v>0.41106481481481483</v>
      </c>
      <c r="E7966" t="s">
        <v>27</v>
      </c>
      <c r="F7966" t="s">
        <v>202</v>
      </c>
      <c r="G7966" t="s">
        <v>203</v>
      </c>
      <c r="H7966" t="s">
        <v>189</v>
      </c>
      <c r="I7966" s="4">
        <v>300</v>
      </c>
      <c r="J7966" s="52">
        <v>0</v>
      </c>
      <c r="K7966" s="88">
        <f t="shared" si="491"/>
        <v>1056.3699999999999</v>
      </c>
      <c r="L7966" s="52">
        <v>1056.3699999999999</v>
      </c>
      <c r="M7966" s="91">
        <f t="shared" si="492"/>
        <v>28.399140452682303</v>
      </c>
    </row>
    <row r="7967" spans="1:13" hidden="1" x14ac:dyDescent="0.3">
      <c r="A7967" s="9">
        <v>2527</v>
      </c>
      <c r="B7967" t="s">
        <v>188</v>
      </c>
      <c r="C7967" s="25">
        <v>44665</v>
      </c>
      <c r="D7967" s="26">
        <v>0.88940972222222225</v>
      </c>
      <c r="E7967" t="s">
        <v>27</v>
      </c>
      <c r="F7967" t="s">
        <v>165</v>
      </c>
      <c r="G7967" t="s">
        <v>185</v>
      </c>
      <c r="H7967" t="s">
        <v>189</v>
      </c>
      <c r="I7967" s="4">
        <v>343.87</v>
      </c>
      <c r="J7967" s="52">
        <v>0</v>
      </c>
      <c r="K7967" s="88">
        <f t="shared" si="491"/>
        <v>542.39</v>
      </c>
      <c r="L7967" s="52">
        <v>542.39</v>
      </c>
      <c r="M7967" s="91">
        <f t="shared" si="492"/>
        <v>63.399030218108742</v>
      </c>
    </row>
    <row r="7968" spans="1:13" hidden="1" x14ac:dyDescent="0.3">
      <c r="A7968" s="9">
        <v>2528</v>
      </c>
      <c r="B7968" t="s">
        <v>188</v>
      </c>
      <c r="C7968" s="25">
        <v>44666</v>
      </c>
      <c r="D7968" s="26">
        <v>0.41996527777777781</v>
      </c>
      <c r="E7968" t="s">
        <v>27</v>
      </c>
      <c r="F7968" t="s">
        <v>210</v>
      </c>
      <c r="G7968" t="s">
        <v>211</v>
      </c>
      <c r="H7968" t="s">
        <v>189</v>
      </c>
      <c r="I7968" s="4">
        <v>69.97</v>
      </c>
      <c r="J7968" s="52">
        <v>0</v>
      </c>
      <c r="K7968" s="88">
        <f t="shared" si="491"/>
        <v>550.29</v>
      </c>
      <c r="L7968" s="52">
        <v>550.29</v>
      </c>
      <c r="M7968" s="91">
        <f t="shared" si="492"/>
        <v>12.715113849061405</v>
      </c>
    </row>
    <row r="7969" spans="1:13" hidden="1" x14ac:dyDescent="0.3">
      <c r="A7969" s="9">
        <v>2529</v>
      </c>
      <c r="B7969" t="s">
        <v>188</v>
      </c>
      <c r="C7969" s="25">
        <v>44669</v>
      </c>
      <c r="D7969" s="26">
        <v>7.0266203703703692E-2</v>
      </c>
      <c r="E7969" t="s">
        <v>27</v>
      </c>
      <c r="F7969" t="s">
        <v>175</v>
      </c>
      <c r="G7969" t="s">
        <v>172</v>
      </c>
      <c r="H7969" t="s">
        <v>189</v>
      </c>
      <c r="I7969" s="4">
        <v>377.31</v>
      </c>
      <c r="J7969" s="52">
        <v>0</v>
      </c>
      <c r="K7969" s="88">
        <f t="shared" si="491"/>
        <v>1058.49</v>
      </c>
      <c r="L7969" s="52">
        <v>1058.49</v>
      </c>
      <c r="M7969" s="91">
        <f t="shared" si="492"/>
        <v>35.646061842813822</v>
      </c>
    </row>
    <row r="7970" spans="1:13" hidden="1" x14ac:dyDescent="0.3">
      <c r="A7970" s="9">
        <v>2530</v>
      </c>
      <c r="B7970" t="s">
        <v>188</v>
      </c>
      <c r="C7970" s="25">
        <v>44670</v>
      </c>
      <c r="D7970" s="26">
        <v>0.5569560185185185</v>
      </c>
      <c r="E7970" t="s">
        <v>27</v>
      </c>
      <c r="F7970" t="s">
        <v>210</v>
      </c>
      <c r="G7970" t="s">
        <v>211</v>
      </c>
      <c r="H7970" t="s">
        <v>189</v>
      </c>
      <c r="I7970" s="4">
        <v>372.45</v>
      </c>
      <c r="J7970" s="52">
        <v>0</v>
      </c>
      <c r="K7970" s="88">
        <f t="shared" si="491"/>
        <v>876.24</v>
      </c>
      <c r="L7970" s="52">
        <v>876.24</v>
      </c>
      <c r="M7970" s="91">
        <f t="shared" si="492"/>
        <v>42.505477951246235</v>
      </c>
    </row>
    <row r="7971" spans="1:13" hidden="1" x14ac:dyDescent="0.3">
      <c r="A7971" s="9">
        <v>2531</v>
      </c>
      <c r="B7971" t="s">
        <v>188</v>
      </c>
      <c r="C7971" s="25">
        <v>44672</v>
      </c>
      <c r="D7971" s="26">
        <v>0.36100694444444442</v>
      </c>
      <c r="E7971" t="s">
        <v>27</v>
      </c>
      <c r="F7971" t="s">
        <v>210</v>
      </c>
      <c r="G7971" t="s">
        <v>211</v>
      </c>
      <c r="H7971" t="s">
        <v>189</v>
      </c>
      <c r="I7971" s="4">
        <v>389.34</v>
      </c>
      <c r="J7971" s="52">
        <v>0</v>
      </c>
      <c r="K7971" s="88">
        <f t="shared" si="491"/>
        <v>915.96</v>
      </c>
      <c r="L7971" s="52">
        <v>915.96</v>
      </c>
      <c r="M7971" s="91">
        <f t="shared" si="492"/>
        <v>42.506222979169387</v>
      </c>
    </row>
    <row r="7972" spans="1:13" hidden="1" x14ac:dyDescent="0.3">
      <c r="A7972" s="9">
        <v>2532</v>
      </c>
      <c r="B7972" t="s">
        <v>188</v>
      </c>
      <c r="C7972" s="25">
        <v>44673</v>
      </c>
      <c r="D7972" s="26">
        <v>0.65281250000000002</v>
      </c>
      <c r="E7972" t="s">
        <v>27</v>
      </c>
      <c r="F7972" t="s">
        <v>428</v>
      </c>
      <c r="G7972" t="s">
        <v>429</v>
      </c>
      <c r="H7972" t="s">
        <v>189</v>
      </c>
      <c r="I7972" s="4">
        <v>200</v>
      </c>
      <c r="J7972" s="52">
        <v>0</v>
      </c>
      <c r="K7972" s="88">
        <f t="shared" si="491"/>
        <v>909.13</v>
      </c>
      <c r="L7972" s="52">
        <v>909.13</v>
      </c>
      <c r="M7972" s="91">
        <f t="shared" si="492"/>
        <v>21.999054040676249</v>
      </c>
    </row>
    <row r="7973" spans="1:13" hidden="1" x14ac:dyDescent="0.3">
      <c r="A7973" s="9">
        <v>2533</v>
      </c>
      <c r="B7973" t="s">
        <v>188</v>
      </c>
      <c r="C7973" s="25">
        <v>44674</v>
      </c>
      <c r="D7973" s="26">
        <v>0.95900462962962962</v>
      </c>
      <c r="E7973" t="s">
        <v>27</v>
      </c>
      <c r="F7973" t="s">
        <v>210</v>
      </c>
      <c r="G7973" t="s">
        <v>211</v>
      </c>
      <c r="H7973" t="s">
        <v>189</v>
      </c>
      <c r="I7973" s="4">
        <v>496</v>
      </c>
      <c r="J7973" s="52">
        <v>0</v>
      </c>
      <c r="K7973" s="88">
        <f t="shared" si="491"/>
        <v>830.64</v>
      </c>
      <c r="L7973" s="52">
        <v>830.64</v>
      </c>
      <c r="M7973" s="91">
        <f t="shared" si="492"/>
        <v>59.712992391409038</v>
      </c>
    </row>
    <row r="7974" spans="1:13" hidden="1" x14ac:dyDescent="0.3">
      <c r="A7974" s="9">
        <v>2534</v>
      </c>
      <c r="B7974" t="s">
        <v>188</v>
      </c>
      <c r="C7974" s="25">
        <v>44676</v>
      </c>
      <c r="D7974" s="26">
        <v>0.3498263888888889</v>
      </c>
      <c r="E7974" t="s">
        <v>27</v>
      </c>
      <c r="F7974" t="s">
        <v>165</v>
      </c>
      <c r="G7974" t="s">
        <v>185</v>
      </c>
      <c r="H7974" t="s">
        <v>189</v>
      </c>
      <c r="I7974">
        <v>271.27999999999997</v>
      </c>
      <c r="J7974" s="52">
        <v>0</v>
      </c>
      <c r="K7974" s="88">
        <f t="shared" si="491"/>
        <v>552.47</v>
      </c>
      <c r="L7974" s="51">
        <v>552.47</v>
      </c>
      <c r="M7974" s="91">
        <f t="shared" si="492"/>
        <v>49.103118721378529</v>
      </c>
    </row>
    <row r="7975" spans="1:13" hidden="1" x14ac:dyDescent="0.3">
      <c r="A7975" s="9">
        <v>2535</v>
      </c>
      <c r="B7975" t="s">
        <v>188</v>
      </c>
      <c r="C7975" s="25">
        <v>44677</v>
      </c>
      <c r="D7975" s="26">
        <v>0.37658564814814816</v>
      </c>
      <c r="E7975" t="s">
        <v>27</v>
      </c>
      <c r="F7975" t="s">
        <v>165</v>
      </c>
      <c r="G7975" t="s">
        <v>185</v>
      </c>
      <c r="H7975" t="s">
        <v>189</v>
      </c>
      <c r="I7975">
        <v>184</v>
      </c>
      <c r="J7975" s="52">
        <v>0</v>
      </c>
      <c r="K7975" s="88">
        <f t="shared" ref="K7975:K7979" si="493">+L7975-J7975</f>
        <v>442.5</v>
      </c>
      <c r="L7975" s="51">
        <v>442.5</v>
      </c>
      <c r="M7975" s="91">
        <f t="shared" ref="M7975:M7996" si="494">I7975/K7975*100</f>
        <v>41.581920903954803</v>
      </c>
    </row>
    <row r="7976" spans="1:13" hidden="1" x14ac:dyDescent="0.3">
      <c r="A7976" s="9">
        <v>2536</v>
      </c>
      <c r="B7976" t="s">
        <v>188</v>
      </c>
      <c r="C7976" s="25">
        <v>44677</v>
      </c>
      <c r="D7976" s="26">
        <v>0.95158564814814817</v>
      </c>
      <c r="E7976" t="s">
        <v>27</v>
      </c>
      <c r="F7976" t="s">
        <v>165</v>
      </c>
      <c r="G7976" t="s">
        <v>185</v>
      </c>
      <c r="H7976" t="s">
        <v>189</v>
      </c>
      <c r="I7976">
        <v>182.91</v>
      </c>
      <c r="J7976" s="52">
        <v>0</v>
      </c>
      <c r="K7976" s="88">
        <f t="shared" si="493"/>
        <v>441.5</v>
      </c>
      <c r="L7976" s="51">
        <v>441.5</v>
      </c>
      <c r="M7976" s="91">
        <f t="shared" si="494"/>
        <v>41.429218573046434</v>
      </c>
    </row>
    <row r="7977" spans="1:13" hidden="1" x14ac:dyDescent="0.3">
      <c r="A7977" s="9">
        <v>2537</v>
      </c>
      <c r="B7977" t="s">
        <v>188</v>
      </c>
      <c r="C7977" s="25">
        <v>44678</v>
      </c>
      <c r="D7977" s="26">
        <v>0.92895833333333344</v>
      </c>
      <c r="E7977" t="s">
        <v>27</v>
      </c>
      <c r="F7977" t="s">
        <v>165</v>
      </c>
      <c r="G7977" t="s">
        <v>185</v>
      </c>
      <c r="H7977" t="s">
        <v>189</v>
      </c>
      <c r="I7977">
        <v>186.4</v>
      </c>
      <c r="J7977" s="52">
        <v>0</v>
      </c>
      <c r="K7977" s="88">
        <f t="shared" si="493"/>
        <v>442.75</v>
      </c>
      <c r="L7977" s="51">
        <v>442.75</v>
      </c>
      <c r="M7977" s="91">
        <f t="shared" si="494"/>
        <v>42.100508187464705</v>
      </c>
    </row>
    <row r="7978" spans="1:13" hidden="1" x14ac:dyDescent="0.3">
      <c r="A7978" s="9">
        <v>3714</v>
      </c>
      <c r="B7978" t="s">
        <v>188</v>
      </c>
      <c r="C7978" s="25">
        <v>44683</v>
      </c>
      <c r="D7978" s="26">
        <v>0.81878472222222232</v>
      </c>
      <c r="E7978" t="s">
        <v>28</v>
      </c>
      <c r="F7978" t="s">
        <v>165</v>
      </c>
      <c r="G7978" t="s">
        <v>185</v>
      </c>
      <c r="H7978" t="s">
        <v>189</v>
      </c>
      <c r="I7978">
        <v>241.48</v>
      </c>
      <c r="J7978" s="52">
        <v>0</v>
      </c>
      <c r="K7978" s="88">
        <f t="shared" si="493"/>
        <v>549.62</v>
      </c>
      <c r="L7978" s="51">
        <v>549.62</v>
      </c>
      <c r="M7978" s="91">
        <f t="shared" si="494"/>
        <v>43.935810196135513</v>
      </c>
    </row>
    <row r="7979" spans="1:13" hidden="1" x14ac:dyDescent="0.3">
      <c r="A7979" s="9">
        <v>3752</v>
      </c>
      <c r="B7979" t="s">
        <v>188</v>
      </c>
      <c r="C7979" s="25">
        <v>44684</v>
      </c>
      <c r="D7979" s="26">
        <v>0.91811342592592593</v>
      </c>
      <c r="E7979" t="s">
        <v>28</v>
      </c>
      <c r="F7979" t="s">
        <v>210</v>
      </c>
      <c r="G7979" t="s">
        <v>211</v>
      </c>
      <c r="H7979" t="s">
        <v>189</v>
      </c>
      <c r="I7979">
        <v>210.39</v>
      </c>
      <c r="J7979" s="52">
        <v>0</v>
      </c>
      <c r="K7979" s="88">
        <f t="shared" si="493"/>
        <v>575</v>
      </c>
      <c r="L7979" s="51">
        <v>575</v>
      </c>
      <c r="M7979" s="91">
        <f t="shared" si="494"/>
        <v>36.589565217391304</v>
      </c>
    </row>
    <row r="7980" spans="1:13" hidden="1" x14ac:dyDescent="0.3">
      <c r="A7980" s="9">
        <v>4258</v>
      </c>
      <c r="B7980" t="s">
        <v>188</v>
      </c>
      <c r="C7980" s="25">
        <v>44694</v>
      </c>
      <c r="D7980" s="26">
        <v>0.38543981481481482</v>
      </c>
      <c r="E7980" t="s">
        <v>28</v>
      </c>
      <c r="F7980" t="s">
        <v>541</v>
      </c>
      <c r="G7980" t="s">
        <v>542</v>
      </c>
      <c r="H7980" t="s">
        <v>189</v>
      </c>
      <c r="I7980">
        <v>200</v>
      </c>
      <c r="J7980" s="52">
        <v>0</v>
      </c>
      <c r="K7980" s="88">
        <f>+L7980-J8101</f>
        <v>305</v>
      </c>
      <c r="L7980" s="52">
        <v>305</v>
      </c>
      <c r="M7980" s="91">
        <f t="shared" si="494"/>
        <v>65.573770491803273</v>
      </c>
    </row>
    <row r="7981" spans="1:13" hidden="1" x14ac:dyDescent="0.3">
      <c r="A7981" s="9">
        <v>4259</v>
      </c>
      <c r="B7981" t="s">
        <v>188</v>
      </c>
      <c r="C7981" s="25">
        <v>44694</v>
      </c>
      <c r="D7981" s="26">
        <v>0.8445138888888889</v>
      </c>
      <c r="E7981" t="s">
        <v>28</v>
      </c>
      <c r="F7981" t="s">
        <v>210</v>
      </c>
      <c r="G7981" t="s">
        <v>211</v>
      </c>
      <c r="H7981" t="s">
        <v>189</v>
      </c>
      <c r="I7981">
        <v>502.56</v>
      </c>
      <c r="J7981" s="52">
        <v>0</v>
      </c>
      <c r="K7981" s="88">
        <f>+L7981-J8102</f>
        <v>533</v>
      </c>
      <c r="L7981" s="52">
        <v>533</v>
      </c>
      <c r="M7981" s="91">
        <f t="shared" si="494"/>
        <v>94.288930581613499</v>
      </c>
    </row>
    <row r="7982" spans="1:13" hidden="1" x14ac:dyDescent="0.3">
      <c r="A7982" s="9">
        <v>4301</v>
      </c>
      <c r="B7982" t="s">
        <v>188</v>
      </c>
      <c r="C7982" s="25">
        <v>44695</v>
      </c>
      <c r="D7982" s="26">
        <v>0.78696759259259252</v>
      </c>
      <c r="E7982" t="s">
        <v>28</v>
      </c>
      <c r="F7982" t="s">
        <v>165</v>
      </c>
      <c r="G7982" t="s">
        <v>185</v>
      </c>
      <c r="H7982" t="s">
        <v>189</v>
      </c>
      <c r="I7982">
        <v>254.4</v>
      </c>
      <c r="J7982" s="52">
        <v>0</v>
      </c>
      <c r="K7982" s="88">
        <f>+L7982-J8103</f>
        <v>551</v>
      </c>
      <c r="L7982" s="52">
        <v>551</v>
      </c>
      <c r="M7982" s="91">
        <f t="shared" si="494"/>
        <v>46.170598911070783</v>
      </c>
    </row>
    <row r="7983" spans="1:13" hidden="1" x14ac:dyDescent="0.3">
      <c r="A7983" s="9">
        <v>4367</v>
      </c>
      <c r="B7983" t="s">
        <v>188</v>
      </c>
      <c r="C7983" s="25">
        <v>44696</v>
      </c>
      <c r="D7983" s="26">
        <v>0.73914351851851856</v>
      </c>
      <c r="E7983" t="s">
        <v>28</v>
      </c>
      <c r="F7983" t="s">
        <v>210</v>
      </c>
      <c r="G7983" t="s">
        <v>211</v>
      </c>
      <c r="H7983" t="s">
        <v>189</v>
      </c>
      <c r="I7983">
        <v>159.66999999999999</v>
      </c>
      <c r="J7983" s="52">
        <v>0</v>
      </c>
      <c r="K7983" s="88">
        <f>+L7983-J8104</f>
        <v>517</v>
      </c>
      <c r="L7983" s="52">
        <v>517</v>
      </c>
      <c r="M7983" s="91">
        <f t="shared" si="494"/>
        <v>30.883945841392645</v>
      </c>
    </row>
    <row r="7984" spans="1:13" hidden="1" x14ac:dyDescent="0.3">
      <c r="A7984" s="9">
        <v>4535</v>
      </c>
      <c r="B7984" t="s">
        <v>188</v>
      </c>
      <c r="C7984" s="25">
        <v>44699</v>
      </c>
      <c r="D7984" s="26">
        <v>0.42074074074074069</v>
      </c>
      <c r="E7984" t="s">
        <v>28</v>
      </c>
      <c r="F7984" t="s">
        <v>197</v>
      </c>
      <c r="G7984" t="s">
        <v>44</v>
      </c>
      <c r="H7984" t="s">
        <v>189</v>
      </c>
      <c r="I7984">
        <v>257.48</v>
      </c>
      <c r="J7984" s="52">
        <v>0</v>
      </c>
      <c r="K7984" s="88">
        <f>+L7984-J8103</f>
        <v>1162</v>
      </c>
      <c r="L7984" s="52">
        <v>1162</v>
      </c>
      <c r="M7984" s="91">
        <f t="shared" si="494"/>
        <v>22.158347676419968</v>
      </c>
    </row>
    <row r="7985" spans="1:13" hidden="1" x14ac:dyDescent="0.3">
      <c r="A7985" s="9">
        <v>4536</v>
      </c>
      <c r="B7985" t="s">
        <v>188</v>
      </c>
      <c r="C7985" s="25">
        <v>44699</v>
      </c>
      <c r="D7985" s="26">
        <v>0.94113425925925931</v>
      </c>
      <c r="E7985" t="s">
        <v>28</v>
      </c>
      <c r="F7985" t="s">
        <v>210</v>
      </c>
      <c r="G7985" t="s">
        <v>211</v>
      </c>
      <c r="H7985" t="s">
        <v>189</v>
      </c>
      <c r="I7985">
        <v>396.31</v>
      </c>
      <c r="J7985" s="52">
        <v>0</v>
      </c>
      <c r="K7985" s="88">
        <f>+L7985-J8104</f>
        <v>589</v>
      </c>
      <c r="L7985" s="52">
        <v>589</v>
      </c>
      <c r="M7985" s="91">
        <f t="shared" si="494"/>
        <v>67.285229202037357</v>
      </c>
    </row>
    <row r="7986" spans="1:13" hidden="1" x14ac:dyDescent="0.3">
      <c r="A7986" s="9">
        <v>4598</v>
      </c>
      <c r="B7986" t="s">
        <v>188</v>
      </c>
      <c r="C7986" s="25">
        <v>44700</v>
      </c>
      <c r="D7986" s="26">
        <v>0.95086805555555554</v>
      </c>
      <c r="E7986" t="s">
        <v>28</v>
      </c>
      <c r="F7986" t="s">
        <v>165</v>
      </c>
      <c r="G7986" t="s">
        <v>185</v>
      </c>
      <c r="H7986" t="s">
        <v>189</v>
      </c>
      <c r="I7986">
        <v>271.76</v>
      </c>
      <c r="J7986" s="52">
        <v>0</v>
      </c>
      <c r="K7986" s="88">
        <f>+L7986-J8242</f>
        <v>550</v>
      </c>
      <c r="L7986" s="52">
        <v>550</v>
      </c>
      <c r="M7986" s="91">
        <f t="shared" si="494"/>
        <v>49.410909090909087</v>
      </c>
    </row>
    <row r="7987" spans="1:13" hidden="1" x14ac:dyDescent="0.3">
      <c r="A7987" s="9">
        <v>4701</v>
      </c>
      <c r="B7987" t="s">
        <v>188</v>
      </c>
      <c r="C7987" s="25">
        <v>44702</v>
      </c>
      <c r="D7987" s="26">
        <v>0.92652777777777784</v>
      </c>
      <c r="E7987" t="s">
        <v>28</v>
      </c>
      <c r="F7987" t="s">
        <v>165</v>
      </c>
      <c r="G7987" t="s">
        <v>185</v>
      </c>
      <c r="H7987" t="s">
        <v>189</v>
      </c>
      <c r="I7987">
        <f>185.02+187.01</f>
        <v>372.03</v>
      </c>
      <c r="J7987" s="52">
        <v>0</v>
      </c>
      <c r="K7987" s="88">
        <f>+L7987-J8243</f>
        <v>884</v>
      </c>
      <c r="L7987" s="52">
        <v>884</v>
      </c>
      <c r="M7987" s="91">
        <f t="shared" si="494"/>
        <v>42.084841628959275</v>
      </c>
    </row>
    <row r="7988" spans="1:13" hidden="1" x14ac:dyDescent="0.3">
      <c r="A7988" s="9">
        <v>4813</v>
      </c>
      <c r="B7988" t="s">
        <v>188</v>
      </c>
      <c r="C7988" s="25">
        <v>44704</v>
      </c>
      <c r="D7988" s="26">
        <v>0.95640046296296299</v>
      </c>
      <c r="E7988" t="s">
        <v>28</v>
      </c>
      <c r="F7988" t="s">
        <v>346</v>
      </c>
      <c r="G7988" t="s">
        <v>203</v>
      </c>
      <c r="H7988" t="s">
        <v>189</v>
      </c>
      <c r="I7988">
        <v>332.05</v>
      </c>
      <c r="J7988" s="52">
        <v>0</v>
      </c>
      <c r="K7988" s="88">
        <f>+L7988-J8244</f>
        <v>1061</v>
      </c>
      <c r="L7988" s="52">
        <v>1061</v>
      </c>
      <c r="M7988" s="91">
        <f t="shared" si="494"/>
        <v>31.295947219604148</v>
      </c>
    </row>
    <row r="7989" spans="1:13" hidden="1" x14ac:dyDescent="0.3">
      <c r="A7989" s="9">
        <v>4866</v>
      </c>
      <c r="B7989" t="s">
        <v>188</v>
      </c>
      <c r="C7989" s="25">
        <v>44705</v>
      </c>
      <c r="D7989" s="26">
        <v>0.95390046296296294</v>
      </c>
      <c r="E7989" t="s">
        <v>28</v>
      </c>
      <c r="F7989" t="s">
        <v>165</v>
      </c>
      <c r="G7989" t="s">
        <v>185</v>
      </c>
      <c r="H7989" t="s">
        <v>189</v>
      </c>
      <c r="I7989">
        <v>245.46</v>
      </c>
      <c r="J7989" s="52">
        <v>0</v>
      </c>
      <c r="K7989" s="88">
        <f>+L7989-J8245</f>
        <v>574</v>
      </c>
      <c r="L7989" s="52">
        <v>574</v>
      </c>
      <c r="M7989" s="91">
        <f t="shared" si="494"/>
        <v>42.763066202090592</v>
      </c>
    </row>
    <row r="7990" spans="1:13" hidden="1" x14ac:dyDescent="0.3">
      <c r="A7990" s="9">
        <v>4919</v>
      </c>
      <c r="B7990" t="s">
        <v>188</v>
      </c>
      <c r="C7990" s="25">
        <v>44706</v>
      </c>
      <c r="D7990" s="26">
        <v>0.88945601851851841</v>
      </c>
      <c r="E7990" t="s">
        <v>28</v>
      </c>
      <c r="F7990" t="s">
        <v>210</v>
      </c>
      <c r="G7990" t="s">
        <v>211</v>
      </c>
      <c r="H7990" t="s">
        <v>189</v>
      </c>
      <c r="I7990">
        <v>227.36</v>
      </c>
      <c r="J7990" s="52">
        <v>0</v>
      </c>
      <c r="K7990" s="88">
        <f>+L7990-J8246</f>
        <v>575</v>
      </c>
      <c r="L7990" s="52">
        <v>575</v>
      </c>
      <c r="M7990" s="91">
        <f t="shared" si="494"/>
        <v>39.540869565217399</v>
      </c>
    </row>
    <row r="7991" spans="1:13" hidden="1" x14ac:dyDescent="0.3">
      <c r="A7991" s="9">
        <v>5014</v>
      </c>
      <c r="B7991" t="s">
        <v>188</v>
      </c>
      <c r="C7991" s="25">
        <v>44708</v>
      </c>
      <c r="D7991" s="26">
        <v>0.3177314814814815</v>
      </c>
      <c r="E7991" t="s">
        <v>28</v>
      </c>
      <c r="F7991" t="s">
        <v>653</v>
      </c>
      <c r="G7991" t="s">
        <v>402</v>
      </c>
      <c r="H7991" t="s">
        <v>189</v>
      </c>
      <c r="I7991">
        <v>50.02</v>
      </c>
      <c r="J7991" s="52">
        <v>0</v>
      </c>
      <c r="K7991" s="88">
        <f>+L7991-J8246</f>
        <v>669</v>
      </c>
      <c r="L7991" s="51">
        <v>669</v>
      </c>
      <c r="M7991" s="91">
        <f t="shared" si="494"/>
        <v>7.4768310911808671</v>
      </c>
    </row>
    <row r="7992" spans="1:13" hidden="1" x14ac:dyDescent="0.3">
      <c r="A7992" s="9">
        <v>5075</v>
      </c>
      <c r="B7992" t="s">
        <v>188</v>
      </c>
      <c r="C7992" s="25">
        <v>44709</v>
      </c>
      <c r="D7992" s="26">
        <v>0.54089120370370369</v>
      </c>
      <c r="E7992" t="s">
        <v>28</v>
      </c>
      <c r="F7992" t="s">
        <v>639</v>
      </c>
      <c r="G7992" t="s">
        <v>44</v>
      </c>
      <c r="H7992" t="s">
        <v>189</v>
      </c>
      <c r="I7992">
        <v>115.48</v>
      </c>
      <c r="J7992" s="52">
        <v>0</v>
      </c>
      <c r="K7992" s="88">
        <f>+L7992-J8247</f>
        <v>530</v>
      </c>
      <c r="L7992" s="51">
        <v>530</v>
      </c>
      <c r="M7992" s="91">
        <f t="shared" si="494"/>
        <v>21.788679245283017</v>
      </c>
    </row>
    <row r="7993" spans="1:13" hidden="1" x14ac:dyDescent="0.3">
      <c r="A7993" s="9">
        <v>5076</v>
      </c>
      <c r="B7993" t="s">
        <v>188</v>
      </c>
      <c r="C7993" s="25">
        <v>44709</v>
      </c>
      <c r="D7993" s="26">
        <v>0.71460648148148154</v>
      </c>
      <c r="E7993" t="s">
        <v>28</v>
      </c>
      <c r="F7993" t="s">
        <v>654</v>
      </c>
      <c r="G7993" t="s">
        <v>303</v>
      </c>
      <c r="H7993" t="s">
        <v>189</v>
      </c>
      <c r="I7993">
        <v>150.80000000000001</v>
      </c>
      <c r="J7993" s="52">
        <v>0</v>
      </c>
      <c r="K7993" s="88">
        <f>+L7993-J8248</f>
        <v>157</v>
      </c>
      <c r="L7993" s="51">
        <v>157</v>
      </c>
      <c r="M7993" s="91">
        <f t="shared" si="494"/>
        <v>96.050955414012748</v>
      </c>
    </row>
    <row r="7994" spans="1:13" hidden="1" x14ac:dyDescent="0.3">
      <c r="A7994" s="9">
        <v>5128</v>
      </c>
      <c r="B7994" t="s">
        <v>188</v>
      </c>
      <c r="C7994" s="25">
        <v>44710</v>
      </c>
      <c r="D7994" s="26">
        <v>0.51328703703703704</v>
      </c>
      <c r="E7994" t="s">
        <v>28</v>
      </c>
      <c r="F7994" t="s">
        <v>632</v>
      </c>
      <c r="G7994" t="s">
        <v>161</v>
      </c>
      <c r="H7994" t="s">
        <v>189</v>
      </c>
      <c r="I7994">
        <v>367.6</v>
      </c>
      <c r="J7994" s="52">
        <v>0</v>
      </c>
      <c r="K7994" s="88">
        <f>+L7994-J8249</f>
        <v>256</v>
      </c>
      <c r="L7994" s="51">
        <v>256</v>
      </c>
      <c r="M7994" s="91">
        <f t="shared" si="494"/>
        <v>143.59375</v>
      </c>
    </row>
    <row r="7995" spans="1:13" hidden="1" x14ac:dyDescent="0.3">
      <c r="A7995" s="9">
        <v>5129</v>
      </c>
      <c r="B7995" t="s">
        <v>188</v>
      </c>
      <c r="C7995" s="25">
        <v>44710</v>
      </c>
      <c r="D7995" s="26">
        <v>0.99049768518518511</v>
      </c>
      <c r="E7995" t="s">
        <v>28</v>
      </c>
      <c r="F7995" t="s">
        <v>635</v>
      </c>
      <c r="G7995" t="s">
        <v>185</v>
      </c>
      <c r="H7995" t="s">
        <v>189</v>
      </c>
      <c r="I7995">
        <v>285.83999999999997</v>
      </c>
      <c r="J7995" s="52">
        <v>0</v>
      </c>
      <c r="K7995" s="88">
        <f>+L7995-J8250</f>
        <v>625</v>
      </c>
      <c r="L7995" s="51">
        <v>625</v>
      </c>
      <c r="M7995" s="91">
        <f t="shared" si="494"/>
        <v>45.734399999999994</v>
      </c>
    </row>
    <row r="7996" spans="1:13" hidden="1" x14ac:dyDescent="0.3">
      <c r="A7996" s="9">
        <v>5184</v>
      </c>
      <c r="B7996" t="s">
        <v>188</v>
      </c>
      <c r="C7996" s="25">
        <v>44711</v>
      </c>
      <c r="D7996" s="26">
        <v>0.47164351851851855</v>
      </c>
      <c r="E7996" t="s">
        <v>28</v>
      </c>
      <c r="F7996" t="s">
        <v>634</v>
      </c>
      <c r="G7996" t="s">
        <v>211</v>
      </c>
      <c r="H7996" t="s">
        <v>189</v>
      </c>
      <c r="I7996">
        <v>154.13</v>
      </c>
      <c r="J7996" s="52">
        <v>0</v>
      </c>
      <c r="K7996" s="88">
        <f>+L7996-J8249</f>
        <v>516</v>
      </c>
      <c r="L7996" s="51">
        <v>516</v>
      </c>
      <c r="M7996" s="91">
        <f t="shared" si="494"/>
        <v>29.870155038759687</v>
      </c>
    </row>
    <row r="7997" spans="1:13" hidden="1" x14ac:dyDescent="0.3">
      <c r="B7997" t="s">
        <v>188</v>
      </c>
      <c r="C7997" s="25">
        <v>44749</v>
      </c>
      <c r="D7997" s="26">
        <v>0.47400462962962964</v>
      </c>
      <c r="E7997" t="s">
        <v>30</v>
      </c>
      <c r="F7997" t="s">
        <v>210</v>
      </c>
      <c r="G7997" t="s">
        <v>211</v>
      </c>
      <c r="H7997" t="s">
        <v>189</v>
      </c>
      <c r="I7997" s="159">
        <v>138.75</v>
      </c>
      <c r="J7997" s="148">
        <f>139+258+111</f>
        <v>508</v>
      </c>
      <c r="K7997" s="148"/>
      <c r="L7997" s="159">
        <v>1321</v>
      </c>
      <c r="M7997" s="254">
        <f>+J7997/L7997*100</f>
        <v>38.455715367146105</v>
      </c>
    </row>
    <row r="7998" spans="1:13" hidden="1" x14ac:dyDescent="0.3">
      <c r="B7998" t="s">
        <v>188</v>
      </c>
      <c r="C7998" s="25">
        <v>44750</v>
      </c>
      <c r="D7998" s="26">
        <v>0.37280092592592595</v>
      </c>
      <c r="E7998" t="s">
        <v>30</v>
      </c>
      <c r="F7998" t="s">
        <v>274</v>
      </c>
      <c r="G7998" t="s">
        <v>495</v>
      </c>
      <c r="H7998" t="s">
        <v>189</v>
      </c>
      <c r="I7998" s="159">
        <v>187.09</v>
      </c>
      <c r="J7998"/>
      <c r="K7998"/>
      <c r="L7998" s="128"/>
      <c r="M7998" s="254" t="e">
        <f>I7998/K7998*100</f>
        <v>#DIV/0!</v>
      </c>
    </row>
    <row r="7999" spans="1:13" hidden="1" x14ac:dyDescent="0.3">
      <c r="B7999" t="s">
        <v>188</v>
      </c>
      <c r="C7999" s="25">
        <v>44751</v>
      </c>
      <c r="D7999" s="26">
        <v>0.74343750000000008</v>
      </c>
      <c r="E7999" t="s">
        <v>30</v>
      </c>
      <c r="F7999" t="s">
        <v>772</v>
      </c>
      <c r="G7999" t="s">
        <v>44</v>
      </c>
      <c r="H7999" t="s">
        <v>189</v>
      </c>
      <c r="I7999" s="159">
        <v>262.14</v>
      </c>
      <c r="J7999"/>
      <c r="K7999"/>
      <c r="L7999" s="128"/>
      <c r="M7999" s="254" t="e">
        <f>I7999/K7999*100</f>
        <v>#DIV/0!</v>
      </c>
    </row>
    <row r="8000" spans="1:13" hidden="1" x14ac:dyDescent="0.3">
      <c r="B8000" t="s">
        <v>188</v>
      </c>
      <c r="C8000" s="25">
        <v>44752</v>
      </c>
      <c r="D8000" s="26">
        <v>0.65003472222222225</v>
      </c>
      <c r="E8000" t="s">
        <v>30</v>
      </c>
      <c r="F8000" t="s">
        <v>210</v>
      </c>
      <c r="G8000" t="s">
        <v>211</v>
      </c>
      <c r="H8000" t="s">
        <v>189</v>
      </c>
      <c r="I8000" s="159">
        <v>271.58999999999997</v>
      </c>
      <c r="J8000" s="287">
        <f>271+262+187</f>
        <v>720</v>
      </c>
      <c r="K8000" s="287"/>
      <c r="L8000" s="287">
        <v>1777</v>
      </c>
      <c r="M8000" s="254">
        <f>+J8000/L8000*100</f>
        <v>40.51772650534609</v>
      </c>
    </row>
    <row r="8001" spans="2:13" hidden="1" x14ac:dyDescent="0.3">
      <c r="B8001" t="s">
        <v>188</v>
      </c>
      <c r="C8001" s="25">
        <v>44753</v>
      </c>
      <c r="D8001" s="26">
        <v>0.42554398148148148</v>
      </c>
      <c r="E8001" t="s">
        <v>30</v>
      </c>
      <c r="F8001" t="s">
        <v>876</v>
      </c>
      <c r="G8001" t="s">
        <v>279</v>
      </c>
      <c r="H8001" t="s">
        <v>189</v>
      </c>
      <c r="I8001" s="159">
        <v>228.61</v>
      </c>
      <c r="K8001" s="88"/>
      <c r="L8001" s="258"/>
      <c r="M8001" s="254" t="e">
        <f>I8001/K8001*100</f>
        <v>#DIV/0!</v>
      </c>
    </row>
    <row r="8002" spans="2:13" hidden="1" x14ac:dyDescent="0.3">
      <c r="B8002" t="s">
        <v>188</v>
      </c>
      <c r="C8002" s="25">
        <v>44753</v>
      </c>
      <c r="D8002" s="26">
        <v>0.75836805555555553</v>
      </c>
      <c r="E8002" t="s">
        <v>30</v>
      </c>
      <c r="F8002" t="s">
        <v>877</v>
      </c>
      <c r="G8002" t="s">
        <v>161</v>
      </c>
      <c r="H8002" t="s">
        <v>189</v>
      </c>
      <c r="I8002" s="159">
        <v>119.27</v>
      </c>
      <c r="J8002" s="287">
        <f>271+119</f>
        <v>390</v>
      </c>
      <c r="K8002" s="165"/>
      <c r="L8002" s="287">
        <v>990</v>
      </c>
      <c r="M8002" s="254">
        <f>+J8002/L8002*100</f>
        <v>39.393939393939391</v>
      </c>
    </row>
    <row r="8003" spans="2:13" hidden="1" x14ac:dyDescent="0.3">
      <c r="B8003" t="s">
        <v>188</v>
      </c>
      <c r="C8003" s="25">
        <v>44754</v>
      </c>
      <c r="D8003" s="26">
        <v>0.60662037037037042</v>
      </c>
      <c r="E8003" t="s">
        <v>30</v>
      </c>
      <c r="F8003" t="s">
        <v>401</v>
      </c>
      <c r="G8003" t="s">
        <v>402</v>
      </c>
      <c r="H8003" t="s">
        <v>189</v>
      </c>
      <c r="I8003" s="159">
        <v>100</v>
      </c>
      <c r="K8003" s="88"/>
      <c r="L8003" s="3"/>
      <c r="M8003" s="254" t="e">
        <f>I8003/K8003*100</f>
        <v>#DIV/0!</v>
      </c>
    </row>
    <row r="8004" spans="2:13" hidden="1" x14ac:dyDescent="0.3">
      <c r="B8004" t="s">
        <v>188</v>
      </c>
      <c r="C8004" s="25">
        <v>44755</v>
      </c>
      <c r="D8004" s="26">
        <v>0.52151620370370366</v>
      </c>
      <c r="E8004" t="s">
        <v>30</v>
      </c>
      <c r="F8004" t="s">
        <v>175</v>
      </c>
      <c r="G8004" t="s">
        <v>172</v>
      </c>
      <c r="H8004" t="s">
        <v>189</v>
      </c>
      <c r="I8004" s="159">
        <v>232.41</v>
      </c>
      <c r="J8004" s="287">
        <f>232+100</f>
        <v>332</v>
      </c>
      <c r="K8004" s="287"/>
      <c r="L8004" s="287">
        <v>856</v>
      </c>
      <c r="M8004" s="254">
        <f>+J8004/L8004*100</f>
        <v>38.785046728971963</v>
      </c>
    </row>
    <row r="8005" spans="2:13" hidden="1" x14ac:dyDescent="0.3">
      <c r="B8005" t="s">
        <v>188</v>
      </c>
      <c r="C8005" s="25">
        <v>44762</v>
      </c>
      <c r="D8005" s="26">
        <v>0.87511574074074072</v>
      </c>
      <c r="E8005" t="s">
        <v>30</v>
      </c>
      <c r="F8005" t="s">
        <v>210</v>
      </c>
      <c r="G8005" t="s">
        <v>211</v>
      </c>
      <c r="H8005" t="s">
        <v>189</v>
      </c>
      <c r="I8005" s="148">
        <v>365.02</v>
      </c>
      <c r="J8005" s="148">
        <f>365+232+100</f>
        <v>697</v>
      </c>
      <c r="K8005" s="148">
        <v>681857</v>
      </c>
      <c r="L8005" s="148">
        <v>1717</v>
      </c>
      <c r="M8005" s="254">
        <f>+J8005/L8005*100</f>
        <v>40.594059405940598</v>
      </c>
    </row>
    <row r="8006" spans="2:13" hidden="1" x14ac:dyDescent="0.3">
      <c r="B8006" t="s">
        <v>188</v>
      </c>
      <c r="C8006" s="25">
        <v>44764</v>
      </c>
      <c r="D8006" s="26">
        <v>0.52018518518518519</v>
      </c>
      <c r="E8006" t="s">
        <v>30</v>
      </c>
      <c r="F8006" t="s">
        <v>210</v>
      </c>
      <c r="G8006" t="s">
        <v>211</v>
      </c>
      <c r="H8006" t="s">
        <v>189</v>
      </c>
      <c r="I8006" s="148">
        <v>406.48</v>
      </c>
      <c r="J8006"/>
      <c r="K8006">
        <v>682943</v>
      </c>
      <c r="L8006">
        <f>+K8006-J8006</f>
        <v>682943</v>
      </c>
      <c r="M8006" s="254">
        <f>+J8006/L8006*100</f>
        <v>0</v>
      </c>
    </row>
    <row r="8007" spans="2:13" hidden="1" x14ac:dyDescent="0.3">
      <c r="B8007" t="s">
        <v>188</v>
      </c>
      <c r="C8007" s="25">
        <v>44766</v>
      </c>
      <c r="D8007" s="26">
        <v>0.45427083333333335</v>
      </c>
      <c r="E8007" t="s">
        <v>30</v>
      </c>
      <c r="F8007" t="s">
        <v>171</v>
      </c>
      <c r="G8007" t="s">
        <v>172</v>
      </c>
      <c r="H8007" t="s">
        <v>189</v>
      </c>
      <c r="I8007" s="148">
        <v>401.29</v>
      </c>
      <c r="J8007"/>
      <c r="K8007">
        <v>684034</v>
      </c>
      <c r="L8007">
        <f>+K8007-J8007</f>
        <v>684034</v>
      </c>
      <c r="M8007" s="254">
        <f>+J8007/L8007*100</f>
        <v>0</v>
      </c>
    </row>
    <row r="8008" spans="2:13" hidden="1" x14ac:dyDescent="0.3">
      <c r="B8008" t="s">
        <v>188</v>
      </c>
      <c r="C8008" s="25">
        <v>44767</v>
      </c>
      <c r="D8008" s="26">
        <v>0.45907407407407402</v>
      </c>
      <c r="E8008" t="s">
        <v>30</v>
      </c>
      <c r="F8008" t="s">
        <v>210</v>
      </c>
      <c r="G8008" t="s">
        <v>211</v>
      </c>
      <c r="H8008" t="s">
        <v>189</v>
      </c>
      <c r="I8008" s="148">
        <v>294.95999999999998</v>
      </c>
      <c r="J8008" s="148">
        <f>295+401+406</f>
        <v>1102</v>
      </c>
      <c r="K8008" s="148">
        <v>684749</v>
      </c>
      <c r="L8008" s="148">
        <v>2832</v>
      </c>
      <c r="M8008" s="254">
        <f>+J8008/L8008*100</f>
        <v>38.912429378531073</v>
      </c>
    </row>
    <row r="8009" spans="2:13" hidden="1" x14ac:dyDescent="0.3">
      <c r="B8009" t="s">
        <v>188</v>
      </c>
      <c r="C8009" s="25">
        <v>44767</v>
      </c>
      <c r="D8009" s="26">
        <v>0.9490277777777778</v>
      </c>
      <c r="E8009" t="s">
        <v>30</v>
      </c>
      <c r="F8009" t="s">
        <v>165</v>
      </c>
      <c r="G8009" t="s">
        <v>185</v>
      </c>
      <c r="H8009" t="s">
        <v>189</v>
      </c>
      <c r="I8009" s="148">
        <v>249.79</v>
      </c>
      <c r="J8009"/>
      <c r="K8009">
        <v>685310</v>
      </c>
      <c r="L8009"/>
      <c r="M8009" s="254" t="e">
        <f>+I8009/L8009*100</f>
        <v>#DIV/0!</v>
      </c>
    </row>
    <row r="8010" spans="2:13" hidden="1" x14ac:dyDescent="0.3">
      <c r="B8010" t="s">
        <v>188</v>
      </c>
      <c r="C8010" s="25">
        <v>44768</v>
      </c>
      <c r="D8010" s="26">
        <v>0.96083333333333332</v>
      </c>
      <c r="E8010" t="s">
        <v>30</v>
      </c>
      <c r="F8010" t="s">
        <v>340</v>
      </c>
      <c r="G8010" t="s">
        <v>337</v>
      </c>
      <c r="H8010" t="s">
        <v>189</v>
      </c>
      <c r="I8010" s="148">
        <v>241.84</v>
      </c>
      <c r="J8010"/>
      <c r="K8010">
        <v>686151</v>
      </c>
      <c r="L8010">
        <f>+K8010-J8010</f>
        <v>686151</v>
      </c>
      <c r="M8010" s="254">
        <f t="shared" ref="M8010:M8019" si="495">+J8010/L8010*100</f>
        <v>0</v>
      </c>
    </row>
    <row r="8011" spans="2:13" hidden="1" x14ac:dyDescent="0.3">
      <c r="B8011" t="s">
        <v>188</v>
      </c>
      <c r="C8011" s="25">
        <v>44770</v>
      </c>
      <c r="D8011" s="26">
        <v>8.1273148148148136E-2</v>
      </c>
      <c r="E8011" t="s">
        <v>30</v>
      </c>
      <c r="F8011" t="s">
        <v>165</v>
      </c>
      <c r="G8011" t="s">
        <v>185</v>
      </c>
      <c r="H8011" t="s">
        <v>189</v>
      </c>
      <c r="I8011" s="148">
        <v>321.52</v>
      </c>
      <c r="J8011"/>
      <c r="K8011">
        <v>686938</v>
      </c>
      <c r="L8011">
        <f>+K8011-J8011</f>
        <v>686938</v>
      </c>
      <c r="M8011" s="254">
        <f t="shared" si="495"/>
        <v>0</v>
      </c>
    </row>
    <row r="8012" spans="2:13" hidden="1" x14ac:dyDescent="0.3">
      <c r="B8012" t="s">
        <v>188</v>
      </c>
      <c r="C8012" s="25">
        <v>44770</v>
      </c>
      <c r="D8012" s="26">
        <v>0.81358796296296287</v>
      </c>
      <c r="E8012" t="s">
        <v>30</v>
      </c>
      <c r="F8012" t="s">
        <v>210</v>
      </c>
      <c r="G8012" t="s">
        <v>211</v>
      </c>
      <c r="H8012" t="s">
        <v>189</v>
      </c>
      <c r="I8012" s="148">
        <v>165.6</v>
      </c>
      <c r="J8012" s="148">
        <f>166+321+241+250</f>
        <v>978</v>
      </c>
      <c r="K8012" s="148">
        <v>687497</v>
      </c>
      <c r="L8012" s="148">
        <v>2698</v>
      </c>
      <c r="M8012" s="254">
        <f t="shared" si="495"/>
        <v>36.249073387694587</v>
      </c>
    </row>
    <row r="8013" spans="2:13" hidden="1" x14ac:dyDescent="0.3">
      <c r="B8013" t="s">
        <v>188</v>
      </c>
      <c r="C8013" s="25">
        <v>44772</v>
      </c>
      <c r="D8013" s="26">
        <v>0.62077546296296293</v>
      </c>
      <c r="E8013" t="s">
        <v>30</v>
      </c>
      <c r="F8013" t="s">
        <v>175</v>
      </c>
      <c r="G8013" t="s">
        <v>172</v>
      </c>
      <c r="H8013" t="s">
        <v>189</v>
      </c>
      <c r="I8013" s="148">
        <v>339.49</v>
      </c>
      <c r="J8013"/>
      <c r="K8013">
        <v>688445</v>
      </c>
      <c r="L8013">
        <f>+K8013-J8013</f>
        <v>688445</v>
      </c>
      <c r="M8013" s="254">
        <f t="shared" si="495"/>
        <v>0</v>
      </c>
    </row>
    <row r="8014" spans="2:13" hidden="1" x14ac:dyDescent="0.3">
      <c r="B8014" t="s">
        <v>188</v>
      </c>
      <c r="C8014" s="25">
        <v>44773</v>
      </c>
      <c r="D8014" s="26">
        <v>0.96094907407407415</v>
      </c>
      <c r="E8014" t="s">
        <v>30</v>
      </c>
      <c r="F8014" t="s">
        <v>210</v>
      </c>
      <c r="G8014" t="s">
        <v>211</v>
      </c>
      <c r="H8014" t="s">
        <v>189</v>
      </c>
      <c r="I8014" s="148">
        <v>349.15</v>
      </c>
      <c r="J8014" s="148">
        <f>349+339</f>
        <v>688</v>
      </c>
      <c r="K8014" s="148">
        <v>689296</v>
      </c>
      <c r="L8014" s="148">
        <v>1764</v>
      </c>
      <c r="M8014" s="272">
        <f t="shared" si="495"/>
        <v>39.002267573696145</v>
      </c>
    </row>
    <row r="8015" spans="2:13" hidden="1" x14ac:dyDescent="0.3">
      <c r="B8015" t="s">
        <v>597</v>
      </c>
      <c r="C8015" s="25">
        <v>44764</v>
      </c>
      <c r="D8015" s="26">
        <v>0.64</v>
      </c>
      <c r="E8015" t="s">
        <v>30</v>
      </c>
      <c r="F8015" t="s">
        <v>391</v>
      </c>
      <c r="G8015" t="s">
        <v>392</v>
      </c>
      <c r="H8015" t="s">
        <v>207</v>
      </c>
      <c r="I8015" s="160">
        <v>161.80000000000001</v>
      </c>
      <c r="J8015" s="8"/>
      <c r="K8015" s="8">
        <v>1234</v>
      </c>
      <c r="L8015" s="8">
        <f>+K8015-J8015</f>
        <v>1234</v>
      </c>
      <c r="M8015" s="254">
        <f t="shared" si="495"/>
        <v>0</v>
      </c>
    </row>
    <row r="8016" spans="2:13" hidden="1" x14ac:dyDescent="0.3">
      <c r="B8016" t="s">
        <v>597</v>
      </c>
      <c r="C8016" s="25">
        <v>44765</v>
      </c>
      <c r="D8016" s="26">
        <v>0.73263888888888884</v>
      </c>
      <c r="E8016" t="s">
        <v>30</v>
      </c>
      <c r="F8016" t="s">
        <v>210</v>
      </c>
      <c r="G8016" t="s">
        <v>211</v>
      </c>
      <c r="H8016" t="s">
        <v>207</v>
      </c>
      <c r="I8016" s="160">
        <v>322.73</v>
      </c>
      <c r="J8016" s="160">
        <f>198+162+323</f>
        <v>683</v>
      </c>
      <c r="K8016" s="160">
        <v>8033</v>
      </c>
      <c r="L8016" s="160">
        <v>1717</v>
      </c>
      <c r="M8016" s="254">
        <f t="shared" si="495"/>
        <v>39.778683750728014</v>
      </c>
    </row>
    <row r="8017" spans="2:13" hidden="1" x14ac:dyDescent="0.3">
      <c r="B8017" t="s">
        <v>597</v>
      </c>
      <c r="C8017" s="25">
        <v>44766</v>
      </c>
      <c r="D8017" s="26">
        <v>0.43024305555555559</v>
      </c>
      <c r="E8017" t="s">
        <v>30</v>
      </c>
      <c r="F8017" t="s">
        <v>165</v>
      </c>
      <c r="G8017" t="s">
        <v>185</v>
      </c>
      <c r="H8017" t="s">
        <v>207</v>
      </c>
      <c r="I8017" s="160">
        <v>49.21</v>
      </c>
      <c r="J8017" s="8"/>
      <c r="K8017" s="8">
        <v>12345</v>
      </c>
      <c r="L8017" s="8">
        <f>+K8017-J8017</f>
        <v>12345</v>
      </c>
      <c r="M8017" s="254">
        <f t="shared" si="495"/>
        <v>0</v>
      </c>
    </row>
    <row r="8018" spans="2:13" hidden="1" x14ac:dyDescent="0.3">
      <c r="B8018" t="s">
        <v>597</v>
      </c>
      <c r="C8018" s="25">
        <v>44766</v>
      </c>
      <c r="D8018" s="26">
        <v>0.81822916666666667</v>
      </c>
      <c r="E8018" t="s">
        <v>30</v>
      </c>
      <c r="F8018" t="s">
        <v>210</v>
      </c>
      <c r="G8018" t="s">
        <v>211</v>
      </c>
      <c r="H8018" t="s">
        <v>207</v>
      </c>
      <c r="I8018" s="160">
        <v>352.24</v>
      </c>
      <c r="J8018" s="160">
        <f>49+352</f>
        <v>401</v>
      </c>
      <c r="K8018" s="160">
        <v>8033</v>
      </c>
      <c r="L8018" s="160">
        <v>1056</v>
      </c>
      <c r="M8018" s="254">
        <f t="shared" si="495"/>
        <v>37.973484848484851</v>
      </c>
    </row>
    <row r="8019" spans="2:13" hidden="1" x14ac:dyDescent="0.3">
      <c r="B8019" t="s">
        <v>597</v>
      </c>
      <c r="C8019" s="25">
        <v>44767</v>
      </c>
      <c r="D8019" s="26">
        <v>0.71711805555555552</v>
      </c>
      <c r="E8019" t="s">
        <v>30</v>
      </c>
      <c r="F8019" t="s">
        <v>391</v>
      </c>
      <c r="G8019" t="s">
        <v>392</v>
      </c>
      <c r="H8019" t="s">
        <v>207</v>
      </c>
      <c r="I8019" s="160">
        <v>345.23</v>
      </c>
      <c r="J8019" s="8"/>
      <c r="K8019" s="8">
        <v>9899</v>
      </c>
      <c r="L8019" s="8">
        <f>+K8019-J8019</f>
        <v>9899</v>
      </c>
      <c r="M8019" s="254">
        <f t="shared" si="495"/>
        <v>0</v>
      </c>
    </row>
    <row r="8020" spans="2:13" hidden="1" x14ac:dyDescent="0.3">
      <c r="B8020" t="s">
        <v>198</v>
      </c>
      <c r="C8020" s="25">
        <v>44565</v>
      </c>
      <c r="D8020" s="26">
        <v>0.58863425925925927</v>
      </c>
      <c r="E8020" t="s">
        <v>24</v>
      </c>
      <c r="F8020" t="s">
        <v>210</v>
      </c>
      <c r="G8020" t="s">
        <v>211</v>
      </c>
      <c r="H8020" t="s">
        <v>199</v>
      </c>
      <c r="I8020">
        <v>366.26</v>
      </c>
      <c r="J8020" s="51">
        <v>655297</v>
      </c>
      <c r="K8020" s="51">
        <f t="shared" ref="K8020:K8051" si="496">+L8020-J8020</f>
        <v>898</v>
      </c>
      <c r="L8020" s="51">
        <v>656195</v>
      </c>
      <c r="M8020" s="132">
        <f t="shared" ref="M8020:M8051" si="497">I8020/K8020*100</f>
        <v>40.786191536748326</v>
      </c>
    </row>
    <row r="8021" spans="2:13" hidden="1" x14ac:dyDescent="0.3">
      <c r="B8021" t="s">
        <v>198</v>
      </c>
      <c r="C8021" s="25">
        <v>44566</v>
      </c>
      <c r="D8021" s="26">
        <v>0.65708333333333335</v>
      </c>
      <c r="E8021" t="s">
        <v>24</v>
      </c>
      <c r="F8021" t="s">
        <v>210</v>
      </c>
      <c r="G8021" t="s">
        <v>211</v>
      </c>
      <c r="H8021" t="s">
        <v>199</v>
      </c>
      <c r="I8021">
        <v>396.38</v>
      </c>
      <c r="J8021" s="51">
        <v>656195</v>
      </c>
      <c r="K8021" s="51">
        <f t="shared" si="496"/>
        <v>1098</v>
      </c>
      <c r="L8021" s="51">
        <v>657293</v>
      </c>
      <c r="M8021" s="91">
        <f t="shared" si="497"/>
        <v>36.100182149362475</v>
      </c>
    </row>
    <row r="8022" spans="2:13" hidden="1" x14ac:dyDescent="0.3">
      <c r="B8022" t="s">
        <v>198</v>
      </c>
      <c r="C8022" s="25">
        <v>44568</v>
      </c>
      <c r="D8022" s="26">
        <v>1.0138888888888888E-2</v>
      </c>
      <c r="E8022" t="s">
        <v>24</v>
      </c>
      <c r="F8022" t="s">
        <v>205</v>
      </c>
      <c r="G8022" t="s">
        <v>206</v>
      </c>
      <c r="H8022" t="s">
        <v>199</v>
      </c>
      <c r="I8022">
        <v>350.84</v>
      </c>
      <c r="J8022" s="51">
        <v>657293</v>
      </c>
      <c r="K8022" s="51">
        <f t="shared" si="496"/>
        <v>1015</v>
      </c>
      <c r="L8022" s="51">
        <v>658308</v>
      </c>
      <c r="M8022" s="91">
        <f t="shared" si="497"/>
        <v>34.565517241379304</v>
      </c>
    </row>
    <row r="8023" spans="2:13" hidden="1" x14ac:dyDescent="0.3">
      <c r="B8023" t="s">
        <v>198</v>
      </c>
      <c r="C8023" s="25">
        <v>44568</v>
      </c>
      <c r="D8023" s="26">
        <v>0.81435185185185188</v>
      </c>
      <c r="E8023" t="s">
        <v>24</v>
      </c>
      <c r="F8023" t="s">
        <v>210</v>
      </c>
      <c r="G8023" t="s">
        <v>211</v>
      </c>
      <c r="H8023" t="s">
        <v>199</v>
      </c>
      <c r="I8023">
        <v>265.39</v>
      </c>
      <c r="J8023" s="51">
        <v>658308</v>
      </c>
      <c r="K8023" s="51">
        <f t="shared" si="496"/>
        <v>716</v>
      </c>
      <c r="L8023" s="51">
        <v>659024</v>
      </c>
      <c r="M8023" s="91">
        <f t="shared" si="497"/>
        <v>37.065642458100555</v>
      </c>
    </row>
    <row r="8024" spans="2:13" hidden="1" x14ac:dyDescent="0.3">
      <c r="B8024" t="s">
        <v>198</v>
      </c>
      <c r="C8024" s="25">
        <v>44570</v>
      </c>
      <c r="D8024" s="26">
        <v>0.38576388888888885</v>
      </c>
      <c r="E8024" t="s">
        <v>24</v>
      </c>
      <c r="F8024" t="s">
        <v>202</v>
      </c>
      <c r="G8024" t="s">
        <v>203</v>
      </c>
      <c r="H8024" t="s">
        <v>199</v>
      </c>
      <c r="I8024">
        <v>413.86</v>
      </c>
      <c r="J8024" s="51">
        <v>659024</v>
      </c>
      <c r="K8024" s="51">
        <f t="shared" si="496"/>
        <v>1125</v>
      </c>
      <c r="L8024" s="51">
        <v>660149</v>
      </c>
      <c r="M8024" s="91">
        <f t="shared" si="497"/>
        <v>36.787555555555556</v>
      </c>
    </row>
    <row r="8025" spans="2:13" hidden="1" x14ac:dyDescent="0.3">
      <c r="B8025" t="s">
        <v>198</v>
      </c>
      <c r="C8025" s="25">
        <v>44572</v>
      </c>
      <c r="D8025" s="26">
        <v>0.5846527777777778</v>
      </c>
      <c r="E8025" t="s">
        <v>24</v>
      </c>
      <c r="F8025" t="s">
        <v>165</v>
      </c>
      <c r="G8025" t="s">
        <v>185</v>
      </c>
      <c r="H8025" t="s">
        <v>199</v>
      </c>
      <c r="I8025">
        <v>190</v>
      </c>
      <c r="J8025" s="51">
        <v>660149</v>
      </c>
      <c r="K8025" s="51">
        <f t="shared" si="496"/>
        <v>1121</v>
      </c>
      <c r="L8025" s="51">
        <v>661270</v>
      </c>
      <c r="M8025" s="91">
        <f t="shared" si="497"/>
        <v>16.949152542372879</v>
      </c>
    </row>
    <row r="8026" spans="2:13" hidden="1" x14ac:dyDescent="0.3">
      <c r="B8026" t="s">
        <v>198</v>
      </c>
      <c r="C8026" s="25">
        <v>44572</v>
      </c>
      <c r="D8026" s="26">
        <v>0.92615740740740737</v>
      </c>
      <c r="E8026" t="s">
        <v>24</v>
      </c>
      <c r="F8026" t="s">
        <v>210</v>
      </c>
      <c r="G8026" t="s">
        <v>211</v>
      </c>
      <c r="H8026" t="s">
        <v>199</v>
      </c>
      <c r="I8026">
        <v>361.07</v>
      </c>
      <c r="J8026" s="51">
        <v>661270</v>
      </c>
      <c r="K8026" s="51">
        <f t="shared" si="496"/>
        <v>530</v>
      </c>
      <c r="L8026" s="51">
        <v>661800</v>
      </c>
      <c r="M8026" s="91">
        <f t="shared" si="497"/>
        <v>68.12641509433962</v>
      </c>
    </row>
    <row r="8027" spans="2:13" hidden="1" x14ac:dyDescent="0.3">
      <c r="B8027" t="s">
        <v>198</v>
      </c>
      <c r="C8027" s="25">
        <v>44574</v>
      </c>
      <c r="D8027" s="26">
        <v>0.83592592592592585</v>
      </c>
      <c r="E8027" t="s">
        <v>24</v>
      </c>
      <c r="F8027" t="s">
        <v>175</v>
      </c>
      <c r="G8027" t="s">
        <v>172</v>
      </c>
      <c r="H8027" t="s">
        <v>199</v>
      </c>
      <c r="I8027">
        <v>482.9</v>
      </c>
      <c r="J8027" s="51">
        <v>661800</v>
      </c>
      <c r="K8027" s="51">
        <f t="shared" si="496"/>
        <v>1385</v>
      </c>
      <c r="L8027" s="51">
        <v>663185</v>
      </c>
      <c r="M8027" s="91">
        <f t="shared" si="497"/>
        <v>34.866425992779781</v>
      </c>
    </row>
    <row r="8028" spans="2:13" hidden="1" x14ac:dyDescent="0.3">
      <c r="B8028" t="s">
        <v>198</v>
      </c>
      <c r="C8028" s="25">
        <v>44580</v>
      </c>
      <c r="D8028" s="26">
        <v>0.93774305555555559</v>
      </c>
      <c r="E8028" t="s">
        <v>24</v>
      </c>
      <c r="F8028" t="s">
        <v>210</v>
      </c>
      <c r="G8028" t="s">
        <v>211</v>
      </c>
      <c r="H8028" t="s">
        <v>199</v>
      </c>
      <c r="I8028">
        <v>349.2</v>
      </c>
      <c r="J8028" s="51">
        <v>663185</v>
      </c>
      <c r="K8028" s="51">
        <f t="shared" si="496"/>
        <v>893</v>
      </c>
      <c r="L8028" s="51">
        <v>664078</v>
      </c>
      <c r="M8028" s="91">
        <f t="shared" si="497"/>
        <v>39.104143337066063</v>
      </c>
    </row>
    <row r="8029" spans="2:13" hidden="1" x14ac:dyDescent="0.3">
      <c r="B8029" t="s">
        <v>198</v>
      </c>
      <c r="C8029" s="25">
        <v>44582</v>
      </c>
      <c r="D8029" s="26">
        <v>0.44276620370370368</v>
      </c>
      <c r="E8029" t="s">
        <v>24</v>
      </c>
      <c r="F8029" t="s">
        <v>210</v>
      </c>
      <c r="G8029" t="s">
        <v>211</v>
      </c>
      <c r="H8029" t="s">
        <v>199</v>
      </c>
      <c r="I8029">
        <v>396.92</v>
      </c>
      <c r="J8029" s="51">
        <v>664078</v>
      </c>
      <c r="K8029" s="51">
        <f t="shared" si="496"/>
        <v>1097</v>
      </c>
      <c r="L8029" s="51">
        <v>665175</v>
      </c>
      <c r="M8029" s="91">
        <f t="shared" si="497"/>
        <v>36.182315405651778</v>
      </c>
    </row>
    <row r="8030" spans="2:13" hidden="1" x14ac:dyDescent="0.3">
      <c r="B8030" t="s">
        <v>198</v>
      </c>
      <c r="C8030" s="25">
        <v>44590</v>
      </c>
      <c r="D8030" s="26">
        <v>0.23302083333333334</v>
      </c>
      <c r="E8030" t="s">
        <v>24</v>
      </c>
      <c r="F8030" t="s">
        <v>175</v>
      </c>
      <c r="G8030" t="s">
        <v>172</v>
      </c>
      <c r="H8030" t="s">
        <v>199</v>
      </c>
      <c r="I8030">
        <v>348.3</v>
      </c>
      <c r="J8030" s="51">
        <v>665175</v>
      </c>
      <c r="K8030" s="51">
        <f t="shared" si="496"/>
        <v>0</v>
      </c>
      <c r="L8030" s="51">
        <v>665175</v>
      </c>
      <c r="M8030" s="91" t="e">
        <f t="shared" si="497"/>
        <v>#DIV/0!</v>
      </c>
    </row>
    <row r="8031" spans="2:13" hidden="1" x14ac:dyDescent="0.3">
      <c r="B8031" t="s">
        <v>198</v>
      </c>
      <c r="C8031" s="25">
        <v>44591</v>
      </c>
      <c r="D8031" s="26">
        <v>4.3333333333333335E-2</v>
      </c>
      <c r="E8031" t="s">
        <v>24</v>
      </c>
      <c r="F8031" t="s">
        <v>210</v>
      </c>
      <c r="G8031" t="s">
        <v>211</v>
      </c>
      <c r="H8031" t="s">
        <v>199</v>
      </c>
      <c r="I8031">
        <v>374</v>
      </c>
      <c r="J8031" s="51">
        <v>665175</v>
      </c>
      <c r="K8031" s="51">
        <f t="shared" si="496"/>
        <v>1931</v>
      </c>
      <c r="L8031" s="51">
        <v>667106</v>
      </c>
      <c r="M8031" s="91">
        <f t="shared" si="497"/>
        <v>19.368203003625066</v>
      </c>
    </row>
    <row r="8032" spans="2:13" hidden="1" x14ac:dyDescent="0.3">
      <c r="B8032" t="s">
        <v>198</v>
      </c>
      <c r="C8032" s="25">
        <v>44592</v>
      </c>
      <c r="D8032" s="26">
        <v>7.3032407407407407E-2</v>
      </c>
      <c r="E8032" t="s">
        <v>24</v>
      </c>
      <c r="F8032" t="s">
        <v>210</v>
      </c>
      <c r="G8032" t="s">
        <v>211</v>
      </c>
      <c r="H8032" t="s">
        <v>199</v>
      </c>
      <c r="I8032">
        <v>398.78</v>
      </c>
      <c r="J8032" s="51">
        <v>667106</v>
      </c>
      <c r="K8032" s="51">
        <f t="shared" si="496"/>
        <v>1097</v>
      </c>
      <c r="L8032" s="51">
        <v>668203</v>
      </c>
      <c r="M8032" s="91">
        <f t="shared" si="497"/>
        <v>36.351868732907924</v>
      </c>
    </row>
    <row r="8033" spans="1:13" hidden="1" x14ac:dyDescent="0.3">
      <c r="B8033" t="s">
        <v>198</v>
      </c>
      <c r="C8033" s="25">
        <v>44579</v>
      </c>
      <c r="D8033" s="26">
        <v>0.50339120370370372</v>
      </c>
      <c r="E8033" t="s">
        <v>24</v>
      </c>
      <c r="F8033" t="s">
        <v>175</v>
      </c>
      <c r="G8033" t="s">
        <v>172</v>
      </c>
      <c r="H8033" t="s">
        <v>308</v>
      </c>
      <c r="I8033">
        <v>364.79</v>
      </c>
      <c r="J8033" s="51">
        <v>0</v>
      </c>
      <c r="K8033" s="51">
        <f t="shared" si="496"/>
        <v>1062.55</v>
      </c>
      <c r="L8033" s="51">
        <v>1062.55</v>
      </c>
      <c r="M8033" s="91">
        <f t="shared" si="497"/>
        <v>34.331560867723873</v>
      </c>
    </row>
    <row r="8034" spans="1:13" hidden="1" x14ac:dyDescent="0.3">
      <c r="A8034" s="9">
        <v>1094</v>
      </c>
      <c r="B8034" t="s">
        <v>198</v>
      </c>
      <c r="C8034" s="25">
        <v>44593</v>
      </c>
      <c r="D8034" s="26">
        <v>0.89640046296296294</v>
      </c>
      <c r="E8034" t="s">
        <v>25</v>
      </c>
      <c r="F8034" t="s">
        <v>175</v>
      </c>
      <c r="G8034" t="s">
        <v>172</v>
      </c>
      <c r="H8034" t="s">
        <v>126</v>
      </c>
      <c r="I8034">
        <v>328.25</v>
      </c>
      <c r="J8034" s="52">
        <v>0</v>
      </c>
      <c r="K8034" s="52">
        <f t="shared" si="496"/>
        <v>921.77</v>
      </c>
      <c r="L8034" s="51">
        <v>921.77</v>
      </c>
      <c r="M8034" s="91">
        <f t="shared" si="497"/>
        <v>35.610835674842967</v>
      </c>
    </row>
    <row r="8035" spans="1:13" hidden="1" x14ac:dyDescent="0.3">
      <c r="A8035" s="9">
        <v>1095</v>
      </c>
      <c r="B8035" t="s">
        <v>198</v>
      </c>
      <c r="C8035" s="25">
        <v>44594</v>
      </c>
      <c r="D8035" s="26">
        <v>0.95057870370370379</v>
      </c>
      <c r="E8035" t="s">
        <v>25</v>
      </c>
      <c r="F8035" t="s">
        <v>210</v>
      </c>
      <c r="G8035" t="s">
        <v>211</v>
      </c>
      <c r="H8035" t="s">
        <v>126</v>
      </c>
      <c r="I8035">
        <v>390.76</v>
      </c>
      <c r="J8035" s="52">
        <v>0</v>
      </c>
      <c r="K8035" s="52">
        <f t="shared" si="496"/>
        <v>940.88</v>
      </c>
      <c r="L8035" s="51">
        <v>940.88</v>
      </c>
      <c r="M8035" s="91">
        <f t="shared" si="497"/>
        <v>41.531332369696457</v>
      </c>
    </row>
    <row r="8036" spans="1:13" hidden="1" x14ac:dyDescent="0.3">
      <c r="A8036" s="9">
        <v>1096</v>
      </c>
      <c r="B8036" t="s">
        <v>198</v>
      </c>
      <c r="C8036" s="25">
        <v>44596</v>
      </c>
      <c r="D8036" s="26">
        <v>0.39309027777777777</v>
      </c>
      <c r="E8036" t="s">
        <v>25</v>
      </c>
      <c r="F8036" t="s">
        <v>210</v>
      </c>
      <c r="G8036" t="s">
        <v>211</v>
      </c>
      <c r="H8036" t="s">
        <v>126</v>
      </c>
      <c r="I8036">
        <v>408.59</v>
      </c>
      <c r="J8036" s="52">
        <v>0</v>
      </c>
      <c r="K8036" s="52">
        <f t="shared" si="496"/>
        <v>1064.24</v>
      </c>
      <c r="L8036" s="51">
        <v>1064.24</v>
      </c>
      <c r="M8036" s="91">
        <f t="shared" si="497"/>
        <v>38.392655791926636</v>
      </c>
    </row>
    <row r="8037" spans="1:13" hidden="1" x14ac:dyDescent="0.3">
      <c r="A8037" s="9">
        <v>1097</v>
      </c>
      <c r="B8037" t="s">
        <v>198</v>
      </c>
      <c r="C8037" s="25">
        <v>44599</v>
      </c>
      <c r="D8037" s="26">
        <v>0.72171296296296295</v>
      </c>
      <c r="E8037" t="s">
        <v>25</v>
      </c>
      <c r="F8037" t="s">
        <v>175</v>
      </c>
      <c r="G8037" t="s">
        <v>172</v>
      </c>
      <c r="H8037" t="s">
        <v>126</v>
      </c>
      <c r="I8037">
        <v>329.6</v>
      </c>
      <c r="J8037" s="52">
        <v>0</v>
      </c>
      <c r="K8037" s="52">
        <f t="shared" si="496"/>
        <v>927.82</v>
      </c>
      <c r="L8037" s="51">
        <v>927.82</v>
      </c>
      <c r="M8037" s="91">
        <f t="shared" si="497"/>
        <v>35.52413183591645</v>
      </c>
    </row>
    <row r="8038" spans="1:13" hidden="1" x14ac:dyDescent="0.3">
      <c r="A8038" s="9">
        <v>1098</v>
      </c>
      <c r="B8038" t="s">
        <v>198</v>
      </c>
      <c r="C8038" s="25">
        <v>44600</v>
      </c>
      <c r="D8038" s="26">
        <v>0.63684027777777785</v>
      </c>
      <c r="E8038" t="s">
        <v>25</v>
      </c>
      <c r="F8038" t="s">
        <v>210</v>
      </c>
      <c r="G8038" t="s">
        <v>211</v>
      </c>
      <c r="H8038" t="s">
        <v>126</v>
      </c>
      <c r="I8038">
        <v>374.36</v>
      </c>
      <c r="J8038" s="52">
        <v>0</v>
      </c>
      <c r="K8038" s="52">
        <f t="shared" si="496"/>
        <v>955.36</v>
      </c>
      <c r="L8038" s="51">
        <v>955.36</v>
      </c>
      <c r="M8038" s="91">
        <f t="shared" si="497"/>
        <v>39.1852286049238</v>
      </c>
    </row>
    <row r="8039" spans="1:13" hidden="1" x14ac:dyDescent="0.3">
      <c r="A8039" s="9">
        <v>1099</v>
      </c>
      <c r="B8039" t="s">
        <v>198</v>
      </c>
      <c r="C8039" s="25">
        <v>44601</v>
      </c>
      <c r="D8039" s="26">
        <v>0.81298611111111108</v>
      </c>
      <c r="E8039" t="s">
        <v>25</v>
      </c>
      <c r="F8039" t="s">
        <v>210</v>
      </c>
      <c r="G8039" t="s">
        <v>211</v>
      </c>
      <c r="H8039" t="s">
        <v>126</v>
      </c>
      <c r="I8039">
        <v>394.31</v>
      </c>
      <c r="J8039" s="52">
        <v>0</v>
      </c>
      <c r="K8039" s="52">
        <f t="shared" si="496"/>
        <v>1063.44</v>
      </c>
      <c r="L8039" s="51">
        <v>1063.44</v>
      </c>
      <c r="M8039" s="91">
        <f t="shared" si="497"/>
        <v>37.078725645076354</v>
      </c>
    </row>
    <row r="8040" spans="1:13" hidden="1" x14ac:dyDescent="0.3">
      <c r="A8040" s="9">
        <v>1100</v>
      </c>
      <c r="B8040" t="s">
        <v>198</v>
      </c>
      <c r="C8040" s="25">
        <v>44602</v>
      </c>
      <c r="D8040" s="26">
        <v>0.8171180555555555</v>
      </c>
      <c r="E8040" t="s">
        <v>25</v>
      </c>
      <c r="F8040" t="s">
        <v>175</v>
      </c>
      <c r="G8040" t="s">
        <v>172</v>
      </c>
      <c r="H8040" t="s">
        <v>126</v>
      </c>
      <c r="I8040">
        <v>354.3</v>
      </c>
      <c r="J8040" s="52">
        <v>0</v>
      </c>
      <c r="K8040" s="52">
        <f t="shared" si="496"/>
        <v>949.39</v>
      </c>
      <c r="L8040" s="51">
        <v>949.39</v>
      </c>
      <c r="M8040" s="91">
        <f t="shared" si="497"/>
        <v>37.318699375388405</v>
      </c>
    </row>
    <row r="8041" spans="1:13" hidden="1" x14ac:dyDescent="0.3">
      <c r="A8041" s="9">
        <v>1101</v>
      </c>
      <c r="B8041" t="s">
        <v>198</v>
      </c>
      <c r="C8041" s="25">
        <v>44608</v>
      </c>
      <c r="D8041" s="26">
        <v>0.59076388888888887</v>
      </c>
      <c r="E8041" t="s">
        <v>25</v>
      </c>
      <c r="F8041" t="s">
        <v>210</v>
      </c>
      <c r="G8041" t="s">
        <v>211</v>
      </c>
      <c r="H8041" t="s">
        <v>126</v>
      </c>
      <c r="I8041">
        <v>410.02</v>
      </c>
      <c r="J8041" s="51">
        <v>0</v>
      </c>
      <c r="K8041" s="51">
        <f t="shared" si="496"/>
        <v>985.6</v>
      </c>
      <c r="L8041" s="52">
        <v>985.6</v>
      </c>
      <c r="M8041" s="91">
        <f t="shared" si="497"/>
        <v>41.601055194805191</v>
      </c>
    </row>
    <row r="8042" spans="1:13" hidden="1" x14ac:dyDescent="0.3">
      <c r="A8042" s="9">
        <v>1102</v>
      </c>
      <c r="B8042" t="s">
        <v>198</v>
      </c>
      <c r="C8042" s="25">
        <v>44609</v>
      </c>
      <c r="D8042" s="26">
        <v>0.78930555555555559</v>
      </c>
      <c r="E8042" t="s">
        <v>25</v>
      </c>
      <c r="F8042" t="s">
        <v>210</v>
      </c>
      <c r="G8042" t="s">
        <v>211</v>
      </c>
      <c r="H8042" t="s">
        <v>126</v>
      </c>
      <c r="I8042">
        <v>473.73</v>
      </c>
      <c r="J8042" s="51">
        <v>0</v>
      </c>
      <c r="K8042" s="51">
        <f t="shared" si="496"/>
        <v>1121.25</v>
      </c>
      <c r="L8042" s="51">
        <v>1121.25</v>
      </c>
      <c r="M8042" s="91">
        <f t="shared" si="497"/>
        <v>42.250167224080272</v>
      </c>
    </row>
    <row r="8043" spans="1:13" hidden="1" x14ac:dyDescent="0.3">
      <c r="A8043" s="9">
        <v>1103</v>
      </c>
      <c r="B8043" t="s">
        <v>198</v>
      </c>
      <c r="C8043" s="25">
        <v>44611</v>
      </c>
      <c r="D8043" s="26">
        <v>0.40167824074074071</v>
      </c>
      <c r="E8043" t="s">
        <v>25</v>
      </c>
      <c r="F8043" t="s">
        <v>175</v>
      </c>
      <c r="G8043" t="s">
        <v>172</v>
      </c>
      <c r="H8043" t="s">
        <v>126</v>
      </c>
      <c r="I8043">
        <v>342.27</v>
      </c>
      <c r="J8043" s="51">
        <v>0</v>
      </c>
      <c r="K8043" s="51">
        <f t="shared" si="496"/>
        <v>961.6</v>
      </c>
      <c r="L8043" s="51">
        <v>961.6</v>
      </c>
      <c r="M8043" s="91">
        <f t="shared" si="497"/>
        <v>35.593801996672205</v>
      </c>
    </row>
    <row r="8044" spans="1:13" hidden="1" x14ac:dyDescent="0.3">
      <c r="A8044" s="9">
        <v>1104</v>
      </c>
      <c r="B8044" t="s">
        <v>198</v>
      </c>
      <c r="C8044" s="25">
        <v>44612</v>
      </c>
      <c r="D8044" s="26">
        <v>0.52649305555555559</v>
      </c>
      <c r="E8044" t="s">
        <v>25</v>
      </c>
      <c r="F8044" t="s">
        <v>210</v>
      </c>
      <c r="G8044" t="s">
        <v>211</v>
      </c>
      <c r="H8044" t="s">
        <v>126</v>
      </c>
      <c r="I8044">
        <v>325.88</v>
      </c>
      <c r="J8044" s="51">
        <v>0</v>
      </c>
      <c r="K8044" s="51">
        <f t="shared" si="496"/>
        <v>828.31</v>
      </c>
      <c r="L8044" s="51">
        <v>828.31</v>
      </c>
      <c r="M8044" s="91">
        <f t="shared" si="497"/>
        <v>39.342758146104721</v>
      </c>
    </row>
    <row r="8045" spans="1:13" hidden="1" x14ac:dyDescent="0.3">
      <c r="A8045" s="9">
        <v>1105</v>
      </c>
      <c r="B8045" t="s">
        <v>198</v>
      </c>
      <c r="C8045" s="25">
        <v>44613</v>
      </c>
      <c r="D8045" s="26">
        <v>0.64373842592592589</v>
      </c>
      <c r="E8045" t="s">
        <v>25</v>
      </c>
      <c r="F8045" t="s">
        <v>210</v>
      </c>
      <c r="G8045" t="s">
        <v>211</v>
      </c>
      <c r="H8045" t="s">
        <v>126</v>
      </c>
      <c r="I8045">
        <v>431.36</v>
      </c>
      <c r="J8045" s="51">
        <v>0</v>
      </c>
      <c r="K8045" s="51">
        <f t="shared" si="496"/>
        <v>1062.83</v>
      </c>
      <c r="L8045" s="51">
        <v>1062.83</v>
      </c>
      <c r="M8045" s="91">
        <f t="shared" si="497"/>
        <v>40.585982706547618</v>
      </c>
    </row>
    <row r="8046" spans="1:13" hidden="1" x14ac:dyDescent="0.3">
      <c r="A8046" s="9">
        <v>1106</v>
      </c>
      <c r="B8046" t="s">
        <v>198</v>
      </c>
      <c r="C8046" s="25">
        <v>44614</v>
      </c>
      <c r="D8046" s="26">
        <v>0.70998842592592604</v>
      </c>
      <c r="E8046" t="s">
        <v>25</v>
      </c>
      <c r="F8046" t="s">
        <v>205</v>
      </c>
      <c r="G8046" t="s">
        <v>206</v>
      </c>
      <c r="H8046" t="s">
        <v>126</v>
      </c>
      <c r="I8046">
        <v>357.24</v>
      </c>
      <c r="J8046" s="51">
        <v>0</v>
      </c>
      <c r="K8046" s="51">
        <f t="shared" si="496"/>
        <v>984.82</v>
      </c>
      <c r="L8046" s="51">
        <v>984.82</v>
      </c>
      <c r="M8046" s="91">
        <f t="shared" si="497"/>
        <v>36.274649174468429</v>
      </c>
    </row>
    <row r="8047" spans="1:13" hidden="1" x14ac:dyDescent="0.3">
      <c r="A8047" s="9">
        <v>1107</v>
      </c>
      <c r="B8047" t="s">
        <v>198</v>
      </c>
      <c r="C8047" s="25">
        <v>44615</v>
      </c>
      <c r="D8047" s="26">
        <v>0.62270833333333331</v>
      </c>
      <c r="E8047" t="s">
        <v>25</v>
      </c>
      <c r="F8047" t="s">
        <v>210</v>
      </c>
      <c r="G8047" t="s">
        <v>211</v>
      </c>
      <c r="H8047" t="s">
        <v>126</v>
      </c>
      <c r="I8047">
        <v>306.83</v>
      </c>
      <c r="J8047" s="51">
        <v>0</v>
      </c>
      <c r="K8047" s="51">
        <f t="shared" si="496"/>
        <v>774.69</v>
      </c>
      <c r="L8047" s="51">
        <v>774.69</v>
      </c>
      <c r="M8047" s="91">
        <f t="shared" si="497"/>
        <v>39.606810466121928</v>
      </c>
    </row>
    <row r="8048" spans="1:13" hidden="1" x14ac:dyDescent="0.3">
      <c r="A8048" s="9">
        <v>1108</v>
      </c>
      <c r="B8048" t="s">
        <v>198</v>
      </c>
      <c r="C8048" s="25">
        <v>44616</v>
      </c>
      <c r="D8048" s="26">
        <v>0.80049768518518516</v>
      </c>
      <c r="E8048" t="s">
        <v>25</v>
      </c>
      <c r="F8048" t="s">
        <v>210</v>
      </c>
      <c r="G8048" t="s">
        <v>211</v>
      </c>
      <c r="H8048" t="s">
        <v>126</v>
      </c>
      <c r="I8048">
        <v>398.47</v>
      </c>
      <c r="J8048" s="51">
        <v>0</v>
      </c>
      <c r="K8048" s="51">
        <f t="shared" si="496"/>
        <v>1062.22</v>
      </c>
      <c r="L8048" s="51">
        <v>1062.22</v>
      </c>
      <c r="M8048" s="91">
        <f t="shared" si="497"/>
        <v>37.512944587750184</v>
      </c>
    </row>
    <row r="8049" spans="1:13" hidden="1" x14ac:dyDescent="0.3">
      <c r="A8049" s="9">
        <v>2278</v>
      </c>
      <c r="B8049" t="s">
        <v>198</v>
      </c>
      <c r="C8049" s="25">
        <v>44621</v>
      </c>
      <c r="D8049" s="26">
        <v>0.54699074074074072</v>
      </c>
      <c r="E8049" t="s">
        <v>26</v>
      </c>
      <c r="F8049" t="s">
        <v>205</v>
      </c>
      <c r="G8049" t="s">
        <v>206</v>
      </c>
      <c r="H8049" t="s">
        <v>126</v>
      </c>
      <c r="I8049">
        <v>360.32</v>
      </c>
      <c r="J8049" s="51">
        <v>0</v>
      </c>
      <c r="K8049" s="88">
        <f t="shared" si="496"/>
        <v>1038.25</v>
      </c>
      <c r="L8049" s="51">
        <v>1038.25</v>
      </c>
      <c r="M8049" s="91">
        <f t="shared" si="497"/>
        <v>34.704550927040692</v>
      </c>
    </row>
    <row r="8050" spans="1:13" hidden="1" x14ac:dyDescent="0.3">
      <c r="A8050" s="9">
        <v>2279</v>
      </c>
      <c r="B8050" t="s">
        <v>198</v>
      </c>
      <c r="C8050" s="25">
        <v>44622</v>
      </c>
      <c r="D8050" s="26">
        <v>0.44780092592592591</v>
      </c>
      <c r="E8050" t="s">
        <v>26</v>
      </c>
      <c r="F8050" t="s">
        <v>210</v>
      </c>
      <c r="G8050" t="s">
        <v>211</v>
      </c>
      <c r="H8050" t="s">
        <v>126</v>
      </c>
      <c r="I8050">
        <v>339.03</v>
      </c>
      <c r="J8050" s="51">
        <v>0</v>
      </c>
      <c r="K8050" s="88">
        <f t="shared" si="496"/>
        <v>774.75</v>
      </c>
      <c r="L8050" s="51">
        <v>774.75</v>
      </c>
      <c r="M8050" s="91">
        <f t="shared" si="497"/>
        <v>43.75992255566311</v>
      </c>
    </row>
    <row r="8051" spans="1:13" hidden="1" x14ac:dyDescent="0.3">
      <c r="A8051" s="9">
        <v>2280</v>
      </c>
      <c r="B8051" t="s">
        <v>198</v>
      </c>
      <c r="C8051" s="25">
        <v>44623</v>
      </c>
      <c r="D8051" s="26">
        <v>0.92539351851851848</v>
      </c>
      <c r="E8051" t="s">
        <v>26</v>
      </c>
      <c r="F8051" t="s">
        <v>210</v>
      </c>
      <c r="G8051" t="s">
        <v>211</v>
      </c>
      <c r="H8051" t="s">
        <v>126</v>
      </c>
      <c r="I8051">
        <v>463.93</v>
      </c>
      <c r="J8051" s="51">
        <v>0</v>
      </c>
      <c r="K8051" s="88">
        <f t="shared" si="496"/>
        <v>1121.7</v>
      </c>
      <c r="L8051" s="51">
        <v>1121.7</v>
      </c>
      <c r="M8051" s="91">
        <f t="shared" si="497"/>
        <v>41.359543549968798</v>
      </c>
    </row>
    <row r="8052" spans="1:13" hidden="1" x14ac:dyDescent="0.3">
      <c r="A8052" s="9">
        <v>2281</v>
      </c>
      <c r="B8052" t="s">
        <v>198</v>
      </c>
      <c r="C8052" s="25">
        <v>44625</v>
      </c>
      <c r="D8052" s="26">
        <v>0.42758101851851849</v>
      </c>
      <c r="E8052" t="s">
        <v>26</v>
      </c>
      <c r="F8052" t="s">
        <v>205</v>
      </c>
      <c r="G8052" t="s">
        <v>206</v>
      </c>
      <c r="H8052" t="s">
        <v>126</v>
      </c>
      <c r="I8052">
        <v>348.07</v>
      </c>
      <c r="J8052" s="51">
        <v>0</v>
      </c>
      <c r="K8052" s="88">
        <f t="shared" ref="K8052:K8077" si="498">+L8052-J8052</f>
        <v>1007.55</v>
      </c>
      <c r="L8052" s="51">
        <v>1007.55</v>
      </c>
      <c r="M8052" s="91">
        <f t="shared" ref="M8052:M8083" si="499">I8052/K8052*100</f>
        <v>34.546176368418443</v>
      </c>
    </row>
    <row r="8053" spans="1:13" hidden="1" x14ac:dyDescent="0.3">
      <c r="A8053" s="9">
        <v>2282</v>
      </c>
      <c r="B8053" t="s">
        <v>198</v>
      </c>
      <c r="C8053" s="25">
        <v>44628</v>
      </c>
      <c r="D8053" s="26">
        <v>0.50668981481481479</v>
      </c>
      <c r="E8053" t="s">
        <v>26</v>
      </c>
      <c r="F8053" t="s">
        <v>210</v>
      </c>
      <c r="G8053" t="s">
        <v>211</v>
      </c>
      <c r="H8053" t="s">
        <v>126</v>
      </c>
      <c r="I8053">
        <v>411.9</v>
      </c>
      <c r="J8053" s="51">
        <v>0</v>
      </c>
      <c r="K8053" s="88">
        <f t="shared" si="498"/>
        <v>932.43</v>
      </c>
      <c r="L8053" s="52">
        <v>932.43</v>
      </c>
      <c r="M8053" s="91">
        <f t="shared" si="499"/>
        <v>44.174897847559599</v>
      </c>
    </row>
    <row r="8054" spans="1:13" hidden="1" x14ac:dyDescent="0.3">
      <c r="A8054" s="9">
        <v>2283</v>
      </c>
      <c r="B8054" t="s">
        <v>198</v>
      </c>
      <c r="C8054" s="25">
        <v>44629</v>
      </c>
      <c r="D8054" s="26">
        <v>0.7271643518518518</v>
      </c>
      <c r="E8054" t="s">
        <v>26</v>
      </c>
      <c r="F8054" t="s">
        <v>166</v>
      </c>
      <c r="G8054" t="s">
        <v>161</v>
      </c>
      <c r="H8054" t="s">
        <v>126</v>
      </c>
      <c r="I8054">
        <v>438.27</v>
      </c>
      <c r="J8054" s="51">
        <v>0</v>
      </c>
      <c r="K8054" s="88">
        <f t="shared" si="498"/>
        <v>1139.69</v>
      </c>
      <c r="L8054" s="52">
        <v>1139.69</v>
      </c>
      <c r="M8054" s="91">
        <f t="shared" si="499"/>
        <v>38.455193956251257</v>
      </c>
    </row>
    <row r="8055" spans="1:13" hidden="1" x14ac:dyDescent="0.3">
      <c r="A8055" s="9">
        <v>2284</v>
      </c>
      <c r="B8055" t="s">
        <v>198</v>
      </c>
      <c r="C8055" s="25">
        <v>44630</v>
      </c>
      <c r="D8055" s="26">
        <v>0.76688657407407401</v>
      </c>
      <c r="E8055" t="s">
        <v>26</v>
      </c>
      <c r="F8055" t="s">
        <v>171</v>
      </c>
      <c r="G8055" t="s">
        <v>172</v>
      </c>
      <c r="H8055" t="s">
        <v>126</v>
      </c>
      <c r="I8055">
        <v>301.58</v>
      </c>
      <c r="J8055" s="51">
        <v>0</v>
      </c>
      <c r="K8055" s="88">
        <f t="shared" si="498"/>
        <v>851.27</v>
      </c>
      <c r="L8055" s="52">
        <v>851.27</v>
      </c>
      <c r="M8055" s="91">
        <f t="shared" si="499"/>
        <v>35.427067792827188</v>
      </c>
    </row>
    <row r="8056" spans="1:13" hidden="1" x14ac:dyDescent="0.3">
      <c r="A8056" s="9">
        <v>2285</v>
      </c>
      <c r="B8056" t="s">
        <v>198</v>
      </c>
      <c r="C8056" s="25">
        <v>44636</v>
      </c>
      <c r="D8056" s="26">
        <v>0.89506944444444436</v>
      </c>
      <c r="E8056" t="s">
        <v>26</v>
      </c>
      <c r="F8056" t="s">
        <v>210</v>
      </c>
      <c r="G8056" t="s">
        <v>211</v>
      </c>
      <c r="H8056" t="s">
        <v>126</v>
      </c>
      <c r="I8056">
        <v>400.2</v>
      </c>
      <c r="J8056" s="51">
        <v>0</v>
      </c>
      <c r="K8056" s="88">
        <f t="shared" si="498"/>
        <v>973.59</v>
      </c>
      <c r="L8056" s="52">
        <v>973.59</v>
      </c>
      <c r="M8056" s="91">
        <f t="shared" si="499"/>
        <v>41.105598866052446</v>
      </c>
    </row>
    <row r="8057" spans="1:13" hidden="1" x14ac:dyDescent="0.3">
      <c r="A8057" s="9">
        <v>2286</v>
      </c>
      <c r="B8057" t="s">
        <v>198</v>
      </c>
      <c r="C8057" s="25">
        <v>44639</v>
      </c>
      <c r="D8057" s="26">
        <v>0.23250000000000001</v>
      </c>
      <c r="E8057" t="s">
        <v>26</v>
      </c>
      <c r="F8057" t="s">
        <v>210</v>
      </c>
      <c r="G8057" t="s">
        <v>211</v>
      </c>
      <c r="H8057" t="s">
        <v>126</v>
      </c>
      <c r="I8057">
        <v>414.49</v>
      </c>
      <c r="J8057" s="51">
        <v>0</v>
      </c>
      <c r="K8057" s="88">
        <f t="shared" si="498"/>
        <v>1083.8399999999999</v>
      </c>
      <c r="L8057" s="52">
        <v>1083.8399999999999</v>
      </c>
      <c r="M8057" s="91">
        <f t="shared" si="499"/>
        <v>38.242729554177743</v>
      </c>
    </row>
    <row r="8058" spans="1:13" hidden="1" x14ac:dyDescent="0.3">
      <c r="A8058" s="9">
        <v>2287</v>
      </c>
      <c r="B8058" t="s">
        <v>198</v>
      </c>
      <c r="C8058" s="25">
        <v>44641</v>
      </c>
      <c r="D8058" s="26">
        <v>0.21202546296296296</v>
      </c>
      <c r="E8058" t="s">
        <v>26</v>
      </c>
      <c r="F8058" t="s">
        <v>175</v>
      </c>
      <c r="G8058" t="s">
        <v>172</v>
      </c>
      <c r="H8058" t="s">
        <v>126</v>
      </c>
      <c r="I8058">
        <v>369.78</v>
      </c>
      <c r="J8058" s="51">
        <v>0</v>
      </c>
      <c r="K8058" s="88">
        <f t="shared" si="498"/>
        <v>1072.45</v>
      </c>
      <c r="L8058" s="52">
        <v>1072.45</v>
      </c>
      <c r="M8058" s="91">
        <f t="shared" si="499"/>
        <v>34.479929134225365</v>
      </c>
    </row>
    <row r="8059" spans="1:13" hidden="1" x14ac:dyDescent="0.3">
      <c r="A8059" s="9">
        <v>2288</v>
      </c>
      <c r="B8059" t="s">
        <v>198</v>
      </c>
      <c r="C8059" s="25">
        <v>44642</v>
      </c>
      <c r="D8059" s="26">
        <v>0.34089120370370374</v>
      </c>
      <c r="E8059" t="s">
        <v>26</v>
      </c>
      <c r="F8059" t="s">
        <v>210</v>
      </c>
      <c r="G8059" t="s">
        <v>211</v>
      </c>
      <c r="H8059" t="s">
        <v>126</v>
      </c>
      <c r="I8059">
        <v>391.42</v>
      </c>
      <c r="J8059" s="51">
        <v>0</v>
      </c>
      <c r="K8059" s="88">
        <f t="shared" si="498"/>
        <v>980.36</v>
      </c>
      <c r="L8059" s="52">
        <v>980.36</v>
      </c>
      <c r="M8059" s="91">
        <f t="shared" si="499"/>
        <v>39.926149577706148</v>
      </c>
    </row>
    <row r="8060" spans="1:13" hidden="1" x14ac:dyDescent="0.3">
      <c r="A8060" s="9">
        <v>2289</v>
      </c>
      <c r="B8060" t="s">
        <v>198</v>
      </c>
      <c r="C8060" s="25">
        <v>44644</v>
      </c>
      <c r="D8060" s="26">
        <v>0.95277777777777783</v>
      </c>
      <c r="E8060" t="s">
        <v>26</v>
      </c>
      <c r="F8060" t="s">
        <v>210</v>
      </c>
      <c r="G8060" t="s">
        <v>211</v>
      </c>
      <c r="H8060" t="s">
        <v>126</v>
      </c>
      <c r="I8060">
        <v>371.65</v>
      </c>
      <c r="J8060" s="51">
        <v>0</v>
      </c>
      <c r="K8060" s="88">
        <f t="shared" si="498"/>
        <v>1036.96</v>
      </c>
      <c r="L8060" s="52">
        <v>1036.96</v>
      </c>
      <c r="M8060" s="91">
        <f t="shared" si="499"/>
        <v>35.840340996759757</v>
      </c>
    </row>
    <row r="8061" spans="1:13" hidden="1" x14ac:dyDescent="0.3">
      <c r="A8061" s="9">
        <v>2290</v>
      </c>
      <c r="B8061" t="s">
        <v>198</v>
      </c>
      <c r="C8061" s="25">
        <v>44649</v>
      </c>
      <c r="D8061" s="26">
        <v>0.84165509259259252</v>
      </c>
      <c r="E8061" t="s">
        <v>26</v>
      </c>
      <c r="F8061" t="s">
        <v>175</v>
      </c>
      <c r="G8061" t="s">
        <v>172</v>
      </c>
      <c r="H8061" t="s">
        <v>126</v>
      </c>
      <c r="I8061">
        <v>346.21</v>
      </c>
      <c r="J8061" s="51">
        <v>0</v>
      </c>
      <c r="K8061" s="88">
        <f t="shared" si="498"/>
        <v>1256.1500000000001</v>
      </c>
      <c r="L8061" s="52">
        <v>1256.1500000000001</v>
      </c>
      <c r="M8061" s="91">
        <f t="shared" si="499"/>
        <v>27.561198901405081</v>
      </c>
    </row>
    <row r="8062" spans="1:13" hidden="1" x14ac:dyDescent="0.3">
      <c r="A8062" s="9">
        <v>2291</v>
      </c>
      <c r="B8062" t="s">
        <v>198</v>
      </c>
      <c r="C8062" s="25">
        <v>44651</v>
      </c>
      <c r="D8062" s="26">
        <v>0.74601851851851853</v>
      </c>
      <c r="E8062" t="s">
        <v>26</v>
      </c>
      <c r="F8062" t="s">
        <v>210</v>
      </c>
      <c r="G8062" t="s">
        <v>211</v>
      </c>
      <c r="H8062" t="s">
        <v>126</v>
      </c>
      <c r="I8062">
        <v>388.44</v>
      </c>
      <c r="J8062" s="51">
        <v>0</v>
      </c>
      <c r="K8062" s="88">
        <f t="shared" si="498"/>
        <v>598.4</v>
      </c>
      <c r="L8062" s="52">
        <v>598.4</v>
      </c>
      <c r="M8062" s="91">
        <f t="shared" si="499"/>
        <v>64.913101604278083</v>
      </c>
    </row>
    <row r="8063" spans="1:13" hidden="1" x14ac:dyDescent="0.3">
      <c r="A8063" s="9">
        <v>3552</v>
      </c>
      <c r="B8063" t="s">
        <v>198</v>
      </c>
      <c r="C8063" s="25">
        <v>44652</v>
      </c>
      <c r="D8063" s="26">
        <v>0.67833333333333334</v>
      </c>
      <c r="E8063" t="s">
        <v>27</v>
      </c>
      <c r="F8063" t="s">
        <v>278</v>
      </c>
      <c r="G8063" t="s">
        <v>279</v>
      </c>
      <c r="H8063" t="s">
        <v>126</v>
      </c>
      <c r="I8063" s="4">
        <v>284.5</v>
      </c>
      <c r="J8063" s="51">
        <v>0</v>
      </c>
      <c r="K8063" s="88">
        <f t="shared" si="498"/>
        <v>712.65</v>
      </c>
      <c r="L8063" s="52">
        <v>712.65</v>
      </c>
      <c r="M8063" s="91">
        <f t="shared" si="499"/>
        <v>39.921420051918894</v>
      </c>
    </row>
    <row r="8064" spans="1:13" hidden="1" x14ac:dyDescent="0.3">
      <c r="A8064" s="9">
        <v>3553</v>
      </c>
      <c r="B8064" t="s">
        <v>198</v>
      </c>
      <c r="C8064" s="25">
        <v>44652</v>
      </c>
      <c r="D8064" s="26">
        <v>0.94489583333333327</v>
      </c>
      <c r="E8064" t="s">
        <v>27</v>
      </c>
      <c r="F8064" t="s">
        <v>202</v>
      </c>
      <c r="G8064" t="s">
        <v>203</v>
      </c>
      <c r="H8064" t="s">
        <v>126</v>
      </c>
      <c r="I8064" s="4">
        <v>100.03</v>
      </c>
      <c r="J8064" s="51">
        <v>0</v>
      </c>
      <c r="K8064" s="88">
        <f t="shared" si="498"/>
        <v>254.27</v>
      </c>
      <c r="L8064" s="52">
        <v>254.27</v>
      </c>
      <c r="M8064" s="91">
        <f t="shared" si="499"/>
        <v>39.340071577457032</v>
      </c>
    </row>
    <row r="8065" spans="1:13" hidden="1" x14ac:dyDescent="0.3">
      <c r="A8065" s="9">
        <v>3554</v>
      </c>
      <c r="B8065" t="s">
        <v>198</v>
      </c>
      <c r="C8065" s="25">
        <v>44653</v>
      </c>
      <c r="D8065" s="26">
        <v>0.5866203703703704</v>
      </c>
      <c r="E8065" t="s">
        <v>27</v>
      </c>
      <c r="F8065" t="s">
        <v>202</v>
      </c>
      <c r="G8065" t="s">
        <v>203</v>
      </c>
      <c r="H8065" t="s">
        <v>126</v>
      </c>
      <c r="I8065" s="4">
        <v>150</v>
      </c>
      <c r="J8065" s="51">
        <v>0</v>
      </c>
      <c r="K8065" s="88">
        <f t="shared" si="498"/>
        <v>521.33000000000004</v>
      </c>
      <c r="L8065" s="52">
        <v>521.33000000000004</v>
      </c>
      <c r="M8065" s="91">
        <f t="shared" si="499"/>
        <v>28.772562484414859</v>
      </c>
    </row>
    <row r="8066" spans="1:13" hidden="1" x14ac:dyDescent="0.3">
      <c r="A8066" s="9">
        <v>3555</v>
      </c>
      <c r="B8066" t="s">
        <v>198</v>
      </c>
      <c r="C8066" s="25">
        <v>44654</v>
      </c>
      <c r="D8066" s="26">
        <v>0.39733796296296298</v>
      </c>
      <c r="E8066" t="s">
        <v>27</v>
      </c>
      <c r="F8066" t="s">
        <v>278</v>
      </c>
      <c r="G8066" t="s">
        <v>279</v>
      </c>
      <c r="H8066" t="s">
        <v>126</v>
      </c>
      <c r="I8066" s="4">
        <v>200</v>
      </c>
      <c r="J8066" s="51">
        <v>0</v>
      </c>
      <c r="K8066" s="88">
        <f t="shared" si="498"/>
        <v>740.11</v>
      </c>
      <c r="L8066" s="52">
        <v>740.11</v>
      </c>
      <c r="M8066" s="91">
        <f t="shared" si="499"/>
        <v>27.023010093094268</v>
      </c>
    </row>
    <row r="8067" spans="1:13" hidden="1" x14ac:dyDescent="0.3">
      <c r="A8067" s="9">
        <v>3556</v>
      </c>
      <c r="B8067" t="s">
        <v>198</v>
      </c>
      <c r="C8067" s="25">
        <v>44654</v>
      </c>
      <c r="D8067" s="26">
        <v>0.61128472222222219</v>
      </c>
      <c r="E8067" t="s">
        <v>27</v>
      </c>
      <c r="F8067" t="s">
        <v>210</v>
      </c>
      <c r="G8067" t="s">
        <v>211</v>
      </c>
      <c r="H8067" t="s">
        <v>126</v>
      </c>
      <c r="I8067" s="4">
        <v>182.66</v>
      </c>
      <c r="J8067" s="51">
        <v>0</v>
      </c>
      <c r="K8067" s="88">
        <f t="shared" si="498"/>
        <v>1089</v>
      </c>
      <c r="L8067" s="52">
        <v>1089</v>
      </c>
      <c r="M8067" s="91">
        <f t="shared" si="499"/>
        <v>16.773186409550046</v>
      </c>
    </row>
    <row r="8068" spans="1:13" hidden="1" x14ac:dyDescent="0.3">
      <c r="A8068" s="9">
        <v>3557</v>
      </c>
      <c r="B8068" t="s">
        <v>198</v>
      </c>
      <c r="C8068" s="25">
        <v>44655</v>
      </c>
      <c r="D8068" s="26">
        <v>0.94787037037037036</v>
      </c>
      <c r="E8068" t="s">
        <v>27</v>
      </c>
      <c r="F8068" t="s">
        <v>175</v>
      </c>
      <c r="G8068" t="s">
        <v>172</v>
      </c>
      <c r="H8068" t="s">
        <v>126</v>
      </c>
      <c r="I8068" s="4">
        <v>312.7</v>
      </c>
      <c r="J8068" s="52">
        <v>0</v>
      </c>
      <c r="K8068" s="88">
        <f t="shared" si="498"/>
        <v>1063.45</v>
      </c>
      <c r="L8068" s="52">
        <v>1063.45</v>
      </c>
      <c r="M8068" s="91">
        <f t="shared" si="499"/>
        <v>29.404297334148289</v>
      </c>
    </row>
    <row r="8069" spans="1:13" hidden="1" x14ac:dyDescent="0.3">
      <c r="A8069" s="9">
        <v>3558</v>
      </c>
      <c r="B8069" t="s">
        <v>198</v>
      </c>
      <c r="C8069" s="25">
        <v>44656</v>
      </c>
      <c r="D8069" s="26">
        <v>0.79123842592592597</v>
      </c>
      <c r="E8069" t="s">
        <v>27</v>
      </c>
      <c r="F8069" t="s">
        <v>166</v>
      </c>
      <c r="G8069" t="s">
        <v>161</v>
      </c>
      <c r="H8069" t="s">
        <v>126</v>
      </c>
      <c r="I8069" s="4">
        <v>346.09</v>
      </c>
      <c r="J8069" s="52">
        <v>0</v>
      </c>
      <c r="K8069" s="88">
        <f t="shared" si="498"/>
        <v>864.3</v>
      </c>
      <c r="L8069" s="52">
        <v>864.3</v>
      </c>
      <c r="M8069" s="91">
        <f t="shared" si="499"/>
        <v>40.042809209765132</v>
      </c>
    </row>
    <row r="8070" spans="1:13" hidden="1" x14ac:dyDescent="0.3">
      <c r="A8070" s="9">
        <v>3559</v>
      </c>
      <c r="B8070" t="s">
        <v>198</v>
      </c>
      <c r="C8070" s="25">
        <v>44658</v>
      </c>
      <c r="D8070" s="26">
        <v>0.74476851851851855</v>
      </c>
      <c r="E8070" t="s">
        <v>27</v>
      </c>
      <c r="F8070" t="s">
        <v>210</v>
      </c>
      <c r="G8070" t="s">
        <v>211</v>
      </c>
      <c r="H8070" t="s">
        <v>126</v>
      </c>
      <c r="I8070" s="4">
        <v>484.97</v>
      </c>
      <c r="J8070" s="52">
        <v>0</v>
      </c>
      <c r="K8070" s="88">
        <f t="shared" si="498"/>
        <v>1211.92</v>
      </c>
      <c r="L8070" s="52">
        <v>1211.92</v>
      </c>
      <c r="M8070" s="91">
        <f t="shared" si="499"/>
        <v>40.016667766849295</v>
      </c>
    </row>
    <row r="8071" spans="1:13" hidden="1" x14ac:dyDescent="0.3">
      <c r="A8071" s="9">
        <v>3560</v>
      </c>
      <c r="B8071" t="s">
        <v>198</v>
      </c>
      <c r="C8071" s="25">
        <v>44663</v>
      </c>
      <c r="D8071" s="26">
        <v>0.61483796296296289</v>
      </c>
      <c r="E8071" t="s">
        <v>27</v>
      </c>
      <c r="F8071" t="s">
        <v>175</v>
      </c>
      <c r="G8071" t="s">
        <v>172</v>
      </c>
      <c r="H8071" t="s">
        <v>126</v>
      </c>
      <c r="I8071" s="4">
        <v>352.92</v>
      </c>
      <c r="J8071" s="52">
        <v>0</v>
      </c>
      <c r="K8071" s="88">
        <f t="shared" si="498"/>
        <v>965.17</v>
      </c>
      <c r="L8071" s="52">
        <v>965.17</v>
      </c>
      <c r="M8071" s="91">
        <f t="shared" si="499"/>
        <v>36.565579120776654</v>
      </c>
    </row>
    <row r="8072" spans="1:13" hidden="1" x14ac:dyDescent="0.3">
      <c r="A8072" s="9">
        <v>3561</v>
      </c>
      <c r="B8072" t="s">
        <v>198</v>
      </c>
      <c r="C8072" s="25">
        <v>44664</v>
      </c>
      <c r="D8072" s="26">
        <v>0.79361111111111116</v>
      </c>
      <c r="E8072" t="s">
        <v>27</v>
      </c>
      <c r="F8072" t="s">
        <v>210</v>
      </c>
      <c r="G8072" t="s">
        <v>211</v>
      </c>
      <c r="H8072" t="s">
        <v>126</v>
      </c>
      <c r="I8072" s="4">
        <v>365.08</v>
      </c>
      <c r="J8072" s="52">
        <v>0</v>
      </c>
      <c r="K8072" s="88">
        <f t="shared" si="498"/>
        <v>891.27</v>
      </c>
      <c r="L8072" s="52">
        <v>891.27</v>
      </c>
      <c r="M8072" s="91">
        <f t="shared" si="499"/>
        <v>40.961773648838175</v>
      </c>
    </row>
    <row r="8073" spans="1:13" hidden="1" x14ac:dyDescent="0.3">
      <c r="A8073" s="9">
        <v>3562</v>
      </c>
      <c r="B8073" t="s">
        <v>198</v>
      </c>
      <c r="C8073" s="25">
        <v>44666</v>
      </c>
      <c r="D8073" s="26">
        <v>0.31668981481481479</v>
      </c>
      <c r="E8073" t="s">
        <v>27</v>
      </c>
      <c r="F8073" t="s">
        <v>210</v>
      </c>
      <c r="G8073" t="s">
        <v>211</v>
      </c>
      <c r="H8073" t="s">
        <v>126</v>
      </c>
      <c r="I8073" s="4">
        <v>402.35</v>
      </c>
      <c r="J8073" s="52">
        <v>0</v>
      </c>
      <c r="K8073" s="88">
        <f t="shared" si="498"/>
        <v>1063.97</v>
      </c>
      <c r="L8073" s="52">
        <v>1063.97</v>
      </c>
      <c r="M8073" s="91">
        <f t="shared" si="499"/>
        <v>37.815915862289351</v>
      </c>
    </row>
    <row r="8074" spans="1:13" hidden="1" x14ac:dyDescent="0.3">
      <c r="A8074" s="9">
        <v>3563</v>
      </c>
      <c r="B8074" t="s">
        <v>198</v>
      </c>
      <c r="C8074" s="25">
        <v>44667</v>
      </c>
      <c r="D8074" s="26">
        <v>0.66480324074074071</v>
      </c>
      <c r="E8074" t="s">
        <v>27</v>
      </c>
      <c r="F8074" t="s">
        <v>175</v>
      </c>
      <c r="G8074" t="s">
        <v>172</v>
      </c>
      <c r="H8074" t="s">
        <v>126</v>
      </c>
      <c r="I8074" s="4">
        <v>373.71</v>
      </c>
      <c r="J8074" s="52">
        <v>0</v>
      </c>
      <c r="K8074" s="88">
        <f t="shared" si="498"/>
        <v>1048.5899999999999</v>
      </c>
      <c r="L8074" s="52">
        <v>1048.5899999999999</v>
      </c>
      <c r="M8074" s="91">
        <f t="shared" si="499"/>
        <v>35.639287042600067</v>
      </c>
    </row>
    <row r="8075" spans="1:13" hidden="1" x14ac:dyDescent="0.3">
      <c r="A8075" s="9">
        <v>3564</v>
      </c>
      <c r="B8075" t="s">
        <v>198</v>
      </c>
      <c r="C8075" s="25">
        <v>44670</v>
      </c>
      <c r="D8075" s="26">
        <v>0.68706018518518519</v>
      </c>
      <c r="E8075" t="s">
        <v>27</v>
      </c>
      <c r="F8075" t="s">
        <v>210</v>
      </c>
      <c r="G8075" t="s">
        <v>211</v>
      </c>
      <c r="H8075" t="s">
        <v>126</v>
      </c>
      <c r="I8075" s="4">
        <v>355.58</v>
      </c>
      <c r="J8075" s="52">
        <v>0</v>
      </c>
      <c r="K8075" s="88">
        <f t="shared" si="498"/>
        <v>886.24</v>
      </c>
      <c r="L8075" s="52">
        <v>886.24</v>
      </c>
      <c r="M8075" s="91">
        <f t="shared" si="499"/>
        <v>40.122314497201664</v>
      </c>
    </row>
    <row r="8076" spans="1:13" hidden="1" x14ac:dyDescent="0.3">
      <c r="A8076" s="9">
        <v>3565</v>
      </c>
      <c r="B8076" t="s">
        <v>198</v>
      </c>
      <c r="C8076" s="25">
        <v>44672</v>
      </c>
      <c r="D8076" s="26">
        <v>2.5949074074074072E-2</v>
      </c>
      <c r="E8076" t="s">
        <v>27</v>
      </c>
      <c r="F8076" t="s">
        <v>210</v>
      </c>
      <c r="G8076" t="s">
        <v>211</v>
      </c>
      <c r="H8076" t="s">
        <v>126</v>
      </c>
      <c r="I8076" s="4">
        <v>390.03</v>
      </c>
      <c r="J8076" s="52">
        <v>0</v>
      </c>
      <c r="K8076" s="88">
        <f t="shared" si="498"/>
        <v>913.55</v>
      </c>
      <c r="L8076" s="52">
        <v>913.55</v>
      </c>
      <c r="M8076" s="91">
        <f t="shared" si="499"/>
        <v>42.693886486782333</v>
      </c>
    </row>
    <row r="8077" spans="1:13" hidden="1" x14ac:dyDescent="0.3">
      <c r="A8077" s="9">
        <v>3566</v>
      </c>
      <c r="B8077" t="s">
        <v>198</v>
      </c>
      <c r="C8077" s="25">
        <v>44677</v>
      </c>
      <c r="D8077" s="26">
        <v>0.3117361111111111</v>
      </c>
      <c r="E8077" t="s">
        <v>27</v>
      </c>
      <c r="F8077" t="s">
        <v>175</v>
      </c>
      <c r="G8077" t="s">
        <v>172</v>
      </c>
      <c r="H8077" t="s">
        <v>126</v>
      </c>
      <c r="I8077">
        <v>330.33</v>
      </c>
      <c r="J8077" s="52">
        <v>0</v>
      </c>
      <c r="K8077" s="88">
        <f t="shared" si="498"/>
        <v>977.95</v>
      </c>
      <c r="L8077" s="51">
        <v>977.95</v>
      </c>
      <c r="M8077" s="91">
        <f t="shared" si="499"/>
        <v>33.777800501048105</v>
      </c>
    </row>
    <row r="8078" spans="1:13" hidden="1" x14ac:dyDescent="0.3">
      <c r="A8078" s="9">
        <v>3567</v>
      </c>
      <c r="B8078" t="s">
        <v>198</v>
      </c>
      <c r="C8078" s="25">
        <v>44677</v>
      </c>
      <c r="D8078" s="26">
        <v>0.88738425925925923</v>
      </c>
      <c r="E8078" t="s">
        <v>27</v>
      </c>
      <c r="F8078" t="s">
        <v>175</v>
      </c>
      <c r="G8078" t="s">
        <v>172</v>
      </c>
      <c r="H8078" t="s">
        <v>126</v>
      </c>
      <c r="I8078">
        <v>139.58000000000001</v>
      </c>
      <c r="J8078" s="52">
        <v>0</v>
      </c>
      <c r="K8078" s="88">
        <f>+L8078-J8079</f>
        <v>391.55</v>
      </c>
      <c r="L8078" s="51">
        <v>391.55</v>
      </c>
      <c r="M8078" s="91">
        <f t="shared" si="499"/>
        <v>35.648065381177375</v>
      </c>
    </row>
    <row r="8079" spans="1:13" hidden="1" x14ac:dyDescent="0.3">
      <c r="A8079" s="9">
        <v>3568</v>
      </c>
      <c r="B8079" t="s">
        <v>198</v>
      </c>
      <c r="C8079" s="25">
        <v>44679</v>
      </c>
      <c r="D8079" s="26">
        <v>0.32621527777777776</v>
      </c>
      <c r="E8079" t="s">
        <v>27</v>
      </c>
      <c r="F8079" t="s">
        <v>210</v>
      </c>
      <c r="G8079" t="s">
        <v>211</v>
      </c>
      <c r="H8079" t="s">
        <v>126</v>
      </c>
      <c r="I8079">
        <v>346.68</v>
      </c>
      <c r="J8079" s="52">
        <v>0</v>
      </c>
      <c r="K8079" s="88">
        <f>+L8079-J8080</f>
        <v>831.61</v>
      </c>
      <c r="L8079" s="51">
        <v>831.61</v>
      </c>
      <c r="M8079" s="91">
        <f t="shared" si="499"/>
        <v>41.68781039189043</v>
      </c>
    </row>
    <row r="8080" spans="1:13" hidden="1" x14ac:dyDescent="0.3">
      <c r="A8080" s="9">
        <v>3745</v>
      </c>
      <c r="B8080" t="s">
        <v>198</v>
      </c>
      <c r="C8080" s="25">
        <v>44683</v>
      </c>
      <c r="D8080" s="26">
        <v>0.31319444444444444</v>
      </c>
      <c r="E8080" t="s">
        <v>28</v>
      </c>
      <c r="F8080" t="s">
        <v>175</v>
      </c>
      <c r="G8080" t="s">
        <v>172</v>
      </c>
      <c r="H8080" t="s">
        <v>126</v>
      </c>
      <c r="I8080">
        <v>357.58</v>
      </c>
      <c r="J8080" s="52">
        <v>0</v>
      </c>
      <c r="K8080" s="88">
        <f>+L8080-J8081</f>
        <v>1064</v>
      </c>
      <c r="L8080" s="51">
        <v>1064</v>
      </c>
      <c r="M8080" s="91">
        <f t="shared" si="499"/>
        <v>33.607142857142861</v>
      </c>
    </row>
    <row r="8081" spans="1:19" hidden="1" x14ac:dyDescent="0.3">
      <c r="A8081" s="9">
        <v>3786</v>
      </c>
      <c r="B8081" t="s">
        <v>198</v>
      </c>
      <c r="C8081" s="25">
        <v>44684</v>
      </c>
      <c r="D8081" s="26">
        <v>0.20878472222222222</v>
      </c>
      <c r="E8081" t="s">
        <v>28</v>
      </c>
      <c r="F8081" t="s">
        <v>210</v>
      </c>
      <c r="G8081" t="s">
        <v>211</v>
      </c>
      <c r="H8081" t="s">
        <v>126</v>
      </c>
      <c r="I8081">
        <v>326.8</v>
      </c>
      <c r="J8081" s="52">
        <v>0</v>
      </c>
      <c r="K8081" s="88">
        <f>+L8081-J8208</f>
        <v>830</v>
      </c>
      <c r="L8081" s="51">
        <v>830</v>
      </c>
      <c r="M8081" s="91">
        <f t="shared" si="499"/>
        <v>39.373493975903614</v>
      </c>
    </row>
    <row r="8082" spans="1:19" hidden="1" x14ac:dyDescent="0.3">
      <c r="A8082" s="9">
        <v>3851</v>
      </c>
      <c r="B8082" t="s">
        <v>198</v>
      </c>
      <c r="C8082" s="25">
        <v>44685</v>
      </c>
      <c r="D8082" s="26">
        <v>0.37481481481481477</v>
      </c>
      <c r="E8082" t="s">
        <v>28</v>
      </c>
      <c r="F8082" t="s">
        <v>210</v>
      </c>
      <c r="G8082" t="s">
        <v>211</v>
      </c>
      <c r="H8082" t="s">
        <v>126</v>
      </c>
      <c r="I8082">
        <v>381.27</v>
      </c>
      <c r="J8082" s="52">
        <v>0</v>
      </c>
      <c r="K8082" s="88">
        <f>+L8082-J8207</f>
        <v>1063</v>
      </c>
      <c r="L8082" s="52">
        <v>1063</v>
      </c>
      <c r="M8082" s="91">
        <f t="shared" si="499"/>
        <v>35.867356538099713</v>
      </c>
    </row>
    <row r="8083" spans="1:19" hidden="1" x14ac:dyDescent="0.3">
      <c r="A8083" s="9">
        <v>4192</v>
      </c>
      <c r="B8083" t="s">
        <v>198</v>
      </c>
      <c r="C8083" s="25">
        <v>44692</v>
      </c>
      <c r="D8083" s="26">
        <v>0.40637731481481482</v>
      </c>
      <c r="E8083" t="s">
        <v>28</v>
      </c>
      <c r="F8083" t="s">
        <v>210</v>
      </c>
      <c r="G8083" t="s">
        <v>211</v>
      </c>
      <c r="H8083" t="s">
        <v>126</v>
      </c>
      <c r="I8083">
        <v>274.89999999999998</v>
      </c>
      <c r="J8083" s="52">
        <v>0</v>
      </c>
      <c r="K8083" s="88">
        <f>+L8083-J8210</f>
        <v>1795</v>
      </c>
      <c r="L8083" s="52">
        <v>1795</v>
      </c>
      <c r="M8083" s="91">
        <f t="shared" si="499"/>
        <v>15.314763231197769</v>
      </c>
    </row>
    <row r="8084" spans="1:19" hidden="1" x14ac:dyDescent="0.3">
      <c r="A8084" s="9">
        <v>4911</v>
      </c>
      <c r="B8084" t="s">
        <v>198</v>
      </c>
      <c r="C8084" s="25">
        <v>44705</v>
      </c>
      <c r="D8084" s="26">
        <v>0.97266203703703702</v>
      </c>
      <c r="E8084" t="s">
        <v>28</v>
      </c>
      <c r="F8084" t="s">
        <v>210</v>
      </c>
      <c r="G8084" t="s">
        <v>211</v>
      </c>
      <c r="H8084" t="s">
        <v>126</v>
      </c>
      <c r="I8084">
        <v>457.25</v>
      </c>
      <c r="J8084" s="52">
        <v>0</v>
      </c>
      <c r="K8084" s="88">
        <f>+L8084-J8211</f>
        <v>1111</v>
      </c>
      <c r="L8084" s="52">
        <v>1111</v>
      </c>
      <c r="M8084" s="91">
        <f t="shared" ref="M8084:M8104" si="500">I8084/K8084*100</f>
        <v>41.156615661566157</v>
      </c>
    </row>
    <row r="8085" spans="1:19" hidden="1" x14ac:dyDescent="0.3">
      <c r="A8085" s="9">
        <v>5007</v>
      </c>
      <c r="B8085" t="s">
        <v>198</v>
      </c>
      <c r="C8085" s="25">
        <v>44707</v>
      </c>
      <c r="D8085" s="26">
        <v>0.48534722222222221</v>
      </c>
      <c r="E8085" t="s">
        <v>28</v>
      </c>
      <c r="F8085" t="s">
        <v>651</v>
      </c>
      <c r="G8085" t="s">
        <v>172</v>
      </c>
      <c r="H8085" t="s">
        <v>126</v>
      </c>
      <c r="I8085">
        <v>295.18</v>
      </c>
      <c r="J8085" s="52">
        <v>0</v>
      </c>
      <c r="K8085" s="88">
        <f>+L8085-J8212</f>
        <v>911</v>
      </c>
      <c r="L8085" s="51">
        <v>911</v>
      </c>
      <c r="M8085" s="91">
        <f t="shared" si="500"/>
        <v>32.401756311745331</v>
      </c>
    </row>
    <row r="8086" spans="1:19" hidden="1" x14ac:dyDescent="0.3">
      <c r="A8086" s="9">
        <v>5311</v>
      </c>
      <c r="B8086" t="s">
        <v>198</v>
      </c>
      <c r="C8086" s="25">
        <v>44713</v>
      </c>
      <c r="D8086" s="26">
        <v>0.36787037037037035</v>
      </c>
      <c r="E8086" t="s">
        <v>29</v>
      </c>
      <c r="F8086" t="s">
        <v>634</v>
      </c>
      <c r="G8086" t="s">
        <v>211</v>
      </c>
      <c r="H8086" t="s">
        <v>126</v>
      </c>
      <c r="I8086">
        <v>362.36</v>
      </c>
      <c r="J8086" s="52">
        <v>0</v>
      </c>
      <c r="K8086" s="88">
        <f>+L8086-J8250</f>
        <v>850</v>
      </c>
      <c r="L8086" s="51">
        <v>850</v>
      </c>
      <c r="M8086" s="91">
        <f t="shared" si="500"/>
        <v>42.63058823529412</v>
      </c>
    </row>
    <row r="8087" spans="1:19" hidden="1" x14ac:dyDescent="0.3">
      <c r="A8087" s="9">
        <v>5379</v>
      </c>
      <c r="B8087" t="s">
        <v>198</v>
      </c>
      <c r="C8087" s="25">
        <v>44714</v>
      </c>
      <c r="D8087" s="26">
        <v>0.58574074074074078</v>
      </c>
      <c r="E8087" t="s">
        <v>29</v>
      </c>
      <c r="F8087" t="s">
        <v>634</v>
      </c>
      <c r="G8087" t="s">
        <v>211</v>
      </c>
      <c r="H8087" t="s">
        <v>126</v>
      </c>
      <c r="I8087">
        <v>389.77</v>
      </c>
      <c r="J8087" s="52">
        <v>0</v>
      </c>
      <c r="K8087" s="88">
        <f>+L8087-J8251</f>
        <v>1063</v>
      </c>
      <c r="L8087" s="51">
        <v>1063</v>
      </c>
      <c r="M8087" s="91">
        <f t="shared" si="500"/>
        <v>36.666980244590782</v>
      </c>
    </row>
    <row r="8088" spans="1:19" hidden="1" x14ac:dyDescent="0.3">
      <c r="A8088" s="9">
        <v>5487</v>
      </c>
      <c r="B8088" t="s">
        <v>198</v>
      </c>
      <c r="C8088" s="25">
        <v>44716</v>
      </c>
      <c r="D8088" s="26">
        <v>0.40938657407407408</v>
      </c>
      <c r="E8088" t="s">
        <v>29</v>
      </c>
      <c r="F8088" t="s">
        <v>651</v>
      </c>
      <c r="G8088" t="s">
        <v>172</v>
      </c>
      <c r="H8088" t="s">
        <v>126</v>
      </c>
      <c r="I8088">
        <v>392.33</v>
      </c>
      <c r="J8088" s="52">
        <v>0</v>
      </c>
      <c r="K8088" s="88">
        <f>+L8088-J8246</f>
        <v>1045</v>
      </c>
      <c r="L8088" s="51">
        <v>1045</v>
      </c>
      <c r="M8088" s="91">
        <f t="shared" si="500"/>
        <v>37.543540669856455</v>
      </c>
    </row>
    <row r="8089" spans="1:19" hidden="1" x14ac:dyDescent="0.3">
      <c r="A8089" s="9">
        <v>5488</v>
      </c>
      <c r="B8089" t="s">
        <v>198</v>
      </c>
      <c r="C8089" s="25">
        <v>44716</v>
      </c>
      <c r="D8089" s="26">
        <v>0.88361111111111112</v>
      </c>
      <c r="E8089" t="s">
        <v>29</v>
      </c>
      <c r="F8089" t="s">
        <v>632</v>
      </c>
      <c r="G8089" t="s">
        <v>161</v>
      </c>
      <c r="H8089" t="s">
        <v>126</v>
      </c>
      <c r="I8089">
        <v>231.69</v>
      </c>
      <c r="J8089" s="52">
        <v>0</v>
      </c>
      <c r="K8089" s="88">
        <f>+L8089-J8247</f>
        <v>612</v>
      </c>
      <c r="L8089" s="51">
        <v>612</v>
      </c>
      <c r="M8089" s="91">
        <f t="shared" si="500"/>
        <v>37.857843137254903</v>
      </c>
    </row>
    <row r="8090" spans="1:19" hidden="1" x14ac:dyDescent="0.3">
      <c r="A8090" s="9">
        <v>5565</v>
      </c>
      <c r="B8090" t="s">
        <v>198</v>
      </c>
      <c r="C8090" s="25">
        <v>44718</v>
      </c>
      <c r="D8090" s="26">
        <v>0.40599537037037042</v>
      </c>
      <c r="E8090" t="s">
        <v>29</v>
      </c>
      <c r="F8090" t="s">
        <v>634</v>
      </c>
      <c r="G8090" t="s">
        <v>211</v>
      </c>
      <c r="H8090" t="s">
        <v>126</v>
      </c>
      <c r="I8090">
        <v>415.09</v>
      </c>
      <c r="J8090" s="52">
        <v>0</v>
      </c>
      <c r="K8090" s="88">
        <f>+L8090-J7682</f>
        <v>1146</v>
      </c>
      <c r="L8090" s="51">
        <v>1146</v>
      </c>
      <c r="M8090" s="91">
        <f t="shared" si="500"/>
        <v>36.220767888307151</v>
      </c>
    </row>
    <row r="8091" spans="1:19" hidden="1" x14ac:dyDescent="0.3">
      <c r="A8091" s="9">
        <v>5691</v>
      </c>
      <c r="B8091" t="s">
        <v>198</v>
      </c>
      <c r="C8091" s="25">
        <v>44720</v>
      </c>
      <c r="D8091" s="26">
        <v>0.38046296296296295</v>
      </c>
      <c r="E8091" t="s">
        <v>29</v>
      </c>
      <c r="F8091" t="s">
        <v>651</v>
      </c>
      <c r="G8091" t="s">
        <v>172</v>
      </c>
      <c r="H8091" t="s">
        <v>126</v>
      </c>
      <c r="I8091">
        <v>364.89</v>
      </c>
      <c r="J8091" s="52">
        <v>0</v>
      </c>
      <c r="K8091" s="88">
        <f>+L8091-J7683</f>
        <v>-256</v>
      </c>
      <c r="L8091" s="51">
        <v>1061</v>
      </c>
      <c r="M8091" s="91">
        <f t="shared" si="500"/>
        <v>-142.53515625</v>
      </c>
    </row>
    <row r="8092" spans="1:19" hidden="1" x14ac:dyDescent="0.3">
      <c r="A8092" s="9">
        <v>5692</v>
      </c>
      <c r="B8092" t="s">
        <v>198</v>
      </c>
      <c r="C8092" s="25">
        <v>44720</v>
      </c>
      <c r="D8092" s="26">
        <v>0.9027546296296296</v>
      </c>
      <c r="E8092" t="s">
        <v>29</v>
      </c>
      <c r="F8092" t="s">
        <v>634</v>
      </c>
      <c r="G8092" t="s">
        <v>211</v>
      </c>
      <c r="H8092" t="s">
        <v>126</v>
      </c>
      <c r="I8092">
        <v>260.32</v>
      </c>
      <c r="J8092" s="52">
        <v>0</v>
      </c>
      <c r="K8092" s="88">
        <f>+L8092-J7684</f>
        <v>688</v>
      </c>
      <c r="L8092" s="51">
        <v>688</v>
      </c>
      <c r="M8092" s="91">
        <f t="shared" si="500"/>
        <v>37.837209302325583</v>
      </c>
    </row>
    <row r="8093" spans="1:19" hidden="1" x14ac:dyDescent="0.3">
      <c r="A8093" s="9">
        <v>5782</v>
      </c>
      <c r="B8093" t="s">
        <v>198</v>
      </c>
      <c r="C8093" s="25">
        <v>44722</v>
      </c>
      <c r="D8093" s="26">
        <v>3.2118055555555559E-2</v>
      </c>
      <c r="E8093" t="s">
        <v>29</v>
      </c>
      <c r="F8093" t="s">
        <v>634</v>
      </c>
      <c r="G8093" t="s">
        <v>211</v>
      </c>
      <c r="H8093" t="s">
        <v>126</v>
      </c>
      <c r="I8093">
        <v>395.5</v>
      </c>
      <c r="J8093" s="52">
        <v>0</v>
      </c>
      <c r="K8093" s="88">
        <f>+L8093-J7685</f>
        <v>435</v>
      </c>
      <c r="L8093" s="51">
        <v>1062</v>
      </c>
      <c r="M8093" s="91">
        <f t="shared" si="500"/>
        <v>90.919540229885058</v>
      </c>
    </row>
    <row r="8094" spans="1:19" hidden="1" x14ac:dyDescent="0.3">
      <c r="A8094" s="9">
        <v>5848</v>
      </c>
      <c r="B8094" t="s">
        <v>198</v>
      </c>
      <c r="C8094" s="25">
        <v>44723</v>
      </c>
      <c r="D8094" s="26">
        <v>0.84062500000000007</v>
      </c>
      <c r="E8094" t="s">
        <v>29</v>
      </c>
      <c r="F8094" t="s">
        <v>651</v>
      </c>
      <c r="G8094" t="s">
        <v>172</v>
      </c>
      <c r="H8094" t="s">
        <v>126</v>
      </c>
      <c r="I8094">
        <v>365.4</v>
      </c>
      <c r="J8094" s="52">
        <v>0</v>
      </c>
      <c r="K8094" s="88" t="e">
        <f>+L8094-#REF!</f>
        <v>#REF!</v>
      </c>
      <c r="L8094" s="51">
        <v>1053</v>
      </c>
      <c r="M8094" s="91" t="e">
        <f t="shared" si="500"/>
        <v>#REF!</v>
      </c>
    </row>
    <row r="8095" spans="1:19" hidden="1" x14ac:dyDescent="0.3">
      <c r="A8095" s="9">
        <v>5898</v>
      </c>
      <c r="B8095" t="s">
        <v>198</v>
      </c>
      <c r="C8095" s="25">
        <v>44724</v>
      </c>
      <c r="D8095" s="26">
        <v>0.76284722222222223</v>
      </c>
      <c r="E8095" t="s">
        <v>29</v>
      </c>
      <c r="F8095" t="s">
        <v>634</v>
      </c>
      <c r="G8095" t="s">
        <v>211</v>
      </c>
      <c r="H8095" t="s">
        <v>126</v>
      </c>
      <c r="I8095">
        <v>273.58999999999997</v>
      </c>
      <c r="J8095" s="52">
        <v>0</v>
      </c>
      <c r="K8095" s="88">
        <f>+L8095-J7686</f>
        <v>692</v>
      </c>
      <c r="L8095" s="51">
        <v>692</v>
      </c>
      <c r="M8095" s="91">
        <f t="shared" si="500"/>
        <v>39.536127167630056</v>
      </c>
    </row>
    <row r="8096" spans="1:19" hidden="1" x14ac:dyDescent="0.3">
      <c r="A8096" s="9">
        <v>5957</v>
      </c>
      <c r="B8096" t="s">
        <v>198</v>
      </c>
      <c r="C8096" s="25">
        <v>44725</v>
      </c>
      <c r="D8096" s="26">
        <v>0.86160879629629628</v>
      </c>
      <c r="E8096" t="s">
        <v>29</v>
      </c>
      <c r="F8096" t="s">
        <v>634</v>
      </c>
      <c r="G8096" t="s">
        <v>211</v>
      </c>
      <c r="H8096" t="s">
        <v>126</v>
      </c>
      <c r="I8096">
        <v>319.29000000000002</v>
      </c>
      <c r="J8096" s="52">
        <v>0</v>
      </c>
      <c r="K8096" s="88" t="e">
        <f>+L8096-#REF!</f>
        <v>#REF!</v>
      </c>
      <c r="L8096" s="51">
        <v>914</v>
      </c>
      <c r="M8096" s="91" t="e">
        <f t="shared" si="500"/>
        <v>#REF!</v>
      </c>
      <c r="N8096" s="2"/>
      <c r="O8096" s="2"/>
      <c r="P8096" s="2"/>
      <c r="Q8096" s="2"/>
      <c r="R8096" s="2"/>
      <c r="S8096" s="2"/>
    </row>
    <row r="8097" spans="1:13" hidden="1" x14ac:dyDescent="0.3">
      <c r="A8097" s="9">
        <v>6013</v>
      </c>
      <c r="B8097" t="s">
        <v>198</v>
      </c>
      <c r="C8097" s="25">
        <v>44726</v>
      </c>
      <c r="D8097" s="26">
        <v>0.81444444444444442</v>
      </c>
      <c r="E8097" t="s">
        <v>29</v>
      </c>
      <c r="F8097" t="s">
        <v>679</v>
      </c>
      <c r="G8097" t="s">
        <v>392</v>
      </c>
      <c r="H8097" t="s">
        <v>126</v>
      </c>
      <c r="I8097">
        <v>316.70999999999998</v>
      </c>
      <c r="J8097" s="52">
        <v>0</v>
      </c>
      <c r="K8097" s="88">
        <v>936</v>
      </c>
      <c r="L8097" s="51">
        <v>936</v>
      </c>
      <c r="M8097" s="91">
        <f t="shared" si="500"/>
        <v>33.83653846153846</v>
      </c>
    </row>
    <row r="8098" spans="1:13" hidden="1" x14ac:dyDescent="0.3">
      <c r="A8098" s="9">
        <v>6076</v>
      </c>
      <c r="B8098" t="s">
        <v>198</v>
      </c>
      <c r="C8098" s="25">
        <v>44727</v>
      </c>
      <c r="D8098" s="26">
        <v>0.92052083333333334</v>
      </c>
      <c r="E8098" t="s">
        <v>29</v>
      </c>
      <c r="F8098" t="s">
        <v>634</v>
      </c>
      <c r="G8098" t="s">
        <v>211</v>
      </c>
      <c r="H8098" t="s">
        <v>126</v>
      </c>
      <c r="I8098">
        <v>339.24</v>
      </c>
      <c r="J8098" s="52">
        <v>0</v>
      </c>
      <c r="K8098" s="88">
        <v>847</v>
      </c>
      <c r="L8098" s="51">
        <v>847</v>
      </c>
      <c r="M8098" s="91">
        <f t="shared" si="500"/>
        <v>40.051948051948052</v>
      </c>
    </row>
    <row r="8099" spans="1:13" hidden="1" x14ac:dyDescent="0.3">
      <c r="A8099" s="9">
        <v>6178</v>
      </c>
      <c r="B8099" t="s">
        <v>198</v>
      </c>
      <c r="C8099" s="25">
        <v>44729</v>
      </c>
      <c r="D8099" s="26">
        <v>0.19809027777777777</v>
      </c>
      <c r="E8099" t="s">
        <v>29</v>
      </c>
      <c r="F8099" t="s">
        <v>634</v>
      </c>
      <c r="G8099" t="s">
        <v>211</v>
      </c>
      <c r="H8099" t="s">
        <v>126</v>
      </c>
      <c r="I8099">
        <v>324.29000000000002</v>
      </c>
      <c r="J8099" s="52">
        <v>0</v>
      </c>
      <c r="K8099" s="88">
        <v>911</v>
      </c>
      <c r="L8099" s="51">
        <v>911</v>
      </c>
      <c r="M8099" s="91">
        <f t="shared" si="500"/>
        <v>35.597145993413832</v>
      </c>
    </row>
    <row r="8100" spans="1:13" hidden="1" x14ac:dyDescent="0.3">
      <c r="A8100" s="9">
        <v>6226</v>
      </c>
      <c r="B8100" t="s">
        <v>198</v>
      </c>
      <c r="C8100" s="25">
        <v>44730</v>
      </c>
      <c r="D8100" s="26">
        <v>0.81469907407407405</v>
      </c>
      <c r="E8100" t="s">
        <v>29</v>
      </c>
      <c r="F8100" t="s">
        <v>639</v>
      </c>
      <c r="G8100" t="s">
        <v>44</v>
      </c>
      <c r="H8100" t="s">
        <v>126</v>
      </c>
      <c r="I8100">
        <v>134.77000000000001</v>
      </c>
      <c r="J8100" s="52">
        <v>0</v>
      </c>
      <c r="K8100" s="88">
        <v>1125</v>
      </c>
      <c r="L8100" s="51">
        <v>1125</v>
      </c>
      <c r="M8100" s="91">
        <f t="shared" si="500"/>
        <v>11.979555555555557</v>
      </c>
    </row>
    <row r="8101" spans="1:13" hidden="1" x14ac:dyDescent="0.3">
      <c r="A8101" s="9">
        <v>6249</v>
      </c>
      <c r="B8101" t="s">
        <v>198</v>
      </c>
      <c r="C8101" s="25">
        <v>44731</v>
      </c>
      <c r="D8101" s="26">
        <v>0.50481481481481483</v>
      </c>
      <c r="E8101" t="s">
        <v>29</v>
      </c>
      <c r="F8101" t="s">
        <v>634</v>
      </c>
      <c r="G8101" t="s">
        <v>211</v>
      </c>
      <c r="H8101" t="s">
        <v>126</v>
      </c>
      <c r="I8101">
        <v>301.52</v>
      </c>
      <c r="J8101" s="52">
        <v>0</v>
      </c>
      <c r="K8101" s="88">
        <v>587</v>
      </c>
      <c r="L8101" s="51">
        <v>587</v>
      </c>
      <c r="M8101" s="91">
        <f t="shared" si="500"/>
        <v>51.366269165247012</v>
      </c>
    </row>
    <row r="8102" spans="1:13" hidden="1" x14ac:dyDescent="0.3">
      <c r="A8102" s="9">
        <v>6279</v>
      </c>
      <c r="B8102" t="s">
        <v>198</v>
      </c>
      <c r="C8102" s="25">
        <v>44732</v>
      </c>
      <c r="D8102" s="26">
        <v>0.73107638888888893</v>
      </c>
      <c r="E8102" t="s">
        <v>29</v>
      </c>
      <c r="F8102" t="s">
        <v>634</v>
      </c>
      <c r="G8102" t="s">
        <v>211</v>
      </c>
      <c r="H8102" t="s">
        <v>126</v>
      </c>
      <c r="I8102" s="126">
        <v>386.21</v>
      </c>
      <c r="J8102" s="52">
        <v>0</v>
      </c>
      <c r="K8102" s="88">
        <v>969</v>
      </c>
      <c r="L8102" s="51">
        <v>969</v>
      </c>
      <c r="M8102" s="91">
        <f t="shared" si="500"/>
        <v>39.856553147574822</v>
      </c>
    </row>
    <row r="8103" spans="1:13" hidden="1" x14ac:dyDescent="0.3">
      <c r="A8103" s="9">
        <v>6358</v>
      </c>
      <c r="B8103" t="s">
        <v>198</v>
      </c>
      <c r="C8103" s="25">
        <v>44734</v>
      </c>
      <c r="D8103" s="26">
        <v>0.50937500000000002</v>
      </c>
      <c r="E8103" t="s">
        <v>29</v>
      </c>
      <c r="F8103" t="s">
        <v>679</v>
      </c>
      <c r="G8103" t="s">
        <v>392</v>
      </c>
      <c r="H8103" t="s">
        <v>126</v>
      </c>
      <c r="I8103" s="148">
        <v>200.89</v>
      </c>
      <c r="J8103" s="52">
        <v>0</v>
      </c>
      <c r="K8103" s="88">
        <v>928</v>
      </c>
      <c r="L8103" s="51">
        <v>928</v>
      </c>
      <c r="M8103" s="91">
        <f t="shared" si="500"/>
        <v>21.647629310344826</v>
      </c>
    </row>
    <row r="8104" spans="1:13" hidden="1" x14ac:dyDescent="0.3">
      <c r="A8104" s="9">
        <v>6359</v>
      </c>
      <c r="B8104" t="s">
        <v>198</v>
      </c>
      <c r="C8104" s="25">
        <v>44734</v>
      </c>
      <c r="D8104" s="26">
        <v>0.53738425925925926</v>
      </c>
      <c r="E8104" t="s">
        <v>29</v>
      </c>
      <c r="F8104" t="s">
        <v>651</v>
      </c>
      <c r="G8104" t="s">
        <v>172</v>
      </c>
      <c r="H8104" t="s">
        <v>126</v>
      </c>
      <c r="I8104" s="148">
        <v>132.07</v>
      </c>
      <c r="J8104" s="52">
        <v>0</v>
      </c>
      <c r="K8104" s="88">
        <v>16</v>
      </c>
      <c r="L8104" s="51">
        <v>16</v>
      </c>
      <c r="M8104" s="91">
        <f t="shared" si="500"/>
        <v>825.4375</v>
      </c>
    </row>
    <row r="8105" spans="1:13" hidden="1" x14ac:dyDescent="0.3">
      <c r="A8105" s="9">
        <v>6751</v>
      </c>
      <c r="B8105" t="s">
        <v>198</v>
      </c>
      <c r="C8105" s="25">
        <v>44742</v>
      </c>
      <c r="D8105" s="26">
        <v>0.76050925925925927</v>
      </c>
      <c r="E8105" t="s">
        <v>29</v>
      </c>
      <c r="F8105" t="s">
        <v>210</v>
      </c>
      <c r="G8105" t="s">
        <v>211</v>
      </c>
      <c r="H8105" t="s">
        <v>126</v>
      </c>
      <c r="I8105" s="148">
        <v>366.38</v>
      </c>
      <c r="J8105"/>
      <c r="K8105">
        <v>989630</v>
      </c>
      <c r="L8105">
        <f>+K8105-J8105</f>
        <v>989630</v>
      </c>
      <c r="M8105" s="139">
        <f>I8105/L8105*100</f>
        <v>3.7021917282216585E-2</v>
      </c>
    </row>
    <row r="8106" spans="1:13" hidden="1" x14ac:dyDescent="0.3">
      <c r="B8106" t="s">
        <v>597</v>
      </c>
      <c r="C8106" s="25">
        <v>44768</v>
      </c>
      <c r="D8106" s="26">
        <v>0.67560185185185195</v>
      </c>
      <c r="E8106" t="s">
        <v>30</v>
      </c>
      <c r="F8106" t="s">
        <v>210</v>
      </c>
      <c r="G8106" t="s">
        <v>211</v>
      </c>
      <c r="H8106" t="s">
        <v>207</v>
      </c>
      <c r="I8106" s="160">
        <v>322.3</v>
      </c>
      <c r="J8106" s="160">
        <f>345+322</f>
        <v>667</v>
      </c>
      <c r="K8106" s="160">
        <v>8033</v>
      </c>
      <c r="L8106" s="160">
        <v>1702</v>
      </c>
      <c r="M8106" s="254">
        <f>+J8106/L8106*100</f>
        <v>39.189189189189186</v>
      </c>
    </row>
    <row r="8107" spans="1:13" hidden="1" x14ac:dyDescent="0.3">
      <c r="B8107" t="s">
        <v>597</v>
      </c>
      <c r="C8107" s="25">
        <v>44769</v>
      </c>
      <c r="D8107" s="26">
        <v>0.59031250000000002</v>
      </c>
      <c r="E8107" t="s">
        <v>30</v>
      </c>
      <c r="F8107" t="s">
        <v>165</v>
      </c>
      <c r="G8107" t="s">
        <v>185</v>
      </c>
      <c r="H8107" t="s">
        <v>207</v>
      </c>
      <c r="I8107" s="160">
        <v>247.55</v>
      </c>
      <c r="J8107" s="8"/>
      <c r="K8107" s="8">
        <v>2500</v>
      </c>
      <c r="L8107" s="8">
        <f>+K8107-J8107</f>
        <v>2500</v>
      </c>
      <c r="M8107" s="254">
        <f>+J8107/L8107*100</f>
        <v>0</v>
      </c>
    </row>
    <row r="8108" spans="1:13" hidden="1" x14ac:dyDescent="0.3">
      <c r="B8108" t="s">
        <v>597</v>
      </c>
      <c r="C8108" s="25">
        <v>44770</v>
      </c>
      <c r="D8108" s="26">
        <v>0.56751157407407404</v>
      </c>
      <c r="E8108" t="s">
        <v>30</v>
      </c>
      <c r="F8108" t="s">
        <v>293</v>
      </c>
      <c r="G8108" t="s">
        <v>196</v>
      </c>
      <c r="H8108" t="s">
        <v>207</v>
      </c>
      <c r="I8108" s="160">
        <v>278.49</v>
      </c>
      <c r="J8108" s="160">
        <f>247+278</f>
        <v>525</v>
      </c>
      <c r="K8108" s="160">
        <v>100000</v>
      </c>
      <c r="L8108" s="160">
        <v>1527</v>
      </c>
      <c r="M8108" s="254">
        <f>+J8108/L8108*100</f>
        <v>34.381139489194503</v>
      </c>
    </row>
    <row r="8109" spans="1:13" hidden="1" x14ac:dyDescent="0.3">
      <c r="B8109" t="s">
        <v>355</v>
      </c>
      <c r="C8109" s="25">
        <v>44564</v>
      </c>
      <c r="D8109" s="26">
        <v>0.3832638888888889</v>
      </c>
      <c r="E8109" t="s">
        <v>24</v>
      </c>
      <c r="F8109" t="s">
        <v>175</v>
      </c>
      <c r="G8109" t="s">
        <v>172</v>
      </c>
      <c r="H8109" t="s">
        <v>176</v>
      </c>
      <c r="I8109">
        <v>305.86</v>
      </c>
      <c r="J8109" s="51">
        <v>0</v>
      </c>
      <c r="K8109" s="51"/>
      <c r="L8109" s="51">
        <v>1029</v>
      </c>
      <c r="M8109" s="132" t="e">
        <f t="shared" ref="M8109:M8140" si="501">I8109/K8109*100</f>
        <v>#DIV/0!</v>
      </c>
    </row>
    <row r="8110" spans="1:13" hidden="1" x14ac:dyDescent="0.3">
      <c r="B8110" t="s">
        <v>355</v>
      </c>
      <c r="C8110" s="25">
        <v>44565</v>
      </c>
      <c r="D8110" s="26">
        <v>0.92630787037037043</v>
      </c>
      <c r="E8110" t="s">
        <v>24</v>
      </c>
      <c r="F8110" t="s">
        <v>210</v>
      </c>
      <c r="G8110" t="s">
        <v>211</v>
      </c>
      <c r="H8110" t="s">
        <v>176</v>
      </c>
      <c r="I8110">
        <v>305.29000000000002</v>
      </c>
      <c r="J8110" s="51">
        <v>0</v>
      </c>
      <c r="K8110" s="51"/>
      <c r="L8110" s="51">
        <v>854</v>
      </c>
      <c r="M8110" s="91" t="e">
        <f t="shared" si="501"/>
        <v>#DIV/0!</v>
      </c>
    </row>
    <row r="8111" spans="1:13" hidden="1" x14ac:dyDescent="0.3">
      <c r="B8111" t="s">
        <v>355</v>
      </c>
      <c r="C8111" s="25">
        <v>44566</v>
      </c>
      <c r="D8111" s="26">
        <v>0.97893518518518519</v>
      </c>
      <c r="E8111" t="s">
        <v>24</v>
      </c>
      <c r="F8111" t="s">
        <v>210</v>
      </c>
      <c r="G8111" t="s">
        <v>211</v>
      </c>
      <c r="H8111" t="s">
        <v>176</v>
      </c>
      <c r="I8111">
        <v>342.6</v>
      </c>
      <c r="J8111" s="51">
        <v>0</v>
      </c>
      <c r="K8111" s="51"/>
      <c r="L8111" s="51">
        <v>1056.97</v>
      </c>
      <c r="M8111" s="91" t="e">
        <f t="shared" si="501"/>
        <v>#DIV/0!</v>
      </c>
    </row>
    <row r="8112" spans="1:13" hidden="1" x14ac:dyDescent="0.3">
      <c r="B8112" t="s">
        <v>355</v>
      </c>
      <c r="C8112" s="25">
        <v>44568</v>
      </c>
      <c r="D8112" s="26">
        <v>0.62768518518518512</v>
      </c>
      <c r="E8112" t="s">
        <v>24</v>
      </c>
      <c r="F8112" t="s">
        <v>205</v>
      </c>
      <c r="G8112" t="s">
        <v>206</v>
      </c>
      <c r="H8112" t="s">
        <v>176</v>
      </c>
      <c r="I8112">
        <v>305.39</v>
      </c>
      <c r="J8112" s="51">
        <v>0</v>
      </c>
      <c r="K8112" s="51"/>
      <c r="L8112" s="51">
        <v>999.91</v>
      </c>
      <c r="M8112" s="91" t="e">
        <f t="shared" si="501"/>
        <v>#DIV/0!</v>
      </c>
    </row>
    <row r="8113" spans="1:13" hidden="1" x14ac:dyDescent="0.3">
      <c r="B8113" t="s">
        <v>355</v>
      </c>
      <c r="C8113" s="25">
        <v>44569</v>
      </c>
      <c r="D8113" s="26">
        <v>0.79715277777777782</v>
      </c>
      <c r="E8113" t="s">
        <v>24</v>
      </c>
      <c r="F8113" t="s">
        <v>210</v>
      </c>
      <c r="G8113" t="s">
        <v>211</v>
      </c>
      <c r="H8113" t="s">
        <v>176</v>
      </c>
      <c r="I8113">
        <v>225.03</v>
      </c>
      <c r="J8113" s="51">
        <v>0</v>
      </c>
      <c r="K8113" s="51"/>
      <c r="L8113" s="51">
        <v>689.95</v>
      </c>
      <c r="M8113" s="91" t="e">
        <f t="shared" si="501"/>
        <v>#DIV/0!</v>
      </c>
    </row>
    <row r="8114" spans="1:13" hidden="1" x14ac:dyDescent="0.3">
      <c r="B8114" t="s">
        <v>355</v>
      </c>
      <c r="C8114" s="25">
        <v>44570</v>
      </c>
      <c r="D8114" s="26">
        <v>0.81057870370370377</v>
      </c>
      <c r="E8114" t="s">
        <v>24</v>
      </c>
      <c r="F8114" t="s">
        <v>210</v>
      </c>
      <c r="G8114" t="s">
        <v>211</v>
      </c>
      <c r="H8114" t="s">
        <v>176</v>
      </c>
      <c r="I8114">
        <v>332.19</v>
      </c>
      <c r="J8114" s="51">
        <v>0</v>
      </c>
      <c r="K8114" s="51"/>
      <c r="L8114" s="51">
        <v>1057.3900000000001</v>
      </c>
      <c r="M8114" s="91" t="e">
        <f t="shared" si="501"/>
        <v>#DIV/0!</v>
      </c>
    </row>
    <row r="8115" spans="1:13" hidden="1" x14ac:dyDescent="0.3">
      <c r="B8115" t="s">
        <v>355</v>
      </c>
      <c r="C8115" s="25">
        <v>44571</v>
      </c>
      <c r="D8115" s="26">
        <v>0.65729166666666672</v>
      </c>
      <c r="E8115" t="s">
        <v>24</v>
      </c>
      <c r="F8115" t="s">
        <v>175</v>
      </c>
      <c r="G8115" t="s">
        <v>172</v>
      </c>
      <c r="H8115" t="s">
        <v>176</v>
      </c>
      <c r="I8115">
        <v>135.78</v>
      </c>
      <c r="J8115" s="51">
        <v>0</v>
      </c>
      <c r="K8115" s="51"/>
      <c r="L8115" s="51">
        <v>923.18</v>
      </c>
      <c r="M8115" s="91" t="e">
        <f t="shared" si="501"/>
        <v>#DIV/0!</v>
      </c>
    </row>
    <row r="8116" spans="1:13" hidden="1" x14ac:dyDescent="0.3">
      <c r="B8116" t="s">
        <v>355</v>
      </c>
      <c r="C8116" s="25">
        <v>44572</v>
      </c>
      <c r="D8116" s="26">
        <v>0.85138888888888886</v>
      </c>
      <c r="E8116" t="s">
        <v>24</v>
      </c>
      <c r="F8116" t="s">
        <v>210</v>
      </c>
      <c r="G8116" t="s">
        <v>211</v>
      </c>
      <c r="H8116" t="s">
        <v>176</v>
      </c>
      <c r="I8116">
        <v>418.3</v>
      </c>
      <c r="J8116" s="51">
        <v>0</v>
      </c>
      <c r="K8116" s="51"/>
      <c r="L8116" s="51">
        <v>850.58</v>
      </c>
      <c r="M8116" s="91" t="e">
        <f t="shared" si="501"/>
        <v>#DIV/0!</v>
      </c>
    </row>
    <row r="8117" spans="1:13" hidden="1" x14ac:dyDescent="0.3">
      <c r="B8117" t="s">
        <v>355</v>
      </c>
      <c r="C8117" s="25">
        <v>44573</v>
      </c>
      <c r="D8117" s="26">
        <v>0.94701388888888882</v>
      </c>
      <c r="E8117" t="s">
        <v>24</v>
      </c>
      <c r="F8117" t="s">
        <v>210</v>
      </c>
      <c r="G8117" t="s">
        <v>211</v>
      </c>
      <c r="H8117" t="s">
        <v>176</v>
      </c>
      <c r="I8117">
        <v>322.42</v>
      </c>
      <c r="J8117" s="51">
        <v>0</v>
      </c>
      <c r="K8117" s="51"/>
      <c r="L8117" s="51">
        <v>1056.28</v>
      </c>
      <c r="M8117" s="91" t="e">
        <f t="shared" si="501"/>
        <v>#DIV/0!</v>
      </c>
    </row>
    <row r="8118" spans="1:13" hidden="1" x14ac:dyDescent="0.3">
      <c r="B8118" t="s">
        <v>355</v>
      </c>
      <c r="C8118" s="25">
        <v>44575</v>
      </c>
      <c r="D8118" s="26">
        <v>0.80519675925925915</v>
      </c>
      <c r="E8118" t="s">
        <v>24</v>
      </c>
      <c r="F8118" t="s">
        <v>175</v>
      </c>
      <c r="G8118" t="s">
        <v>172</v>
      </c>
      <c r="H8118" t="s">
        <v>176</v>
      </c>
      <c r="I8118">
        <f>150+100</f>
        <v>250</v>
      </c>
      <c r="J8118" s="51">
        <v>0</v>
      </c>
      <c r="K8118" s="51"/>
      <c r="L8118" s="51">
        <v>1046.3699999999999</v>
      </c>
      <c r="M8118" s="91" t="e">
        <f t="shared" si="501"/>
        <v>#DIV/0!</v>
      </c>
    </row>
    <row r="8119" spans="1:13" hidden="1" x14ac:dyDescent="0.3">
      <c r="B8119" t="s">
        <v>355</v>
      </c>
      <c r="C8119" s="25">
        <v>44576</v>
      </c>
      <c r="D8119" s="26">
        <v>0.77552083333333333</v>
      </c>
      <c r="E8119" t="s">
        <v>24</v>
      </c>
      <c r="F8119" t="s">
        <v>210</v>
      </c>
      <c r="G8119" t="s">
        <v>211</v>
      </c>
      <c r="H8119" t="s">
        <v>176</v>
      </c>
      <c r="I8119">
        <v>313.91000000000003</v>
      </c>
      <c r="J8119" s="51">
        <v>0</v>
      </c>
      <c r="K8119" s="51"/>
      <c r="L8119" s="51">
        <v>690.3</v>
      </c>
      <c r="M8119" s="91" t="e">
        <f t="shared" si="501"/>
        <v>#DIV/0!</v>
      </c>
    </row>
    <row r="8120" spans="1:13" hidden="1" x14ac:dyDescent="0.3">
      <c r="B8120" t="s">
        <v>355</v>
      </c>
      <c r="C8120" s="25">
        <v>44578</v>
      </c>
      <c r="D8120" s="26">
        <v>0.98370370370370364</v>
      </c>
      <c r="E8120" t="s">
        <v>24</v>
      </c>
      <c r="F8120" t="s">
        <v>210</v>
      </c>
      <c r="G8120" t="s">
        <v>211</v>
      </c>
      <c r="H8120" t="s">
        <v>176</v>
      </c>
      <c r="I8120">
        <v>412.18</v>
      </c>
      <c r="J8120" s="51">
        <v>0</v>
      </c>
      <c r="K8120" s="51"/>
      <c r="L8120" s="51">
        <v>1107.68</v>
      </c>
      <c r="M8120" s="91" t="e">
        <f t="shared" si="501"/>
        <v>#DIV/0!</v>
      </c>
    </row>
    <row r="8121" spans="1:13" hidden="1" x14ac:dyDescent="0.3">
      <c r="B8121" t="s">
        <v>355</v>
      </c>
      <c r="C8121" s="25">
        <v>44580</v>
      </c>
      <c r="D8121" s="26">
        <v>0.50466435185185188</v>
      </c>
      <c r="E8121" t="s">
        <v>24</v>
      </c>
      <c r="F8121" t="s">
        <v>175</v>
      </c>
      <c r="G8121" t="s">
        <v>172</v>
      </c>
      <c r="H8121" t="s">
        <v>176</v>
      </c>
      <c r="I8121">
        <v>327.43</v>
      </c>
      <c r="J8121" s="51">
        <v>0</v>
      </c>
      <c r="K8121" s="51"/>
      <c r="L8121" s="51">
        <v>908.33</v>
      </c>
      <c r="M8121" s="91" t="e">
        <f t="shared" si="501"/>
        <v>#DIV/0!</v>
      </c>
    </row>
    <row r="8122" spans="1:13" hidden="1" x14ac:dyDescent="0.3">
      <c r="B8122" t="s">
        <v>355</v>
      </c>
      <c r="C8122" s="25">
        <v>44588</v>
      </c>
      <c r="D8122" s="26">
        <v>0.35873842592592592</v>
      </c>
      <c r="E8122" t="s">
        <v>24</v>
      </c>
      <c r="F8122" t="s">
        <v>210</v>
      </c>
      <c r="G8122" t="s">
        <v>211</v>
      </c>
      <c r="H8122" t="s">
        <v>176</v>
      </c>
      <c r="I8122">
        <v>300.02</v>
      </c>
      <c r="J8122" s="51">
        <v>0</v>
      </c>
      <c r="K8122" s="51"/>
      <c r="L8122" s="51">
        <v>839.3</v>
      </c>
      <c r="M8122" s="91" t="e">
        <f t="shared" si="501"/>
        <v>#DIV/0!</v>
      </c>
    </row>
    <row r="8123" spans="1:13" hidden="1" x14ac:dyDescent="0.3">
      <c r="B8123" t="s">
        <v>355</v>
      </c>
      <c r="C8123" s="25">
        <v>44589</v>
      </c>
      <c r="D8123" s="26">
        <v>0.35974537037037035</v>
      </c>
      <c r="E8123" t="s">
        <v>24</v>
      </c>
      <c r="F8123" t="s">
        <v>210</v>
      </c>
      <c r="G8123" t="s">
        <v>211</v>
      </c>
      <c r="H8123" t="s">
        <v>176</v>
      </c>
      <c r="I8123">
        <v>355.73</v>
      </c>
      <c r="J8123" s="51">
        <v>0</v>
      </c>
      <c r="K8123" s="51"/>
      <c r="L8123" s="51">
        <v>1056.75</v>
      </c>
      <c r="M8123" s="91" t="e">
        <f t="shared" si="501"/>
        <v>#DIV/0!</v>
      </c>
    </row>
    <row r="8124" spans="1:13" hidden="1" x14ac:dyDescent="0.3">
      <c r="B8124" t="s">
        <v>355</v>
      </c>
      <c r="C8124" s="25">
        <v>44590</v>
      </c>
      <c r="D8124" s="26">
        <v>0.47041666666666665</v>
      </c>
      <c r="E8124" t="s">
        <v>24</v>
      </c>
      <c r="F8124" t="s">
        <v>175</v>
      </c>
      <c r="G8124" t="s">
        <v>172</v>
      </c>
      <c r="H8124" t="s">
        <v>176</v>
      </c>
      <c r="I8124">
        <v>148.18</v>
      </c>
      <c r="J8124" s="51">
        <v>0</v>
      </c>
      <c r="K8124" s="51"/>
      <c r="L8124" s="51">
        <v>900.46</v>
      </c>
      <c r="M8124" s="91" t="e">
        <f t="shared" si="501"/>
        <v>#DIV/0!</v>
      </c>
    </row>
    <row r="8125" spans="1:13" hidden="1" x14ac:dyDescent="0.3">
      <c r="B8125" t="s">
        <v>355</v>
      </c>
      <c r="C8125" s="25">
        <v>44591</v>
      </c>
      <c r="D8125" s="26">
        <v>0.65204861111111112</v>
      </c>
      <c r="E8125" t="s">
        <v>24</v>
      </c>
      <c r="F8125" t="s">
        <v>210</v>
      </c>
      <c r="G8125" t="s">
        <v>211</v>
      </c>
      <c r="H8125" t="s">
        <v>176</v>
      </c>
      <c r="I8125">
        <v>428.6</v>
      </c>
      <c r="J8125" s="51">
        <v>0</v>
      </c>
      <c r="K8125" s="51"/>
      <c r="L8125" s="51">
        <v>816.32</v>
      </c>
      <c r="M8125" s="91" t="e">
        <f t="shared" si="501"/>
        <v>#DIV/0!</v>
      </c>
    </row>
    <row r="8126" spans="1:13" hidden="1" x14ac:dyDescent="0.3">
      <c r="B8126" t="s">
        <v>355</v>
      </c>
      <c r="C8126" s="25">
        <v>44592</v>
      </c>
      <c r="D8126" s="26">
        <v>0.98797453703703697</v>
      </c>
      <c r="E8126" t="s">
        <v>24</v>
      </c>
      <c r="F8126" t="s">
        <v>210</v>
      </c>
      <c r="G8126" t="s">
        <v>211</v>
      </c>
      <c r="H8126" t="s">
        <v>176</v>
      </c>
      <c r="I8126">
        <v>405.01</v>
      </c>
      <c r="J8126" s="51">
        <v>0</v>
      </c>
      <c r="K8126" s="51"/>
      <c r="L8126" s="51">
        <v>1110.3800000000001</v>
      </c>
      <c r="M8126" s="91" t="e">
        <f t="shared" si="501"/>
        <v>#DIV/0!</v>
      </c>
    </row>
    <row r="8127" spans="1:13" hidden="1" x14ac:dyDescent="0.3">
      <c r="A8127" s="9">
        <v>155</v>
      </c>
      <c r="B8127" t="s">
        <v>355</v>
      </c>
      <c r="C8127" s="25">
        <v>44594</v>
      </c>
      <c r="D8127" s="26">
        <v>0.46535879629629634</v>
      </c>
      <c r="E8127" t="s">
        <v>25</v>
      </c>
      <c r="F8127" t="s">
        <v>175</v>
      </c>
      <c r="G8127" t="s">
        <v>172</v>
      </c>
      <c r="H8127" t="s">
        <v>176</v>
      </c>
      <c r="I8127">
        <v>142.9</v>
      </c>
      <c r="J8127" s="51">
        <v>0</v>
      </c>
      <c r="K8127" s="51">
        <f t="shared" ref="K8127:K8174" si="502">+L8127-J8127</f>
        <v>976.13</v>
      </c>
      <c r="L8127" s="51">
        <v>976.13</v>
      </c>
      <c r="M8127" s="91">
        <f t="shared" si="501"/>
        <v>14.639443516744697</v>
      </c>
    </row>
    <row r="8128" spans="1:13" hidden="1" x14ac:dyDescent="0.3">
      <c r="A8128" s="9">
        <v>156</v>
      </c>
      <c r="B8128" t="s">
        <v>355</v>
      </c>
      <c r="C8128" s="25">
        <v>44595</v>
      </c>
      <c r="D8128" s="26">
        <v>0.5060069444444445</v>
      </c>
      <c r="E8128" t="s">
        <v>25</v>
      </c>
      <c r="F8128" t="s">
        <v>210</v>
      </c>
      <c r="G8128" t="s">
        <v>211</v>
      </c>
      <c r="H8128" t="s">
        <v>176</v>
      </c>
      <c r="I8128">
        <v>414.51</v>
      </c>
      <c r="J8128" s="51">
        <v>0</v>
      </c>
      <c r="K8128" s="51">
        <f t="shared" si="502"/>
        <v>818.13</v>
      </c>
      <c r="L8128" s="51">
        <v>818.13</v>
      </c>
      <c r="M8128" s="91">
        <f t="shared" si="501"/>
        <v>50.665542151002896</v>
      </c>
    </row>
    <row r="8129" spans="1:13" hidden="1" x14ac:dyDescent="0.3">
      <c r="A8129" s="9">
        <v>157</v>
      </c>
      <c r="B8129" t="s">
        <v>355</v>
      </c>
      <c r="C8129" s="25">
        <v>44596</v>
      </c>
      <c r="D8129" s="26">
        <v>0.51969907407407401</v>
      </c>
      <c r="E8129" t="s">
        <v>25</v>
      </c>
      <c r="F8129" t="s">
        <v>210</v>
      </c>
      <c r="G8129" t="s">
        <v>211</v>
      </c>
      <c r="H8129" t="s">
        <v>176</v>
      </c>
      <c r="I8129">
        <v>373.07</v>
      </c>
      <c r="J8129" s="51">
        <v>0</v>
      </c>
      <c r="K8129" s="51">
        <f t="shared" si="502"/>
        <v>1058.33</v>
      </c>
      <c r="L8129" s="51">
        <v>1058.33</v>
      </c>
      <c r="M8129" s="91">
        <f t="shared" si="501"/>
        <v>35.250819687621068</v>
      </c>
    </row>
    <row r="8130" spans="1:13" hidden="1" x14ac:dyDescent="0.3">
      <c r="A8130" s="9">
        <v>158</v>
      </c>
      <c r="B8130" t="s">
        <v>355</v>
      </c>
      <c r="C8130" s="25">
        <v>44597</v>
      </c>
      <c r="D8130" s="26">
        <v>0.49403935185185183</v>
      </c>
      <c r="E8130" t="s">
        <v>25</v>
      </c>
      <c r="F8130" t="s">
        <v>175</v>
      </c>
      <c r="G8130" t="s">
        <v>172</v>
      </c>
      <c r="H8130" t="s">
        <v>176</v>
      </c>
      <c r="I8130">
        <v>150.91999999999999</v>
      </c>
      <c r="J8130" s="51">
        <v>0</v>
      </c>
      <c r="K8130" s="51">
        <f t="shared" si="502"/>
        <v>1038.3399999999999</v>
      </c>
      <c r="L8130" s="51">
        <v>1038.3399999999999</v>
      </c>
      <c r="M8130" s="91">
        <f t="shared" si="501"/>
        <v>14.53473813972302</v>
      </c>
    </row>
    <row r="8131" spans="1:13" hidden="1" x14ac:dyDescent="0.3">
      <c r="A8131" s="9">
        <v>159</v>
      </c>
      <c r="B8131" t="s">
        <v>355</v>
      </c>
      <c r="C8131" s="25">
        <v>44598</v>
      </c>
      <c r="D8131" s="26">
        <v>0.82392361111111112</v>
      </c>
      <c r="E8131" t="s">
        <v>25</v>
      </c>
      <c r="F8131" t="s">
        <v>210</v>
      </c>
      <c r="G8131" t="s">
        <v>211</v>
      </c>
      <c r="H8131" t="s">
        <v>176</v>
      </c>
      <c r="I8131">
        <v>445.83</v>
      </c>
      <c r="J8131" s="51">
        <v>0</v>
      </c>
      <c r="K8131" s="51">
        <f t="shared" si="502"/>
        <v>817.54</v>
      </c>
      <c r="L8131" s="51">
        <v>817.54</v>
      </c>
      <c r="M8131" s="91">
        <f t="shared" si="501"/>
        <v>54.533111529711086</v>
      </c>
    </row>
    <row r="8132" spans="1:13" hidden="1" x14ac:dyDescent="0.3">
      <c r="A8132" s="9">
        <v>160</v>
      </c>
      <c r="B8132" t="s">
        <v>355</v>
      </c>
      <c r="C8132" s="25">
        <v>44600</v>
      </c>
      <c r="D8132" s="26">
        <v>0.38440972222222225</v>
      </c>
      <c r="E8132" t="s">
        <v>25</v>
      </c>
      <c r="F8132" t="s">
        <v>210</v>
      </c>
      <c r="G8132" t="s">
        <v>211</v>
      </c>
      <c r="H8132" t="s">
        <v>176</v>
      </c>
      <c r="I8132">
        <v>391.59</v>
      </c>
      <c r="J8132" s="51">
        <v>0</v>
      </c>
      <c r="K8132" s="51">
        <f t="shared" si="502"/>
        <v>1056.96</v>
      </c>
      <c r="L8132" s="51">
        <v>1056.96</v>
      </c>
      <c r="M8132" s="91">
        <f t="shared" si="501"/>
        <v>37.048705722070842</v>
      </c>
    </row>
    <row r="8133" spans="1:13" hidden="1" x14ac:dyDescent="0.3">
      <c r="A8133" s="9">
        <v>161</v>
      </c>
      <c r="B8133" t="s">
        <v>355</v>
      </c>
      <c r="C8133" s="25">
        <v>44601</v>
      </c>
      <c r="D8133" s="26">
        <v>0.92641203703703701</v>
      </c>
      <c r="E8133" t="s">
        <v>25</v>
      </c>
      <c r="F8133" t="s">
        <v>175</v>
      </c>
      <c r="G8133" t="s">
        <v>172</v>
      </c>
      <c r="H8133" t="s">
        <v>176</v>
      </c>
      <c r="I8133">
        <v>381.95</v>
      </c>
      <c r="J8133" s="51">
        <v>0</v>
      </c>
      <c r="K8133" s="51">
        <f t="shared" si="502"/>
        <v>1223.28</v>
      </c>
      <c r="L8133" s="51">
        <v>1223.28</v>
      </c>
      <c r="M8133" s="91">
        <f t="shared" si="501"/>
        <v>31.223432084232556</v>
      </c>
    </row>
    <row r="8134" spans="1:13" hidden="1" x14ac:dyDescent="0.3">
      <c r="A8134" s="9">
        <v>162</v>
      </c>
      <c r="B8134" t="s">
        <v>355</v>
      </c>
      <c r="C8134" s="25">
        <v>44602</v>
      </c>
      <c r="D8134" s="26">
        <v>0.62451388888888892</v>
      </c>
      <c r="E8134" t="s">
        <v>25</v>
      </c>
      <c r="F8134" t="s">
        <v>210</v>
      </c>
      <c r="G8134" t="s">
        <v>211</v>
      </c>
      <c r="H8134" t="s">
        <v>176</v>
      </c>
      <c r="I8134">
        <v>250.27</v>
      </c>
      <c r="J8134" s="51">
        <v>0</v>
      </c>
      <c r="K8134" s="51">
        <f t="shared" si="502"/>
        <v>704.95</v>
      </c>
      <c r="L8134" s="52">
        <v>704.95</v>
      </c>
      <c r="M8134" s="91">
        <f t="shared" si="501"/>
        <v>35.50180863891056</v>
      </c>
    </row>
    <row r="8135" spans="1:13" hidden="1" x14ac:dyDescent="0.3">
      <c r="A8135" s="9">
        <v>163</v>
      </c>
      <c r="B8135" t="s">
        <v>355</v>
      </c>
      <c r="C8135" s="25">
        <v>44603</v>
      </c>
      <c r="D8135" s="26">
        <v>0.58959490740740739</v>
      </c>
      <c r="E8135" t="s">
        <v>25</v>
      </c>
      <c r="F8135" t="s">
        <v>210</v>
      </c>
      <c r="G8135" t="s">
        <v>211</v>
      </c>
      <c r="H8135" t="s">
        <v>176</v>
      </c>
      <c r="I8135">
        <v>385.36</v>
      </c>
      <c r="J8135" s="51">
        <v>0</v>
      </c>
      <c r="K8135" s="51">
        <f t="shared" si="502"/>
        <v>1056.75</v>
      </c>
      <c r="L8135" s="51">
        <v>1056.75</v>
      </c>
      <c r="M8135" s="91">
        <f t="shared" si="501"/>
        <v>36.466524722025078</v>
      </c>
    </row>
    <row r="8136" spans="1:13" hidden="1" x14ac:dyDescent="0.3">
      <c r="A8136" s="9">
        <v>164</v>
      </c>
      <c r="B8136" t="s">
        <v>355</v>
      </c>
      <c r="C8136" s="25">
        <v>44604</v>
      </c>
      <c r="D8136" s="26">
        <v>0.58421296296296299</v>
      </c>
      <c r="E8136" t="s">
        <v>25</v>
      </c>
      <c r="F8136" t="s">
        <v>175</v>
      </c>
      <c r="G8136" t="s">
        <v>172</v>
      </c>
      <c r="H8136" t="s">
        <v>176</v>
      </c>
      <c r="I8136">
        <v>150.82</v>
      </c>
      <c r="J8136" s="51">
        <v>0</v>
      </c>
      <c r="K8136" s="51">
        <f t="shared" si="502"/>
        <v>902.58</v>
      </c>
      <c r="L8136" s="51">
        <v>902.58</v>
      </c>
      <c r="M8136" s="91">
        <f t="shared" si="501"/>
        <v>16.70987613286357</v>
      </c>
    </row>
    <row r="8137" spans="1:13" hidden="1" x14ac:dyDescent="0.3">
      <c r="A8137" s="9">
        <v>165</v>
      </c>
      <c r="B8137" t="s">
        <v>355</v>
      </c>
      <c r="C8137" s="25">
        <v>44605</v>
      </c>
      <c r="D8137" s="26">
        <v>0.61027777777777781</v>
      </c>
      <c r="E8137" t="s">
        <v>25</v>
      </c>
      <c r="F8137" t="s">
        <v>210</v>
      </c>
      <c r="G8137" t="s">
        <v>211</v>
      </c>
      <c r="H8137" t="s">
        <v>176</v>
      </c>
      <c r="I8137">
        <v>415.01</v>
      </c>
      <c r="J8137" s="51">
        <v>0</v>
      </c>
      <c r="K8137" s="51">
        <f t="shared" si="502"/>
        <v>816.44</v>
      </c>
      <c r="L8137" s="51">
        <v>816.44</v>
      </c>
      <c r="M8137" s="91">
        <f t="shared" si="501"/>
        <v>50.831659399343486</v>
      </c>
    </row>
    <row r="8138" spans="1:13" hidden="1" x14ac:dyDescent="0.3">
      <c r="A8138" s="9">
        <v>166</v>
      </c>
      <c r="B8138" t="s">
        <v>355</v>
      </c>
      <c r="C8138" s="25">
        <v>44606</v>
      </c>
      <c r="D8138" s="26">
        <v>0.7147337962962963</v>
      </c>
      <c r="E8138" t="s">
        <v>25</v>
      </c>
      <c r="F8138" t="s">
        <v>210</v>
      </c>
      <c r="G8138" t="s">
        <v>211</v>
      </c>
      <c r="H8138" t="s">
        <v>176</v>
      </c>
      <c r="I8138">
        <v>387.03</v>
      </c>
      <c r="J8138" s="51">
        <v>0</v>
      </c>
      <c r="K8138" s="51">
        <f t="shared" si="502"/>
        <v>1057.22</v>
      </c>
      <c r="L8138" s="51">
        <v>1057.22</v>
      </c>
      <c r="M8138" s="91">
        <f t="shared" si="501"/>
        <v>36.608274531317981</v>
      </c>
    </row>
    <row r="8139" spans="1:13" hidden="1" x14ac:dyDescent="0.3">
      <c r="A8139" s="9">
        <v>167</v>
      </c>
      <c r="B8139" t="s">
        <v>355</v>
      </c>
      <c r="C8139" s="25">
        <v>44607</v>
      </c>
      <c r="D8139" s="26">
        <v>0.76314814814814813</v>
      </c>
      <c r="E8139" t="s">
        <v>25</v>
      </c>
      <c r="F8139" t="s">
        <v>175</v>
      </c>
      <c r="G8139" t="s">
        <v>172</v>
      </c>
      <c r="H8139" t="s">
        <v>176</v>
      </c>
      <c r="I8139">
        <v>143.77000000000001</v>
      </c>
      <c r="J8139" s="51">
        <v>0</v>
      </c>
      <c r="K8139" s="51">
        <f t="shared" si="502"/>
        <v>914.98</v>
      </c>
      <c r="L8139" s="52">
        <v>914.98</v>
      </c>
      <c r="M8139" s="91">
        <f t="shared" si="501"/>
        <v>15.712911757634048</v>
      </c>
    </row>
    <row r="8140" spans="1:13" hidden="1" x14ac:dyDescent="0.3">
      <c r="A8140" s="9">
        <v>168</v>
      </c>
      <c r="B8140" t="s">
        <v>355</v>
      </c>
      <c r="C8140" s="25">
        <v>44609</v>
      </c>
      <c r="D8140" s="26">
        <v>0.23342592592592593</v>
      </c>
      <c r="E8140" t="s">
        <v>25</v>
      </c>
      <c r="F8140" t="s">
        <v>210</v>
      </c>
      <c r="G8140" t="s">
        <v>211</v>
      </c>
      <c r="H8140" t="s">
        <v>176</v>
      </c>
      <c r="I8140">
        <v>405.08</v>
      </c>
      <c r="J8140" s="51">
        <v>0</v>
      </c>
      <c r="K8140" s="51">
        <f t="shared" si="502"/>
        <v>818.41</v>
      </c>
      <c r="L8140" s="52">
        <v>818.41</v>
      </c>
      <c r="M8140" s="91">
        <f t="shared" si="501"/>
        <v>49.495973900612164</v>
      </c>
    </row>
    <row r="8141" spans="1:13" hidden="1" x14ac:dyDescent="0.3">
      <c r="A8141" s="9">
        <v>169</v>
      </c>
      <c r="B8141" t="s">
        <v>355</v>
      </c>
      <c r="C8141" s="25">
        <v>44610</v>
      </c>
      <c r="D8141" s="26">
        <v>3.2870370370370376E-2</v>
      </c>
      <c r="E8141" t="s">
        <v>25</v>
      </c>
      <c r="F8141" t="s">
        <v>210</v>
      </c>
      <c r="G8141" t="s">
        <v>211</v>
      </c>
      <c r="H8141" t="s">
        <v>176</v>
      </c>
      <c r="I8141">
        <v>410.01</v>
      </c>
      <c r="J8141" s="51">
        <v>0</v>
      </c>
      <c r="K8141" s="51">
        <f t="shared" si="502"/>
        <v>1057.67</v>
      </c>
      <c r="L8141" s="51">
        <v>1057.67</v>
      </c>
      <c r="M8141" s="91">
        <f t="shared" ref="M8141:M8172" si="503">I8141/K8141*100</f>
        <v>38.765399415696763</v>
      </c>
    </row>
    <row r="8142" spans="1:13" hidden="1" x14ac:dyDescent="0.3">
      <c r="A8142" s="9">
        <v>170</v>
      </c>
      <c r="B8142" t="s">
        <v>355</v>
      </c>
      <c r="C8142" s="25">
        <v>44611</v>
      </c>
      <c r="D8142" s="26">
        <v>0.35737268518518522</v>
      </c>
      <c r="E8142" t="s">
        <v>25</v>
      </c>
      <c r="F8142" t="s">
        <v>368</v>
      </c>
      <c r="G8142" t="s">
        <v>369</v>
      </c>
      <c r="H8142" t="s">
        <v>176</v>
      </c>
      <c r="I8142">
        <v>190.61</v>
      </c>
      <c r="J8142" s="51">
        <v>0</v>
      </c>
      <c r="K8142" s="51">
        <f t="shared" si="502"/>
        <v>1037.96</v>
      </c>
      <c r="L8142" s="51">
        <v>1037.96</v>
      </c>
      <c r="M8142" s="91">
        <f t="shared" si="503"/>
        <v>18.363906123550041</v>
      </c>
    </row>
    <row r="8143" spans="1:13" hidden="1" x14ac:dyDescent="0.3">
      <c r="A8143" s="9">
        <v>171</v>
      </c>
      <c r="B8143" t="s">
        <v>355</v>
      </c>
      <c r="C8143" s="25">
        <v>44612</v>
      </c>
      <c r="D8143" s="26">
        <v>3.784722222222222E-2</v>
      </c>
      <c r="E8143" t="s">
        <v>25</v>
      </c>
      <c r="F8143" t="s">
        <v>210</v>
      </c>
      <c r="G8143" t="s">
        <v>211</v>
      </c>
      <c r="H8143" t="s">
        <v>176</v>
      </c>
      <c r="I8143">
        <v>405.01</v>
      </c>
      <c r="J8143" s="51">
        <v>0</v>
      </c>
      <c r="K8143" s="51">
        <f t="shared" si="502"/>
        <v>717.44</v>
      </c>
      <c r="L8143" s="51">
        <v>717.44</v>
      </c>
      <c r="M8143" s="91">
        <f t="shared" si="503"/>
        <v>56.452107493309548</v>
      </c>
    </row>
    <row r="8144" spans="1:13" hidden="1" x14ac:dyDescent="0.3">
      <c r="A8144" s="9">
        <v>172</v>
      </c>
      <c r="B8144" t="s">
        <v>355</v>
      </c>
      <c r="C8144" s="25">
        <v>44613</v>
      </c>
      <c r="D8144" s="26">
        <v>0.36984953703703699</v>
      </c>
      <c r="E8144" t="s">
        <v>25</v>
      </c>
      <c r="F8144" t="s">
        <v>210</v>
      </c>
      <c r="G8144" t="s">
        <v>211</v>
      </c>
      <c r="H8144" t="s">
        <v>176</v>
      </c>
      <c r="I8144">
        <v>370.03</v>
      </c>
      <c r="J8144" s="51">
        <v>0</v>
      </c>
      <c r="K8144" s="51">
        <f t="shared" si="502"/>
        <v>1057.3699999999999</v>
      </c>
      <c r="L8144" s="51">
        <v>1057.3699999999999</v>
      </c>
      <c r="M8144" s="91">
        <f t="shared" si="503"/>
        <v>34.995318573441651</v>
      </c>
    </row>
    <row r="8145" spans="1:13" hidden="1" x14ac:dyDescent="0.3">
      <c r="A8145" s="9">
        <v>173</v>
      </c>
      <c r="B8145" t="s">
        <v>355</v>
      </c>
      <c r="C8145" s="25">
        <v>44614</v>
      </c>
      <c r="D8145" s="26">
        <v>0.52960648148148148</v>
      </c>
      <c r="E8145" t="s">
        <v>25</v>
      </c>
      <c r="F8145" t="s">
        <v>175</v>
      </c>
      <c r="G8145" t="s">
        <v>172</v>
      </c>
      <c r="H8145" t="s">
        <v>176</v>
      </c>
      <c r="I8145">
        <v>302.27</v>
      </c>
      <c r="J8145" s="51">
        <v>0</v>
      </c>
      <c r="K8145" s="51">
        <f t="shared" si="502"/>
        <v>903.83</v>
      </c>
      <c r="L8145" s="51">
        <v>903.83</v>
      </c>
      <c r="M8145" s="91">
        <f t="shared" si="503"/>
        <v>33.44323600677118</v>
      </c>
    </row>
    <row r="8146" spans="1:13" hidden="1" x14ac:dyDescent="0.3">
      <c r="A8146" s="9">
        <v>1250</v>
      </c>
      <c r="B8146" t="s">
        <v>355</v>
      </c>
      <c r="C8146" s="25">
        <v>44623</v>
      </c>
      <c r="D8146" s="26">
        <v>0.46942129629629631</v>
      </c>
      <c r="E8146" t="s">
        <v>26</v>
      </c>
      <c r="F8146" t="s">
        <v>175</v>
      </c>
      <c r="G8146" t="s">
        <v>172</v>
      </c>
      <c r="H8146" t="s">
        <v>176</v>
      </c>
      <c r="I8146">
        <v>148.18</v>
      </c>
      <c r="J8146" s="51">
        <v>0</v>
      </c>
      <c r="K8146" s="88">
        <f t="shared" si="502"/>
        <v>428.9</v>
      </c>
      <c r="L8146" s="51">
        <v>428.9</v>
      </c>
      <c r="M8146" s="91">
        <f t="shared" si="503"/>
        <v>34.548845884821638</v>
      </c>
    </row>
    <row r="8147" spans="1:13" hidden="1" x14ac:dyDescent="0.3">
      <c r="A8147" s="9">
        <v>1251</v>
      </c>
      <c r="B8147" t="s">
        <v>355</v>
      </c>
      <c r="C8147" s="25">
        <v>44624</v>
      </c>
      <c r="D8147" s="26">
        <v>0.67582175925925936</v>
      </c>
      <c r="E8147" t="s">
        <v>26</v>
      </c>
      <c r="F8147" t="s">
        <v>210</v>
      </c>
      <c r="G8147" t="s">
        <v>211</v>
      </c>
      <c r="H8147" t="s">
        <v>176</v>
      </c>
      <c r="I8147">
        <v>278.17</v>
      </c>
      <c r="J8147" s="51">
        <v>0</v>
      </c>
      <c r="K8147" s="88">
        <f t="shared" si="502"/>
        <v>818.36</v>
      </c>
      <c r="L8147" s="51">
        <v>818.36</v>
      </c>
      <c r="M8147" s="91">
        <f t="shared" si="503"/>
        <v>33.991153037782887</v>
      </c>
    </row>
    <row r="8148" spans="1:13" hidden="1" x14ac:dyDescent="0.3">
      <c r="A8148" s="9">
        <v>1252</v>
      </c>
      <c r="B8148" t="s">
        <v>355</v>
      </c>
      <c r="C8148" s="25">
        <v>44625</v>
      </c>
      <c r="D8148" s="26">
        <v>0.92164351851851845</v>
      </c>
      <c r="E8148" t="s">
        <v>26</v>
      </c>
      <c r="F8148" t="s">
        <v>210</v>
      </c>
      <c r="G8148" t="s">
        <v>211</v>
      </c>
      <c r="H8148" t="s">
        <v>176</v>
      </c>
      <c r="I8148">
        <v>333.05</v>
      </c>
      <c r="J8148" s="51">
        <v>0</v>
      </c>
      <c r="K8148" s="88">
        <f t="shared" si="502"/>
        <v>1057.93</v>
      </c>
      <c r="L8148" s="51">
        <v>1057.93</v>
      </c>
      <c r="M8148" s="91">
        <f t="shared" si="503"/>
        <v>31.481288932159973</v>
      </c>
    </row>
    <row r="8149" spans="1:13" hidden="1" x14ac:dyDescent="0.3">
      <c r="A8149" s="9">
        <v>1253</v>
      </c>
      <c r="B8149" t="s">
        <v>355</v>
      </c>
      <c r="C8149" s="25">
        <v>44627</v>
      </c>
      <c r="D8149" s="26">
        <v>0.88703703703703696</v>
      </c>
      <c r="E8149" t="s">
        <v>26</v>
      </c>
      <c r="F8149" t="s">
        <v>205</v>
      </c>
      <c r="G8149" t="s">
        <v>206</v>
      </c>
      <c r="H8149" t="s">
        <v>176</v>
      </c>
      <c r="I8149">
        <v>200.11</v>
      </c>
      <c r="J8149" s="51">
        <v>0</v>
      </c>
      <c r="K8149" s="88">
        <f t="shared" si="502"/>
        <v>1031.2</v>
      </c>
      <c r="L8149" s="51">
        <v>1031.2</v>
      </c>
      <c r="M8149" s="91">
        <f t="shared" si="503"/>
        <v>19.405546935608999</v>
      </c>
    </row>
    <row r="8150" spans="1:13" hidden="1" x14ac:dyDescent="0.3">
      <c r="A8150" s="9">
        <v>1254</v>
      </c>
      <c r="B8150" t="s">
        <v>355</v>
      </c>
      <c r="C8150" s="25">
        <v>44628</v>
      </c>
      <c r="D8150" s="26">
        <v>0.65715277777777781</v>
      </c>
      <c r="E8150" t="s">
        <v>26</v>
      </c>
      <c r="F8150" t="s">
        <v>210</v>
      </c>
      <c r="G8150" t="s">
        <v>211</v>
      </c>
      <c r="H8150" t="s">
        <v>176</v>
      </c>
      <c r="I8150">
        <v>397.26</v>
      </c>
      <c r="J8150" s="51">
        <v>0</v>
      </c>
      <c r="K8150" s="88">
        <f t="shared" si="502"/>
        <v>688.51</v>
      </c>
      <c r="L8150" s="51">
        <v>688.51</v>
      </c>
      <c r="M8150" s="91">
        <f t="shared" si="503"/>
        <v>57.698508373153622</v>
      </c>
    </row>
    <row r="8151" spans="1:13" hidden="1" x14ac:dyDescent="0.3">
      <c r="A8151" s="9">
        <v>1255</v>
      </c>
      <c r="B8151" t="s">
        <v>355</v>
      </c>
      <c r="C8151" s="25">
        <v>44629</v>
      </c>
      <c r="D8151" s="26">
        <v>0.84157407407407403</v>
      </c>
      <c r="E8151" t="s">
        <v>26</v>
      </c>
      <c r="F8151" t="s">
        <v>210</v>
      </c>
      <c r="G8151" t="s">
        <v>211</v>
      </c>
      <c r="H8151" t="s">
        <v>176</v>
      </c>
      <c r="I8151">
        <v>340.11</v>
      </c>
      <c r="J8151" s="51">
        <v>0</v>
      </c>
      <c r="K8151" s="88">
        <f t="shared" si="502"/>
        <v>1058.3599999999999</v>
      </c>
      <c r="L8151" s="51">
        <v>1058.3599999999999</v>
      </c>
      <c r="M8151" s="91">
        <f t="shared" si="503"/>
        <v>32.135568237650709</v>
      </c>
    </row>
    <row r="8152" spans="1:13" hidden="1" x14ac:dyDescent="0.3">
      <c r="A8152" s="9">
        <v>1256</v>
      </c>
      <c r="B8152" t="s">
        <v>355</v>
      </c>
      <c r="C8152" s="25">
        <v>44632</v>
      </c>
      <c r="D8152" s="26">
        <v>0.63890046296296299</v>
      </c>
      <c r="E8152" t="s">
        <v>26</v>
      </c>
      <c r="F8152" t="s">
        <v>197</v>
      </c>
      <c r="G8152" t="s">
        <v>44</v>
      </c>
      <c r="H8152" t="s">
        <v>176</v>
      </c>
      <c r="I8152">
        <v>300.02</v>
      </c>
      <c r="J8152" s="51">
        <v>0</v>
      </c>
      <c r="K8152" s="88">
        <f t="shared" si="502"/>
        <v>1200</v>
      </c>
      <c r="L8152" s="51">
        <v>1200</v>
      </c>
      <c r="M8152" s="91">
        <f t="shared" si="503"/>
        <v>25.001666666666665</v>
      </c>
    </row>
    <row r="8153" spans="1:13" hidden="1" x14ac:dyDescent="0.3">
      <c r="A8153" s="9">
        <v>1257</v>
      </c>
      <c r="B8153" t="s">
        <v>355</v>
      </c>
      <c r="C8153" s="25">
        <v>44633</v>
      </c>
      <c r="D8153" s="26">
        <v>0.52973379629629636</v>
      </c>
      <c r="E8153" t="s">
        <v>26</v>
      </c>
      <c r="F8153" t="s">
        <v>210</v>
      </c>
      <c r="G8153" t="s">
        <v>211</v>
      </c>
      <c r="H8153" t="s">
        <v>176</v>
      </c>
      <c r="I8153">
        <v>282.60000000000002</v>
      </c>
      <c r="J8153" s="51">
        <v>0</v>
      </c>
      <c r="K8153" s="88">
        <f t="shared" si="502"/>
        <v>586.27</v>
      </c>
      <c r="L8153" s="51">
        <v>586.27</v>
      </c>
      <c r="M8153" s="91">
        <f t="shared" si="503"/>
        <v>48.203046377948731</v>
      </c>
    </row>
    <row r="8154" spans="1:13" hidden="1" x14ac:dyDescent="0.3">
      <c r="A8154" s="9">
        <v>1258</v>
      </c>
      <c r="B8154" t="s">
        <v>355</v>
      </c>
      <c r="C8154" s="25">
        <v>44634</v>
      </c>
      <c r="D8154" s="26">
        <v>0.37937500000000002</v>
      </c>
      <c r="E8154" t="s">
        <v>26</v>
      </c>
      <c r="F8154" t="s">
        <v>210</v>
      </c>
      <c r="G8154" t="s">
        <v>211</v>
      </c>
      <c r="H8154" t="s">
        <v>176</v>
      </c>
      <c r="I8154">
        <v>269.5</v>
      </c>
      <c r="J8154" s="51">
        <v>0</v>
      </c>
      <c r="K8154" s="88">
        <f t="shared" si="502"/>
        <v>876.56</v>
      </c>
      <c r="L8154" s="51">
        <v>876.56</v>
      </c>
      <c r="M8154" s="91">
        <f t="shared" si="503"/>
        <v>30.745185726019898</v>
      </c>
    </row>
    <row r="8155" spans="1:13" hidden="1" x14ac:dyDescent="0.3">
      <c r="A8155" s="9">
        <v>1259</v>
      </c>
      <c r="B8155" t="s">
        <v>355</v>
      </c>
      <c r="C8155" s="25">
        <v>44636</v>
      </c>
      <c r="D8155" s="26">
        <v>0.33716435185185184</v>
      </c>
      <c r="E8155" t="s">
        <v>26</v>
      </c>
      <c r="F8155" t="s">
        <v>175</v>
      </c>
      <c r="G8155" t="s">
        <v>172</v>
      </c>
      <c r="H8155" t="s">
        <v>176</v>
      </c>
      <c r="I8155">
        <v>334.4</v>
      </c>
      <c r="J8155" s="51">
        <v>0</v>
      </c>
      <c r="K8155" s="88">
        <f t="shared" si="502"/>
        <v>1082.82</v>
      </c>
      <c r="L8155" s="51">
        <v>1082.82</v>
      </c>
      <c r="M8155" s="91">
        <f t="shared" si="503"/>
        <v>30.882325778984505</v>
      </c>
    </row>
    <row r="8156" spans="1:13" hidden="1" x14ac:dyDescent="0.3">
      <c r="A8156" s="9">
        <v>1260</v>
      </c>
      <c r="B8156" t="s">
        <v>355</v>
      </c>
      <c r="C8156" s="25">
        <v>44636</v>
      </c>
      <c r="D8156" s="26">
        <v>0.88219907407407405</v>
      </c>
      <c r="E8156" t="s">
        <v>26</v>
      </c>
      <c r="F8156" t="s">
        <v>210</v>
      </c>
      <c r="G8156" t="s">
        <v>211</v>
      </c>
      <c r="H8156" t="s">
        <v>176</v>
      </c>
      <c r="I8156">
        <v>230.62</v>
      </c>
      <c r="J8156" s="51">
        <v>0</v>
      </c>
      <c r="K8156" s="88">
        <f t="shared" si="502"/>
        <v>690.75</v>
      </c>
      <c r="L8156" s="51">
        <v>690.75</v>
      </c>
      <c r="M8156" s="91">
        <f t="shared" si="503"/>
        <v>33.38689829895042</v>
      </c>
    </row>
    <row r="8157" spans="1:13" hidden="1" x14ac:dyDescent="0.3">
      <c r="A8157" s="9">
        <v>1261</v>
      </c>
      <c r="B8157" t="s">
        <v>355</v>
      </c>
      <c r="C8157" s="25">
        <v>44637</v>
      </c>
      <c r="D8157" s="26">
        <v>0.99524305555555559</v>
      </c>
      <c r="E8157" t="s">
        <v>26</v>
      </c>
      <c r="F8157" t="s">
        <v>210</v>
      </c>
      <c r="G8157" t="s">
        <v>211</v>
      </c>
      <c r="H8157" t="s">
        <v>176</v>
      </c>
      <c r="I8157">
        <v>353.45</v>
      </c>
      <c r="J8157" s="51">
        <v>0</v>
      </c>
      <c r="K8157" s="88">
        <f t="shared" si="502"/>
        <v>1056.54</v>
      </c>
      <c r="L8157" s="51">
        <v>1056.54</v>
      </c>
      <c r="M8157" s="91">
        <f t="shared" si="503"/>
        <v>33.453537017055673</v>
      </c>
    </row>
    <row r="8158" spans="1:13" hidden="1" x14ac:dyDescent="0.3">
      <c r="A8158" s="9">
        <v>1262</v>
      </c>
      <c r="B8158" t="s">
        <v>355</v>
      </c>
      <c r="C8158" s="25">
        <v>44639</v>
      </c>
      <c r="D8158" s="26">
        <v>0.49932870370370369</v>
      </c>
      <c r="E8158" t="s">
        <v>26</v>
      </c>
      <c r="F8158" t="s">
        <v>175</v>
      </c>
      <c r="G8158" t="s">
        <v>172</v>
      </c>
      <c r="H8158" t="s">
        <v>176</v>
      </c>
      <c r="I8158">
        <f>147.25+146.65</f>
        <v>293.89999999999998</v>
      </c>
      <c r="J8158" s="51">
        <v>0</v>
      </c>
      <c r="K8158" s="88">
        <f t="shared" si="502"/>
        <v>977.22</v>
      </c>
      <c r="L8158" s="51">
        <v>977.22</v>
      </c>
      <c r="M8158" s="91">
        <f t="shared" si="503"/>
        <v>30.075111029246226</v>
      </c>
    </row>
    <row r="8159" spans="1:13" hidden="1" x14ac:dyDescent="0.3">
      <c r="A8159" s="9">
        <v>1263</v>
      </c>
      <c r="B8159" t="s">
        <v>355</v>
      </c>
      <c r="C8159" s="25">
        <v>44647</v>
      </c>
      <c r="D8159" s="26">
        <v>0.43738425925925922</v>
      </c>
      <c r="E8159" t="s">
        <v>26</v>
      </c>
      <c r="F8159" t="s">
        <v>210</v>
      </c>
      <c r="G8159" t="s">
        <v>211</v>
      </c>
      <c r="H8159" t="s">
        <v>176</v>
      </c>
      <c r="I8159">
        <v>330.08</v>
      </c>
      <c r="J8159" s="51">
        <v>0</v>
      </c>
      <c r="K8159" s="88">
        <f t="shared" si="502"/>
        <v>878.24</v>
      </c>
      <c r="L8159" s="52">
        <v>878.24</v>
      </c>
      <c r="M8159" s="91">
        <f t="shared" si="503"/>
        <v>37.584259427946797</v>
      </c>
    </row>
    <row r="8160" spans="1:13" hidden="1" x14ac:dyDescent="0.3">
      <c r="A8160" s="9">
        <v>1264</v>
      </c>
      <c r="B8160" t="s">
        <v>355</v>
      </c>
      <c r="C8160" s="25">
        <v>44648</v>
      </c>
      <c r="D8160" s="26">
        <v>0.85450231481481476</v>
      </c>
      <c r="E8160" t="s">
        <v>26</v>
      </c>
      <c r="F8160" t="s">
        <v>210</v>
      </c>
      <c r="G8160" t="s">
        <v>211</v>
      </c>
      <c r="H8160" t="s">
        <v>176</v>
      </c>
      <c r="I8160">
        <v>333.32</v>
      </c>
      <c r="J8160" s="51">
        <v>0</v>
      </c>
      <c r="K8160" s="88">
        <f t="shared" si="502"/>
        <v>887.98</v>
      </c>
      <c r="L8160" s="51">
        <v>887.98</v>
      </c>
      <c r="M8160" s="91">
        <f t="shared" si="503"/>
        <v>37.536881461294172</v>
      </c>
    </row>
    <row r="8161" spans="1:13" hidden="1" x14ac:dyDescent="0.3">
      <c r="A8161" s="9">
        <v>1265</v>
      </c>
      <c r="B8161" t="s">
        <v>355</v>
      </c>
      <c r="C8161" s="25">
        <v>44651</v>
      </c>
      <c r="D8161" s="26">
        <v>0.86209490740740735</v>
      </c>
      <c r="E8161" t="s">
        <v>26</v>
      </c>
      <c r="F8161" t="s">
        <v>197</v>
      </c>
      <c r="G8161" t="s">
        <v>44</v>
      </c>
      <c r="H8161" t="s">
        <v>176</v>
      </c>
      <c r="I8161">
        <v>100.09</v>
      </c>
      <c r="J8161" s="51">
        <v>0</v>
      </c>
      <c r="K8161" s="88">
        <f t="shared" si="502"/>
        <v>1437.78</v>
      </c>
      <c r="L8161" s="51">
        <v>1437.78</v>
      </c>
      <c r="M8161" s="91">
        <f t="shared" si="503"/>
        <v>6.9614266438537182</v>
      </c>
    </row>
    <row r="8162" spans="1:13" hidden="1" x14ac:dyDescent="0.3">
      <c r="A8162" s="9">
        <v>2462</v>
      </c>
      <c r="B8162" t="s">
        <v>355</v>
      </c>
      <c r="C8162" s="25">
        <v>44652</v>
      </c>
      <c r="D8162" s="26">
        <v>0.28726851851851848</v>
      </c>
      <c r="E8162" t="s">
        <v>27</v>
      </c>
      <c r="F8162" t="s">
        <v>311</v>
      </c>
      <c r="G8162" t="s">
        <v>303</v>
      </c>
      <c r="H8162" t="s">
        <v>176</v>
      </c>
      <c r="I8162" s="4">
        <f>100+1.96+50.18</f>
        <v>152.13999999999999</v>
      </c>
      <c r="J8162" s="51">
        <v>0</v>
      </c>
      <c r="K8162" s="88">
        <f t="shared" si="502"/>
        <v>660</v>
      </c>
      <c r="L8162" s="51">
        <v>660</v>
      </c>
      <c r="M8162" s="91">
        <f t="shared" si="503"/>
        <v>23.051515151515151</v>
      </c>
    </row>
    <row r="8163" spans="1:13" hidden="1" x14ac:dyDescent="0.3">
      <c r="A8163" s="9">
        <v>2463</v>
      </c>
      <c r="B8163" t="s">
        <v>355</v>
      </c>
      <c r="C8163" s="25">
        <v>44652</v>
      </c>
      <c r="D8163" s="26">
        <v>0.67724537037037036</v>
      </c>
      <c r="E8163" t="s">
        <v>27</v>
      </c>
      <c r="F8163" t="s">
        <v>210</v>
      </c>
      <c r="G8163" t="s">
        <v>211</v>
      </c>
      <c r="H8163" t="s">
        <v>176</v>
      </c>
      <c r="I8163" s="4">
        <v>391.79</v>
      </c>
      <c r="J8163" s="51">
        <v>0</v>
      </c>
      <c r="K8163" s="88">
        <f t="shared" si="502"/>
        <v>585.6</v>
      </c>
      <c r="L8163" s="51">
        <v>585.6</v>
      </c>
      <c r="M8163" s="91">
        <f t="shared" si="503"/>
        <v>66.904030054644821</v>
      </c>
    </row>
    <row r="8164" spans="1:13" hidden="1" x14ac:dyDescent="0.3">
      <c r="A8164" s="9">
        <v>2464</v>
      </c>
      <c r="B8164" t="s">
        <v>355</v>
      </c>
      <c r="C8164" s="25">
        <v>44654</v>
      </c>
      <c r="D8164" s="26">
        <v>0.69646990740740744</v>
      </c>
      <c r="E8164" t="s">
        <v>27</v>
      </c>
      <c r="F8164" t="s">
        <v>210</v>
      </c>
      <c r="G8164" t="s">
        <v>211</v>
      </c>
      <c r="H8164" t="s">
        <v>176</v>
      </c>
      <c r="I8164" s="4">
        <v>350.02</v>
      </c>
      <c r="J8164" s="51">
        <v>0</v>
      </c>
      <c r="K8164" s="88">
        <f t="shared" si="502"/>
        <v>1060</v>
      </c>
      <c r="L8164" s="51">
        <v>1060</v>
      </c>
      <c r="M8164" s="91">
        <f t="shared" si="503"/>
        <v>33.020754716981131</v>
      </c>
    </row>
    <row r="8165" spans="1:13" hidden="1" x14ac:dyDescent="0.3">
      <c r="A8165" s="9">
        <v>3361</v>
      </c>
      <c r="B8165" t="s">
        <v>355</v>
      </c>
      <c r="C8165" s="25">
        <v>44660</v>
      </c>
      <c r="D8165" s="26">
        <v>0.75741898148148146</v>
      </c>
      <c r="E8165" t="s">
        <v>27</v>
      </c>
      <c r="F8165" t="s">
        <v>175</v>
      </c>
      <c r="G8165" t="s">
        <v>172</v>
      </c>
      <c r="H8165" t="s">
        <v>119</v>
      </c>
      <c r="I8165" s="4">
        <v>473.54</v>
      </c>
      <c r="J8165" s="51">
        <v>0</v>
      </c>
      <c r="K8165" s="88">
        <f t="shared" si="502"/>
        <v>1080.6500000000001</v>
      </c>
      <c r="L8165" s="52">
        <v>1080.6500000000001</v>
      </c>
      <c r="M8165" s="91">
        <f t="shared" si="503"/>
        <v>43.819923194373757</v>
      </c>
    </row>
    <row r="8166" spans="1:13" hidden="1" x14ac:dyDescent="0.3">
      <c r="A8166" s="9">
        <v>3362</v>
      </c>
      <c r="B8166" t="s">
        <v>355</v>
      </c>
      <c r="C8166" s="25">
        <v>44661</v>
      </c>
      <c r="D8166" s="26">
        <v>0.56177083333333333</v>
      </c>
      <c r="E8166" t="s">
        <v>27</v>
      </c>
      <c r="F8166" t="s">
        <v>210</v>
      </c>
      <c r="G8166" t="s">
        <v>211</v>
      </c>
      <c r="H8166" t="s">
        <v>119</v>
      </c>
      <c r="I8166" s="4">
        <v>294.3</v>
      </c>
      <c r="J8166" s="51">
        <v>0</v>
      </c>
      <c r="K8166" s="88">
        <f t="shared" si="502"/>
        <v>696.37</v>
      </c>
      <c r="L8166" s="52">
        <v>696.37</v>
      </c>
      <c r="M8166" s="91">
        <f t="shared" si="503"/>
        <v>42.262015882361389</v>
      </c>
    </row>
    <row r="8167" spans="1:13" hidden="1" x14ac:dyDescent="0.3">
      <c r="A8167" s="9">
        <v>3363</v>
      </c>
      <c r="B8167" t="s">
        <v>355</v>
      </c>
      <c r="C8167" s="25">
        <v>44662</v>
      </c>
      <c r="D8167" s="26">
        <v>0.9161689814814814</v>
      </c>
      <c r="E8167" t="s">
        <v>27</v>
      </c>
      <c r="F8167" t="s">
        <v>210</v>
      </c>
      <c r="G8167" t="s">
        <v>211</v>
      </c>
      <c r="H8167" t="s">
        <v>119</v>
      </c>
      <c r="I8167" s="4">
        <v>400.03</v>
      </c>
      <c r="J8167" s="51">
        <v>0</v>
      </c>
      <c r="K8167" s="88">
        <f t="shared" si="502"/>
        <v>1062.28</v>
      </c>
      <c r="L8167" s="52">
        <v>1062.28</v>
      </c>
      <c r="M8167" s="91">
        <f t="shared" si="503"/>
        <v>37.657679707798323</v>
      </c>
    </row>
    <row r="8168" spans="1:13" hidden="1" x14ac:dyDescent="0.3">
      <c r="A8168" s="9">
        <v>3364</v>
      </c>
      <c r="B8168" t="s">
        <v>355</v>
      </c>
      <c r="C8168" s="25">
        <v>44665</v>
      </c>
      <c r="D8168" s="26">
        <v>0.47721064814814818</v>
      </c>
      <c r="E8168" t="s">
        <v>27</v>
      </c>
      <c r="F8168" t="s">
        <v>534</v>
      </c>
      <c r="G8168" t="s">
        <v>535</v>
      </c>
      <c r="H8168" t="s">
        <v>119</v>
      </c>
      <c r="I8168" s="4">
        <v>314.49</v>
      </c>
      <c r="J8168" s="51">
        <v>0</v>
      </c>
      <c r="K8168" s="88">
        <f t="shared" si="502"/>
        <v>888</v>
      </c>
      <c r="L8168" s="52">
        <v>888</v>
      </c>
      <c r="M8168" s="91">
        <f t="shared" si="503"/>
        <v>35.41554054054054</v>
      </c>
    </row>
    <row r="8169" spans="1:13" hidden="1" x14ac:dyDescent="0.3">
      <c r="A8169" s="9">
        <v>3365</v>
      </c>
      <c r="B8169" t="s">
        <v>355</v>
      </c>
      <c r="C8169" s="25">
        <v>44666</v>
      </c>
      <c r="D8169" s="26">
        <v>0.92842592592592599</v>
      </c>
      <c r="E8169" t="s">
        <v>27</v>
      </c>
      <c r="F8169" t="s">
        <v>210</v>
      </c>
      <c r="G8169" t="s">
        <v>211</v>
      </c>
      <c r="H8169" t="s">
        <v>119</v>
      </c>
      <c r="I8169" s="4">
        <v>350.06</v>
      </c>
      <c r="J8169" s="51">
        <v>0</v>
      </c>
      <c r="K8169" s="88">
        <f t="shared" si="502"/>
        <v>886.98</v>
      </c>
      <c r="L8169" s="52">
        <v>886.98</v>
      </c>
      <c r="M8169" s="91">
        <f t="shared" si="503"/>
        <v>39.466504318022956</v>
      </c>
    </row>
    <row r="8170" spans="1:13" hidden="1" x14ac:dyDescent="0.3">
      <c r="A8170" s="9">
        <v>3366</v>
      </c>
      <c r="B8170" t="s">
        <v>355</v>
      </c>
      <c r="C8170" s="25">
        <v>44668</v>
      </c>
      <c r="D8170" s="26">
        <v>0.51415509259259262</v>
      </c>
      <c r="E8170" t="s">
        <v>27</v>
      </c>
      <c r="F8170" t="s">
        <v>210</v>
      </c>
      <c r="G8170" t="s">
        <v>211</v>
      </c>
      <c r="H8170" t="s">
        <v>119</v>
      </c>
      <c r="I8170" s="4">
        <v>400.03</v>
      </c>
      <c r="J8170" s="51">
        <v>0</v>
      </c>
      <c r="K8170" s="88">
        <f t="shared" si="502"/>
        <v>1063</v>
      </c>
      <c r="L8170" s="52">
        <v>1063</v>
      </c>
      <c r="M8170" s="91">
        <f t="shared" si="503"/>
        <v>37.63217309501411</v>
      </c>
    </row>
    <row r="8171" spans="1:13" hidden="1" x14ac:dyDescent="0.3">
      <c r="A8171" s="9">
        <v>3367</v>
      </c>
      <c r="B8171" t="s">
        <v>355</v>
      </c>
      <c r="C8171" s="25">
        <v>44669</v>
      </c>
      <c r="D8171" s="26">
        <v>0.58797453703703706</v>
      </c>
      <c r="E8171" t="s">
        <v>27</v>
      </c>
      <c r="F8171" t="s">
        <v>175</v>
      </c>
      <c r="G8171" t="s">
        <v>172</v>
      </c>
      <c r="H8171" t="s">
        <v>119</v>
      </c>
      <c r="I8171" s="4">
        <v>331.58</v>
      </c>
      <c r="J8171" s="51">
        <v>0</v>
      </c>
      <c r="K8171" s="88">
        <f t="shared" si="502"/>
        <v>916.25</v>
      </c>
      <c r="L8171" s="52">
        <v>916.25</v>
      </c>
      <c r="M8171" s="91">
        <f t="shared" si="503"/>
        <v>36.188813096862212</v>
      </c>
    </row>
    <row r="8172" spans="1:13" hidden="1" x14ac:dyDescent="0.3">
      <c r="A8172" s="9">
        <v>3368</v>
      </c>
      <c r="B8172" t="s">
        <v>355</v>
      </c>
      <c r="C8172" s="25">
        <v>44677</v>
      </c>
      <c r="D8172" s="26">
        <v>0.45194444444444443</v>
      </c>
      <c r="E8172" t="s">
        <v>27</v>
      </c>
      <c r="F8172" t="s">
        <v>175</v>
      </c>
      <c r="G8172" t="s">
        <v>172</v>
      </c>
      <c r="H8172" t="s">
        <v>119</v>
      </c>
      <c r="I8172">
        <v>158.07</v>
      </c>
      <c r="J8172" s="51">
        <v>0</v>
      </c>
      <c r="K8172" s="88">
        <f t="shared" si="502"/>
        <v>410.55</v>
      </c>
      <c r="L8172" s="51">
        <v>410.55</v>
      </c>
      <c r="M8172" s="91">
        <f t="shared" si="503"/>
        <v>38.502009499451951</v>
      </c>
    </row>
    <row r="8173" spans="1:13" hidden="1" x14ac:dyDescent="0.3">
      <c r="A8173" s="9">
        <v>3369</v>
      </c>
      <c r="B8173" t="s">
        <v>355</v>
      </c>
      <c r="C8173" s="25">
        <v>44678</v>
      </c>
      <c r="D8173" s="26">
        <v>0.6482175925925926</v>
      </c>
      <c r="E8173" t="s">
        <v>27</v>
      </c>
      <c r="F8173" t="s">
        <v>210</v>
      </c>
      <c r="G8173" t="s">
        <v>211</v>
      </c>
      <c r="H8173" t="s">
        <v>119</v>
      </c>
      <c r="I8173">
        <v>354.76</v>
      </c>
      <c r="J8173" s="51">
        <v>0</v>
      </c>
      <c r="K8173" s="88">
        <f t="shared" si="502"/>
        <v>831.43</v>
      </c>
      <c r="L8173" s="51">
        <v>831.43</v>
      </c>
      <c r="M8173" s="91">
        <f t="shared" ref="M8173:M8204" si="504">I8173/K8173*100</f>
        <v>42.668655208496212</v>
      </c>
    </row>
    <row r="8174" spans="1:13" hidden="1" x14ac:dyDescent="0.3">
      <c r="A8174" s="9">
        <v>3370</v>
      </c>
      <c r="B8174" t="s">
        <v>355</v>
      </c>
      <c r="C8174" s="25">
        <v>44679</v>
      </c>
      <c r="D8174" s="26">
        <v>0.7974768518518518</v>
      </c>
      <c r="E8174" t="s">
        <v>27</v>
      </c>
      <c r="F8174" t="s">
        <v>165</v>
      </c>
      <c r="G8174" t="s">
        <v>185</v>
      </c>
      <c r="H8174" t="s">
        <v>119</v>
      </c>
      <c r="I8174">
        <v>447.63</v>
      </c>
      <c r="J8174" s="51">
        <v>0</v>
      </c>
      <c r="K8174" s="88">
        <f t="shared" si="502"/>
        <v>987.99</v>
      </c>
      <c r="L8174" s="51">
        <v>987.99</v>
      </c>
      <c r="M8174" s="91">
        <f t="shared" si="504"/>
        <v>45.307138736222022</v>
      </c>
    </row>
    <row r="8175" spans="1:13" hidden="1" x14ac:dyDescent="0.3">
      <c r="A8175" s="9">
        <v>3738</v>
      </c>
      <c r="B8175" t="s">
        <v>355</v>
      </c>
      <c r="C8175" s="25">
        <v>44683</v>
      </c>
      <c r="D8175" s="26">
        <v>0.44920138888888889</v>
      </c>
      <c r="E8175" t="s">
        <v>28</v>
      </c>
      <c r="F8175" t="s">
        <v>340</v>
      </c>
      <c r="G8175" t="s">
        <v>337</v>
      </c>
      <c r="H8175" t="s">
        <v>119</v>
      </c>
      <c r="I8175">
        <v>250.03</v>
      </c>
      <c r="J8175" s="51">
        <v>0</v>
      </c>
      <c r="K8175" s="88">
        <f>+L8175-J8304</f>
        <v>824</v>
      </c>
      <c r="L8175" s="52">
        <v>824</v>
      </c>
      <c r="M8175" s="91">
        <f t="shared" si="504"/>
        <v>30.34344660194175</v>
      </c>
    </row>
    <row r="8176" spans="1:13" hidden="1" x14ac:dyDescent="0.3">
      <c r="A8176" s="9">
        <v>3777</v>
      </c>
      <c r="B8176" t="s">
        <v>355</v>
      </c>
      <c r="C8176" s="25">
        <v>44684</v>
      </c>
      <c r="D8176" s="26">
        <v>0.50329861111111118</v>
      </c>
      <c r="E8176" t="s">
        <v>28</v>
      </c>
      <c r="F8176" t="s">
        <v>165</v>
      </c>
      <c r="G8176" t="s">
        <v>185</v>
      </c>
      <c r="H8176" t="s">
        <v>119</v>
      </c>
      <c r="I8176">
        <v>329.07</v>
      </c>
      <c r="J8176" s="51">
        <v>0</v>
      </c>
      <c r="K8176" s="88">
        <f>+L8176-J8306</f>
        <v>803.21</v>
      </c>
      <c r="L8176" s="51">
        <v>803.21</v>
      </c>
      <c r="M8176" s="91">
        <f t="shared" si="504"/>
        <v>40.969360441229561</v>
      </c>
    </row>
    <row r="8177" spans="1:13" hidden="1" x14ac:dyDescent="0.3">
      <c r="A8177" s="9">
        <v>3778</v>
      </c>
      <c r="B8177" t="s">
        <v>355</v>
      </c>
      <c r="C8177" s="25">
        <v>44684</v>
      </c>
      <c r="D8177" s="26">
        <v>0.88025462962962964</v>
      </c>
      <c r="E8177" t="s">
        <v>28</v>
      </c>
      <c r="F8177" t="s">
        <v>210</v>
      </c>
      <c r="G8177" t="s">
        <v>211</v>
      </c>
      <c r="H8177" t="s">
        <v>119</v>
      </c>
      <c r="I8177">
        <v>149</v>
      </c>
      <c r="J8177" s="51">
        <v>0</v>
      </c>
      <c r="K8177" s="88">
        <f>+L8177-J8307</f>
        <v>514</v>
      </c>
      <c r="L8177" s="51">
        <v>514</v>
      </c>
      <c r="M8177" s="91">
        <f t="shared" si="504"/>
        <v>28.988326848249031</v>
      </c>
    </row>
    <row r="8178" spans="1:13" hidden="1" x14ac:dyDescent="0.3">
      <c r="A8178" s="9">
        <v>3843</v>
      </c>
      <c r="B8178" t="s">
        <v>355</v>
      </c>
      <c r="C8178" s="25">
        <v>44685</v>
      </c>
      <c r="D8178" s="26">
        <v>0.85214120370370372</v>
      </c>
      <c r="E8178" t="s">
        <v>28</v>
      </c>
      <c r="F8178" t="s">
        <v>534</v>
      </c>
      <c r="G8178" t="s">
        <v>535</v>
      </c>
      <c r="H8178" t="s">
        <v>119</v>
      </c>
      <c r="I8178">
        <v>308.56</v>
      </c>
      <c r="J8178" s="51">
        <v>0</v>
      </c>
      <c r="K8178" s="88">
        <f>+L8178-J8304</f>
        <v>871</v>
      </c>
      <c r="L8178" s="52">
        <v>871</v>
      </c>
      <c r="M8178" s="91">
        <f t="shared" si="504"/>
        <v>35.425947187141219</v>
      </c>
    </row>
    <row r="8179" spans="1:13" hidden="1" x14ac:dyDescent="0.3">
      <c r="A8179" s="9">
        <v>3955</v>
      </c>
      <c r="B8179" t="s">
        <v>355</v>
      </c>
      <c r="C8179" s="25">
        <v>44687</v>
      </c>
      <c r="D8179" s="26">
        <v>0.85371527777777778</v>
      </c>
      <c r="E8179" t="s">
        <v>28</v>
      </c>
      <c r="F8179" t="s">
        <v>210</v>
      </c>
      <c r="G8179" t="s">
        <v>211</v>
      </c>
      <c r="H8179" t="s">
        <v>119</v>
      </c>
      <c r="I8179">
        <v>376.04</v>
      </c>
      <c r="J8179" s="51">
        <v>0</v>
      </c>
      <c r="K8179" s="88">
        <f>+L8179-J8305</f>
        <v>891</v>
      </c>
      <c r="L8179" s="52">
        <v>891</v>
      </c>
      <c r="M8179" s="91">
        <f t="shared" si="504"/>
        <v>42.204264870931539</v>
      </c>
    </row>
    <row r="8180" spans="1:13" hidden="1" x14ac:dyDescent="0.3">
      <c r="A8180" s="9">
        <v>4047</v>
      </c>
      <c r="B8180" t="s">
        <v>355</v>
      </c>
      <c r="C8180" s="25">
        <v>44689</v>
      </c>
      <c r="D8180" s="26">
        <v>0.48609953703703707</v>
      </c>
      <c r="E8180" t="s">
        <v>28</v>
      </c>
      <c r="F8180" t="s">
        <v>210</v>
      </c>
      <c r="G8180" t="s">
        <v>211</v>
      </c>
      <c r="H8180" t="s">
        <v>119</v>
      </c>
      <c r="I8180">
        <v>380.01</v>
      </c>
      <c r="J8180" s="51">
        <v>0</v>
      </c>
      <c r="K8180" s="88">
        <f>+L8180-J8306</f>
        <v>1063</v>
      </c>
      <c r="L8180" s="52">
        <v>1063</v>
      </c>
      <c r="M8180" s="91">
        <f t="shared" si="504"/>
        <v>35.748824082784566</v>
      </c>
    </row>
    <row r="8181" spans="1:13" hidden="1" x14ac:dyDescent="0.3">
      <c r="A8181" s="9">
        <v>4093</v>
      </c>
      <c r="B8181" t="s">
        <v>355</v>
      </c>
      <c r="C8181" s="25">
        <v>44690</v>
      </c>
      <c r="D8181" s="26">
        <v>0.64597222222222228</v>
      </c>
      <c r="E8181" t="s">
        <v>28</v>
      </c>
      <c r="F8181" t="s">
        <v>262</v>
      </c>
      <c r="G8181" t="s">
        <v>263</v>
      </c>
      <c r="H8181" t="s">
        <v>119</v>
      </c>
      <c r="I8181">
        <v>200</v>
      </c>
      <c r="J8181" s="51">
        <v>0</v>
      </c>
      <c r="K8181" s="88">
        <f>+L8181-J8307</f>
        <v>874</v>
      </c>
      <c r="L8181" s="52">
        <v>874</v>
      </c>
      <c r="M8181" s="91">
        <f t="shared" si="504"/>
        <v>22.883295194508012</v>
      </c>
    </row>
    <row r="8182" spans="1:13" hidden="1" x14ac:dyDescent="0.3">
      <c r="A8182" s="9">
        <v>4138</v>
      </c>
      <c r="B8182" t="s">
        <v>355</v>
      </c>
      <c r="C8182" s="25">
        <v>44691</v>
      </c>
      <c r="D8182" s="26">
        <v>0.85548611111111106</v>
      </c>
      <c r="E8182" t="s">
        <v>28</v>
      </c>
      <c r="F8182" t="s">
        <v>166</v>
      </c>
      <c r="G8182" t="s">
        <v>161</v>
      </c>
      <c r="H8182" t="s">
        <v>119</v>
      </c>
      <c r="I8182">
        <v>318.45999999999998</v>
      </c>
      <c r="J8182" s="51">
        <v>0</v>
      </c>
      <c r="K8182" s="88">
        <f>+L8182-J8310</f>
        <v>511</v>
      </c>
      <c r="L8182" s="52">
        <v>511</v>
      </c>
      <c r="M8182" s="91">
        <f t="shared" si="504"/>
        <v>62.320939334637956</v>
      </c>
    </row>
    <row r="8183" spans="1:13" hidden="1" x14ac:dyDescent="0.3">
      <c r="A8183" s="9">
        <v>4140</v>
      </c>
      <c r="B8183" t="s">
        <v>355</v>
      </c>
      <c r="C8183" s="25">
        <v>44691</v>
      </c>
      <c r="D8183" s="26">
        <v>0.53038194444444442</v>
      </c>
      <c r="E8183" t="s">
        <v>28</v>
      </c>
      <c r="F8183" t="s">
        <v>197</v>
      </c>
      <c r="G8183" t="s">
        <v>44</v>
      </c>
      <c r="H8183" t="s">
        <v>119</v>
      </c>
      <c r="I8183">
        <v>102.36</v>
      </c>
      <c r="J8183" s="51">
        <v>0</v>
      </c>
      <c r="K8183" s="88">
        <f>+L8183-J8311</f>
        <v>298</v>
      </c>
      <c r="L8183" s="52">
        <v>298</v>
      </c>
      <c r="M8183" s="91">
        <f t="shared" si="504"/>
        <v>34.348993288590599</v>
      </c>
    </row>
    <row r="8184" spans="1:13" hidden="1" x14ac:dyDescent="0.3">
      <c r="A8184" s="9">
        <v>4229</v>
      </c>
      <c r="B8184" t="s">
        <v>355</v>
      </c>
      <c r="C8184" s="25">
        <v>44693</v>
      </c>
      <c r="D8184" s="26">
        <v>0.47876157407407405</v>
      </c>
      <c r="E8184" t="s">
        <v>28</v>
      </c>
      <c r="F8184" t="s">
        <v>210</v>
      </c>
      <c r="G8184" t="s">
        <v>211</v>
      </c>
      <c r="H8184" t="s">
        <v>119</v>
      </c>
      <c r="I8184">
        <v>414.54</v>
      </c>
      <c r="J8184" s="51">
        <v>0</v>
      </c>
      <c r="K8184" s="88">
        <f>+L8184-J8313</f>
        <v>1147</v>
      </c>
      <c r="L8184" s="52">
        <v>1147</v>
      </c>
      <c r="M8184" s="91">
        <f t="shared" si="504"/>
        <v>36.141238012205754</v>
      </c>
    </row>
    <row r="8185" spans="1:13" hidden="1" x14ac:dyDescent="0.3">
      <c r="A8185" s="9">
        <v>4285</v>
      </c>
      <c r="B8185" t="s">
        <v>355</v>
      </c>
      <c r="C8185" s="25">
        <v>44694</v>
      </c>
      <c r="D8185" s="26">
        <v>0.63805555555555549</v>
      </c>
      <c r="E8185" t="s">
        <v>28</v>
      </c>
      <c r="F8185" t="s">
        <v>428</v>
      </c>
      <c r="G8185" t="s">
        <v>429</v>
      </c>
      <c r="H8185" t="s">
        <v>119</v>
      </c>
      <c r="I8185">
        <v>100.06</v>
      </c>
      <c r="J8185" s="51">
        <v>0</v>
      </c>
      <c r="K8185" s="88" t="e">
        <f>+L8185-#REF!</f>
        <v>#REF!</v>
      </c>
      <c r="L8185" s="52">
        <v>930</v>
      </c>
      <c r="M8185" s="91" t="e">
        <f t="shared" si="504"/>
        <v>#REF!</v>
      </c>
    </row>
    <row r="8186" spans="1:13" hidden="1" x14ac:dyDescent="0.3">
      <c r="A8186" s="9">
        <v>4326</v>
      </c>
      <c r="B8186" t="s">
        <v>355</v>
      </c>
      <c r="C8186" s="25">
        <v>44695</v>
      </c>
      <c r="D8186" s="26">
        <v>0.88671296296296298</v>
      </c>
      <c r="E8186" t="s">
        <v>28</v>
      </c>
      <c r="F8186" t="s">
        <v>166</v>
      </c>
      <c r="G8186" t="s">
        <v>161</v>
      </c>
      <c r="H8186" t="s">
        <v>119</v>
      </c>
      <c r="I8186">
        <v>100</v>
      </c>
      <c r="J8186" s="51">
        <v>0</v>
      </c>
      <c r="K8186" s="88">
        <f>+L8186-J8392</f>
        <v>620</v>
      </c>
      <c r="L8186" s="52">
        <v>620</v>
      </c>
      <c r="M8186" s="91">
        <f t="shared" si="504"/>
        <v>16.129032258064516</v>
      </c>
    </row>
    <row r="8187" spans="1:13" hidden="1" x14ac:dyDescent="0.3">
      <c r="A8187" s="9">
        <v>4348</v>
      </c>
      <c r="B8187" t="s">
        <v>355</v>
      </c>
      <c r="C8187" s="25">
        <v>44695</v>
      </c>
      <c r="D8187" s="26">
        <v>0.34681712962962963</v>
      </c>
      <c r="E8187" t="s">
        <v>28</v>
      </c>
      <c r="F8187" t="s">
        <v>175</v>
      </c>
      <c r="G8187" t="s">
        <v>172</v>
      </c>
      <c r="H8187" t="s">
        <v>119</v>
      </c>
      <c r="I8187">
        <v>412.19</v>
      </c>
      <c r="J8187" s="51">
        <v>0</v>
      </c>
      <c r="K8187" s="88">
        <f>+L8187-J8393</f>
        <v>-104</v>
      </c>
      <c r="L8187" s="52">
        <v>303</v>
      </c>
      <c r="M8187" s="91">
        <f t="shared" si="504"/>
        <v>-396.33653846153845</v>
      </c>
    </row>
    <row r="8188" spans="1:13" hidden="1" x14ac:dyDescent="0.3">
      <c r="A8188" s="9">
        <v>4418</v>
      </c>
      <c r="B8188" t="s">
        <v>355</v>
      </c>
      <c r="C8188" s="25">
        <v>44696</v>
      </c>
      <c r="D8188" s="26">
        <v>7.175925925925927E-4</v>
      </c>
      <c r="E8188" t="s">
        <v>28</v>
      </c>
      <c r="F8188" t="s">
        <v>210</v>
      </c>
      <c r="G8188" t="s">
        <v>211</v>
      </c>
      <c r="H8188" t="s">
        <v>119</v>
      </c>
      <c r="I8188">
        <v>191.51</v>
      </c>
      <c r="J8188" s="51">
        <v>0</v>
      </c>
      <c r="K8188" s="88">
        <f>+L8188-J8394</f>
        <v>76</v>
      </c>
      <c r="L8188" s="52">
        <v>76</v>
      </c>
      <c r="M8188" s="91">
        <f t="shared" si="504"/>
        <v>251.98684210526318</v>
      </c>
    </row>
    <row r="8189" spans="1:13" hidden="1" x14ac:dyDescent="0.3">
      <c r="A8189" s="9">
        <v>4419</v>
      </c>
      <c r="B8189" t="s">
        <v>355</v>
      </c>
      <c r="C8189" s="25">
        <v>44696</v>
      </c>
      <c r="D8189" s="26">
        <v>0.74784722222222222</v>
      </c>
      <c r="E8189" t="s">
        <v>28</v>
      </c>
      <c r="F8189" t="s">
        <v>165</v>
      </c>
      <c r="G8189" t="s">
        <v>185</v>
      </c>
      <c r="H8189" t="s">
        <v>119</v>
      </c>
      <c r="I8189">
        <v>254.94</v>
      </c>
      <c r="J8189" s="51">
        <v>0</v>
      </c>
      <c r="K8189" s="88">
        <f>+L8189-J8395</f>
        <v>550</v>
      </c>
      <c r="L8189" s="52">
        <v>550</v>
      </c>
      <c r="M8189" s="91">
        <f t="shared" si="504"/>
        <v>46.352727272727272</v>
      </c>
    </row>
    <row r="8190" spans="1:13" hidden="1" x14ac:dyDescent="0.3">
      <c r="A8190" s="9">
        <v>4471</v>
      </c>
      <c r="B8190" t="s">
        <v>355</v>
      </c>
      <c r="C8190" s="25">
        <v>44697</v>
      </c>
      <c r="D8190" s="26">
        <v>0.80439814814814825</v>
      </c>
      <c r="E8190" t="s">
        <v>28</v>
      </c>
      <c r="F8190" t="s">
        <v>210</v>
      </c>
      <c r="G8190" t="s">
        <v>211</v>
      </c>
      <c r="H8190" t="s">
        <v>119</v>
      </c>
      <c r="I8190">
        <v>228.64</v>
      </c>
      <c r="J8190" s="51">
        <v>0</v>
      </c>
      <c r="K8190" s="88">
        <f>+L8190-J8396</f>
        <v>-83</v>
      </c>
      <c r="L8190" s="52">
        <v>565</v>
      </c>
      <c r="M8190" s="91">
        <f t="shared" si="504"/>
        <v>-275.46987951807228</v>
      </c>
    </row>
    <row r="8191" spans="1:13" hidden="1" x14ac:dyDescent="0.3">
      <c r="A8191" s="9">
        <v>4576</v>
      </c>
      <c r="B8191" t="s">
        <v>355</v>
      </c>
      <c r="C8191" s="25">
        <v>44699</v>
      </c>
      <c r="D8191" s="26">
        <v>0.48395833333333332</v>
      </c>
      <c r="E8191" t="s">
        <v>28</v>
      </c>
      <c r="F8191" t="s">
        <v>534</v>
      </c>
      <c r="G8191" t="s">
        <v>535</v>
      </c>
      <c r="H8191" t="s">
        <v>119</v>
      </c>
      <c r="I8191">
        <v>410.17</v>
      </c>
      <c r="J8191" s="51">
        <v>0</v>
      </c>
      <c r="K8191" s="88" t="e">
        <f>+L8191-#REF!</f>
        <v>#REF!</v>
      </c>
      <c r="L8191" s="52">
        <v>936</v>
      </c>
      <c r="M8191" s="91" t="e">
        <f t="shared" si="504"/>
        <v>#REF!</v>
      </c>
    </row>
    <row r="8192" spans="1:13" hidden="1" x14ac:dyDescent="0.3">
      <c r="A8192" s="9">
        <v>4629</v>
      </c>
      <c r="B8192" t="s">
        <v>355</v>
      </c>
      <c r="C8192" s="25">
        <v>44700</v>
      </c>
      <c r="D8192" s="26">
        <v>0.80965277777777767</v>
      </c>
      <c r="E8192" t="s">
        <v>28</v>
      </c>
      <c r="F8192" t="s">
        <v>210</v>
      </c>
      <c r="G8192" t="s">
        <v>211</v>
      </c>
      <c r="H8192" t="s">
        <v>119</v>
      </c>
      <c r="I8192">
        <v>384.18</v>
      </c>
      <c r="J8192" s="51">
        <v>0</v>
      </c>
      <c r="K8192" s="88">
        <f>+L8192-J8397</f>
        <v>886</v>
      </c>
      <c r="L8192" s="52">
        <v>886</v>
      </c>
      <c r="M8192" s="91">
        <f t="shared" si="504"/>
        <v>43.361173814898422</v>
      </c>
    </row>
    <row r="8193" spans="1:19" hidden="1" x14ac:dyDescent="0.3">
      <c r="A8193" s="9">
        <v>4682</v>
      </c>
      <c r="B8193" t="s">
        <v>355</v>
      </c>
      <c r="C8193" s="25">
        <v>44701</v>
      </c>
      <c r="D8193" s="26">
        <v>0.73045138888888894</v>
      </c>
      <c r="E8193" t="s">
        <v>28</v>
      </c>
      <c r="F8193" t="s">
        <v>210</v>
      </c>
      <c r="G8193" t="s">
        <v>211</v>
      </c>
      <c r="H8193" t="s">
        <v>119</v>
      </c>
      <c r="I8193">
        <v>400.03</v>
      </c>
      <c r="J8193" s="51">
        <v>0</v>
      </c>
      <c r="K8193" s="88">
        <f>+L8193-J8376</f>
        <v>-12</v>
      </c>
      <c r="L8193" s="52">
        <v>1063</v>
      </c>
      <c r="M8193" s="91">
        <f t="shared" si="504"/>
        <v>-3333.5833333333335</v>
      </c>
    </row>
    <row r="8194" spans="1:19" hidden="1" x14ac:dyDescent="0.3">
      <c r="A8194" s="9">
        <v>4740</v>
      </c>
      <c r="B8194" t="s">
        <v>355</v>
      </c>
      <c r="C8194" s="25">
        <v>44702</v>
      </c>
      <c r="D8194" s="26">
        <v>0.6890856481481481</v>
      </c>
      <c r="E8194" t="s">
        <v>28</v>
      </c>
      <c r="F8194" t="s">
        <v>262</v>
      </c>
      <c r="G8194" t="s">
        <v>263</v>
      </c>
      <c r="H8194" t="s">
        <v>119</v>
      </c>
      <c r="I8194">
        <v>244.94</v>
      </c>
      <c r="J8194" s="51">
        <v>0</v>
      </c>
      <c r="K8194" s="88" t="e">
        <f>+L8194-#REF!</f>
        <v>#REF!</v>
      </c>
      <c r="L8194" s="52">
        <v>833</v>
      </c>
      <c r="M8194" s="91" t="e">
        <f t="shared" si="504"/>
        <v>#REF!</v>
      </c>
    </row>
    <row r="8195" spans="1:19" hidden="1" x14ac:dyDescent="0.3">
      <c r="A8195" s="9">
        <v>5217</v>
      </c>
      <c r="B8195" t="s">
        <v>355</v>
      </c>
      <c r="C8195" s="25">
        <v>44711</v>
      </c>
      <c r="D8195" s="26">
        <v>0.91483796296296294</v>
      </c>
      <c r="E8195" t="s">
        <v>28</v>
      </c>
      <c r="F8195" t="s">
        <v>632</v>
      </c>
      <c r="G8195" t="s">
        <v>161</v>
      </c>
      <c r="H8195" t="s">
        <v>119</v>
      </c>
      <c r="I8195">
        <v>365.59</v>
      </c>
      <c r="J8195" s="52">
        <v>0</v>
      </c>
      <c r="K8195" s="88" t="e">
        <f>+L8195-#REF!</f>
        <v>#REF!</v>
      </c>
      <c r="L8195" s="51">
        <v>855</v>
      </c>
      <c r="M8195" s="91" t="e">
        <f t="shared" si="504"/>
        <v>#REF!</v>
      </c>
    </row>
    <row r="8196" spans="1:19" hidden="1" x14ac:dyDescent="0.3">
      <c r="A8196" s="9">
        <v>5251</v>
      </c>
      <c r="B8196" t="s">
        <v>355</v>
      </c>
      <c r="C8196" s="25">
        <v>44712</v>
      </c>
      <c r="D8196" s="26">
        <v>0.72799768518518515</v>
      </c>
      <c r="E8196" t="s">
        <v>28</v>
      </c>
      <c r="F8196" t="s">
        <v>635</v>
      </c>
      <c r="G8196" t="s">
        <v>185</v>
      </c>
      <c r="H8196" t="s">
        <v>119</v>
      </c>
      <c r="I8196">
        <v>295.10000000000002</v>
      </c>
      <c r="J8196" s="52">
        <v>0</v>
      </c>
      <c r="K8196" s="88">
        <f>+L8196-J8383</f>
        <v>-1830</v>
      </c>
      <c r="L8196" s="51">
        <v>255</v>
      </c>
      <c r="M8196" s="91">
        <f t="shared" si="504"/>
        <v>-16.125683060109292</v>
      </c>
    </row>
    <row r="8197" spans="1:19" hidden="1" x14ac:dyDescent="0.3">
      <c r="A8197" s="9">
        <v>5298</v>
      </c>
      <c r="B8197" t="s">
        <v>355</v>
      </c>
      <c r="C8197" s="25">
        <v>44713</v>
      </c>
      <c r="D8197" s="26">
        <v>0.58833333333333326</v>
      </c>
      <c r="E8197" t="s">
        <v>29</v>
      </c>
      <c r="F8197" t="s">
        <v>634</v>
      </c>
      <c r="G8197" t="s">
        <v>211</v>
      </c>
      <c r="H8197" t="s">
        <v>119</v>
      </c>
      <c r="I8197">
        <v>150.01</v>
      </c>
      <c r="J8197" s="52">
        <v>0</v>
      </c>
      <c r="K8197" s="88">
        <f>+L8197-J8383</f>
        <v>-1571</v>
      </c>
      <c r="L8197" s="51">
        <v>514</v>
      </c>
      <c r="M8197" s="91">
        <f t="shared" si="504"/>
        <v>-9.5486950986632699</v>
      </c>
    </row>
    <row r="8198" spans="1:19" hidden="1" x14ac:dyDescent="0.3">
      <c r="A8198" s="9">
        <v>5367</v>
      </c>
      <c r="B8198" t="s">
        <v>355</v>
      </c>
      <c r="C8198" s="25">
        <v>44714</v>
      </c>
      <c r="D8198" s="26">
        <v>0.66590277777777784</v>
      </c>
      <c r="E8198" t="s">
        <v>29</v>
      </c>
      <c r="F8198" t="s">
        <v>679</v>
      </c>
      <c r="G8198" t="s">
        <v>392</v>
      </c>
      <c r="H8198" t="s">
        <v>119</v>
      </c>
      <c r="I8198">
        <v>305.43</v>
      </c>
      <c r="J8198" s="52">
        <v>0</v>
      </c>
      <c r="K8198" s="88">
        <f>+L8198-J8382</f>
        <v>903</v>
      </c>
      <c r="L8198" s="51">
        <v>903</v>
      </c>
      <c r="M8198" s="91">
        <f t="shared" si="504"/>
        <v>33.823920265780735</v>
      </c>
    </row>
    <row r="8199" spans="1:19" hidden="1" x14ac:dyDescent="0.3">
      <c r="A8199" s="9">
        <v>5425</v>
      </c>
      <c r="B8199" t="s">
        <v>355</v>
      </c>
      <c r="C8199" s="25">
        <v>44715</v>
      </c>
      <c r="D8199" s="26">
        <v>0.67038194444444443</v>
      </c>
      <c r="E8199" t="s">
        <v>29</v>
      </c>
      <c r="F8199" t="s">
        <v>632</v>
      </c>
      <c r="G8199" t="s">
        <v>161</v>
      </c>
      <c r="H8199" t="s">
        <v>119</v>
      </c>
      <c r="I8199">
        <v>320.04000000000002</v>
      </c>
      <c r="J8199" s="52">
        <v>0</v>
      </c>
      <c r="K8199" s="88">
        <f>+L8199-J8380</f>
        <v>727</v>
      </c>
      <c r="L8199" s="51">
        <v>727</v>
      </c>
      <c r="M8199" s="91">
        <f t="shared" si="504"/>
        <v>44.02200825309491</v>
      </c>
    </row>
    <row r="8200" spans="1:19" hidden="1" x14ac:dyDescent="0.3">
      <c r="A8200" s="9">
        <v>5525</v>
      </c>
      <c r="B8200" t="s">
        <v>355</v>
      </c>
      <c r="C8200" s="25">
        <v>44717</v>
      </c>
      <c r="D8200" s="26">
        <v>0.53238425925925925</v>
      </c>
      <c r="E8200" t="s">
        <v>29</v>
      </c>
      <c r="F8200" t="s">
        <v>634</v>
      </c>
      <c r="G8200" t="s">
        <v>211</v>
      </c>
      <c r="H8200" t="s">
        <v>119</v>
      </c>
      <c r="I8200">
        <v>434.62</v>
      </c>
      <c r="J8200" s="52">
        <v>0</v>
      </c>
      <c r="K8200" s="88">
        <f>+L8200-J8381</f>
        <v>1148</v>
      </c>
      <c r="L8200" s="51">
        <v>1148</v>
      </c>
      <c r="M8200" s="91">
        <f t="shared" si="504"/>
        <v>37.858885017421599</v>
      </c>
    </row>
    <row r="8201" spans="1:19" hidden="1" x14ac:dyDescent="0.3">
      <c r="A8201" s="9">
        <v>5624</v>
      </c>
      <c r="B8201" t="s">
        <v>355</v>
      </c>
      <c r="C8201" s="25">
        <v>44719</v>
      </c>
      <c r="D8201" s="26">
        <v>0.62385416666666671</v>
      </c>
      <c r="E8201" t="s">
        <v>29</v>
      </c>
      <c r="F8201" t="s">
        <v>638</v>
      </c>
      <c r="G8201" t="s">
        <v>263</v>
      </c>
      <c r="H8201" t="s">
        <v>119</v>
      </c>
      <c r="I8201">
        <v>400</v>
      </c>
      <c r="J8201" s="52">
        <v>0</v>
      </c>
      <c r="K8201" s="88">
        <f>+L8201-J7786</f>
        <v>1113</v>
      </c>
      <c r="L8201" s="51">
        <v>1113</v>
      </c>
      <c r="M8201" s="91">
        <f t="shared" si="504"/>
        <v>35.938903863432166</v>
      </c>
    </row>
    <row r="8202" spans="1:19" hidden="1" x14ac:dyDescent="0.3">
      <c r="A8202" s="9">
        <v>5625</v>
      </c>
      <c r="B8202" t="s">
        <v>355</v>
      </c>
      <c r="C8202" s="25">
        <v>44719</v>
      </c>
      <c r="D8202" s="26">
        <v>0.87063657407407413</v>
      </c>
      <c r="E8202" t="s">
        <v>29</v>
      </c>
      <c r="F8202" t="s">
        <v>661</v>
      </c>
      <c r="G8202" t="s">
        <v>457</v>
      </c>
      <c r="H8202" t="s">
        <v>119</v>
      </c>
      <c r="I8202" s="126">
        <v>50.04</v>
      </c>
      <c r="J8202" s="52">
        <v>0</v>
      </c>
      <c r="K8202" s="88" t="e">
        <f>+L8202-#REF!</f>
        <v>#REF!</v>
      </c>
      <c r="L8202" s="51">
        <v>322</v>
      </c>
      <c r="M8202" s="91" t="e">
        <f t="shared" si="504"/>
        <v>#REF!</v>
      </c>
    </row>
    <row r="8203" spans="1:19" hidden="1" x14ac:dyDescent="0.3">
      <c r="A8203" s="9">
        <v>5679</v>
      </c>
      <c r="B8203" t="s">
        <v>355</v>
      </c>
      <c r="C8203" s="25">
        <v>44720</v>
      </c>
      <c r="D8203" s="26">
        <v>0.62024305555555559</v>
      </c>
      <c r="E8203" t="s">
        <v>29</v>
      </c>
      <c r="F8203" t="s">
        <v>634</v>
      </c>
      <c r="G8203" t="s">
        <v>211</v>
      </c>
      <c r="H8203" t="s">
        <v>119</v>
      </c>
      <c r="I8203" s="126">
        <v>245.02</v>
      </c>
      <c r="J8203" s="52">
        <v>0</v>
      </c>
      <c r="K8203" s="88">
        <f>+L8203-J7788</f>
        <v>-801</v>
      </c>
      <c r="L8203" s="51">
        <v>328</v>
      </c>
      <c r="M8203" s="91">
        <f t="shared" si="504"/>
        <v>-30.589263420724095</v>
      </c>
    </row>
    <row r="8204" spans="1:19" hidden="1" x14ac:dyDescent="0.3">
      <c r="A8204" s="9">
        <v>5734</v>
      </c>
      <c r="B8204" t="s">
        <v>355</v>
      </c>
      <c r="C8204" s="25">
        <v>44721</v>
      </c>
      <c r="D8204" s="26">
        <v>0.86461805555555549</v>
      </c>
      <c r="E8204" t="s">
        <v>29</v>
      </c>
      <c r="F8204" t="s">
        <v>635</v>
      </c>
      <c r="G8204" t="s">
        <v>185</v>
      </c>
      <c r="H8204" t="s">
        <v>119</v>
      </c>
      <c r="I8204" s="126">
        <v>445</v>
      </c>
      <c r="J8204" s="52">
        <v>0</v>
      </c>
      <c r="K8204" s="88" t="e">
        <f>+L8204-#REF!</f>
        <v>#REF!</v>
      </c>
      <c r="L8204" s="51">
        <v>986</v>
      </c>
      <c r="M8204" s="91" t="e">
        <f t="shared" si="504"/>
        <v>#REF!</v>
      </c>
    </row>
    <row r="8205" spans="1:19" hidden="1" x14ac:dyDescent="0.3">
      <c r="A8205" s="9">
        <v>5839</v>
      </c>
      <c r="B8205" t="s">
        <v>355</v>
      </c>
      <c r="C8205" s="25">
        <v>44723</v>
      </c>
      <c r="D8205" s="26">
        <v>0.66993055555555558</v>
      </c>
      <c r="E8205" t="s">
        <v>29</v>
      </c>
      <c r="F8205" t="s">
        <v>635</v>
      </c>
      <c r="G8205" t="s">
        <v>185</v>
      </c>
      <c r="H8205" t="s">
        <v>119</v>
      </c>
      <c r="I8205" s="126">
        <v>358.68</v>
      </c>
      <c r="J8205" s="52">
        <v>0</v>
      </c>
      <c r="K8205" s="88" t="e">
        <f>+L8205-#REF!</f>
        <v>#REF!</v>
      </c>
      <c r="L8205" s="51">
        <v>877</v>
      </c>
      <c r="M8205" s="91" t="e">
        <f t="shared" ref="M8205:M8213" si="505">I8205/K8205*100</f>
        <v>#REF!</v>
      </c>
    </row>
    <row r="8206" spans="1:19" hidden="1" x14ac:dyDescent="0.3">
      <c r="A8206" s="9">
        <v>5948</v>
      </c>
      <c r="B8206" t="s">
        <v>355</v>
      </c>
      <c r="C8206" s="25">
        <v>44725</v>
      </c>
      <c r="D8206" s="26">
        <v>0.60055555555555562</v>
      </c>
      <c r="E8206" t="s">
        <v>29</v>
      </c>
      <c r="F8206" t="s">
        <v>642</v>
      </c>
      <c r="G8206" t="s">
        <v>203</v>
      </c>
      <c r="H8206" t="s">
        <v>119</v>
      </c>
      <c r="I8206" s="126">
        <v>353.8</v>
      </c>
      <c r="J8206" s="52">
        <v>0</v>
      </c>
      <c r="K8206" s="88">
        <v>1052</v>
      </c>
      <c r="L8206" s="51">
        <v>1052</v>
      </c>
      <c r="M8206" s="91">
        <f t="shared" si="505"/>
        <v>33.631178707224336</v>
      </c>
      <c r="N8206" s="2"/>
      <c r="O8206" s="2"/>
      <c r="P8206" s="2"/>
      <c r="Q8206" s="2"/>
      <c r="R8206" s="2"/>
      <c r="S8206" s="2"/>
    </row>
    <row r="8207" spans="1:19" hidden="1" x14ac:dyDescent="0.3">
      <c r="A8207" s="9">
        <v>6000</v>
      </c>
      <c r="B8207" t="s">
        <v>355</v>
      </c>
      <c r="C8207" s="25">
        <v>44726</v>
      </c>
      <c r="D8207" s="26">
        <v>0.43399305555555556</v>
      </c>
      <c r="E8207" t="s">
        <v>29</v>
      </c>
      <c r="F8207" t="s">
        <v>635</v>
      </c>
      <c r="G8207" t="s">
        <v>185</v>
      </c>
      <c r="H8207" t="s">
        <v>119</v>
      </c>
      <c r="I8207" s="126">
        <v>247.61</v>
      </c>
      <c r="J8207" s="52">
        <v>0</v>
      </c>
      <c r="K8207" s="88">
        <v>574</v>
      </c>
      <c r="L8207" s="51">
        <v>574</v>
      </c>
      <c r="M8207" s="91">
        <f t="shared" si="505"/>
        <v>43.137630662020911</v>
      </c>
    </row>
    <row r="8208" spans="1:19" hidden="1" x14ac:dyDescent="0.3">
      <c r="A8208" s="9">
        <v>6001</v>
      </c>
      <c r="B8208" t="s">
        <v>355</v>
      </c>
      <c r="C8208" s="25">
        <v>44726</v>
      </c>
      <c r="D8208" s="26">
        <v>0.82130787037037034</v>
      </c>
      <c r="E8208" t="s">
        <v>29</v>
      </c>
      <c r="F8208" t="s">
        <v>634</v>
      </c>
      <c r="G8208" t="s">
        <v>211</v>
      </c>
      <c r="H8208" t="s">
        <v>119</v>
      </c>
      <c r="I8208" s="126">
        <v>140.05000000000001</v>
      </c>
      <c r="J8208" s="52">
        <v>0</v>
      </c>
      <c r="K8208" s="88">
        <v>514</v>
      </c>
      <c r="L8208" s="51">
        <v>514</v>
      </c>
      <c r="M8208" s="91">
        <f t="shared" si="505"/>
        <v>27.247081712062261</v>
      </c>
    </row>
    <row r="8209" spans="1:13" hidden="1" x14ac:dyDescent="0.3">
      <c r="A8209" s="9">
        <v>6116</v>
      </c>
      <c r="B8209" t="s">
        <v>355</v>
      </c>
      <c r="C8209" s="25">
        <v>44728</v>
      </c>
      <c r="D8209" s="26">
        <v>0.37939814814814815</v>
      </c>
      <c r="E8209" t="s">
        <v>29</v>
      </c>
      <c r="F8209" t="s">
        <v>651</v>
      </c>
      <c r="G8209" t="s">
        <v>172</v>
      </c>
      <c r="H8209" t="s">
        <v>119</v>
      </c>
      <c r="I8209" s="126">
        <v>387.53</v>
      </c>
      <c r="J8209" s="52">
        <v>0</v>
      </c>
      <c r="K8209" s="88">
        <v>1052</v>
      </c>
      <c r="L8209" s="51">
        <v>1052</v>
      </c>
      <c r="M8209" s="91">
        <f t="shared" si="505"/>
        <v>36.837452471482884</v>
      </c>
    </row>
    <row r="8210" spans="1:13" hidden="1" x14ac:dyDescent="0.3">
      <c r="A8210" s="9">
        <v>6117</v>
      </c>
      <c r="B8210" t="s">
        <v>355</v>
      </c>
      <c r="C8210" s="25">
        <v>44728</v>
      </c>
      <c r="D8210" s="26">
        <v>0.8963310185185186</v>
      </c>
      <c r="E8210" t="s">
        <v>29</v>
      </c>
      <c r="F8210" t="s">
        <v>634</v>
      </c>
      <c r="G8210" t="s">
        <v>211</v>
      </c>
      <c r="H8210" t="s">
        <v>119</v>
      </c>
      <c r="I8210">
        <v>301.17</v>
      </c>
      <c r="J8210" s="52">
        <v>0</v>
      </c>
      <c r="K8210" s="88">
        <v>696</v>
      </c>
      <c r="L8210" s="51">
        <v>696</v>
      </c>
      <c r="M8210" s="91">
        <f t="shared" si="505"/>
        <v>43.271551724137936</v>
      </c>
    </row>
    <row r="8211" spans="1:13" hidden="1" x14ac:dyDescent="0.3">
      <c r="A8211" s="9">
        <v>6224</v>
      </c>
      <c r="B8211" t="s">
        <v>355</v>
      </c>
      <c r="C8211" s="25">
        <v>44730</v>
      </c>
      <c r="D8211" s="26">
        <v>0.40625</v>
      </c>
      <c r="E8211" t="s">
        <v>29</v>
      </c>
      <c r="F8211" t="s">
        <v>634</v>
      </c>
      <c r="G8211" t="s">
        <v>211</v>
      </c>
      <c r="H8211" t="s">
        <v>119</v>
      </c>
      <c r="I8211">
        <v>435</v>
      </c>
      <c r="J8211" s="52">
        <v>0</v>
      </c>
      <c r="K8211" s="88">
        <v>969</v>
      </c>
      <c r="L8211" s="51">
        <v>969</v>
      </c>
      <c r="M8211" s="91">
        <f t="shared" si="505"/>
        <v>44.891640866873068</v>
      </c>
    </row>
    <row r="8212" spans="1:13" hidden="1" x14ac:dyDescent="0.3">
      <c r="A8212" s="9">
        <v>6272</v>
      </c>
      <c r="B8212" t="s">
        <v>355</v>
      </c>
      <c r="C8212" s="25">
        <v>44732</v>
      </c>
      <c r="D8212" s="26">
        <v>0.43531249999999999</v>
      </c>
      <c r="E8212" t="s">
        <v>29</v>
      </c>
      <c r="F8212" t="s">
        <v>637</v>
      </c>
      <c r="G8212" t="s">
        <v>196</v>
      </c>
      <c r="H8212" t="s">
        <v>119</v>
      </c>
      <c r="I8212">
        <v>100</v>
      </c>
      <c r="J8212" s="52">
        <v>0</v>
      </c>
      <c r="K8212" s="88">
        <v>467</v>
      </c>
      <c r="L8212" s="51">
        <v>467</v>
      </c>
      <c r="M8212" s="91">
        <f t="shared" si="505"/>
        <v>21.413276231263385</v>
      </c>
    </row>
    <row r="8213" spans="1:13" hidden="1" x14ac:dyDescent="0.3">
      <c r="A8213" s="9">
        <v>6306</v>
      </c>
      <c r="B8213" t="s">
        <v>355</v>
      </c>
      <c r="C8213" s="25">
        <v>44733</v>
      </c>
      <c r="D8213" s="26">
        <v>0.81495370370370368</v>
      </c>
      <c r="E8213" t="s">
        <v>29</v>
      </c>
      <c r="F8213" t="s">
        <v>652</v>
      </c>
      <c r="G8213" t="s">
        <v>535</v>
      </c>
      <c r="H8213" t="s">
        <v>119</v>
      </c>
      <c r="I8213">
        <v>224.52</v>
      </c>
      <c r="J8213" s="52">
        <v>0</v>
      </c>
      <c r="K8213" s="88">
        <v>421</v>
      </c>
      <c r="L8213" s="51">
        <v>421</v>
      </c>
      <c r="M8213" s="91">
        <f t="shared" si="505"/>
        <v>53.330166270783849</v>
      </c>
    </row>
    <row r="8214" spans="1:13" hidden="1" x14ac:dyDescent="0.3">
      <c r="A8214" s="9">
        <v>6751</v>
      </c>
      <c r="B8214" t="s">
        <v>355</v>
      </c>
      <c r="C8214" s="25">
        <v>44742</v>
      </c>
      <c r="D8214" s="26">
        <v>0.88362268518518527</v>
      </c>
      <c r="E8214" t="s">
        <v>29</v>
      </c>
      <c r="F8214" t="s">
        <v>210</v>
      </c>
      <c r="G8214" t="s">
        <v>211</v>
      </c>
      <c r="H8214" t="s">
        <v>119</v>
      </c>
      <c r="I8214" s="148">
        <v>428.72</v>
      </c>
      <c r="J8214"/>
      <c r="K8214">
        <v>8518</v>
      </c>
      <c r="L8214">
        <f>+K8214-J8214</f>
        <v>8518</v>
      </c>
      <c r="M8214" s="139">
        <f>I8214/L8214*100</f>
        <v>5.0331063629960084</v>
      </c>
    </row>
    <row r="8215" spans="1:13" hidden="1" x14ac:dyDescent="0.3">
      <c r="B8215" t="s">
        <v>435</v>
      </c>
      <c r="C8215" s="25">
        <v>44743</v>
      </c>
      <c r="D8215" s="26">
        <v>0.64796296296296296</v>
      </c>
      <c r="E8215" t="s">
        <v>30</v>
      </c>
      <c r="F8215" t="s">
        <v>210</v>
      </c>
      <c r="G8215" t="s">
        <v>211</v>
      </c>
      <c r="H8215" t="s">
        <v>308</v>
      </c>
      <c r="I8215" s="247">
        <v>306.33999999999997</v>
      </c>
      <c r="J8215" s="164">
        <f>307+363+135+144</f>
        <v>949</v>
      </c>
      <c r="K8215" s="164">
        <v>647159</v>
      </c>
      <c r="L8215" s="164">
        <v>2661</v>
      </c>
      <c r="M8215" s="237">
        <f>+J8215/L8215*100</f>
        <v>35.663284479518978</v>
      </c>
    </row>
    <row r="8216" spans="1:13" hidden="1" x14ac:dyDescent="0.3">
      <c r="B8216" t="s">
        <v>435</v>
      </c>
      <c r="C8216" s="25">
        <v>44744</v>
      </c>
      <c r="D8216" s="26">
        <v>0.39303240740740741</v>
      </c>
      <c r="E8216" t="s">
        <v>30</v>
      </c>
      <c r="F8216" t="s">
        <v>169</v>
      </c>
      <c r="G8216" t="s">
        <v>196</v>
      </c>
      <c r="H8216" t="s">
        <v>308</v>
      </c>
      <c r="I8216" s="173">
        <v>148.01</v>
      </c>
      <c r="J8216" s="8"/>
      <c r="K8216" s="8"/>
      <c r="L8216" s="8"/>
      <c r="M8216" s="91"/>
    </row>
    <row r="8217" spans="1:13" hidden="1" x14ac:dyDescent="0.3">
      <c r="B8217" t="s">
        <v>435</v>
      </c>
      <c r="C8217" s="25">
        <v>44748</v>
      </c>
      <c r="D8217" s="26">
        <v>0.94327546296296294</v>
      </c>
      <c r="E8217" t="s">
        <v>30</v>
      </c>
      <c r="F8217" t="s">
        <v>343</v>
      </c>
      <c r="G8217" t="s">
        <v>344</v>
      </c>
      <c r="H8217" t="s">
        <v>308</v>
      </c>
      <c r="I8217" s="173">
        <v>100</v>
      </c>
      <c r="J8217" s="8"/>
      <c r="K8217" s="8"/>
      <c r="L8217" s="8"/>
      <c r="M8217" s="91"/>
    </row>
    <row r="8218" spans="1:13" hidden="1" x14ac:dyDescent="0.3">
      <c r="B8218" t="s">
        <v>435</v>
      </c>
      <c r="C8218" s="25">
        <v>44749</v>
      </c>
      <c r="D8218" s="26">
        <v>0.56364583333333329</v>
      </c>
      <c r="E8218" t="s">
        <v>30</v>
      </c>
      <c r="F8218" t="s">
        <v>210</v>
      </c>
      <c r="G8218" t="s">
        <v>211</v>
      </c>
      <c r="H8218" t="s">
        <v>308</v>
      </c>
      <c r="I8218" s="173">
        <v>413.14</v>
      </c>
      <c r="J8218" s="8"/>
      <c r="K8218" s="8"/>
      <c r="L8218" s="8"/>
      <c r="M8218" s="91"/>
    </row>
    <row r="8219" spans="1:13" hidden="1" x14ac:dyDescent="0.3">
      <c r="B8219" t="s">
        <v>435</v>
      </c>
      <c r="C8219" s="25">
        <v>44750</v>
      </c>
      <c r="D8219" s="26">
        <v>0.8227199074074073</v>
      </c>
      <c r="E8219" t="s">
        <v>30</v>
      </c>
      <c r="F8219" t="s">
        <v>210</v>
      </c>
      <c r="G8219" t="s">
        <v>211</v>
      </c>
      <c r="H8219" t="s">
        <v>308</v>
      </c>
      <c r="I8219" s="173">
        <v>398.47</v>
      </c>
      <c r="J8219" s="160">
        <f>148+100+413+398</f>
        <v>1059</v>
      </c>
      <c r="K8219" s="160"/>
      <c r="L8219" s="160">
        <v>2728</v>
      </c>
      <c r="M8219" s="149">
        <f>+J8219/L8219*100</f>
        <v>38.819648093841643</v>
      </c>
    </row>
    <row r="8220" spans="1:13" hidden="1" x14ac:dyDescent="0.3">
      <c r="B8220" t="s">
        <v>435</v>
      </c>
      <c r="C8220" s="25">
        <v>44753</v>
      </c>
      <c r="D8220" s="26">
        <v>0.44824074074074072</v>
      </c>
      <c r="E8220" t="s">
        <v>30</v>
      </c>
      <c r="F8220" t="s">
        <v>169</v>
      </c>
      <c r="G8220" t="s">
        <v>196</v>
      </c>
      <c r="H8220" t="s">
        <v>308</v>
      </c>
      <c r="I8220" s="173">
        <v>100</v>
      </c>
      <c r="J8220" s="23"/>
      <c r="K8220" s="90"/>
      <c r="L8220" s="23"/>
      <c r="M8220" s="254"/>
    </row>
    <row r="8221" spans="1:13" hidden="1" x14ac:dyDescent="0.3">
      <c r="B8221" t="s">
        <v>435</v>
      </c>
      <c r="C8221" s="25">
        <v>44753</v>
      </c>
      <c r="D8221" s="26">
        <v>0.45126157407407402</v>
      </c>
      <c r="E8221" t="s">
        <v>30</v>
      </c>
      <c r="F8221" t="s">
        <v>169</v>
      </c>
      <c r="G8221" t="s">
        <v>196</v>
      </c>
      <c r="H8221" t="s">
        <v>308</v>
      </c>
      <c r="I8221" s="173">
        <v>134.18</v>
      </c>
      <c r="J8221" s="23"/>
      <c r="K8221" s="90"/>
      <c r="L8221" s="23"/>
      <c r="M8221" s="254"/>
    </row>
    <row r="8222" spans="1:13" hidden="1" x14ac:dyDescent="0.3">
      <c r="B8222" t="s">
        <v>435</v>
      </c>
      <c r="C8222" s="25">
        <v>44754</v>
      </c>
      <c r="D8222" s="26">
        <v>8.6724537037037031E-2</v>
      </c>
      <c r="E8222" t="s">
        <v>30</v>
      </c>
      <c r="F8222" t="s">
        <v>197</v>
      </c>
      <c r="G8222" t="s">
        <v>44</v>
      </c>
      <c r="H8222" t="s">
        <v>308</v>
      </c>
      <c r="I8222" s="173">
        <v>150</v>
      </c>
      <c r="J8222" s="23"/>
      <c r="K8222" s="90"/>
      <c r="L8222" s="23"/>
      <c r="M8222" s="254"/>
    </row>
    <row r="8223" spans="1:13" hidden="1" x14ac:dyDescent="0.3">
      <c r="A8223" s="9">
        <v>6740</v>
      </c>
      <c r="B8223" t="s">
        <v>365</v>
      </c>
      <c r="C8223" s="25">
        <v>44741</v>
      </c>
      <c r="D8223" s="26">
        <v>0.65709490740740739</v>
      </c>
      <c r="E8223" t="s">
        <v>29</v>
      </c>
      <c r="F8223" t="s">
        <v>639</v>
      </c>
      <c r="G8223" t="s">
        <v>44</v>
      </c>
      <c r="H8223" t="s">
        <v>112</v>
      </c>
      <c r="I8223" s="148">
        <v>545</v>
      </c>
      <c r="J8223" s="158">
        <f>545+100+241+202+278+250</f>
        <v>1616</v>
      </c>
      <c r="K8223" s="165">
        <v>692</v>
      </c>
      <c r="L8223" s="165">
        <v>3268</v>
      </c>
      <c r="M8223" s="252">
        <f>+J8223/L8223*100</f>
        <v>49.44920440636475</v>
      </c>
    </row>
    <row r="8224" spans="1:13" hidden="1" x14ac:dyDescent="0.3">
      <c r="B8224" t="s">
        <v>435</v>
      </c>
      <c r="C8224" s="25">
        <v>44754</v>
      </c>
      <c r="D8224" s="26">
        <v>0.78583333333333327</v>
      </c>
      <c r="E8224" t="s">
        <v>30</v>
      </c>
      <c r="F8224" t="s">
        <v>210</v>
      </c>
      <c r="G8224" t="s">
        <v>211</v>
      </c>
      <c r="H8224" t="s">
        <v>308</v>
      </c>
      <c r="I8224" s="173">
        <v>353.8</v>
      </c>
      <c r="J8224" s="231">
        <f>134+100+354</f>
        <v>588</v>
      </c>
      <c r="K8224" s="231"/>
      <c r="L8224" s="231">
        <v>1834</v>
      </c>
      <c r="M8224" s="150">
        <f>+J8224/L8224*100</f>
        <v>32.061068702290072</v>
      </c>
    </row>
    <row r="8225" spans="1:13" hidden="1" x14ac:dyDescent="0.3">
      <c r="B8225" t="s">
        <v>435</v>
      </c>
      <c r="C8225" s="25">
        <v>44755</v>
      </c>
      <c r="D8225" s="26">
        <v>0.87780092592592596</v>
      </c>
      <c r="E8225" t="s">
        <v>30</v>
      </c>
      <c r="F8225" t="s">
        <v>210</v>
      </c>
      <c r="G8225" t="s">
        <v>211</v>
      </c>
      <c r="H8225" t="s">
        <v>308</v>
      </c>
      <c r="I8225" s="173">
        <v>343.68</v>
      </c>
      <c r="J8225" s="233"/>
      <c r="K8225" s="90"/>
      <c r="L8225" s="23"/>
      <c r="M8225" s="254"/>
    </row>
    <row r="8226" spans="1:13" hidden="1" x14ac:dyDescent="0.3">
      <c r="B8226" t="s">
        <v>435</v>
      </c>
      <c r="C8226" s="25">
        <v>44756</v>
      </c>
      <c r="D8226" s="26">
        <v>0.46922453703703698</v>
      </c>
      <c r="E8226" t="s">
        <v>30</v>
      </c>
      <c r="F8226" t="s">
        <v>169</v>
      </c>
      <c r="G8226" t="s">
        <v>196</v>
      </c>
      <c r="H8226" t="s">
        <v>308</v>
      </c>
      <c r="I8226" s="173">
        <v>161.75</v>
      </c>
      <c r="J8226" s="23"/>
      <c r="K8226" s="90"/>
      <c r="L8226" s="23"/>
      <c r="M8226" s="254"/>
    </row>
    <row r="8227" spans="1:13" hidden="1" x14ac:dyDescent="0.3">
      <c r="B8227" t="s">
        <v>365</v>
      </c>
      <c r="C8227" s="25">
        <v>44567</v>
      </c>
      <c r="D8227" s="26">
        <v>0.30744212962962963</v>
      </c>
      <c r="E8227" t="s">
        <v>24</v>
      </c>
      <c r="F8227" t="s">
        <v>210</v>
      </c>
      <c r="G8227" t="s">
        <v>211</v>
      </c>
      <c r="H8227" t="s">
        <v>195</v>
      </c>
      <c r="I8227">
        <v>309.88</v>
      </c>
      <c r="J8227" s="51">
        <v>542862</v>
      </c>
      <c r="K8227" s="51">
        <f t="shared" ref="K8227:K8258" si="506">+L8227-J8227</f>
        <v>725</v>
      </c>
      <c r="L8227" s="51">
        <v>543587</v>
      </c>
      <c r="M8227" s="132">
        <f t="shared" ref="M8227:M8258" si="507">I8227/K8227*100</f>
        <v>42.742068965517241</v>
      </c>
    </row>
    <row r="8228" spans="1:13" hidden="1" x14ac:dyDescent="0.3">
      <c r="B8228" t="s">
        <v>365</v>
      </c>
      <c r="C8228" s="25">
        <v>44568</v>
      </c>
      <c r="D8228" s="26">
        <v>0.69054398148148144</v>
      </c>
      <c r="E8228" t="s">
        <v>24</v>
      </c>
      <c r="F8228" t="s">
        <v>210</v>
      </c>
      <c r="G8228" t="s">
        <v>211</v>
      </c>
      <c r="H8228" t="s">
        <v>195</v>
      </c>
      <c r="I8228">
        <v>376.8</v>
      </c>
      <c r="J8228" s="51">
        <v>543587</v>
      </c>
      <c r="K8228" s="51">
        <f t="shared" si="506"/>
        <v>1088</v>
      </c>
      <c r="L8228" s="51">
        <v>544675</v>
      </c>
      <c r="M8228" s="91">
        <f t="shared" si="507"/>
        <v>34.632352941176471</v>
      </c>
    </row>
    <row r="8229" spans="1:13" hidden="1" x14ac:dyDescent="0.3">
      <c r="B8229" t="s">
        <v>365</v>
      </c>
      <c r="C8229" s="25">
        <v>44569</v>
      </c>
      <c r="D8229" s="26">
        <v>0.66184027777777776</v>
      </c>
      <c r="E8229" t="s">
        <v>24</v>
      </c>
      <c r="F8229" t="s">
        <v>175</v>
      </c>
      <c r="G8229" t="s">
        <v>172</v>
      </c>
      <c r="H8229" t="s">
        <v>195</v>
      </c>
      <c r="I8229">
        <v>313.89</v>
      </c>
      <c r="J8229" s="51">
        <v>544675</v>
      </c>
      <c r="K8229" s="51">
        <f t="shared" si="506"/>
        <v>937</v>
      </c>
      <c r="L8229" s="51">
        <v>545612</v>
      </c>
      <c r="M8229" s="91">
        <f t="shared" si="507"/>
        <v>33.499466382070437</v>
      </c>
    </row>
    <row r="8230" spans="1:13" hidden="1" x14ac:dyDescent="0.3">
      <c r="B8230" t="s">
        <v>365</v>
      </c>
      <c r="C8230" s="25">
        <v>44572</v>
      </c>
      <c r="D8230" s="26">
        <v>0.40072916666666664</v>
      </c>
      <c r="E8230" t="s">
        <v>24</v>
      </c>
      <c r="F8230" t="s">
        <v>210</v>
      </c>
      <c r="G8230" t="s">
        <v>211</v>
      </c>
      <c r="H8230" t="s">
        <v>195</v>
      </c>
      <c r="I8230">
        <v>343.41</v>
      </c>
      <c r="J8230" s="51">
        <v>545612</v>
      </c>
      <c r="K8230" s="51">
        <f t="shared" si="506"/>
        <v>896</v>
      </c>
      <c r="L8230" s="51">
        <v>546508</v>
      </c>
      <c r="M8230" s="91">
        <f t="shared" si="507"/>
        <v>38.327008928571431</v>
      </c>
    </row>
    <row r="8231" spans="1:13" hidden="1" x14ac:dyDescent="0.3">
      <c r="B8231" t="s">
        <v>365</v>
      </c>
      <c r="C8231" s="25">
        <v>44573</v>
      </c>
      <c r="D8231" s="26">
        <v>0.68578703703703703</v>
      </c>
      <c r="E8231" t="s">
        <v>24</v>
      </c>
      <c r="F8231" t="s">
        <v>210</v>
      </c>
      <c r="G8231" t="s">
        <v>211</v>
      </c>
      <c r="H8231" t="s">
        <v>195</v>
      </c>
      <c r="I8231">
        <v>370.61</v>
      </c>
      <c r="J8231" s="51">
        <v>546508</v>
      </c>
      <c r="K8231" s="51">
        <f t="shared" si="506"/>
        <v>1086</v>
      </c>
      <c r="L8231" s="51">
        <v>547594</v>
      </c>
      <c r="M8231" s="91">
        <f t="shared" si="507"/>
        <v>34.126151012891349</v>
      </c>
    </row>
    <row r="8232" spans="1:13" hidden="1" x14ac:dyDescent="0.3">
      <c r="B8232" t="s">
        <v>365</v>
      </c>
      <c r="C8232" s="25">
        <v>44574</v>
      </c>
      <c r="D8232" s="26">
        <v>0.66107638888888887</v>
      </c>
      <c r="E8232" t="s">
        <v>24</v>
      </c>
      <c r="F8232" t="s">
        <v>175</v>
      </c>
      <c r="G8232" t="s">
        <v>172</v>
      </c>
      <c r="H8232" t="s">
        <v>195</v>
      </c>
      <c r="I8232">
        <v>326.48</v>
      </c>
      <c r="J8232" s="51">
        <v>547594</v>
      </c>
      <c r="K8232" s="51">
        <f t="shared" si="506"/>
        <v>936</v>
      </c>
      <c r="L8232" s="51">
        <v>548530</v>
      </c>
      <c r="M8232" s="91">
        <f t="shared" si="507"/>
        <v>34.880341880341881</v>
      </c>
    </row>
    <row r="8233" spans="1:13" hidden="1" x14ac:dyDescent="0.3">
      <c r="B8233" t="s">
        <v>365</v>
      </c>
      <c r="C8233" s="25">
        <v>44578</v>
      </c>
      <c r="D8233" s="26">
        <v>0.97988425925925926</v>
      </c>
      <c r="E8233" t="s">
        <v>24</v>
      </c>
      <c r="F8233" t="s">
        <v>210</v>
      </c>
      <c r="G8233" t="s">
        <v>211</v>
      </c>
      <c r="H8233" t="s">
        <v>112</v>
      </c>
      <c r="I8233">
        <v>430.75</v>
      </c>
      <c r="J8233" s="51">
        <v>0</v>
      </c>
      <c r="K8233" s="51">
        <f t="shared" si="506"/>
        <v>953.14</v>
      </c>
      <c r="L8233" s="51">
        <v>953.14</v>
      </c>
      <c r="M8233" s="91">
        <f t="shared" si="507"/>
        <v>45.192731393079718</v>
      </c>
    </row>
    <row r="8234" spans="1:13" hidden="1" x14ac:dyDescent="0.3">
      <c r="B8234" t="s">
        <v>365</v>
      </c>
      <c r="C8234" s="25">
        <v>44582</v>
      </c>
      <c r="D8234" s="26">
        <v>0.90076388888888881</v>
      </c>
      <c r="E8234" t="s">
        <v>24</v>
      </c>
      <c r="F8234" t="s">
        <v>210</v>
      </c>
      <c r="G8234" t="s">
        <v>211</v>
      </c>
      <c r="H8234" t="s">
        <v>112</v>
      </c>
      <c r="I8234">
        <v>509.01</v>
      </c>
      <c r="J8234" s="51">
        <v>0</v>
      </c>
      <c r="K8234" s="51">
        <f t="shared" si="506"/>
        <v>1102.73</v>
      </c>
      <c r="L8234" s="51">
        <v>1102.73</v>
      </c>
      <c r="M8234" s="91">
        <f t="shared" si="507"/>
        <v>46.159077924786665</v>
      </c>
    </row>
    <row r="8235" spans="1:13" hidden="1" x14ac:dyDescent="0.3">
      <c r="B8235" t="s">
        <v>365</v>
      </c>
      <c r="C8235" s="25">
        <v>44585</v>
      </c>
      <c r="D8235" s="26">
        <v>0.56134259259259256</v>
      </c>
      <c r="E8235" t="s">
        <v>24</v>
      </c>
      <c r="F8235" t="s">
        <v>175</v>
      </c>
      <c r="G8235" t="s">
        <v>172</v>
      </c>
      <c r="H8235" t="s">
        <v>112</v>
      </c>
      <c r="I8235">
        <v>392.59</v>
      </c>
      <c r="J8235" s="51">
        <v>0</v>
      </c>
      <c r="K8235" s="51">
        <f t="shared" si="506"/>
        <v>999.6</v>
      </c>
      <c r="L8235" s="51">
        <v>999.6</v>
      </c>
      <c r="M8235" s="91">
        <f t="shared" si="507"/>
        <v>39.274709883953577</v>
      </c>
    </row>
    <row r="8236" spans="1:13" hidden="1" x14ac:dyDescent="0.3">
      <c r="B8236" t="s">
        <v>365</v>
      </c>
      <c r="C8236" s="25">
        <v>44586</v>
      </c>
      <c r="D8236" s="26">
        <v>0.84189814814814812</v>
      </c>
      <c r="E8236" t="s">
        <v>24</v>
      </c>
      <c r="F8236" t="s">
        <v>210</v>
      </c>
      <c r="G8236" t="s">
        <v>211</v>
      </c>
      <c r="H8236" t="s">
        <v>112</v>
      </c>
      <c r="I8236">
        <v>357.89</v>
      </c>
      <c r="J8236" s="51">
        <v>0</v>
      </c>
      <c r="K8236" s="51">
        <f t="shared" si="506"/>
        <v>844.49</v>
      </c>
      <c r="L8236" s="51">
        <v>844.49</v>
      </c>
      <c r="M8236" s="91">
        <f t="shared" si="507"/>
        <v>42.379424267901335</v>
      </c>
    </row>
    <row r="8237" spans="1:13" hidden="1" x14ac:dyDescent="0.3">
      <c r="B8237" t="s">
        <v>365</v>
      </c>
      <c r="C8237" s="25">
        <v>44588</v>
      </c>
      <c r="D8237" s="26">
        <v>1.0706018518518517E-2</v>
      </c>
      <c r="E8237" t="s">
        <v>24</v>
      </c>
      <c r="F8237" t="s">
        <v>210</v>
      </c>
      <c r="G8237" t="s">
        <v>211</v>
      </c>
      <c r="H8237" t="s">
        <v>112</v>
      </c>
      <c r="I8237">
        <v>433.29</v>
      </c>
      <c r="J8237" s="51">
        <v>0</v>
      </c>
      <c r="K8237" s="51">
        <f t="shared" si="506"/>
        <v>1048.81</v>
      </c>
      <c r="L8237" s="51">
        <v>1048.81</v>
      </c>
      <c r="M8237" s="91">
        <f t="shared" si="507"/>
        <v>41.31253515889437</v>
      </c>
    </row>
    <row r="8238" spans="1:13" hidden="1" x14ac:dyDescent="0.3">
      <c r="B8238" t="s">
        <v>365</v>
      </c>
      <c r="C8238" s="25">
        <v>44589</v>
      </c>
      <c r="D8238" s="26">
        <v>4.1030092592592597E-2</v>
      </c>
      <c r="E8238" t="s">
        <v>24</v>
      </c>
      <c r="F8238" t="s">
        <v>175</v>
      </c>
      <c r="G8238" t="s">
        <v>172</v>
      </c>
      <c r="H8238" t="s">
        <v>112</v>
      </c>
      <c r="I8238">
        <v>353.94</v>
      </c>
      <c r="J8238" s="51">
        <v>0</v>
      </c>
      <c r="K8238" s="51">
        <f t="shared" si="506"/>
        <v>922.68</v>
      </c>
      <c r="L8238" s="51">
        <v>922.68</v>
      </c>
      <c r="M8238" s="139">
        <f t="shared" si="507"/>
        <v>38.359994797763044</v>
      </c>
    </row>
    <row r="8239" spans="1:13" hidden="1" x14ac:dyDescent="0.3">
      <c r="A8239" s="9">
        <v>1036</v>
      </c>
      <c r="B8239" t="s">
        <v>365</v>
      </c>
      <c r="C8239" s="25">
        <v>44593</v>
      </c>
      <c r="D8239" s="26">
        <v>0.53728009259259257</v>
      </c>
      <c r="E8239" t="s">
        <v>25</v>
      </c>
      <c r="F8239" t="s">
        <v>210</v>
      </c>
      <c r="G8239" t="s">
        <v>211</v>
      </c>
      <c r="H8239" t="s">
        <v>112</v>
      </c>
      <c r="I8239" s="8">
        <v>379.73</v>
      </c>
      <c r="J8239" s="7">
        <v>0</v>
      </c>
      <c r="K8239" s="7">
        <f t="shared" si="506"/>
        <v>819.19</v>
      </c>
      <c r="L8239" s="7">
        <v>819.19</v>
      </c>
      <c r="M8239" s="91">
        <f t="shared" si="507"/>
        <v>46.354325614326349</v>
      </c>
    </row>
    <row r="8240" spans="1:13" hidden="1" x14ac:dyDescent="0.3">
      <c r="A8240" s="9">
        <v>1037</v>
      </c>
      <c r="B8240" t="s">
        <v>365</v>
      </c>
      <c r="C8240" s="25">
        <v>44594</v>
      </c>
      <c r="D8240" s="26">
        <v>0.896550925925926</v>
      </c>
      <c r="E8240" t="s">
        <v>25</v>
      </c>
      <c r="F8240" t="s">
        <v>210</v>
      </c>
      <c r="G8240" t="s">
        <v>211</v>
      </c>
      <c r="H8240" t="s">
        <v>112</v>
      </c>
      <c r="I8240">
        <v>473.89</v>
      </c>
      <c r="J8240" s="51">
        <v>0</v>
      </c>
      <c r="K8240" s="51">
        <f t="shared" si="506"/>
        <v>1122.3599999999999</v>
      </c>
      <c r="L8240" s="51">
        <v>1122.3599999999999</v>
      </c>
      <c r="M8240" s="132">
        <f t="shared" si="507"/>
        <v>42.222638012758836</v>
      </c>
    </row>
    <row r="8241" spans="1:13" hidden="1" x14ac:dyDescent="0.3">
      <c r="A8241" s="9">
        <v>1038</v>
      </c>
      <c r="B8241" t="s">
        <v>365</v>
      </c>
      <c r="C8241" s="25">
        <v>44596</v>
      </c>
      <c r="D8241" s="26">
        <v>0.39964120370370365</v>
      </c>
      <c r="E8241" t="s">
        <v>25</v>
      </c>
      <c r="F8241" t="s">
        <v>175</v>
      </c>
      <c r="G8241" t="s">
        <v>172</v>
      </c>
      <c r="H8241" t="s">
        <v>112</v>
      </c>
      <c r="I8241">
        <v>353.95</v>
      </c>
      <c r="J8241" s="51">
        <v>0</v>
      </c>
      <c r="K8241" s="51">
        <f t="shared" si="506"/>
        <v>942.76</v>
      </c>
      <c r="L8241" s="51">
        <v>942.76</v>
      </c>
      <c r="M8241" s="91">
        <f t="shared" si="507"/>
        <v>37.54401968687683</v>
      </c>
    </row>
    <row r="8242" spans="1:13" hidden="1" x14ac:dyDescent="0.3">
      <c r="A8242" s="9">
        <v>1039</v>
      </c>
      <c r="B8242" t="s">
        <v>365</v>
      </c>
      <c r="C8242" s="25">
        <v>44597</v>
      </c>
      <c r="D8242" s="26">
        <v>0.6416087962962963</v>
      </c>
      <c r="E8242" t="s">
        <v>25</v>
      </c>
      <c r="F8242" t="s">
        <v>210</v>
      </c>
      <c r="G8242" t="s">
        <v>211</v>
      </c>
      <c r="H8242" t="s">
        <v>112</v>
      </c>
      <c r="I8242">
        <v>398.4</v>
      </c>
      <c r="J8242" s="51">
        <v>0</v>
      </c>
      <c r="K8242" s="51">
        <f t="shared" si="506"/>
        <v>831.19</v>
      </c>
      <c r="L8242" s="51">
        <v>831.19</v>
      </c>
      <c r="M8242" s="91">
        <f t="shared" si="507"/>
        <v>47.93127925023159</v>
      </c>
    </row>
    <row r="8243" spans="1:13" hidden="1" x14ac:dyDescent="0.3">
      <c r="A8243" s="9">
        <v>1040</v>
      </c>
      <c r="B8243" t="s">
        <v>365</v>
      </c>
      <c r="C8243" s="25">
        <v>44598</v>
      </c>
      <c r="D8243" s="26">
        <v>0.40695601851851854</v>
      </c>
      <c r="E8243" t="s">
        <v>25</v>
      </c>
      <c r="F8243" t="s">
        <v>165</v>
      </c>
      <c r="G8243" t="s">
        <v>185</v>
      </c>
      <c r="H8243" t="s">
        <v>112</v>
      </c>
      <c r="I8243">
        <v>268.18</v>
      </c>
      <c r="J8243" s="51">
        <v>0</v>
      </c>
      <c r="K8243" s="51">
        <f t="shared" si="506"/>
        <v>549.79999999999995</v>
      </c>
      <c r="L8243" s="51">
        <v>549.79999999999995</v>
      </c>
      <c r="M8243" s="91">
        <f t="shared" si="507"/>
        <v>48.777737359039655</v>
      </c>
    </row>
    <row r="8244" spans="1:13" hidden="1" x14ac:dyDescent="0.3">
      <c r="A8244" s="9">
        <v>1041</v>
      </c>
      <c r="B8244" t="s">
        <v>365</v>
      </c>
      <c r="C8244" s="25">
        <v>44599</v>
      </c>
      <c r="D8244" s="26">
        <v>0.51814814814814814</v>
      </c>
      <c r="E8244" t="s">
        <v>25</v>
      </c>
      <c r="F8244" t="s">
        <v>340</v>
      </c>
      <c r="G8244" t="s">
        <v>337</v>
      </c>
      <c r="H8244" t="s">
        <v>112</v>
      </c>
      <c r="I8244">
        <v>271.60000000000002</v>
      </c>
      <c r="J8244" s="51">
        <v>0</v>
      </c>
      <c r="K8244" s="51">
        <f t="shared" si="506"/>
        <v>824.99</v>
      </c>
      <c r="L8244" s="51">
        <v>824.99</v>
      </c>
      <c r="M8244" s="91">
        <f t="shared" si="507"/>
        <v>32.921611171044503</v>
      </c>
    </row>
    <row r="8245" spans="1:13" hidden="1" x14ac:dyDescent="0.3">
      <c r="A8245" s="9">
        <v>1042</v>
      </c>
      <c r="B8245" t="s">
        <v>365</v>
      </c>
      <c r="C8245" s="25">
        <v>44600</v>
      </c>
      <c r="D8245" s="26">
        <v>0.96508101851851846</v>
      </c>
      <c r="E8245" t="s">
        <v>25</v>
      </c>
      <c r="F8245" t="s">
        <v>165</v>
      </c>
      <c r="G8245" t="s">
        <v>185</v>
      </c>
      <c r="H8245" t="s">
        <v>112</v>
      </c>
      <c r="I8245">
        <v>360.11</v>
      </c>
      <c r="J8245" s="51">
        <v>0</v>
      </c>
      <c r="K8245" s="51">
        <f t="shared" si="506"/>
        <v>851.46</v>
      </c>
      <c r="L8245" s="51">
        <v>851.46</v>
      </c>
      <c r="M8245" s="91">
        <f t="shared" si="507"/>
        <v>42.293237497944709</v>
      </c>
    </row>
    <row r="8246" spans="1:13" hidden="1" x14ac:dyDescent="0.3">
      <c r="A8246" s="9">
        <v>1043</v>
      </c>
      <c r="B8246" t="s">
        <v>365</v>
      </c>
      <c r="C8246" s="25">
        <v>44601</v>
      </c>
      <c r="D8246" s="26">
        <v>0.66403935185185181</v>
      </c>
      <c r="E8246" t="s">
        <v>25</v>
      </c>
      <c r="F8246" t="s">
        <v>210</v>
      </c>
      <c r="G8246" t="s">
        <v>211</v>
      </c>
      <c r="H8246" t="s">
        <v>112</v>
      </c>
      <c r="I8246">
        <v>184.32</v>
      </c>
      <c r="J8246" s="51">
        <v>0</v>
      </c>
      <c r="K8246" s="51">
        <f t="shared" si="506"/>
        <v>587.29</v>
      </c>
      <c r="L8246" s="52">
        <v>587.29</v>
      </c>
      <c r="M8246" s="91">
        <f t="shared" si="507"/>
        <v>31.384835430536874</v>
      </c>
    </row>
    <row r="8247" spans="1:13" hidden="1" x14ac:dyDescent="0.3">
      <c r="A8247" s="9">
        <v>1044</v>
      </c>
      <c r="B8247" t="s">
        <v>365</v>
      </c>
      <c r="C8247" s="25">
        <v>44602</v>
      </c>
      <c r="D8247" s="26">
        <v>0.720636574074074</v>
      </c>
      <c r="E8247" t="s">
        <v>25</v>
      </c>
      <c r="F8247" t="s">
        <v>175</v>
      </c>
      <c r="G8247" t="s">
        <v>172</v>
      </c>
      <c r="H8247" t="s">
        <v>112</v>
      </c>
      <c r="I8247">
        <v>390.76</v>
      </c>
      <c r="J8247" s="51">
        <v>0</v>
      </c>
      <c r="K8247" s="51">
        <f t="shared" si="506"/>
        <v>944.88</v>
      </c>
      <c r="L8247" s="52">
        <v>944.88</v>
      </c>
      <c r="M8247" s="91">
        <f t="shared" si="507"/>
        <v>41.355516044365423</v>
      </c>
    </row>
    <row r="8248" spans="1:13" hidden="1" x14ac:dyDescent="0.3">
      <c r="A8248" s="9">
        <v>1045</v>
      </c>
      <c r="B8248" t="s">
        <v>365</v>
      </c>
      <c r="C8248" s="25">
        <v>44607</v>
      </c>
      <c r="D8248" s="26">
        <v>0.49942129629629628</v>
      </c>
      <c r="E8248" t="s">
        <v>25</v>
      </c>
      <c r="F8248" t="s">
        <v>210</v>
      </c>
      <c r="G8248" t="s">
        <v>211</v>
      </c>
      <c r="H8248" t="s">
        <v>112</v>
      </c>
      <c r="I8248">
        <v>405.61</v>
      </c>
      <c r="J8248" s="51">
        <v>0</v>
      </c>
      <c r="K8248" s="51">
        <f t="shared" si="506"/>
        <v>847.49</v>
      </c>
      <c r="L8248" s="52">
        <v>847.49</v>
      </c>
      <c r="M8248" s="91">
        <f t="shared" si="507"/>
        <v>47.860151742203449</v>
      </c>
    </row>
    <row r="8249" spans="1:13" hidden="1" x14ac:dyDescent="0.3">
      <c r="A8249" s="9">
        <v>1046</v>
      </c>
      <c r="B8249" t="s">
        <v>365</v>
      </c>
      <c r="C8249" s="25">
        <v>44608</v>
      </c>
      <c r="D8249" s="26">
        <v>0.99744212962962964</v>
      </c>
      <c r="E8249" t="s">
        <v>25</v>
      </c>
      <c r="F8249" t="s">
        <v>210</v>
      </c>
      <c r="G8249" t="s">
        <v>211</v>
      </c>
      <c r="H8249" t="s">
        <v>112</v>
      </c>
      <c r="I8249">
        <v>498.43</v>
      </c>
      <c r="J8249" s="51">
        <v>0</v>
      </c>
      <c r="K8249" s="51">
        <f t="shared" si="506"/>
        <v>1121.9100000000001</v>
      </c>
      <c r="L8249" s="52">
        <v>1121.9100000000001</v>
      </c>
      <c r="M8249" s="91">
        <f t="shared" si="507"/>
        <v>44.42691481491385</v>
      </c>
    </row>
    <row r="8250" spans="1:13" hidden="1" x14ac:dyDescent="0.3">
      <c r="A8250" s="9">
        <v>1047</v>
      </c>
      <c r="B8250" t="s">
        <v>365</v>
      </c>
      <c r="C8250" s="25">
        <v>44610</v>
      </c>
      <c r="D8250" s="26">
        <v>0.86197916666666663</v>
      </c>
      <c r="E8250" t="s">
        <v>25</v>
      </c>
      <c r="F8250" t="s">
        <v>171</v>
      </c>
      <c r="G8250" t="s">
        <v>172</v>
      </c>
      <c r="H8250" t="s">
        <v>112</v>
      </c>
      <c r="I8250">
        <v>439.09</v>
      </c>
      <c r="J8250" s="51">
        <v>0</v>
      </c>
      <c r="K8250" s="51">
        <f t="shared" si="506"/>
        <v>1100.8499999999999</v>
      </c>
      <c r="L8250" s="52">
        <v>1100.8499999999999</v>
      </c>
      <c r="M8250" s="91">
        <f t="shared" si="507"/>
        <v>39.886451378480267</v>
      </c>
    </row>
    <row r="8251" spans="1:13" hidden="1" x14ac:dyDescent="0.3">
      <c r="A8251" s="9">
        <v>1048</v>
      </c>
      <c r="B8251" t="s">
        <v>365</v>
      </c>
      <c r="C8251" s="25">
        <v>44611</v>
      </c>
      <c r="D8251" s="26">
        <v>0.59825231481481478</v>
      </c>
      <c r="E8251" t="s">
        <v>25</v>
      </c>
      <c r="F8251" t="s">
        <v>175</v>
      </c>
      <c r="G8251" t="s">
        <v>172</v>
      </c>
      <c r="H8251" t="s">
        <v>112</v>
      </c>
      <c r="I8251">
        <v>103.32</v>
      </c>
      <c r="J8251" s="51">
        <v>0</v>
      </c>
      <c r="K8251" s="51">
        <f t="shared" si="506"/>
        <v>266.47000000000003</v>
      </c>
      <c r="L8251" s="52">
        <v>266.47000000000003</v>
      </c>
      <c r="M8251" s="91">
        <f t="shared" si="507"/>
        <v>38.773595526700937</v>
      </c>
    </row>
    <row r="8252" spans="1:13" hidden="1" x14ac:dyDescent="0.3">
      <c r="A8252" s="9">
        <v>1049</v>
      </c>
      <c r="B8252" t="s">
        <v>365</v>
      </c>
      <c r="C8252" s="25">
        <v>44612</v>
      </c>
      <c r="D8252" s="26">
        <v>0.52835648148148151</v>
      </c>
      <c r="E8252" t="s">
        <v>25</v>
      </c>
      <c r="F8252" t="s">
        <v>210</v>
      </c>
      <c r="G8252" t="s">
        <v>211</v>
      </c>
      <c r="H8252" t="s">
        <v>112</v>
      </c>
      <c r="I8252">
        <v>364.11</v>
      </c>
      <c r="J8252" s="51">
        <v>0</v>
      </c>
      <c r="K8252" s="51">
        <f t="shared" si="506"/>
        <v>831.45</v>
      </c>
      <c r="L8252" s="52">
        <v>831.45</v>
      </c>
      <c r="M8252" s="91">
        <f t="shared" si="507"/>
        <v>43.792170304889048</v>
      </c>
    </row>
    <row r="8253" spans="1:13" hidden="1" x14ac:dyDescent="0.3">
      <c r="A8253" s="9">
        <v>1050</v>
      </c>
      <c r="B8253" t="s">
        <v>365</v>
      </c>
      <c r="C8253" s="25">
        <v>44613</v>
      </c>
      <c r="D8253" s="26">
        <v>4.5578703703703705E-2</v>
      </c>
      <c r="E8253" t="s">
        <v>25</v>
      </c>
      <c r="F8253" t="s">
        <v>165</v>
      </c>
      <c r="G8253" t="s">
        <v>185</v>
      </c>
      <c r="H8253" t="s">
        <v>112</v>
      </c>
      <c r="I8253">
        <v>279.32</v>
      </c>
      <c r="J8253" s="51">
        <v>0</v>
      </c>
      <c r="K8253" s="51">
        <f t="shared" si="506"/>
        <v>548.49</v>
      </c>
      <c r="L8253" s="52">
        <v>548.49</v>
      </c>
      <c r="M8253" s="91">
        <f t="shared" si="507"/>
        <v>50.92526755273569</v>
      </c>
    </row>
    <row r="8254" spans="1:13" hidden="1" x14ac:dyDescent="0.3">
      <c r="A8254" s="9">
        <v>1051</v>
      </c>
      <c r="B8254" t="s">
        <v>365</v>
      </c>
      <c r="C8254" s="25">
        <v>44614</v>
      </c>
      <c r="D8254" s="26">
        <v>0.63361111111111112</v>
      </c>
      <c r="E8254" t="s">
        <v>25</v>
      </c>
      <c r="F8254" t="s">
        <v>340</v>
      </c>
      <c r="G8254" t="s">
        <v>337</v>
      </c>
      <c r="H8254" t="s">
        <v>112</v>
      </c>
      <c r="I8254">
        <v>271.8</v>
      </c>
      <c r="J8254" s="51">
        <v>0</v>
      </c>
      <c r="K8254" s="51">
        <f t="shared" si="506"/>
        <v>825.35</v>
      </c>
      <c r="L8254" s="52">
        <v>825.35</v>
      </c>
      <c r="M8254" s="91">
        <f t="shared" si="507"/>
        <v>32.931483613012666</v>
      </c>
    </row>
    <row r="8255" spans="1:13" hidden="1" x14ac:dyDescent="0.3">
      <c r="A8255" s="9">
        <v>1052</v>
      </c>
      <c r="B8255" t="s">
        <v>365</v>
      </c>
      <c r="C8255" s="25">
        <v>44615</v>
      </c>
      <c r="D8255" s="26">
        <v>0.7930787037037037</v>
      </c>
      <c r="E8255" t="s">
        <v>25</v>
      </c>
      <c r="F8255" t="s">
        <v>165</v>
      </c>
      <c r="G8255" t="s">
        <v>185</v>
      </c>
      <c r="H8255" t="s">
        <v>112</v>
      </c>
      <c r="I8255">
        <v>391.12</v>
      </c>
      <c r="J8255" s="51">
        <v>0</v>
      </c>
      <c r="K8255" s="51">
        <f t="shared" si="506"/>
        <v>805.26</v>
      </c>
      <c r="L8255" s="52">
        <v>805.26</v>
      </c>
      <c r="M8255" s="91">
        <f t="shared" si="507"/>
        <v>48.570647989469236</v>
      </c>
    </row>
    <row r="8256" spans="1:13" hidden="1" x14ac:dyDescent="0.3">
      <c r="A8256" s="9">
        <v>1053</v>
      </c>
      <c r="B8256" t="s">
        <v>365</v>
      </c>
      <c r="C8256" s="25">
        <v>44616</v>
      </c>
      <c r="D8256" s="26">
        <v>0.5264699074074074</v>
      </c>
      <c r="E8256" t="s">
        <v>25</v>
      </c>
      <c r="F8256" t="s">
        <v>210</v>
      </c>
      <c r="G8256" t="s">
        <v>211</v>
      </c>
      <c r="H8256" t="s">
        <v>112</v>
      </c>
      <c r="I8256">
        <v>160.41</v>
      </c>
      <c r="J8256" s="51">
        <v>0</v>
      </c>
      <c r="K8256" s="51">
        <f t="shared" si="506"/>
        <v>515.83000000000004</v>
      </c>
      <c r="L8256" s="52">
        <v>515.83000000000004</v>
      </c>
      <c r="M8256" s="91">
        <f t="shared" si="507"/>
        <v>31.097454587751777</v>
      </c>
    </row>
    <row r="8257" spans="1:13" hidden="1" x14ac:dyDescent="0.3">
      <c r="A8257" s="9">
        <v>1054</v>
      </c>
      <c r="B8257" t="s">
        <v>365</v>
      </c>
      <c r="C8257" s="25">
        <v>44617</v>
      </c>
      <c r="D8257" s="26">
        <v>0.66517361111111117</v>
      </c>
      <c r="E8257" t="s">
        <v>25</v>
      </c>
      <c r="F8257" t="s">
        <v>175</v>
      </c>
      <c r="G8257" t="s">
        <v>172</v>
      </c>
      <c r="H8257" t="s">
        <v>112</v>
      </c>
      <c r="I8257">
        <v>360.72</v>
      </c>
      <c r="J8257" s="51">
        <v>0</v>
      </c>
      <c r="K8257" s="51">
        <f t="shared" si="506"/>
        <v>944.17</v>
      </c>
      <c r="L8257" s="52">
        <v>944.17</v>
      </c>
      <c r="M8257" s="91">
        <f t="shared" si="507"/>
        <v>38.204984271900194</v>
      </c>
    </row>
    <row r="8258" spans="1:13" hidden="1" x14ac:dyDescent="0.3">
      <c r="A8258" s="9">
        <v>2217</v>
      </c>
      <c r="B8258" t="s">
        <v>365</v>
      </c>
      <c r="C8258" s="25">
        <v>44622</v>
      </c>
      <c r="D8258" s="26">
        <v>0.44708333333333333</v>
      </c>
      <c r="E8258" t="s">
        <v>26</v>
      </c>
      <c r="F8258" t="s">
        <v>210</v>
      </c>
      <c r="G8258" t="s">
        <v>211</v>
      </c>
      <c r="H8258" t="s">
        <v>112</v>
      </c>
      <c r="I8258">
        <v>372.83</v>
      </c>
      <c r="J8258" s="51">
        <v>0</v>
      </c>
      <c r="K8258" s="88">
        <f t="shared" si="506"/>
        <v>821.74</v>
      </c>
      <c r="L8258" s="51">
        <v>821.74</v>
      </c>
      <c r="M8258" s="91">
        <f t="shared" si="507"/>
        <v>45.370798549419519</v>
      </c>
    </row>
    <row r="8259" spans="1:13" hidden="1" x14ac:dyDescent="0.3">
      <c r="A8259" s="9">
        <v>2218</v>
      </c>
      <c r="B8259" t="s">
        <v>365</v>
      </c>
      <c r="C8259" s="25">
        <v>44623</v>
      </c>
      <c r="D8259" s="26">
        <v>0.97666666666666668</v>
      </c>
      <c r="E8259" t="s">
        <v>26</v>
      </c>
      <c r="F8259" t="s">
        <v>210</v>
      </c>
      <c r="G8259" t="s">
        <v>211</v>
      </c>
      <c r="H8259" t="s">
        <v>112</v>
      </c>
      <c r="I8259">
        <v>487.59</v>
      </c>
      <c r="J8259" s="51">
        <v>0</v>
      </c>
      <c r="K8259" s="88">
        <f t="shared" ref="K8259:K8286" si="508">+L8259-J8259</f>
        <v>1121.72</v>
      </c>
      <c r="L8259" s="52">
        <v>1121.72</v>
      </c>
      <c r="M8259" s="91">
        <f t="shared" ref="M8259:M8290" si="509">I8259/K8259*100</f>
        <v>43.468066897264912</v>
      </c>
    </row>
    <row r="8260" spans="1:13" hidden="1" x14ac:dyDescent="0.3">
      <c r="A8260" s="9">
        <v>2219</v>
      </c>
      <c r="B8260" t="s">
        <v>365</v>
      </c>
      <c r="C8260" s="25">
        <v>44634</v>
      </c>
      <c r="D8260" s="26">
        <v>0.47923611111111114</v>
      </c>
      <c r="E8260" t="s">
        <v>26</v>
      </c>
      <c r="F8260" t="s">
        <v>175</v>
      </c>
      <c r="G8260" t="s">
        <v>172</v>
      </c>
      <c r="H8260" t="s">
        <v>112</v>
      </c>
      <c r="I8260">
        <v>428.99</v>
      </c>
      <c r="J8260" s="51">
        <v>0</v>
      </c>
      <c r="K8260" s="88">
        <f t="shared" si="508"/>
        <v>1089.45</v>
      </c>
      <c r="L8260" s="52">
        <v>1089.45</v>
      </c>
      <c r="M8260" s="91">
        <f t="shared" si="509"/>
        <v>39.376749736105374</v>
      </c>
    </row>
    <row r="8261" spans="1:13" hidden="1" x14ac:dyDescent="0.3">
      <c r="A8261" s="9">
        <v>2220</v>
      </c>
      <c r="B8261" t="s">
        <v>365</v>
      </c>
      <c r="C8261" s="25">
        <v>44636</v>
      </c>
      <c r="D8261" s="26">
        <v>3.2731481481481479E-2</v>
      </c>
      <c r="E8261" t="s">
        <v>26</v>
      </c>
      <c r="F8261" t="s">
        <v>175</v>
      </c>
      <c r="G8261" t="s">
        <v>172</v>
      </c>
      <c r="H8261" t="s">
        <v>112</v>
      </c>
      <c r="I8261">
        <v>221.05</v>
      </c>
      <c r="J8261" s="51">
        <v>0</v>
      </c>
      <c r="K8261" s="88">
        <f t="shared" si="508"/>
        <v>549.87</v>
      </c>
      <c r="L8261" s="52">
        <v>549.87</v>
      </c>
      <c r="M8261" s="91">
        <f t="shared" si="509"/>
        <v>40.200411006237843</v>
      </c>
    </row>
    <row r="8262" spans="1:13" hidden="1" x14ac:dyDescent="0.3">
      <c r="A8262" s="9">
        <v>2221</v>
      </c>
      <c r="B8262" t="s">
        <v>365</v>
      </c>
      <c r="C8262" s="25">
        <v>44636</v>
      </c>
      <c r="D8262" s="26">
        <v>0.86049768518518521</v>
      </c>
      <c r="E8262" t="s">
        <v>26</v>
      </c>
      <c r="F8262" t="s">
        <v>210</v>
      </c>
      <c r="G8262" t="s">
        <v>211</v>
      </c>
      <c r="H8262" t="s">
        <v>112</v>
      </c>
      <c r="I8262">
        <v>320.19</v>
      </c>
      <c r="J8262" s="51">
        <v>0</v>
      </c>
      <c r="K8262" s="88">
        <f t="shared" si="508"/>
        <v>699.12</v>
      </c>
      <c r="L8262" s="52">
        <v>699.12</v>
      </c>
      <c r="M8262" s="91">
        <f t="shared" si="509"/>
        <v>45.799004462753174</v>
      </c>
    </row>
    <row r="8263" spans="1:13" hidden="1" x14ac:dyDescent="0.3">
      <c r="A8263" s="9">
        <v>2222</v>
      </c>
      <c r="B8263" t="s">
        <v>365</v>
      </c>
      <c r="C8263" s="25">
        <v>44638</v>
      </c>
      <c r="D8263" s="26">
        <v>0.36582175925925925</v>
      </c>
      <c r="E8263" t="s">
        <v>26</v>
      </c>
      <c r="F8263" t="s">
        <v>166</v>
      </c>
      <c r="G8263" t="s">
        <v>161</v>
      </c>
      <c r="H8263" t="s">
        <v>112</v>
      </c>
      <c r="I8263">
        <v>467.5</v>
      </c>
      <c r="J8263" s="51">
        <v>0</v>
      </c>
      <c r="K8263" s="88">
        <f t="shared" si="508"/>
        <v>1139.5</v>
      </c>
      <c r="L8263" s="52">
        <v>1139.5</v>
      </c>
      <c r="M8263" s="91">
        <f t="shared" si="509"/>
        <v>41.026766125493637</v>
      </c>
    </row>
    <row r="8264" spans="1:13" hidden="1" x14ac:dyDescent="0.3">
      <c r="A8264" s="9">
        <v>2223</v>
      </c>
      <c r="B8264" t="s">
        <v>365</v>
      </c>
      <c r="C8264" s="25">
        <v>44639</v>
      </c>
      <c r="D8264" s="26">
        <v>0.41510416666666666</v>
      </c>
      <c r="E8264" t="s">
        <v>26</v>
      </c>
      <c r="F8264" t="s">
        <v>175</v>
      </c>
      <c r="G8264" t="s">
        <v>172</v>
      </c>
      <c r="H8264" t="s">
        <v>112</v>
      </c>
      <c r="I8264">
        <v>367.35</v>
      </c>
      <c r="J8264" s="51">
        <v>0</v>
      </c>
      <c r="K8264" s="88">
        <f t="shared" si="508"/>
        <v>926.96</v>
      </c>
      <c r="L8264" s="52">
        <v>926.96</v>
      </c>
      <c r="M8264" s="91">
        <f t="shared" si="509"/>
        <v>39.629541727798397</v>
      </c>
    </row>
    <row r="8265" spans="1:13" hidden="1" x14ac:dyDescent="0.3">
      <c r="A8265" s="9">
        <v>2224</v>
      </c>
      <c r="B8265" t="s">
        <v>365</v>
      </c>
      <c r="C8265" s="25">
        <v>44640</v>
      </c>
      <c r="D8265" s="26">
        <v>0.52733796296296298</v>
      </c>
      <c r="E8265" t="s">
        <v>26</v>
      </c>
      <c r="F8265" t="s">
        <v>166</v>
      </c>
      <c r="G8265" t="s">
        <v>161</v>
      </c>
      <c r="H8265" t="s">
        <v>112</v>
      </c>
      <c r="I8265">
        <v>324.13</v>
      </c>
      <c r="J8265" s="51">
        <v>0</v>
      </c>
      <c r="K8265" s="88">
        <f t="shared" si="508"/>
        <v>795.71</v>
      </c>
      <c r="L8265" s="52">
        <v>795.71</v>
      </c>
      <c r="M8265" s="91">
        <f t="shared" si="509"/>
        <v>40.734689773912599</v>
      </c>
    </row>
    <row r="8266" spans="1:13" hidden="1" x14ac:dyDescent="0.3">
      <c r="A8266" s="9">
        <v>2225</v>
      </c>
      <c r="B8266" t="s">
        <v>365</v>
      </c>
      <c r="C8266" s="25">
        <v>44641</v>
      </c>
      <c r="D8266" s="26">
        <v>0.79200231481481476</v>
      </c>
      <c r="E8266" t="s">
        <v>26</v>
      </c>
      <c r="F8266" t="s">
        <v>210</v>
      </c>
      <c r="G8266" t="s">
        <v>211</v>
      </c>
      <c r="H8266" t="s">
        <v>112</v>
      </c>
      <c r="I8266">
        <v>372.06</v>
      </c>
      <c r="J8266" s="51">
        <v>0</v>
      </c>
      <c r="K8266" s="88">
        <f t="shared" si="508"/>
        <v>962.47</v>
      </c>
      <c r="L8266" s="52">
        <v>962.47</v>
      </c>
      <c r="M8266" s="91">
        <f t="shared" si="509"/>
        <v>38.656789302523713</v>
      </c>
    </row>
    <row r="8267" spans="1:13" hidden="1" x14ac:dyDescent="0.3">
      <c r="A8267" s="9">
        <v>2226</v>
      </c>
      <c r="B8267" t="s">
        <v>365</v>
      </c>
      <c r="C8267" s="25">
        <v>44643</v>
      </c>
      <c r="D8267" s="26">
        <v>0.55108796296296292</v>
      </c>
      <c r="E8267" t="s">
        <v>26</v>
      </c>
      <c r="F8267" t="s">
        <v>175</v>
      </c>
      <c r="G8267" t="s">
        <v>172</v>
      </c>
      <c r="H8267" t="s">
        <v>112</v>
      </c>
      <c r="I8267">
        <v>531</v>
      </c>
      <c r="J8267" s="51">
        <v>0</v>
      </c>
      <c r="K8267" s="88">
        <f t="shared" si="508"/>
        <v>960.6</v>
      </c>
      <c r="L8267" s="52">
        <v>960.6</v>
      </c>
      <c r="M8267" s="91">
        <f t="shared" si="509"/>
        <v>55.27795128044972</v>
      </c>
    </row>
    <row r="8268" spans="1:13" hidden="1" x14ac:dyDescent="0.3">
      <c r="A8268" s="9">
        <v>2227</v>
      </c>
      <c r="B8268" t="s">
        <v>365</v>
      </c>
      <c r="C8268" s="25">
        <v>44650</v>
      </c>
      <c r="D8268" s="26">
        <v>0.87402777777777774</v>
      </c>
      <c r="E8268" t="s">
        <v>26</v>
      </c>
      <c r="F8268" t="s">
        <v>166</v>
      </c>
      <c r="G8268" t="s">
        <v>161</v>
      </c>
      <c r="H8268" t="s">
        <v>112</v>
      </c>
      <c r="I8268">
        <v>379.73</v>
      </c>
      <c r="J8268" s="51">
        <v>0</v>
      </c>
      <c r="K8268" s="88">
        <f t="shared" si="508"/>
        <v>1122.99</v>
      </c>
      <c r="L8268" s="52">
        <v>1122.99</v>
      </c>
      <c r="M8268" s="91">
        <f t="shared" si="509"/>
        <v>33.814192468321181</v>
      </c>
    </row>
    <row r="8269" spans="1:13" hidden="1" x14ac:dyDescent="0.3">
      <c r="A8269" s="9">
        <v>3481</v>
      </c>
      <c r="B8269" t="s">
        <v>365</v>
      </c>
      <c r="C8269" s="25">
        <v>44654</v>
      </c>
      <c r="D8269" s="26">
        <v>0.47857638888888893</v>
      </c>
      <c r="E8269" t="s">
        <v>27</v>
      </c>
      <c r="F8269" t="s">
        <v>210</v>
      </c>
      <c r="G8269" t="s">
        <v>211</v>
      </c>
      <c r="H8269" t="s">
        <v>112</v>
      </c>
      <c r="I8269" s="4">
        <v>483.17</v>
      </c>
      <c r="J8269" s="51">
        <v>0</v>
      </c>
      <c r="K8269" s="88">
        <f t="shared" si="508"/>
        <v>1160.95</v>
      </c>
      <c r="L8269" s="52">
        <v>1160.95</v>
      </c>
      <c r="M8269" s="91">
        <f t="shared" si="509"/>
        <v>41.618502088806579</v>
      </c>
    </row>
    <row r="8270" spans="1:13" hidden="1" x14ac:dyDescent="0.3">
      <c r="A8270" s="9">
        <v>3482</v>
      </c>
      <c r="B8270" t="s">
        <v>365</v>
      </c>
      <c r="C8270" s="25">
        <v>44655</v>
      </c>
      <c r="D8270" s="26">
        <v>0.65804398148148147</v>
      </c>
      <c r="E8270" t="s">
        <v>27</v>
      </c>
      <c r="F8270" t="s">
        <v>428</v>
      </c>
      <c r="G8270" t="s">
        <v>429</v>
      </c>
      <c r="H8270" t="s">
        <v>112</v>
      </c>
      <c r="I8270" s="4">
        <v>100.07</v>
      </c>
      <c r="J8270" s="52">
        <v>0</v>
      </c>
      <c r="K8270" s="88">
        <f t="shared" si="508"/>
        <v>924.55</v>
      </c>
      <c r="L8270" s="52">
        <v>924.55</v>
      </c>
      <c r="M8270" s="91">
        <f t="shared" si="509"/>
        <v>10.823643934887242</v>
      </c>
    </row>
    <row r="8271" spans="1:13" hidden="1" x14ac:dyDescent="0.3">
      <c r="A8271" s="9">
        <v>3483</v>
      </c>
      <c r="B8271" t="s">
        <v>365</v>
      </c>
      <c r="C8271" s="25">
        <v>44655</v>
      </c>
      <c r="D8271" s="26">
        <v>0.95464120370370376</v>
      </c>
      <c r="E8271" t="s">
        <v>27</v>
      </c>
      <c r="F8271" t="s">
        <v>171</v>
      </c>
      <c r="G8271" t="s">
        <v>172</v>
      </c>
      <c r="H8271" t="s">
        <v>112</v>
      </c>
      <c r="I8271" s="4">
        <v>299.05</v>
      </c>
      <c r="J8271" s="52">
        <v>0</v>
      </c>
      <c r="K8271" s="88">
        <f t="shared" si="508"/>
        <v>1114</v>
      </c>
      <c r="L8271" s="52">
        <v>1114</v>
      </c>
      <c r="M8271" s="91">
        <f t="shared" si="509"/>
        <v>26.844703770197487</v>
      </c>
    </row>
    <row r="8272" spans="1:13" hidden="1" x14ac:dyDescent="0.3">
      <c r="A8272" s="9">
        <v>3484</v>
      </c>
      <c r="B8272" t="s">
        <v>365</v>
      </c>
      <c r="C8272" s="25">
        <v>44656</v>
      </c>
      <c r="D8272" s="26">
        <v>0.97160879629629626</v>
      </c>
      <c r="E8272" t="s">
        <v>27</v>
      </c>
      <c r="F8272" t="s">
        <v>166</v>
      </c>
      <c r="G8272" t="s">
        <v>161</v>
      </c>
      <c r="H8272" t="s">
        <v>112</v>
      </c>
      <c r="I8272" s="4">
        <v>317.76</v>
      </c>
      <c r="J8272" s="52">
        <v>0</v>
      </c>
      <c r="K8272" s="88">
        <f t="shared" si="508"/>
        <v>947</v>
      </c>
      <c r="L8272" s="52">
        <v>947</v>
      </c>
      <c r="M8272" s="91">
        <f t="shared" si="509"/>
        <v>33.554382259767685</v>
      </c>
    </row>
    <row r="8273" spans="1:13" hidden="1" x14ac:dyDescent="0.3">
      <c r="A8273" s="9">
        <v>3485</v>
      </c>
      <c r="B8273" t="s">
        <v>365</v>
      </c>
      <c r="C8273" s="25">
        <v>44658</v>
      </c>
      <c r="D8273" s="26">
        <v>0.89056712962962958</v>
      </c>
      <c r="E8273" t="s">
        <v>27</v>
      </c>
      <c r="F8273" t="s">
        <v>210</v>
      </c>
      <c r="G8273" t="s">
        <v>211</v>
      </c>
      <c r="H8273" t="s">
        <v>112</v>
      </c>
      <c r="I8273" s="4">
        <v>529.05999999999995</v>
      </c>
      <c r="J8273" s="52">
        <v>0</v>
      </c>
      <c r="K8273" s="88">
        <f t="shared" si="508"/>
        <v>1197.94</v>
      </c>
      <c r="L8273" s="52">
        <v>1197.94</v>
      </c>
      <c r="M8273" s="91">
        <f t="shared" si="509"/>
        <v>44.164148454847478</v>
      </c>
    </row>
    <row r="8274" spans="1:13" hidden="1" x14ac:dyDescent="0.3">
      <c r="A8274" s="9">
        <v>3486</v>
      </c>
      <c r="B8274" t="s">
        <v>365</v>
      </c>
      <c r="C8274" s="25">
        <v>44660</v>
      </c>
      <c r="D8274" s="26">
        <v>0.41114583333333332</v>
      </c>
      <c r="E8274" t="s">
        <v>27</v>
      </c>
      <c r="F8274" t="s">
        <v>428</v>
      </c>
      <c r="G8274" t="s">
        <v>429</v>
      </c>
      <c r="H8274" t="s">
        <v>112</v>
      </c>
      <c r="I8274" s="4">
        <v>100.01</v>
      </c>
      <c r="J8274" s="52">
        <v>0</v>
      </c>
      <c r="K8274" s="88">
        <f t="shared" si="508"/>
        <v>926.44</v>
      </c>
      <c r="L8274" s="52">
        <v>926.44</v>
      </c>
      <c r="M8274" s="91">
        <f t="shared" si="509"/>
        <v>10.795086567937481</v>
      </c>
    </row>
    <row r="8275" spans="1:13" hidden="1" x14ac:dyDescent="0.3">
      <c r="A8275" s="9">
        <v>3487</v>
      </c>
      <c r="B8275" t="s">
        <v>365</v>
      </c>
      <c r="C8275" s="25">
        <v>44660</v>
      </c>
      <c r="D8275" s="26">
        <v>0.78153935185185175</v>
      </c>
      <c r="E8275" t="s">
        <v>27</v>
      </c>
      <c r="F8275" t="s">
        <v>175</v>
      </c>
      <c r="G8275" t="s">
        <v>172</v>
      </c>
      <c r="H8275" t="s">
        <v>112</v>
      </c>
      <c r="I8275" s="4">
        <v>364.22</v>
      </c>
      <c r="J8275" s="52">
        <v>0</v>
      </c>
      <c r="K8275" s="88">
        <f t="shared" si="508"/>
        <v>1230</v>
      </c>
      <c r="L8275" s="52">
        <v>1230</v>
      </c>
      <c r="M8275" s="91">
        <f t="shared" si="509"/>
        <v>29.61138211382114</v>
      </c>
    </row>
    <row r="8276" spans="1:13" hidden="1" x14ac:dyDescent="0.3">
      <c r="A8276" s="9">
        <v>3488</v>
      </c>
      <c r="B8276" t="s">
        <v>365</v>
      </c>
      <c r="C8276" s="25">
        <v>44661</v>
      </c>
      <c r="D8276" s="26">
        <v>0.82115740740740739</v>
      </c>
      <c r="E8276" t="s">
        <v>27</v>
      </c>
      <c r="F8276" t="s">
        <v>210</v>
      </c>
      <c r="G8276" t="s">
        <v>211</v>
      </c>
      <c r="H8276" t="s">
        <v>112</v>
      </c>
      <c r="I8276" s="4">
        <v>305.02999999999997</v>
      </c>
      <c r="J8276" s="52">
        <v>0</v>
      </c>
      <c r="K8276" s="88">
        <f t="shared" si="508"/>
        <v>1006</v>
      </c>
      <c r="L8276" s="52">
        <v>1006</v>
      </c>
      <c r="M8276" s="91">
        <f t="shared" si="509"/>
        <v>30.321073558648109</v>
      </c>
    </row>
    <row r="8277" spans="1:13" hidden="1" x14ac:dyDescent="0.3">
      <c r="A8277" s="9">
        <v>3489</v>
      </c>
      <c r="B8277" t="s">
        <v>365</v>
      </c>
      <c r="C8277" s="25">
        <v>44662</v>
      </c>
      <c r="D8277" s="26">
        <v>0.90302083333333327</v>
      </c>
      <c r="E8277" t="s">
        <v>27</v>
      </c>
      <c r="F8277" t="s">
        <v>210</v>
      </c>
      <c r="G8277" t="s">
        <v>211</v>
      </c>
      <c r="H8277" t="s">
        <v>112</v>
      </c>
      <c r="I8277" s="4">
        <v>408.98</v>
      </c>
      <c r="J8277" s="52">
        <v>0</v>
      </c>
      <c r="K8277" s="88">
        <f t="shared" si="508"/>
        <v>1062.8399999999999</v>
      </c>
      <c r="L8277" s="85">
        <v>1062.8399999999999</v>
      </c>
      <c r="M8277" s="91">
        <f t="shared" si="509"/>
        <v>38.479921719167521</v>
      </c>
    </row>
    <row r="8278" spans="1:13" hidden="1" x14ac:dyDescent="0.3">
      <c r="A8278" s="9">
        <v>3490</v>
      </c>
      <c r="B8278" t="s">
        <v>365</v>
      </c>
      <c r="C8278" s="25">
        <v>44664</v>
      </c>
      <c r="D8278" s="26">
        <v>0.39994212962962966</v>
      </c>
      <c r="E8278" t="s">
        <v>27</v>
      </c>
      <c r="F8278" t="s">
        <v>391</v>
      </c>
      <c r="G8278" t="s">
        <v>392</v>
      </c>
      <c r="H8278" t="s">
        <v>112</v>
      </c>
      <c r="I8278" s="4">
        <v>350.58</v>
      </c>
      <c r="J8278" s="52">
        <v>0</v>
      </c>
      <c r="K8278" s="88">
        <f t="shared" si="508"/>
        <v>966.79</v>
      </c>
      <c r="L8278" s="85">
        <v>966.79</v>
      </c>
      <c r="M8278" s="91">
        <f t="shared" si="509"/>
        <v>36.262269986243133</v>
      </c>
    </row>
    <row r="8279" spans="1:13" hidden="1" x14ac:dyDescent="0.3">
      <c r="A8279" s="9">
        <v>3491</v>
      </c>
      <c r="B8279" t="s">
        <v>365</v>
      </c>
      <c r="C8279" s="25">
        <v>44670</v>
      </c>
      <c r="D8279" s="26">
        <v>0.53206018518518516</v>
      </c>
      <c r="E8279" t="s">
        <v>27</v>
      </c>
      <c r="F8279" t="s">
        <v>175</v>
      </c>
      <c r="G8279" t="s">
        <v>172</v>
      </c>
      <c r="H8279" t="s">
        <v>112</v>
      </c>
      <c r="I8279" s="4">
        <v>179.54</v>
      </c>
      <c r="J8279" s="52">
        <v>0</v>
      </c>
      <c r="K8279" s="88">
        <f t="shared" si="508"/>
        <v>447.77</v>
      </c>
      <c r="L8279" s="85">
        <v>447.77</v>
      </c>
      <c r="M8279" s="91">
        <f t="shared" si="509"/>
        <v>40.096478102597317</v>
      </c>
    </row>
    <row r="8280" spans="1:13" hidden="1" x14ac:dyDescent="0.3">
      <c r="A8280" s="9">
        <v>3492</v>
      </c>
      <c r="B8280" t="s">
        <v>365</v>
      </c>
      <c r="C8280" s="25">
        <v>44671</v>
      </c>
      <c r="D8280" s="26">
        <v>0.88348379629629636</v>
      </c>
      <c r="E8280" t="s">
        <v>27</v>
      </c>
      <c r="F8280" t="s">
        <v>210</v>
      </c>
      <c r="G8280" t="s">
        <v>211</v>
      </c>
      <c r="H8280" t="s">
        <v>112</v>
      </c>
      <c r="I8280" s="4">
        <v>359</v>
      </c>
      <c r="J8280" s="52">
        <v>0</v>
      </c>
      <c r="K8280" s="88">
        <f t="shared" si="508"/>
        <v>833.21</v>
      </c>
      <c r="L8280" s="85">
        <v>833.21</v>
      </c>
      <c r="M8280" s="91">
        <f t="shared" si="509"/>
        <v>43.086376783763995</v>
      </c>
    </row>
    <row r="8281" spans="1:13" hidden="1" x14ac:dyDescent="0.3">
      <c r="A8281" s="9">
        <v>3493</v>
      </c>
      <c r="B8281" t="s">
        <v>365</v>
      </c>
      <c r="C8281" s="25">
        <v>44674</v>
      </c>
      <c r="D8281" s="26">
        <v>0.43179398148148151</v>
      </c>
      <c r="E8281" t="s">
        <v>27</v>
      </c>
      <c r="F8281" t="s">
        <v>210</v>
      </c>
      <c r="G8281" t="s">
        <v>211</v>
      </c>
      <c r="H8281" t="s">
        <v>112</v>
      </c>
      <c r="I8281" s="4">
        <v>439.7</v>
      </c>
      <c r="J8281" s="52">
        <v>0</v>
      </c>
      <c r="K8281" s="88">
        <f t="shared" si="508"/>
        <v>1065</v>
      </c>
      <c r="L8281" s="85">
        <v>1065</v>
      </c>
      <c r="M8281" s="91">
        <f t="shared" si="509"/>
        <v>41.286384976525817</v>
      </c>
    </row>
    <row r="8282" spans="1:13" hidden="1" x14ac:dyDescent="0.3">
      <c r="A8282" s="9">
        <v>3494</v>
      </c>
      <c r="B8282" t="s">
        <v>365</v>
      </c>
      <c r="C8282" s="25">
        <v>44675</v>
      </c>
      <c r="D8282" s="26">
        <v>0.3913194444444445</v>
      </c>
      <c r="E8282" t="s">
        <v>27</v>
      </c>
      <c r="F8282" t="s">
        <v>428</v>
      </c>
      <c r="G8282" t="s">
        <v>429</v>
      </c>
      <c r="H8282" t="s">
        <v>112</v>
      </c>
      <c r="I8282" s="4">
        <v>150.01</v>
      </c>
      <c r="J8282" s="52">
        <v>0</v>
      </c>
      <c r="K8282" s="88">
        <f t="shared" si="508"/>
        <v>925.91</v>
      </c>
      <c r="L8282" s="85">
        <v>925.91</v>
      </c>
      <c r="M8282" s="91">
        <f t="shared" si="509"/>
        <v>16.20135866336901</v>
      </c>
    </row>
    <row r="8283" spans="1:13" hidden="1" x14ac:dyDescent="0.3">
      <c r="A8283" s="9">
        <v>3495</v>
      </c>
      <c r="B8283" t="s">
        <v>365</v>
      </c>
      <c r="C8283" s="25">
        <v>44676</v>
      </c>
      <c r="D8283" s="26">
        <v>0.47</v>
      </c>
      <c r="E8283" t="s">
        <v>27</v>
      </c>
      <c r="F8283" t="s">
        <v>175</v>
      </c>
      <c r="G8283" t="s">
        <v>172</v>
      </c>
      <c r="H8283" t="s">
        <v>112</v>
      </c>
      <c r="I8283">
        <v>275.13</v>
      </c>
      <c r="J8283" s="52">
        <v>0</v>
      </c>
      <c r="K8283" s="88">
        <f t="shared" si="508"/>
        <v>177</v>
      </c>
      <c r="L8283" s="51">
        <v>177</v>
      </c>
      <c r="M8283" s="91">
        <f t="shared" si="509"/>
        <v>155.44067796610167</v>
      </c>
    </row>
    <row r="8284" spans="1:13" hidden="1" x14ac:dyDescent="0.3">
      <c r="A8284" s="9">
        <v>3496</v>
      </c>
      <c r="B8284" t="s">
        <v>365</v>
      </c>
      <c r="C8284" s="25">
        <v>44677</v>
      </c>
      <c r="D8284" s="26">
        <v>0.60495370370370372</v>
      </c>
      <c r="E8284" t="s">
        <v>27</v>
      </c>
      <c r="F8284" t="s">
        <v>210</v>
      </c>
      <c r="G8284" t="s">
        <v>211</v>
      </c>
      <c r="H8284" t="s">
        <v>112</v>
      </c>
      <c r="I8284">
        <v>330.13</v>
      </c>
      <c r="J8284" s="52">
        <v>0</v>
      </c>
      <c r="K8284" s="88">
        <f t="shared" si="508"/>
        <v>823.87</v>
      </c>
      <c r="L8284" s="51">
        <v>823.87</v>
      </c>
      <c r="M8284" s="91">
        <f t="shared" si="509"/>
        <v>40.07064221297049</v>
      </c>
    </row>
    <row r="8285" spans="1:13" hidden="1" x14ac:dyDescent="0.3">
      <c r="A8285" s="9">
        <v>3497</v>
      </c>
      <c r="B8285" t="s">
        <v>365</v>
      </c>
      <c r="C8285" s="25">
        <v>44678</v>
      </c>
      <c r="D8285" s="26">
        <v>4.1250000000000002E-2</v>
      </c>
      <c r="E8285" t="s">
        <v>27</v>
      </c>
      <c r="F8285" t="s">
        <v>165</v>
      </c>
      <c r="G8285" t="s">
        <v>185</v>
      </c>
      <c r="H8285" t="s">
        <v>112</v>
      </c>
      <c r="I8285">
        <v>273.18</v>
      </c>
      <c r="J8285" s="52">
        <v>0</v>
      </c>
      <c r="K8285" s="88">
        <f t="shared" si="508"/>
        <v>584.54</v>
      </c>
      <c r="L8285" s="51">
        <v>584.54</v>
      </c>
      <c r="M8285" s="91">
        <f t="shared" si="509"/>
        <v>46.734184144797624</v>
      </c>
    </row>
    <row r="8286" spans="1:13" hidden="1" x14ac:dyDescent="0.3">
      <c r="A8286" s="9">
        <v>3498</v>
      </c>
      <c r="B8286" t="s">
        <v>365</v>
      </c>
      <c r="C8286" s="25">
        <v>44679</v>
      </c>
      <c r="D8286" s="26">
        <v>0.59559027777777784</v>
      </c>
      <c r="E8286" t="s">
        <v>27</v>
      </c>
      <c r="F8286" t="s">
        <v>202</v>
      </c>
      <c r="G8286" t="s">
        <v>203</v>
      </c>
      <c r="H8286" t="s">
        <v>112</v>
      </c>
      <c r="I8286">
        <v>338</v>
      </c>
      <c r="J8286" s="52">
        <v>0</v>
      </c>
      <c r="K8286" s="88">
        <f t="shared" si="508"/>
        <v>1055</v>
      </c>
      <c r="L8286" s="51">
        <v>1055</v>
      </c>
      <c r="M8286" s="91">
        <f t="shared" si="509"/>
        <v>32.037914691943129</v>
      </c>
    </row>
    <row r="8287" spans="1:13" hidden="1" x14ac:dyDescent="0.3">
      <c r="A8287" s="9">
        <v>3820</v>
      </c>
      <c r="B8287" t="s">
        <v>365</v>
      </c>
      <c r="C8287" s="25">
        <v>44685</v>
      </c>
      <c r="D8287" s="26">
        <v>0.85386574074074073</v>
      </c>
      <c r="E8287" t="s">
        <v>28</v>
      </c>
      <c r="F8287" t="s">
        <v>166</v>
      </c>
      <c r="G8287" t="s">
        <v>161</v>
      </c>
      <c r="H8287" t="s">
        <v>112</v>
      </c>
      <c r="I8287">
        <v>337.51</v>
      </c>
      <c r="J8287" s="52">
        <v>0</v>
      </c>
      <c r="K8287" s="88">
        <f>+L8287-J8375</f>
        <v>1727</v>
      </c>
      <c r="L8287" s="52">
        <v>1727</v>
      </c>
      <c r="M8287" s="91">
        <f t="shared" si="509"/>
        <v>19.543138390272148</v>
      </c>
    </row>
    <row r="8288" spans="1:13" hidden="1" x14ac:dyDescent="0.3">
      <c r="A8288" s="9">
        <v>4006</v>
      </c>
      <c r="B8288" t="s">
        <v>365</v>
      </c>
      <c r="C8288" s="25">
        <v>44688</v>
      </c>
      <c r="D8288" s="26">
        <v>0.58490740740740743</v>
      </c>
      <c r="E8288" t="s">
        <v>28</v>
      </c>
      <c r="F8288" t="s">
        <v>533</v>
      </c>
      <c r="G8288" t="s">
        <v>45</v>
      </c>
      <c r="H8288" t="s">
        <v>112</v>
      </c>
      <c r="I8288">
        <v>448.82</v>
      </c>
      <c r="J8288" s="52">
        <v>0</v>
      </c>
      <c r="K8288" s="88">
        <f>+L8288-J8375</f>
        <v>949</v>
      </c>
      <c r="L8288" s="52">
        <v>949</v>
      </c>
      <c r="M8288" s="91">
        <f t="shared" si="509"/>
        <v>47.293993677555321</v>
      </c>
    </row>
    <row r="8289" spans="1:13" hidden="1" x14ac:dyDescent="0.3">
      <c r="A8289" s="9">
        <v>4052</v>
      </c>
      <c r="B8289" t="s">
        <v>365</v>
      </c>
      <c r="C8289" s="25">
        <v>44689</v>
      </c>
      <c r="D8289" s="26">
        <v>0.60394675925925922</v>
      </c>
      <c r="E8289" t="s">
        <v>28</v>
      </c>
      <c r="F8289" t="s">
        <v>346</v>
      </c>
      <c r="G8289" t="s">
        <v>203</v>
      </c>
      <c r="H8289" t="s">
        <v>112</v>
      </c>
      <c r="I8289">
        <v>230.56</v>
      </c>
      <c r="J8289" s="52">
        <v>0</v>
      </c>
      <c r="K8289" s="88" t="e">
        <f>+L8289-#REF!</f>
        <v>#REF!</v>
      </c>
      <c r="L8289" s="52">
        <v>661</v>
      </c>
      <c r="M8289" s="91" t="e">
        <f t="shared" si="509"/>
        <v>#REF!</v>
      </c>
    </row>
    <row r="8290" spans="1:13" hidden="1" x14ac:dyDescent="0.3">
      <c r="A8290" s="9">
        <v>4096</v>
      </c>
      <c r="B8290" t="s">
        <v>365</v>
      </c>
      <c r="C8290" s="25">
        <v>44690</v>
      </c>
      <c r="D8290" s="26">
        <v>0.57724537037037038</v>
      </c>
      <c r="E8290" t="s">
        <v>28</v>
      </c>
      <c r="F8290" t="s">
        <v>346</v>
      </c>
      <c r="G8290" t="s">
        <v>203</v>
      </c>
      <c r="H8290" t="s">
        <v>112</v>
      </c>
      <c r="I8290">
        <v>205.33</v>
      </c>
      <c r="J8290" s="52">
        <v>0</v>
      </c>
      <c r="K8290" s="88" t="e">
        <f>+L8290-#REF!</f>
        <v>#REF!</v>
      </c>
      <c r="L8290" s="52">
        <v>520</v>
      </c>
      <c r="M8290" s="91" t="e">
        <f t="shared" si="509"/>
        <v>#REF!</v>
      </c>
    </row>
    <row r="8291" spans="1:13" hidden="1" x14ac:dyDescent="0.3">
      <c r="A8291" s="9">
        <v>4145</v>
      </c>
      <c r="B8291" t="s">
        <v>365</v>
      </c>
      <c r="C8291" s="25">
        <v>44691</v>
      </c>
      <c r="D8291" s="26">
        <v>9.8842592592592593E-2</v>
      </c>
      <c r="E8291" t="s">
        <v>28</v>
      </c>
      <c r="F8291" t="s">
        <v>165</v>
      </c>
      <c r="G8291" t="s">
        <v>185</v>
      </c>
      <c r="H8291" t="s">
        <v>112</v>
      </c>
      <c r="I8291">
        <v>254.22</v>
      </c>
      <c r="J8291" s="52">
        <v>0</v>
      </c>
      <c r="K8291" s="88" t="e">
        <f>+L8291-#REF!</f>
        <v>#REF!</v>
      </c>
      <c r="L8291" s="52">
        <v>572</v>
      </c>
      <c r="M8291" s="91" t="e">
        <f t="shared" ref="M8291:M8322" si="510">I8291/K8291*100</f>
        <v>#REF!</v>
      </c>
    </row>
    <row r="8292" spans="1:13" hidden="1" x14ac:dyDescent="0.3">
      <c r="A8292" s="9">
        <v>4188</v>
      </c>
      <c r="B8292" t="s">
        <v>365</v>
      </c>
      <c r="C8292" s="25">
        <v>44692</v>
      </c>
      <c r="D8292" s="26">
        <v>0.51847222222222222</v>
      </c>
      <c r="E8292" t="s">
        <v>28</v>
      </c>
      <c r="F8292" t="s">
        <v>166</v>
      </c>
      <c r="G8292" t="s">
        <v>161</v>
      </c>
      <c r="H8292" t="s">
        <v>112</v>
      </c>
      <c r="I8292">
        <v>283.41000000000003</v>
      </c>
      <c r="J8292" s="52">
        <v>0</v>
      </c>
      <c r="K8292" s="88" t="e">
        <f>+L8292-#REF!</f>
        <v>#REF!</v>
      </c>
      <c r="L8292" s="52">
        <v>654</v>
      </c>
      <c r="M8292" s="91" t="e">
        <f t="shared" si="510"/>
        <v>#REF!</v>
      </c>
    </row>
    <row r="8293" spans="1:13" hidden="1" x14ac:dyDescent="0.3">
      <c r="A8293" s="9">
        <v>4233</v>
      </c>
      <c r="B8293" t="s">
        <v>365</v>
      </c>
      <c r="C8293" s="25">
        <v>44693</v>
      </c>
      <c r="D8293" s="26">
        <v>0.65802083333333339</v>
      </c>
      <c r="E8293" t="s">
        <v>28</v>
      </c>
      <c r="F8293" t="s">
        <v>608</v>
      </c>
      <c r="G8293" t="s">
        <v>390</v>
      </c>
      <c r="H8293" t="s">
        <v>112</v>
      </c>
      <c r="I8293">
        <v>347.92</v>
      </c>
      <c r="J8293" s="52">
        <v>0</v>
      </c>
      <c r="K8293" s="88">
        <f>+L8293-J8377</f>
        <v>827</v>
      </c>
      <c r="L8293" s="52">
        <v>827</v>
      </c>
      <c r="M8293" s="91">
        <f t="shared" si="510"/>
        <v>42.070133010882707</v>
      </c>
    </row>
    <row r="8294" spans="1:13" hidden="1" x14ac:dyDescent="0.3">
      <c r="A8294" s="9">
        <v>4477</v>
      </c>
      <c r="B8294" t="s">
        <v>365</v>
      </c>
      <c r="C8294" s="25">
        <v>44697</v>
      </c>
      <c r="D8294" s="26">
        <v>0.75935185185185183</v>
      </c>
      <c r="E8294" t="s">
        <v>28</v>
      </c>
      <c r="F8294" t="s">
        <v>210</v>
      </c>
      <c r="G8294" t="s">
        <v>211</v>
      </c>
      <c r="H8294" t="s">
        <v>112</v>
      </c>
      <c r="I8294">
        <v>409.61</v>
      </c>
      <c r="J8294" s="52">
        <v>0</v>
      </c>
      <c r="K8294" s="88">
        <f>+L8294-J8377</f>
        <v>76</v>
      </c>
      <c r="L8294" s="52">
        <v>76</v>
      </c>
      <c r="M8294" s="91">
        <f t="shared" si="510"/>
        <v>538.96052631578948</v>
      </c>
    </row>
    <row r="8295" spans="1:13" hidden="1" x14ac:dyDescent="0.3">
      <c r="A8295" s="9">
        <v>4484</v>
      </c>
      <c r="B8295" t="s">
        <v>365</v>
      </c>
      <c r="C8295" s="25">
        <v>44697</v>
      </c>
      <c r="D8295" s="26">
        <v>0.69662037037037028</v>
      </c>
      <c r="E8295" t="s">
        <v>28</v>
      </c>
      <c r="F8295" t="s">
        <v>166</v>
      </c>
      <c r="G8295" t="s">
        <v>161</v>
      </c>
      <c r="H8295" t="s">
        <v>112</v>
      </c>
      <c r="I8295">
        <v>100</v>
      </c>
      <c r="J8295" s="52">
        <v>0</v>
      </c>
      <c r="K8295" s="88" t="e">
        <f>+L8295-#REF!</f>
        <v>#REF!</v>
      </c>
      <c r="L8295" s="52">
        <v>862</v>
      </c>
      <c r="M8295" s="91" t="e">
        <f t="shared" si="510"/>
        <v>#REF!</v>
      </c>
    </row>
    <row r="8296" spans="1:13" hidden="1" x14ac:dyDescent="0.3">
      <c r="A8296" s="9">
        <v>4524</v>
      </c>
      <c r="B8296" t="s">
        <v>365</v>
      </c>
      <c r="C8296" s="25">
        <v>44698</v>
      </c>
      <c r="D8296" s="26">
        <v>0.84173611111111113</v>
      </c>
      <c r="E8296" t="s">
        <v>28</v>
      </c>
      <c r="F8296" t="s">
        <v>396</v>
      </c>
      <c r="G8296" t="s">
        <v>397</v>
      </c>
      <c r="H8296" t="s">
        <v>112</v>
      </c>
      <c r="I8296">
        <v>354.72</v>
      </c>
      <c r="J8296" s="52">
        <v>0</v>
      </c>
      <c r="K8296" s="88">
        <f t="shared" ref="K8296:K8304" si="511">+L8296-J8463</f>
        <v>738</v>
      </c>
      <c r="L8296" s="52">
        <v>738</v>
      </c>
      <c r="M8296" s="91">
        <f t="shared" si="510"/>
        <v>48.065040650406509</v>
      </c>
    </row>
    <row r="8297" spans="1:13" hidden="1" x14ac:dyDescent="0.3">
      <c r="A8297" s="9">
        <v>4582</v>
      </c>
      <c r="B8297" t="s">
        <v>365</v>
      </c>
      <c r="C8297" s="25">
        <v>44699</v>
      </c>
      <c r="D8297" s="26">
        <v>0.7306597222222222</v>
      </c>
      <c r="E8297" t="s">
        <v>28</v>
      </c>
      <c r="F8297" t="s">
        <v>293</v>
      </c>
      <c r="G8297" t="s">
        <v>196</v>
      </c>
      <c r="H8297" t="s">
        <v>112</v>
      </c>
      <c r="I8297">
        <v>200</v>
      </c>
      <c r="J8297" s="52">
        <v>0</v>
      </c>
      <c r="K8297" s="88">
        <f t="shared" si="511"/>
        <v>781</v>
      </c>
      <c r="L8297" s="52">
        <v>781</v>
      </c>
      <c r="M8297" s="91">
        <f t="shared" si="510"/>
        <v>25.608194622279129</v>
      </c>
    </row>
    <row r="8298" spans="1:13" hidden="1" x14ac:dyDescent="0.3">
      <c r="A8298" s="9">
        <v>4634</v>
      </c>
      <c r="B8298" t="s">
        <v>365</v>
      </c>
      <c r="C8298" s="25">
        <v>44700</v>
      </c>
      <c r="D8298" s="26">
        <v>0.6221875</v>
      </c>
      <c r="E8298" t="s">
        <v>28</v>
      </c>
      <c r="F8298" t="s">
        <v>608</v>
      </c>
      <c r="G8298" t="s">
        <v>390</v>
      </c>
      <c r="H8298" t="s">
        <v>112</v>
      </c>
      <c r="I8298">
        <v>271.38</v>
      </c>
      <c r="J8298" s="52">
        <v>0</v>
      </c>
      <c r="K8298" s="88">
        <f t="shared" si="511"/>
        <v>-271</v>
      </c>
      <c r="L8298" s="52">
        <v>408</v>
      </c>
      <c r="M8298" s="91">
        <f t="shared" si="510"/>
        <v>-100.14022140221401</v>
      </c>
    </row>
    <row r="8299" spans="1:13" hidden="1" x14ac:dyDescent="0.3">
      <c r="A8299" s="9">
        <v>4724</v>
      </c>
      <c r="B8299" t="s">
        <v>365</v>
      </c>
      <c r="C8299" s="25">
        <v>44702</v>
      </c>
      <c r="D8299" s="26">
        <v>0.95915509259259257</v>
      </c>
      <c r="E8299" t="s">
        <v>28</v>
      </c>
      <c r="F8299" t="s">
        <v>166</v>
      </c>
      <c r="G8299" t="s">
        <v>161</v>
      </c>
      <c r="H8299" t="s">
        <v>112</v>
      </c>
      <c r="I8299">
        <v>376.28</v>
      </c>
      <c r="J8299" s="52">
        <v>0</v>
      </c>
      <c r="K8299" s="88">
        <f t="shared" si="511"/>
        <v>817</v>
      </c>
      <c r="L8299" s="52">
        <v>817</v>
      </c>
      <c r="M8299" s="91">
        <f t="shared" si="510"/>
        <v>46.056303549571595</v>
      </c>
    </row>
    <row r="8300" spans="1:13" hidden="1" x14ac:dyDescent="0.3">
      <c r="A8300" s="9">
        <v>4844</v>
      </c>
      <c r="B8300" t="s">
        <v>365</v>
      </c>
      <c r="C8300" s="25">
        <v>44704</v>
      </c>
      <c r="D8300" s="26">
        <v>2.5462962962962962E-2</v>
      </c>
      <c r="E8300" t="s">
        <v>28</v>
      </c>
      <c r="F8300" t="s">
        <v>278</v>
      </c>
      <c r="G8300" t="s">
        <v>279</v>
      </c>
      <c r="H8300" t="s">
        <v>112</v>
      </c>
      <c r="I8300">
        <v>379.94</v>
      </c>
      <c r="J8300" s="52">
        <v>0</v>
      </c>
      <c r="K8300" s="88">
        <f t="shared" si="511"/>
        <v>788</v>
      </c>
      <c r="L8300" s="52">
        <v>788</v>
      </c>
      <c r="M8300" s="91">
        <f t="shared" si="510"/>
        <v>48.215736040609137</v>
      </c>
    </row>
    <row r="8301" spans="1:13" hidden="1" x14ac:dyDescent="0.3">
      <c r="A8301" s="9">
        <v>4845</v>
      </c>
      <c r="B8301" t="s">
        <v>365</v>
      </c>
      <c r="C8301" s="25">
        <v>44704</v>
      </c>
      <c r="D8301" s="26">
        <v>0.79248842592592583</v>
      </c>
      <c r="E8301" t="s">
        <v>28</v>
      </c>
      <c r="F8301" t="s">
        <v>169</v>
      </c>
      <c r="G8301" t="s">
        <v>196</v>
      </c>
      <c r="H8301" t="s">
        <v>112</v>
      </c>
      <c r="I8301">
        <v>290.02</v>
      </c>
      <c r="J8301" s="52">
        <v>0</v>
      </c>
      <c r="K8301" s="88">
        <f t="shared" si="511"/>
        <v>832</v>
      </c>
      <c r="L8301" s="52">
        <v>832</v>
      </c>
      <c r="M8301" s="91">
        <f t="shared" si="510"/>
        <v>34.85817307692308</v>
      </c>
    </row>
    <row r="8302" spans="1:13" hidden="1" x14ac:dyDescent="0.3">
      <c r="A8302" s="9">
        <v>4966</v>
      </c>
      <c r="B8302" t="s">
        <v>365</v>
      </c>
      <c r="C8302" s="25">
        <v>44706</v>
      </c>
      <c r="D8302" s="26">
        <v>0.16065972222222222</v>
      </c>
      <c r="E8302" t="s">
        <v>28</v>
      </c>
      <c r="F8302" t="s">
        <v>485</v>
      </c>
      <c r="G8302" t="s">
        <v>486</v>
      </c>
      <c r="H8302" t="s">
        <v>112</v>
      </c>
      <c r="I8302">
        <v>325.94</v>
      </c>
      <c r="J8302" s="52">
        <v>0</v>
      </c>
      <c r="K8302" s="88">
        <f t="shared" si="511"/>
        <v>771</v>
      </c>
      <c r="L8302" s="52">
        <v>771</v>
      </c>
      <c r="M8302" s="91">
        <f t="shared" si="510"/>
        <v>42.274967574578469</v>
      </c>
    </row>
    <row r="8303" spans="1:13" hidden="1" x14ac:dyDescent="0.3">
      <c r="A8303" s="9">
        <v>4967</v>
      </c>
      <c r="B8303" t="s">
        <v>365</v>
      </c>
      <c r="C8303" s="25">
        <v>44706</v>
      </c>
      <c r="D8303" s="26">
        <v>0.80642361111111116</v>
      </c>
      <c r="E8303" t="s">
        <v>28</v>
      </c>
      <c r="F8303" t="s">
        <v>210</v>
      </c>
      <c r="G8303" t="s">
        <v>211</v>
      </c>
      <c r="H8303" t="s">
        <v>112</v>
      </c>
      <c r="I8303">
        <v>348.7</v>
      </c>
      <c r="J8303" s="52">
        <v>0</v>
      </c>
      <c r="K8303" s="88">
        <f t="shared" si="511"/>
        <v>662</v>
      </c>
      <c r="L8303" s="52">
        <v>662</v>
      </c>
      <c r="M8303" s="91">
        <f t="shared" si="510"/>
        <v>52.67371601208459</v>
      </c>
    </row>
    <row r="8304" spans="1:13" hidden="1" x14ac:dyDescent="0.3">
      <c r="A8304" s="9">
        <v>5005</v>
      </c>
      <c r="B8304" t="s">
        <v>365</v>
      </c>
      <c r="C8304" s="25">
        <v>44707</v>
      </c>
      <c r="D8304" s="26">
        <v>0.60524305555555558</v>
      </c>
      <c r="E8304" t="s">
        <v>28</v>
      </c>
      <c r="F8304" t="s">
        <v>635</v>
      </c>
      <c r="G8304" t="s">
        <v>185</v>
      </c>
      <c r="H8304" t="s">
        <v>112</v>
      </c>
      <c r="I8304">
        <v>262.93</v>
      </c>
      <c r="J8304" s="52">
        <v>0</v>
      </c>
      <c r="K8304" s="88">
        <f t="shared" si="511"/>
        <v>-913</v>
      </c>
      <c r="L8304" s="51">
        <v>548</v>
      </c>
      <c r="M8304" s="91">
        <f t="shared" si="510"/>
        <v>-28.798466593647316</v>
      </c>
    </row>
    <row r="8305" spans="1:13" hidden="1" x14ac:dyDescent="0.3">
      <c r="A8305" s="9">
        <v>5061</v>
      </c>
      <c r="B8305" t="s">
        <v>365</v>
      </c>
      <c r="C8305" s="25">
        <v>44708</v>
      </c>
      <c r="D8305" s="26">
        <v>0.75846064814814806</v>
      </c>
      <c r="E8305" t="s">
        <v>28</v>
      </c>
      <c r="F8305" t="s">
        <v>637</v>
      </c>
      <c r="G8305" t="s">
        <v>196</v>
      </c>
      <c r="H8305" t="s">
        <v>112</v>
      </c>
      <c r="I8305">
        <v>339.4</v>
      </c>
      <c r="J8305" s="52">
        <v>0</v>
      </c>
      <c r="K8305" s="88">
        <f>+L8305-J8486</f>
        <v>997</v>
      </c>
      <c r="L8305" s="51">
        <v>997</v>
      </c>
      <c r="M8305" s="91">
        <f t="shared" si="510"/>
        <v>34.042126379137407</v>
      </c>
    </row>
    <row r="8306" spans="1:13" hidden="1" x14ac:dyDescent="0.3">
      <c r="A8306" s="9">
        <v>5113</v>
      </c>
      <c r="B8306" t="s">
        <v>365</v>
      </c>
      <c r="C8306" s="25">
        <v>44709</v>
      </c>
      <c r="D8306" s="26">
        <v>0.5861574074074074</v>
      </c>
      <c r="E8306" t="s">
        <v>28</v>
      </c>
      <c r="F8306" t="s">
        <v>651</v>
      </c>
      <c r="G8306" t="s">
        <v>172</v>
      </c>
      <c r="H8306" t="s">
        <v>112</v>
      </c>
      <c r="I8306">
        <v>225.59</v>
      </c>
      <c r="J8306" s="52">
        <v>0</v>
      </c>
      <c r="K8306" s="88">
        <f>+L8306-J8487</f>
        <v>519</v>
      </c>
      <c r="L8306" s="51">
        <v>519</v>
      </c>
      <c r="M8306" s="91">
        <f t="shared" si="510"/>
        <v>43.466281310211947</v>
      </c>
    </row>
    <row r="8307" spans="1:13" hidden="1" x14ac:dyDescent="0.3">
      <c r="A8307" s="9">
        <v>5171</v>
      </c>
      <c r="B8307" t="s">
        <v>365</v>
      </c>
      <c r="C8307" s="25">
        <v>44710</v>
      </c>
      <c r="D8307" s="26">
        <v>0.70672453703703697</v>
      </c>
      <c r="E8307" t="s">
        <v>28</v>
      </c>
      <c r="F8307" t="s">
        <v>632</v>
      </c>
      <c r="G8307" t="s">
        <v>161</v>
      </c>
      <c r="H8307" t="s">
        <v>112</v>
      </c>
      <c r="I8307">
        <v>383.22</v>
      </c>
      <c r="J8307" s="52">
        <v>0</v>
      </c>
      <c r="K8307" s="88">
        <f>+L8307-J8488</f>
        <v>751</v>
      </c>
      <c r="L8307" s="51">
        <v>751</v>
      </c>
      <c r="M8307" s="91">
        <f t="shared" si="510"/>
        <v>51.027962716378163</v>
      </c>
    </row>
    <row r="8308" spans="1:13" hidden="1" x14ac:dyDescent="0.3">
      <c r="A8308" s="9">
        <v>5223</v>
      </c>
      <c r="B8308" t="s">
        <v>365</v>
      </c>
      <c r="C8308" s="25">
        <v>44711</v>
      </c>
      <c r="D8308" s="26">
        <v>0.79262731481481474</v>
      </c>
      <c r="E8308" t="s">
        <v>28</v>
      </c>
      <c r="F8308" t="s">
        <v>645</v>
      </c>
      <c r="G8308" t="s">
        <v>279</v>
      </c>
      <c r="H8308" t="s">
        <v>112</v>
      </c>
      <c r="I8308">
        <v>375.1</v>
      </c>
      <c r="J8308" s="52">
        <v>0</v>
      </c>
      <c r="K8308" s="88">
        <f>+L8308-J8481</f>
        <v>796</v>
      </c>
      <c r="L8308" s="51">
        <v>796</v>
      </c>
      <c r="M8308" s="91">
        <f t="shared" si="510"/>
        <v>47.12311557788945</v>
      </c>
    </row>
    <row r="8309" spans="1:13" hidden="1" x14ac:dyDescent="0.3">
      <c r="A8309" s="9">
        <v>5257</v>
      </c>
      <c r="B8309" t="s">
        <v>365</v>
      </c>
      <c r="C8309" s="25">
        <v>44712</v>
      </c>
      <c r="D8309" s="26">
        <v>0.77048611111111109</v>
      </c>
      <c r="E8309" t="s">
        <v>28</v>
      </c>
      <c r="F8309" t="s">
        <v>637</v>
      </c>
      <c r="G8309" t="s">
        <v>196</v>
      </c>
      <c r="H8309" t="s">
        <v>112</v>
      </c>
      <c r="I8309">
        <v>307.85000000000002</v>
      </c>
      <c r="J8309" s="52">
        <v>0</v>
      </c>
      <c r="K8309" s="88">
        <f>+L8309-J8483</f>
        <v>831</v>
      </c>
      <c r="L8309" s="51">
        <v>831</v>
      </c>
      <c r="M8309" s="91">
        <f t="shared" si="510"/>
        <v>37.045728038507825</v>
      </c>
    </row>
    <row r="8310" spans="1:13" hidden="1" x14ac:dyDescent="0.3">
      <c r="A8310" s="9">
        <v>5309</v>
      </c>
      <c r="B8310" t="s">
        <v>365</v>
      </c>
      <c r="C8310" s="25">
        <v>44713</v>
      </c>
      <c r="D8310" s="26">
        <v>0.50531249999999994</v>
      </c>
      <c r="E8310" t="s">
        <v>29</v>
      </c>
      <c r="F8310" t="s">
        <v>704</v>
      </c>
      <c r="G8310" t="s">
        <v>451</v>
      </c>
      <c r="H8310" t="s">
        <v>112</v>
      </c>
      <c r="I8310">
        <v>181.3</v>
      </c>
      <c r="J8310" s="52">
        <v>0</v>
      </c>
      <c r="K8310" s="88" t="e">
        <f>+L8310-#REF!</f>
        <v>#REF!</v>
      </c>
      <c r="L8310" s="51">
        <v>417</v>
      </c>
      <c r="M8310" s="91" t="e">
        <f t="shared" si="510"/>
        <v>#REF!</v>
      </c>
    </row>
    <row r="8311" spans="1:13" hidden="1" x14ac:dyDescent="0.3">
      <c r="A8311" s="9">
        <v>5532</v>
      </c>
      <c r="B8311" t="s">
        <v>365</v>
      </c>
      <c r="C8311" s="25">
        <v>44717</v>
      </c>
      <c r="D8311" s="26">
        <v>0.55821759259259263</v>
      </c>
      <c r="E8311" t="s">
        <v>29</v>
      </c>
      <c r="F8311" t="s">
        <v>632</v>
      </c>
      <c r="G8311" t="s">
        <v>161</v>
      </c>
      <c r="H8311" t="s">
        <v>112</v>
      </c>
      <c r="I8311">
        <v>389.71</v>
      </c>
      <c r="J8311" s="52">
        <v>0</v>
      </c>
      <c r="K8311" s="88" t="e">
        <f>+L8311-#REF!</f>
        <v>#REF!</v>
      </c>
      <c r="L8311" s="51">
        <v>881</v>
      </c>
      <c r="M8311" s="91" t="e">
        <f t="shared" si="510"/>
        <v>#REF!</v>
      </c>
    </row>
    <row r="8312" spans="1:13" hidden="1" x14ac:dyDescent="0.3">
      <c r="A8312" s="9">
        <v>5564</v>
      </c>
      <c r="B8312" t="s">
        <v>365</v>
      </c>
      <c r="C8312" s="25">
        <v>44718</v>
      </c>
      <c r="D8312" s="26">
        <v>0.93490740740740741</v>
      </c>
      <c r="E8312" t="s">
        <v>29</v>
      </c>
      <c r="F8312" t="s">
        <v>634</v>
      </c>
      <c r="G8312" t="s">
        <v>211</v>
      </c>
      <c r="H8312" t="s">
        <v>112</v>
      </c>
      <c r="I8312">
        <v>467.62</v>
      </c>
      <c r="J8312" s="52">
        <v>0</v>
      </c>
      <c r="K8312" s="88">
        <v>1180</v>
      </c>
      <c r="L8312" s="51">
        <v>1180</v>
      </c>
      <c r="M8312" s="91">
        <f t="shared" si="510"/>
        <v>39.628813559322033</v>
      </c>
    </row>
    <row r="8313" spans="1:13" hidden="1" x14ac:dyDescent="0.3">
      <c r="A8313" s="9">
        <v>5628</v>
      </c>
      <c r="B8313" t="s">
        <v>365</v>
      </c>
      <c r="C8313" s="25">
        <v>44719</v>
      </c>
      <c r="D8313" s="26">
        <v>0.983912037037037</v>
      </c>
      <c r="E8313" t="s">
        <v>29</v>
      </c>
      <c r="F8313" t="s">
        <v>724</v>
      </c>
      <c r="G8313" t="s">
        <v>277</v>
      </c>
      <c r="H8313" t="s">
        <v>112</v>
      </c>
      <c r="I8313">
        <v>80</v>
      </c>
      <c r="J8313" s="52">
        <v>0</v>
      </c>
      <c r="K8313" s="88" t="e">
        <f>+L8313-#REF!</f>
        <v>#REF!</v>
      </c>
      <c r="L8313" s="51">
        <v>768</v>
      </c>
      <c r="M8313" s="91" t="e">
        <f t="shared" si="510"/>
        <v>#REF!</v>
      </c>
    </row>
    <row r="8314" spans="1:13" hidden="1" x14ac:dyDescent="0.3">
      <c r="A8314" s="9">
        <v>5684</v>
      </c>
      <c r="B8314" t="s">
        <v>365</v>
      </c>
      <c r="C8314" s="25">
        <v>44720</v>
      </c>
      <c r="D8314" s="26">
        <v>0.51126157407407413</v>
      </c>
      <c r="E8314" t="s">
        <v>29</v>
      </c>
      <c r="F8314" t="s">
        <v>673</v>
      </c>
      <c r="G8314" t="s">
        <v>172</v>
      </c>
      <c r="H8314" t="s">
        <v>112</v>
      </c>
      <c r="I8314">
        <v>340.21</v>
      </c>
      <c r="J8314" s="52">
        <v>0</v>
      </c>
      <c r="K8314" s="88">
        <f t="shared" ref="K8314:K8321" si="512">+L8314-J7924</f>
        <v>166</v>
      </c>
      <c r="L8314" s="51">
        <v>166</v>
      </c>
      <c r="M8314" s="91">
        <f t="shared" si="510"/>
        <v>204.9457831325301</v>
      </c>
    </row>
    <row r="8315" spans="1:13" hidden="1" x14ac:dyDescent="0.3">
      <c r="A8315" s="9">
        <v>5741</v>
      </c>
      <c r="B8315" t="s">
        <v>365</v>
      </c>
      <c r="C8315" s="25">
        <v>44721</v>
      </c>
      <c r="D8315" s="26">
        <v>0.58771990740740743</v>
      </c>
      <c r="E8315" t="s">
        <v>29</v>
      </c>
      <c r="F8315" t="s">
        <v>634</v>
      </c>
      <c r="G8315" t="s">
        <v>211</v>
      </c>
      <c r="H8315" t="s">
        <v>112</v>
      </c>
      <c r="I8315">
        <v>391.68</v>
      </c>
      <c r="J8315" s="52">
        <v>0</v>
      </c>
      <c r="K8315" s="88">
        <f t="shared" si="512"/>
        <v>830</v>
      </c>
      <c r="L8315" s="51">
        <v>830</v>
      </c>
      <c r="M8315" s="91">
        <f t="shared" si="510"/>
        <v>47.190361445783132</v>
      </c>
    </row>
    <row r="8316" spans="1:13" hidden="1" x14ac:dyDescent="0.3">
      <c r="A8316" s="9">
        <v>5779</v>
      </c>
      <c r="B8316" t="s">
        <v>365</v>
      </c>
      <c r="C8316" s="25">
        <v>44722</v>
      </c>
      <c r="D8316" s="26">
        <v>4.9560185185185186E-2</v>
      </c>
      <c r="E8316" t="s">
        <v>29</v>
      </c>
      <c r="F8316" t="s">
        <v>645</v>
      </c>
      <c r="G8316" t="s">
        <v>279</v>
      </c>
      <c r="H8316" t="s">
        <v>112</v>
      </c>
      <c r="I8316">
        <v>275.29000000000002</v>
      </c>
      <c r="J8316" s="52">
        <v>0</v>
      </c>
      <c r="K8316" s="88">
        <f t="shared" si="512"/>
        <v>562</v>
      </c>
      <c r="L8316" s="51">
        <v>562</v>
      </c>
      <c r="M8316" s="91">
        <f t="shared" si="510"/>
        <v>48.983985765124558</v>
      </c>
    </row>
    <row r="8317" spans="1:13" hidden="1" x14ac:dyDescent="0.3">
      <c r="A8317" s="9">
        <v>5780</v>
      </c>
      <c r="B8317" t="s">
        <v>365</v>
      </c>
      <c r="C8317" s="25">
        <v>44722</v>
      </c>
      <c r="D8317" s="26">
        <v>0.59351851851851845</v>
      </c>
      <c r="E8317" t="s">
        <v>29</v>
      </c>
      <c r="F8317" t="s">
        <v>634</v>
      </c>
      <c r="G8317" t="s">
        <v>211</v>
      </c>
      <c r="H8317" t="s">
        <v>112</v>
      </c>
      <c r="I8317">
        <v>114.77</v>
      </c>
      <c r="J8317" s="52">
        <v>0</v>
      </c>
      <c r="K8317" s="88">
        <f t="shared" si="512"/>
        <v>350</v>
      </c>
      <c r="L8317" s="51">
        <v>350</v>
      </c>
      <c r="M8317" s="91">
        <f t="shared" si="510"/>
        <v>32.791428571428568</v>
      </c>
    </row>
    <row r="8318" spans="1:13" hidden="1" x14ac:dyDescent="0.3">
      <c r="A8318" s="9">
        <v>5843</v>
      </c>
      <c r="B8318" t="s">
        <v>365</v>
      </c>
      <c r="C8318" s="25">
        <v>44723</v>
      </c>
      <c r="D8318" s="26">
        <v>0.35011574074074076</v>
      </c>
      <c r="E8318" t="s">
        <v>29</v>
      </c>
      <c r="F8318" t="s">
        <v>655</v>
      </c>
      <c r="G8318" t="s">
        <v>170</v>
      </c>
      <c r="H8318" t="s">
        <v>112</v>
      </c>
      <c r="I8318">
        <v>100</v>
      </c>
      <c r="J8318" s="52">
        <v>0</v>
      </c>
      <c r="K8318" s="88">
        <f t="shared" si="512"/>
        <v>493</v>
      </c>
      <c r="L8318" s="51">
        <v>493</v>
      </c>
      <c r="M8318" s="91">
        <f t="shared" si="510"/>
        <v>20.28397565922921</v>
      </c>
    </row>
    <row r="8319" spans="1:13" hidden="1" x14ac:dyDescent="0.3">
      <c r="A8319" s="9">
        <v>5844</v>
      </c>
      <c r="B8319" t="s">
        <v>365</v>
      </c>
      <c r="C8319" s="25">
        <v>44723</v>
      </c>
      <c r="D8319" s="26">
        <v>0.57550925925925933</v>
      </c>
      <c r="E8319" t="s">
        <v>29</v>
      </c>
      <c r="F8319" t="s">
        <v>693</v>
      </c>
      <c r="G8319" t="s">
        <v>277</v>
      </c>
      <c r="H8319" t="s">
        <v>112</v>
      </c>
      <c r="I8319">
        <v>210.55</v>
      </c>
      <c r="J8319" s="52">
        <v>0</v>
      </c>
      <c r="K8319" s="88">
        <f t="shared" si="512"/>
        <v>306</v>
      </c>
      <c r="L8319" s="51">
        <v>306</v>
      </c>
      <c r="M8319" s="91">
        <f t="shared" si="510"/>
        <v>68.807189542483655</v>
      </c>
    </row>
    <row r="8320" spans="1:13" hidden="1" x14ac:dyDescent="0.3">
      <c r="A8320" s="9">
        <v>5892</v>
      </c>
      <c r="B8320" t="s">
        <v>365</v>
      </c>
      <c r="C8320" s="25">
        <v>44724</v>
      </c>
      <c r="D8320" s="26">
        <v>0.5136574074074074</v>
      </c>
      <c r="E8320" t="s">
        <v>29</v>
      </c>
      <c r="F8320" t="s">
        <v>639</v>
      </c>
      <c r="G8320" t="s">
        <v>44</v>
      </c>
      <c r="H8320" t="s">
        <v>112</v>
      </c>
      <c r="I8320">
        <v>113.38</v>
      </c>
      <c r="J8320" s="52">
        <v>0</v>
      </c>
      <c r="K8320" s="88">
        <f t="shared" si="512"/>
        <v>361</v>
      </c>
      <c r="L8320" s="51">
        <v>361</v>
      </c>
      <c r="M8320" s="91">
        <f t="shared" si="510"/>
        <v>31.407202216066484</v>
      </c>
    </row>
    <row r="8321" spans="1:19" hidden="1" x14ac:dyDescent="0.3">
      <c r="A8321" s="9">
        <v>5893</v>
      </c>
      <c r="B8321" t="s">
        <v>365</v>
      </c>
      <c r="C8321" s="25">
        <v>44724</v>
      </c>
      <c r="D8321" s="26">
        <v>0.81570601851851843</v>
      </c>
      <c r="E8321" t="s">
        <v>29</v>
      </c>
      <c r="F8321" t="s">
        <v>632</v>
      </c>
      <c r="G8321" t="s">
        <v>161</v>
      </c>
      <c r="H8321" t="s">
        <v>112</v>
      </c>
      <c r="I8321">
        <v>257</v>
      </c>
      <c r="J8321" s="52">
        <v>0</v>
      </c>
      <c r="K8321" s="88">
        <f t="shared" si="512"/>
        <v>510</v>
      </c>
      <c r="L8321" s="51">
        <v>510</v>
      </c>
      <c r="M8321" s="91">
        <f t="shared" si="510"/>
        <v>50.392156862745097</v>
      </c>
    </row>
    <row r="8322" spans="1:19" hidden="1" x14ac:dyDescent="0.3">
      <c r="A8322" s="9">
        <v>5953</v>
      </c>
      <c r="B8322" t="s">
        <v>365</v>
      </c>
      <c r="C8322" s="25">
        <v>44725</v>
      </c>
      <c r="D8322" s="26">
        <v>0.91800925925925936</v>
      </c>
      <c r="E8322" t="s">
        <v>29</v>
      </c>
      <c r="F8322" t="s">
        <v>634</v>
      </c>
      <c r="G8322" t="s">
        <v>211</v>
      </c>
      <c r="H8322" t="s">
        <v>112</v>
      </c>
      <c r="I8322" s="126">
        <v>429.24</v>
      </c>
      <c r="J8322" s="52">
        <v>0</v>
      </c>
      <c r="K8322" s="88">
        <v>994</v>
      </c>
      <c r="L8322" s="51">
        <v>994</v>
      </c>
      <c r="M8322" s="91">
        <f t="shared" si="510"/>
        <v>43.183098591549296</v>
      </c>
      <c r="N8322" s="2"/>
      <c r="O8322" s="2"/>
      <c r="P8322" s="2"/>
      <c r="Q8322" s="2"/>
      <c r="R8322" s="2"/>
      <c r="S8322" s="2"/>
    </row>
    <row r="8323" spans="1:19" hidden="1" x14ac:dyDescent="0.3">
      <c r="A8323" s="9">
        <v>6008</v>
      </c>
      <c r="B8323" t="s">
        <v>365</v>
      </c>
      <c r="C8323" s="25">
        <v>44726</v>
      </c>
      <c r="D8323" s="26">
        <v>0.72386574074074073</v>
      </c>
      <c r="E8323" t="s">
        <v>29</v>
      </c>
      <c r="F8323" t="s">
        <v>637</v>
      </c>
      <c r="G8323" t="s">
        <v>196</v>
      </c>
      <c r="H8323" t="s">
        <v>112</v>
      </c>
      <c r="I8323" s="126">
        <v>191</v>
      </c>
      <c r="J8323" s="52">
        <v>0</v>
      </c>
      <c r="K8323" s="88">
        <v>316</v>
      </c>
      <c r="L8323" s="51">
        <v>316</v>
      </c>
      <c r="M8323" s="91">
        <f t="shared" ref="M8323:M8330" si="513">I8323/K8323*100</f>
        <v>60.443037974683541</v>
      </c>
    </row>
    <row r="8324" spans="1:19" hidden="1" x14ac:dyDescent="0.3">
      <c r="A8324" s="9">
        <v>6073</v>
      </c>
      <c r="B8324" t="s">
        <v>365</v>
      </c>
      <c r="C8324" s="25">
        <v>44727</v>
      </c>
      <c r="D8324" s="26">
        <v>0.3757523148148148</v>
      </c>
      <c r="E8324" t="s">
        <v>29</v>
      </c>
      <c r="F8324" t="s">
        <v>752</v>
      </c>
      <c r="G8324" t="s">
        <v>390</v>
      </c>
      <c r="H8324" t="s">
        <v>112</v>
      </c>
      <c r="I8324" s="126">
        <v>221.88</v>
      </c>
      <c r="J8324" s="52">
        <v>0</v>
      </c>
      <c r="K8324" s="88">
        <v>441</v>
      </c>
      <c r="L8324" s="51">
        <v>441</v>
      </c>
      <c r="M8324" s="91">
        <f t="shared" si="513"/>
        <v>50.312925170068027</v>
      </c>
    </row>
    <row r="8325" spans="1:19" hidden="1" x14ac:dyDescent="0.3">
      <c r="A8325" s="9">
        <v>6275</v>
      </c>
      <c r="B8325" t="s">
        <v>365</v>
      </c>
      <c r="C8325" s="25">
        <v>44732</v>
      </c>
      <c r="D8325" s="26">
        <v>0.38306712962962958</v>
      </c>
      <c r="E8325" t="s">
        <v>29</v>
      </c>
      <c r="F8325" t="s">
        <v>639</v>
      </c>
      <c r="G8325" t="s">
        <v>44</v>
      </c>
      <c r="H8325" t="s">
        <v>112</v>
      </c>
      <c r="I8325" s="126">
        <v>143.68</v>
      </c>
      <c r="J8325" s="52">
        <v>0</v>
      </c>
      <c r="K8325" s="88">
        <v>299</v>
      </c>
      <c r="L8325" s="51">
        <v>299</v>
      </c>
      <c r="M8325" s="91">
        <f t="shared" si="513"/>
        <v>48.053511705685622</v>
      </c>
    </row>
    <row r="8326" spans="1:19" hidden="1" x14ac:dyDescent="0.3">
      <c r="A8326" s="9">
        <v>6276</v>
      </c>
      <c r="B8326" t="s">
        <v>365</v>
      </c>
      <c r="C8326" s="25">
        <v>44732</v>
      </c>
      <c r="D8326" s="26">
        <v>0.7321875000000001</v>
      </c>
      <c r="E8326" t="s">
        <v>29</v>
      </c>
      <c r="F8326" t="s">
        <v>634</v>
      </c>
      <c r="G8326" t="s">
        <v>211</v>
      </c>
      <c r="H8326" t="s">
        <v>112</v>
      </c>
      <c r="I8326" s="148">
        <v>249.01</v>
      </c>
      <c r="J8326" s="52">
        <v>0</v>
      </c>
      <c r="K8326" s="88">
        <v>596</v>
      </c>
      <c r="L8326" s="51">
        <v>596</v>
      </c>
      <c r="M8326" s="91">
        <f t="shared" si="513"/>
        <v>41.780201342281877</v>
      </c>
    </row>
    <row r="8327" spans="1:19" hidden="1" x14ac:dyDescent="0.3">
      <c r="A8327" s="9">
        <v>6311</v>
      </c>
      <c r="B8327" t="s">
        <v>365</v>
      </c>
      <c r="C8327" s="25">
        <v>44733</v>
      </c>
      <c r="D8327" s="26">
        <v>0.89197916666666666</v>
      </c>
      <c r="E8327" t="s">
        <v>29</v>
      </c>
      <c r="F8327" t="s">
        <v>640</v>
      </c>
      <c r="G8327" t="s">
        <v>185</v>
      </c>
      <c r="H8327" t="s">
        <v>112</v>
      </c>
      <c r="I8327" s="148">
        <v>278.01</v>
      </c>
      <c r="J8327" s="52">
        <v>0</v>
      </c>
      <c r="K8327" s="88">
        <v>550</v>
      </c>
      <c r="L8327" s="51">
        <v>550</v>
      </c>
      <c r="M8327" s="91">
        <f t="shared" si="513"/>
        <v>50.547272727272727</v>
      </c>
    </row>
    <row r="8328" spans="1:19" hidden="1" x14ac:dyDescent="0.3">
      <c r="A8328" s="9">
        <v>6460</v>
      </c>
      <c r="B8328" t="s">
        <v>365</v>
      </c>
      <c r="C8328" s="25">
        <v>44736</v>
      </c>
      <c r="D8328" s="26">
        <v>0.47972222222222222</v>
      </c>
      <c r="E8328" t="s">
        <v>29</v>
      </c>
      <c r="F8328" t="s">
        <v>707</v>
      </c>
      <c r="G8328" t="s">
        <v>45</v>
      </c>
      <c r="H8328" t="s">
        <v>112</v>
      </c>
      <c r="I8328" s="148">
        <v>202.65</v>
      </c>
      <c r="J8328" s="52">
        <v>0</v>
      </c>
      <c r="K8328" s="88">
        <v>320</v>
      </c>
      <c r="L8328" s="51">
        <v>320</v>
      </c>
      <c r="M8328" s="91">
        <f t="shared" si="513"/>
        <v>63.328125</v>
      </c>
    </row>
    <row r="8329" spans="1:19" hidden="1" x14ac:dyDescent="0.3">
      <c r="A8329" s="9">
        <v>6461</v>
      </c>
      <c r="B8329" t="s">
        <v>365</v>
      </c>
      <c r="C8329" s="25">
        <v>44736</v>
      </c>
      <c r="D8329" s="26">
        <v>0.99267361111111108</v>
      </c>
      <c r="E8329" t="s">
        <v>29</v>
      </c>
      <c r="F8329" t="s">
        <v>634</v>
      </c>
      <c r="G8329" t="s">
        <v>211</v>
      </c>
      <c r="H8329" t="s">
        <v>112</v>
      </c>
      <c r="I8329" s="148">
        <v>240.34</v>
      </c>
      <c r="J8329" s="52">
        <v>0</v>
      </c>
      <c r="K8329" s="88">
        <v>636</v>
      </c>
      <c r="L8329" s="51">
        <v>636</v>
      </c>
      <c r="M8329" s="91">
        <f t="shared" si="513"/>
        <v>37.789308176100626</v>
      </c>
    </row>
    <row r="8330" spans="1:19" hidden="1" x14ac:dyDescent="0.3">
      <c r="A8330" s="9">
        <v>6514</v>
      </c>
      <c r="B8330" t="s">
        <v>365</v>
      </c>
      <c r="C8330" s="25">
        <v>44737</v>
      </c>
      <c r="D8330" s="26">
        <v>0.62474537037037037</v>
      </c>
      <c r="E8330" t="s">
        <v>29</v>
      </c>
      <c r="F8330" t="s">
        <v>637</v>
      </c>
      <c r="G8330" t="s">
        <v>196</v>
      </c>
      <c r="H8330" t="s">
        <v>112</v>
      </c>
      <c r="I8330" s="148">
        <v>99.18</v>
      </c>
      <c r="J8330" s="52">
        <v>0</v>
      </c>
      <c r="K8330" s="88">
        <v>481</v>
      </c>
      <c r="L8330" s="51">
        <v>481</v>
      </c>
      <c r="M8330" s="91">
        <f t="shared" si="513"/>
        <v>20.619542619542621</v>
      </c>
    </row>
    <row r="8331" spans="1:19" hidden="1" x14ac:dyDescent="0.3">
      <c r="A8331" s="9">
        <v>6751</v>
      </c>
      <c r="B8331" t="s">
        <v>365</v>
      </c>
      <c r="C8331" s="25">
        <v>44742</v>
      </c>
      <c r="D8331" s="26">
        <v>0.65055555555555555</v>
      </c>
      <c r="E8331" t="s">
        <v>29</v>
      </c>
      <c r="F8331" t="s">
        <v>210</v>
      </c>
      <c r="G8331" t="s">
        <v>211</v>
      </c>
      <c r="H8331" t="s">
        <v>112</v>
      </c>
      <c r="I8331" s="148">
        <v>427.83</v>
      </c>
      <c r="J8331"/>
      <c r="K8331">
        <v>83337</v>
      </c>
      <c r="L8331">
        <f>+K8331-J8331</f>
        <v>83337</v>
      </c>
      <c r="M8331" s="139">
        <f>I8331/L8331*100</f>
        <v>0.51337341156989091</v>
      </c>
    </row>
    <row r="8332" spans="1:19" hidden="1" x14ac:dyDescent="0.3">
      <c r="B8332" t="s">
        <v>435</v>
      </c>
      <c r="C8332" s="25">
        <v>44760</v>
      </c>
      <c r="D8332" s="26">
        <v>0.92809027777777775</v>
      </c>
      <c r="E8332" t="s">
        <v>30</v>
      </c>
      <c r="F8332" t="s">
        <v>197</v>
      </c>
      <c r="G8332" t="s">
        <v>44</v>
      </c>
      <c r="H8332" t="s">
        <v>308</v>
      </c>
      <c r="I8332" s="160">
        <v>124.2</v>
      </c>
      <c r="J8332" s="8"/>
      <c r="K8332" s="8"/>
      <c r="L8332" s="8"/>
      <c r="M8332" s="254"/>
    </row>
    <row r="8333" spans="1:19" hidden="1" x14ac:dyDescent="0.3">
      <c r="B8333" t="s">
        <v>435</v>
      </c>
      <c r="C8333" s="25">
        <v>44761</v>
      </c>
      <c r="D8333" s="26">
        <v>0.67201388888888891</v>
      </c>
      <c r="E8333" t="s">
        <v>30</v>
      </c>
      <c r="F8333" t="s">
        <v>210</v>
      </c>
      <c r="G8333" t="s">
        <v>211</v>
      </c>
      <c r="H8333" t="s">
        <v>308</v>
      </c>
      <c r="I8333" s="160">
        <v>381.55</v>
      </c>
      <c r="J8333" s="160">
        <f>344+162+124+381</f>
        <v>1011</v>
      </c>
      <c r="K8333" s="160">
        <v>652838</v>
      </c>
      <c r="L8333" s="160">
        <v>2722</v>
      </c>
      <c r="M8333" s="150">
        <f t="shared" ref="M8333:M8342" si="514">+J8333/L8333*100</f>
        <v>37.141807494489349</v>
      </c>
    </row>
    <row r="8334" spans="1:19" hidden="1" x14ac:dyDescent="0.3">
      <c r="B8334" t="s">
        <v>435</v>
      </c>
      <c r="C8334" s="25">
        <v>44763</v>
      </c>
      <c r="D8334" s="26">
        <v>0.95034722222222223</v>
      </c>
      <c r="E8334" t="s">
        <v>30</v>
      </c>
      <c r="F8334" t="s">
        <v>210</v>
      </c>
      <c r="G8334" t="s">
        <v>211</v>
      </c>
      <c r="H8334" t="s">
        <v>308</v>
      </c>
      <c r="I8334" s="160">
        <v>447.09</v>
      </c>
      <c r="J8334" s="8"/>
      <c r="K8334" s="8"/>
      <c r="L8334" s="8"/>
      <c r="M8334" s="254"/>
    </row>
    <row r="8335" spans="1:19" hidden="1" x14ac:dyDescent="0.3">
      <c r="B8335" t="s">
        <v>435</v>
      </c>
      <c r="C8335" s="25">
        <v>44764</v>
      </c>
      <c r="D8335" s="26">
        <v>0.67322916666666666</v>
      </c>
      <c r="E8335" t="s">
        <v>30</v>
      </c>
      <c r="F8335" t="s">
        <v>169</v>
      </c>
      <c r="G8335" t="s">
        <v>196</v>
      </c>
      <c r="H8335" t="s">
        <v>308</v>
      </c>
      <c r="I8335" s="160">
        <v>160.41999999999999</v>
      </c>
      <c r="J8335" s="8"/>
      <c r="K8335" s="8"/>
      <c r="L8335" s="8"/>
      <c r="M8335" s="254"/>
    </row>
    <row r="8336" spans="1:19" hidden="1" x14ac:dyDescent="0.3">
      <c r="B8336" t="s">
        <v>435</v>
      </c>
      <c r="C8336" s="25">
        <v>44765</v>
      </c>
      <c r="D8336" s="26">
        <v>0.96762731481481479</v>
      </c>
      <c r="E8336" t="s">
        <v>30</v>
      </c>
      <c r="F8336" t="s">
        <v>197</v>
      </c>
      <c r="G8336" t="s">
        <v>44</v>
      </c>
      <c r="H8336" t="s">
        <v>308</v>
      </c>
      <c r="I8336" s="160">
        <v>150.01</v>
      </c>
      <c r="J8336" s="8"/>
      <c r="K8336" s="8"/>
      <c r="L8336" s="8"/>
      <c r="M8336" s="254"/>
    </row>
    <row r="8337" spans="1:13" hidden="1" x14ac:dyDescent="0.3">
      <c r="B8337" t="s">
        <v>435</v>
      </c>
      <c r="C8337" s="25">
        <v>44766</v>
      </c>
      <c r="D8337" s="26">
        <v>0.61523148148148155</v>
      </c>
      <c r="E8337" t="s">
        <v>30</v>
      </c>
      <c r="F8337" t="s">
        <v>210</v>
      </c>
      <c r="G8337" t="s">
        <v>211</v>
      </c>
      <c r="H8337" t="s">
        <v>308</v>
      </c>
      <c r="I8337" s="161">
        <v>334.08</v>
      </c>
      <c r="J8337" s="161">
        <f>447+160+150+334</f>
        <v>1091</v>
      </c>
      <c r="K8337" s="161">
        <v>655130</v>
      </c>
      <c r="L8337" s="161">
        <v>2902</v>
      </c>
      <c r="M8337" s="152">
        <f t="shared" si="514"/>
        <v>37.594762232942799</v>
      </c>
    </row>
    <row r="8338" spans="1:13" hidden="1" x14ac:dyDescent="0.3">
      <c r="B8338" t="s">
        <v>435</v>
      </c>
      <c r="C8338" s="25">
        <v>44767</v>
      </c>
      <c r="D8338" s="26">
        <v>0.58655092592592595</v>
      </c>
      <c r="E8338" t="s">
        <v>30</v>
      </c>
      <c r="F8338" t="s">
        <v>210</v>
      </c>
      <c r="G8338" t="s">
        <v>211</v>
      </c>
      <c r="H8338" t="s">
        <v>308</v>
      </c>
      <c r="I8338" s="160">
        <v>388.13</v>
      </c>
      <c r="J8338" s="8"/>
      <c r="K8338" s="8"/>
      <c r="L8338" s="8"/>
      <c r="M8338" s="254"/>
    </row>
    <row r="8339" spans="1:13" hidden="1" x14ac:dyDescent="0.3">
      <c r="B8339" t="s">
        <v>435</v>
      </c>
      <c r="C8339" s="25">
        <v>44767</v>
      </c>
      <c r="D8339" s="26">
        <v>0.9025347222222222</v>
      </c>
      <c r="E8339" t="s">
        <v>30</v>
      </c>
      <c r="F8339" t="s">
        <v>169</v>
      </c>
      <c r="G8339" t="s">
        <v>196</v>
      </c>
      <c r="H8339" t="s">
        <v>308</v>
      </c>
      <c r="I8339" s="160">
        <v>160.22</v>
      </c>
      <c r="J8339" s="8"/>
      <c r="K8339" s="8"/>
      <c r="L8339" s="8"/>
      <c r="M8339" s="254"/>
    </row>
    <row r="8340" spans="1:13" hidden="1" x14ac:dyDescent="0.3">
      <c r="B8340" t="s">
        <v>435</v>
      </c>
      <c r="C8340" s="25">
        <v>44769</v>
      </c>
      <c r="D8340" s="26">
        <v>0.48958333333333331</v>
      </c>
      <c r="E8340" t="s">
        <v>30</v>
      </c>
      <c r="F8340" t="s">
        <v>197</v>
      </c>
      <c r="G8340" t="s">
        <v>44</v>
      </c>
      <c r="H8340" t="s">
        <v>308</v>
      </c>
      <c r="I8340" s="160">
        <v>134.77000000000001</v>
      </c>
      <c r="J8340" s="8"/>
      <c r="K8340" s="8"/>
      <c r="L8340" s="8"/>
      <c r="M8340" s="254"/>
    </row>
    <row r="8341" spans="1:13" hidden="1" x14ac:dyDescent="0.3">
      <c r="B8341" t="s">
        <v>435</v>
      </c>
      <c r="C8341" s="25">
        <v>44770</v>
      </c>
      <c r="D8341" s="26">
        <v>1.9710648148148147E-2</v>
      </c>
      <c r="E8341" t="s">
        <v>30</v>
      </c>
      <c r="F8341" t="s">
        <v>210</v>
      </c>
      <c r="G8341" t="s">
        <v>211</v>
      </c>
      <c r="H8341" t="s">
        <v>308</v>
      </c>
      <c r="I8341" s="161">
        <v>374.53</v>
      </c>
      <c r="J8341" s="44"/>
      <c r="K8341" s="44"/>
      <c r="L8341" s="44"/>
      <c r="M8341" s="267"/>
    </row>
    <row r="8342" spans="1:13" hidden="1" x14ac:dyDescent="0.3">
      <c r="B8342" t="s">
        <v>435</v>
      </c>
      <c r="C8342" s="25">
        <v>44771</v>
      </c>
      <c r="D8342" s="26">
        <v>0.39048611111111109</v>
      </c>
      <c r="E8342" t="s">
        <v>30</v>
      </c>
      <c r="F8342" t="s">
        <v>210</v>
      </c>
      <c r="G8342" t="s">
        <v>211</v>
      </c>
      <c r="H8342" t="s">
        <v>308</v>
      </c>
      <c r="I8342" s="160">
        <v>393.34</v>
      </c>
      <c r="J8342" s="160">
        <f>388+160+135+374+393</f>
        <v>1450</v>
      </c>
      <c r="K8342" s="160">
        <v>658174</v>
      </c>
      <c r="L8342" s="160">
        <v>3900</v>
      </c>
      <c r="M8342" s="150">
        <f t="shared" si="514"/>
        <v>37.179487179487182</v>
      </c>
    </row>
    <row r="8343" spans="1:13" hidden="1" x14ac:dyDescent="0.3">
      <c r="A8343" s="9">
        <v>6751</v>
      </c>
      <c r="B8343" t="s">
        <v>596</v>
      </c>
      <c r="C8343" s="25">
        <v>44750</v>
      </c>
      <c r="D8343" s="26">
        <v>0.95040509259259265</v>
      </c>
      <c r="E8343" t="s">
        <v>30</v>
      </c>
      <c r="F8343" t="s">
        <v>268</v>
      </c>
      <c r="G8343" t="s">
        <v>269</v>
      </c>
      <c r="H8343" t="s">
        <v>573</v>
      </c>
      <c r="I8343" s="236" t="s">
        <v>798</v>
      </c>
      <c r="J8343" s="8"/>
      <c r="K8343" s="90"/>
      <c r="L8343" s="8"/>
      <c r="M8343" s="91" t="e">
        <f t="shared" ref="M8343:M8349" si="515">I8343/K8343*100</f>
        <v>#DIV/0!</v>
      </c>
    </row>
    <row r="8344" spans="1:13" hidden="1" x14ac:dyDescent="0.3">
      <c r="A8344" s="9">
        <v>6751</v>
      </c>
      <c r="B8344" t="s">
        <v>596</v>
      </c>
      <c r="C8344" s="25">
        <v>44750</v>
      </c>
      <c r="D8344" s="26">
        <v>0.95040509259259265</v>
      </c>
      <c r="E8344" t="s">
        <v>30</v>
      </c>
      <c r="F8344" t="s">
        <v>268</v>
      </c>
      <c r="G8344" t="s">
        <v>269</v>
      </c>
      <c r="H8344" t="s">
        <v>573</v>
      </c>
      <c r="I8344" s="236" t="s">
        <v>798</v>
      </c>
      <c r="J8344" s="23"/>
      <c r="K8344" s="90"/>
      <c r="L8344" s="23"/>
      <c r="M8344" s="91" t="e">
        <f t="shared" si="515"/>
        <v>#DIV/0!</v>
      </c>
    </row>
    <row r="8345" spans="1:13" hidden="1" x14ac:dyDescent="0.3">
      <c r="B8345" t="s">
        <v>571</v>
      </c>
      <c r="C8345" s="25">
        <v>44749</v>
      </c>
      <c r="D8345" s="26">
        <v>0.71319444444444446</v>
      </c>
      <c r="E8345" t="s">
        <v>30</v>
      </c>
      <c r="F8345" t="s">
        <v>175</v>
      </c>
      <c r="G8345" t="s">
        <v>172</v>
      </c>
      <c r="H8345" t="s">
        <v>573</v>
      </c>
      <c r="I8345" s="236">
        <v>29.49</v>
      </c>
      <c r="J8345" s="8"/>
      <c r="K8345" s="90"/>
      <c r="L8345" s="8"/>
      <c r="M8345" s="91" t="e">
        <f t="shared" si="515"/>
        <v>#DIV/0!</v>
      </c>
    </row>
    <row r="8346" spans="1:13" hidden="1" x14ac:dyDescent="0.3">
      <c r="B8346" t="s">
        <v>571</v>
      </c>
      <c r="C8346" s="25">
        <v>44752</v>
      </c>
      <c r="D8346" s="26">
        <v>0.40722222222222221</v>
      </c>
      <c r="E8346" t="s">
        <v>30</v>
      </c>
      <c r="F8346" t="s">
        <v>387</v>
      </c>
      <c r="G8346" t="s">
        <v>388</v>
      </c>
      <c r="H8346" t="s">
        <v>573</v>
      </c>
      <c r="I8346" s="236">
        <v>17.68</v>
      </c>
      <c r="J8346" s="8"/>
      <c r="K8346" s="90"/>
      <c r="L8346" s="8"/>
      <c r="M8346" s="91" t="e">
        <f t="shared" si="515"/>
        <v>#DIV/0!</v>
      </c>
    </row>
    <row r="8347" spans="1:13" hidden="1" x14ac:dyDescent="0.3">
      <c r="B8347" t="s">
        <v>571</v>
      </c>
      <c r="C8347" s="25">
        <v>44759</v>
      </c>
      <c r="D8347" s="26">
        <v>0.41343749999999996</v>
      </c>
      <c r="E8347" t="s">
        <v>30</v>
      </c>
      <c r="F8347" t="s">
        <v>387</v>
      </c>
      <c r="G8347" t="s">
        <v>388</v>
      </c>
      <c r="H8347" t="s">
        <v>573</v>
      </c>
      <c r="I8347" s="236">
        <v>50.27</v>
      </c>
      <c r="J8347" s="23"/>
      <c r="K8347" s="90"/>
      <c r="L8347" s="23"/>
      <c r="M8347" s="91" t="e">
        <f t="shared" si="515"/>
        <v>#DIV/0!</v>
      </c>
    </row>
    <row r="8348" spans="1:13" hidden="1" x14ac:dyDescent="0.3">
      <c r="B8348" t="s">
        <v>571</v>
      </c>
      <c r="C8348" s="25">
        <v>44757</v>
      </c>
      <c r="D8348" s="26">
        <v>0.73358796296296302</v>
      </c>
      <c r="E8348" t="s">
        <v>30</v>
      </c>
      <c r="F8348" t="s">
        <v>783</v>
      </c>
      <c r="G8348" t="s">
        <v>392</v>
      </c>
      <c r="H8348" t="s">
        <v>573</v>
      </c>
      <c r="I8348" s="236">
        <v>40.36</v>
      </c>
      <c r="J8348" s="23"/>
      <c r="K8348" s="90"/>
      <c r="L8348" s="23"/>
      <c r="M8348" s="91" t="e">
        <f t="shared" si="515"/>
        <v>#DIV/0!</v>
      </c>
    </row>
    <row r="8349" spans="1:13" hidden="1" x14ac:dyDescent="0.3">
      <c r="B8349" t="s">
        <v>571</v>
      </c>
      <c r="C8349" s="25">
        <v>44756</v>
      </c>
      <c r="D8349" s="26">
        <v>0.49710648148148145</v>
      </c>
      <c r="E8349" t="s">
        <v>30</v>
      </c>
      <c r="F8349" t="s">
        <v>175</v>
      </c>
      <c r="G8349" t="s">
        <v>172</v>
      </c>
      <c r="H8349" t="s">
        <v>573</v>
      </c>
      <c r="I8349" s="236">
        <v>57.39</v>
      </c>
      <c r="J8349" s="23"/>
      <c r="K8349" s="90"/>
      <c r="L8349" s="23"/>
      <c r="M8349" s="91" t="e">
        <f t="shared" si="515"/>
        <v>#DIV/0!</v>
      </c>
    </row>
    <row r="8350" spans="1:13" hidden="1" x14ac:dyDescent="0.3">
      <c r="A8350" s="9">
        <v>6751</v>
      </c>
      <c r="B8350" t="s">
        <v>552</v>
      </c>
      <c r="C8350" s="25">
        <v>44744</v>
      </c>
      <c r="D8350" s="26">
        <v>4.5879629629629631E-2</v>
      </c>
      <c r="E8350" t="s">
        <v>30</v>
      </c>
      <c r="F8350" t="s">
        <v>210</v>
      </c>
      <c r="G8350" t="s">
        <v>211</v>
      </c>
      <c r="H8350" t="s">
        <v>209</v>
      </c>
      <c r="I8350" s="160">
        <v>431.28</v>
      </c>
      <c r="J8350" s="8"/>
      <c r="K8350" s="8">
        <v>579033</v>
      </c>
      <c r="L8350" s="236">
        <f>+K8350-J8350</f>
        <v>579033</v>
      </c>
      <c r="M8350" s="91">
        <f>I8350/L8350*100</f>
        <v>7.4482801498360188E-2</v>
      </c>
    </row>
    <row r="8351" spans="1:13" hidden="1" x14ac:dyDescent="0.3">
      <c r="A8351" s="9">
        <v>6751</v>
      </c>
      <c r="B8351" t="s">
        <v>552</v>
      </c>
      <c r="C8351" s="25">
        <v>44744</v>
      </c>
      <c r="D8351" s="26">
        <v>0.80053240740740739</v>
      </c>
      <c r="E8351" t="s">
        <v>30</v>
      </c>
      <c r="F8351" t="s">
        <v>262</v>
      </c>
      <c r="G8351" t="s">
        <v>263</v>
      </c>
      <c r="H8351" t="s">
        <v>209</v>
      </c>
      <c r="I8351" s="160">
        <v>200</v>
      </c>
      <c r="J8351" s="8"/>
      <c r="K8351" s="8">
        <v>1234</v>
      </c>
      <c r="L8351" s="236">
        <f>+K8351-J8351</f>
        <v>1234</v>
      </c>
      <c r="M8351" s="91">
        <f>I8351/L8351*100</f>
        <v>16.207455429497568</v>
      </c>
    </row>
    <row r="8352" spans="1:13" hidden="1" x14ac:dyDescent="0.3">
      <c r="A8352" s="9">
        <v>6751</v>
      </c>
      <c r="B8352" t="s">
        <v>552</v>
      </c>
      <c r="C8352" s="25">
        <v>44749</v>
      </c>
      <c r="D8352" s="26">
        <v>0.59591435185185182</v>
      </c>
      <c r="E8352" t="s">
        <v>30</v>
      </c>
      <c r="F8352" t="s">
        <v>772</v>
      </c>
      <c r="G8352" t="s">
        <v>44</v>
      </c>
      <c r="H8352" t="s">
        <v>209</v>
      </c>
      <c r="I8352" s="244" t="s">
        <v>790</v>
      </c>
      <c r="J8352" s="44"/>
      <c r="K8352" s="44"/>
      <c r="L8352" s="245"/>
      <c r="M8352" s="132" t="e">
        <f>I8352/K8352*100</f>
        <v>#DIV/0!</v>
      </c>
    </row>
    <row r="8353" spans="1:13" hidden="1" x14ac:dyDescent="0.3">
      <c r="A8353" s="9">
        <v>6751</v>
      </c>
      <c r="B8353" t="s">
        <v>552</v>
      </c>
      <c r="C8353" s="25">
        <v>44749</v>
      </c>
      <c r="D8353" s="26">
        <v>0.60021990740740738</v>
      </c>
      <c r="E8353" t="s">
        <v>30</v>
      </c>
      <c r="F8353" t="s">
        <v>772</v>
      </c>
      <c r="G8353" t="s">
        <v>44</v>
      </c>
      <c r="H8353" t="s">
        <v>209</v>
      </c>
      <c r="I8353" s="173" t="s">
        <v>790</v>
      </c>
      <c r="J8353" s="8"/>
      <c r="K8353" s="8"/>
      <c r="L8353" s="236"/>
      <c r="M8353" s="91" t="e">
        <f>I8353/K8353*100</f>
        <v>#DIV/0!</v>
      </c>
    </row>
    <row r="8354" spans="1:13" hidden="1" x14ac:dyDescent="0.3">
      <c r="A8354" s="9">
        <v>6751</v>
      </c>
      <c r="B8354" t="s">
        <v>552</v>
      </c>
      <c r="C8354" s="25">
        <v>44750</v>
      </c>
      <c r="D8354" s="26">
        <v>0.45143518518518522</v>
      </c>
      <c r="E8354" t="s">
        <v>30</v>
      </c>
      <c r="F8354" t="s">
        <v>210</v>
      </c>
      <c r="G8354" t="s">
        <v>211</v>
      </c>
      <c r="H8354" t="s">
        <v>209</v>
      </c>
      <c r="I8354" s="173" t="s">
        <v>801</v>
      </c>
      <c r="J8354" s="160">
        <f>431+200+135+135+447</f>
        <v>1348</v>
      </c>
      <c r="K8354" s="160"/>
      <c r="L8354" s="173">
        <v>1758</v>
      </c>
      <c r="M8354" s="263">
        <f>+J8354/L8354*100</f>
        <v>76.678043230944255</v>
      </c>
    </row>
    <row r="8355" spans="1:13" hidden="1" x14ac:dyDescent="0.3">
      <c r="A8355" s="9">
        <v>6751</v>
      </c>
      <c r="B8355" t="s">
        <v>552</v>
      </c>
      <c r="C8355" s="25">
        <v>44750</v>
      </c>
      <c r="D8355" s="26">
        <v>0.90049768518518514</v>
      </c>
      <c r="E8355" t="s">
        <v>30</v>
      </c>
      <c r="F8355" t="s">
        <v>165</v>
      </c>
      <c r="G8355" t="s">
        <v>185</v>
      </c>
      <c r="H8355" t="s">
        <v>209</v>
      </c>
      <c r="I8355" s="173" t="s">
        <v>800</v>
      </c>
      <c r="J8355" s="8"/>
      <c r="K8355" s="8"/>
      <c r="L8355" s="236"/>
      <c r="M8355" s="91" t="e">
        <f>I8355/K8355*100</f>
        <v>#DIV/0!</v>
      </c>
    </row>
    <row r="8356" spans="1:13" hidden="1" x14ac:dyDescent="0.3">
      <c r="A8356" s="9">
        <v>6751</v>
      </c>
      <c r="B8356" t="s">
        <v>552</v>
      </c>
      <c r="C8356" s="25">
        <v>44752</v>
      </c>
      <c r="D8356" s="26">
        <v>1.0763888888888891E-2</v>
      </c>
      <c r="E8356" t="s">
        <v>30</v>
      </c>
      <c r="F8356" t="s">
        <v>210</v>
      </c>
      <c r="G8356" t="s">
        <v>211</v>
      </c>
      <c r="H8356" t="s">
        <v>209</v>
      </c>
      <c r="I8356" s="173" t="s">
        <v>799</v>
      </c>
      <c r="J8356" s="160">
        <f>100+454</f>
        <v>554</v>
      </c>
      <c r="K8356" s="160"/>
      <c r="L8356" s="173">
        <v>1122</v>
      </c>
      <c r="M8356" s="149">
        <f>+J8356/L8356*100</f>
        <v>49.376114081996434</v>
      </c>
    </row>
    <row r="8357" spans="1:13" hidden="1" x14ac:dyDescent="0.3">
      <c r="A8357" s="9">
        <v>6751</v>
      </c>
      <c r="B8357" t="s">
        <v>552</v>
      </c>
      <c r="C8357" s="25">
        <v>44753</v>
      </c>
      <c r="D8357" s="26">
        <v>0.70292824074074067</v>
      </c>
      <c r="E8357" t="s">
        <v>30</v>
      </c>
      <c r="F8357" t="s">
        <v>262</v>
      </c>
      <c r="G8357" t="s">
        <v>263</v>
      </c>
      <c r="H8357" t="s">
        <v>209</v>
      </c>
      <c r="I8357" s="173" t="s">
        <v>793</v>
      </c>
      <c r="J8357" s="23"/>
      <c r="K8357" s="23"/>
      <c r="L8357" s="233"/>
      <c r="M8357" s="19"/>
    </row>
    <row r="8358" spans="1:13" hidden="1" x14ac:dyDescent="0.3">
      <c r="A8358" s="9">
        <v>6751</v>
      </c>
      <c r="B8358" t="s">
        <v>552</v>
      </c>
      <c r="C8358" s="25">
        <v>44754</v>
      </c>
      <c r="D8358" s="26">
        <v>0.39540509259259254</v>
      </c>
      <c r="E8358" t="s">
        <v>30</v>
      </c>
      <c r="F8358" t="s">
        <v>171</v>
      </c>
      <c r="G8358" t="s">
        <v>172</v>
      </c>
      <c r="H8358" t="s">
        <v>209</v>
      </c>
      <c r="I8358" s="173" t="s">
        <v>916</v>
      </c>
      <c r="J8358" s="23"/>
      <c r="K8358" s="23"/>
      <c r="L8358" s="233"/>
      <c r="M8358" s="19"/>
    </row>
    <row r="8359" spans="1:13" hidden="1" x14ac:dyDescent="0.3">
      <c r="A8359" s="9">
        <v>6751</v>
      </c>
      <c r="B8359" t="s">
        <v>552</v>
      </c>
      <c r="C8359" s="25">
        <v>44755</v>
      </c>
      <c r="D8359" s="26">
        <v>1.0300925925925927E-2</v>
      </c>
      <c r="E8359" t="s">
        <v>30</v>
      </c>
      <c r="F8359" t="s">
        <v>210</v>
      </c>
      <c r="G8359" t="s">
        <v>211</v>
      </c>
      <c r="H8359" t="s">
        <v>209</v>
      </c>
      <c r="I8359" s="173" t="s">
        <v>1034</v>
      </c>
      <c r="J8359" s="231">
        <f>200+297+346</f>
        <v>843</v>
      </c>
      <c r="K8359" s="151"/>
      <c r="L8359" s="231">
        <v>1754</v>
      </c>
      <c r="M8359" s="150">
        <f>+J8359/L8359*100</f>
        <v>48.061573546180156</v>
      </c>
    </row>
    <row r="8360" spans="1:13" hidden="1" x14ac:dyDescent="0.3">
      <c r="A8360" s="9">
        <v>6751</v>
      </c>
      <c r="B8360" t="s">
        <v>552</v>
      </c>
      <c r="C8360" s="25">
        <v>44755</v>
      </c>
      <c r="D8360" s="26">
        <v>0.74353009259259262</v>
      </c>
      <c r="E8360" t="s">
        <v>30</v>
      </c>
      <c r="F8360" t="s">
        <v>165</v>
      </c>
      <c r="G8360" t="s">
        <v>185</v>
      </c>
      <c r="H8360" t="s">
        <v>209</v>
      </c>
      <c r="I8360" s="173" t="s">
        <v>1033</v>
      </c>
      <c r="J8360" s="23"/>
      <c r="K8360" s="23"/>
      <c r="L8360" s="233"/>
      <c r="M8360" s="19"/>
    </row>
    <row r="8361" spans="1:13" hidden="1" x14ac:dyDescent="0.3">
      <c r="A8361" s="9">
        <v>6751</v>
      </c>
      <c r="B8361" t="s">
        <v>552</v>
      </c>
      <c r="C8361" s="25">
        <v>44757</v>
      </c>
      <c r="D8361" s="26">
        <v>0.48781249999999998</v>
      </c>
      <c r="E8361" t="s">
        <v>30</v>
      </c>
      <c r="F8361" t="s">
        <v>774</v>
      </c>
      <c r="G8361" t="s">
        <v>161</v>
      </c>
      <c r="H8361" t="s">
        <v>209</v>
      </c>
      <c r="I8361" s="173" t="s">
        <v>1032</v>
      </c>
      <c r="J8361" s="231">
        <f>308+310</f>
        <v>618</v>
      </c>
      <c r="K8361" s="151"/>
      <c r="L8361" s="231">
        <v>1198</v>
      </c>
      <c r="M8361" s="150">
        <f>+J8361/L8361*100</f>
        <v>51.58597662771286</v>
      </c>
    </row>
    <row r="8362" spans="1:13" hidden="1" x14ac:dyDescent="0.3">
      <c r="A8362" s="9">
        <v>6751</v>
      </c>
      <c r="B8362" t="s">
        <v>552</v>
      </c>
      <c r="C8362" s="25">
        <v>44758</v>
      </c>
      <c r="D8362" s="26">
        <v>0.435</v>
      </c>
      <c r="E8362" t="s">
        <v>30</v>
      </c>
      <c r="F8362" t="s">
        <v>428</v>
      </c>
      <c r="G8362" t="s">
        <v>429</v>
      </c>
      <c r="H8362" t="s">
        <v>209</v>
      </c>
      <c r="I8362" s="173" t="s">
        <v>800</v>
      </c>
      <c r="J8362" s="23"/>
      <c r="K8362" s="23"/>
      <c r="L8362" s="233"/>
      <c r="M8362" s="19"/>
    </row>
    <row r="8363" spans="1:13" hidden="1" x14ac:dyDescent="0.3">
      <c r="A8363" s="9">
        <v>6751</v>
      </c>
      <c r="B8363" t="s">
        <v>552</v>
      </c>
      <c r="C8363" s="25">
        <v>44758</v>
      </c>
      <c r="D8363" s="26">
        <v>0.43760416666666663</v>
      </c>
      <c r="E8363" t="s">
        <v>30</v>
      </c>
      <c r="F8363" t="s">
        <v>428</v>
      </c>
      <c r="G8363" t="s">
        <v>429</v>
      </c>
      <c r="H8363" t="s">
        <v>209</v>
      </c>
      <c r="I8363" s="173" t="s">
        <v>800</v>
      </c>
      <c r="J8363" s="23"/>
      <c r="K8363" s="23"/>
      <c r="L8363" s="233"/>
      <c r="M8363" s="19"/>
    </row>
    <row r="8364" spans="1:13" hidden="1" x14ac:dyDescent="0.3">
      <c r="A8364" s="9">
        <v>6751</v>
      </c>
      <c r="B8364" t="s">
        <v>552</v>
      </c>
      <c r="C8364" s="25">
        <v>44759</v>
      </c>
      <c r="D8364" s="26">
        <v>0.37270833333333336</v>
      </c>
      <c r="E8364" t="s">
        <v>30</v>
      </c>
      <c r="F8364" t="s">
        <v>775</v>
      </c>
      <c r="G8364" t="s">
        <v>263</v>
      </c>
      <c r="H8364" t="s">
        <v>209</v>
      </c>
      <c r="I8364" s="173" t="s">
        <v>793</v>
      </c>
      <c r="J8364" s="23"/>
      <c r="K8364" s="23"/>
      <c r="L8364" s="23"/>
      <c r="M8364" s="19"/>
    </row>
    <row r="8365" spans="1:13" hidden="1" x14ac:dyDescent="0.3">
      <c r="B8365" t="s">
        <v>552</v>
      </c>
      <c r="C8365" s="25">
        <v>44760</v>
      </c>
      <c r="D8365" s="26">
        <v>0.35938657407407404</v>
      </c>
      <c r="E8365" t="s">
        <v>30</v>
      </c>
      <c r="F8365" t="s">
        <v>210</v>
      </c>
      <c r="G8365" t="s">
        <v>211</v>
      </c>
      <c r="H8365" t="s">
        <v>209</v>
      </c>
      <c r="I8365" s="160">
        <v>530.16999999999996</v>
      </c>
      <c r="J8365" s="160">
        <f>400+530</f>
        <v>930</v>
      </c>
      <c r="K8365" s="160">
        <v>586754</v>
      </c>
      <c r="L8365" s="160">
        <v>1817</v>
      </c>
      <c r="M8365" s="254">
        <f t="shared" ref="M8365:M8377" si="516">+J8365/L8365*100</f>
        <v>51.183269124931208</v>
      </c>
    </row>
    <row r="8366" spans="1:13" hidden="1" x14ac:dyDescent="0.3">
      <c r="B8366" t="s">
        <v>552</v>
      </c>
      <c r="C8366" s="25">
        <v>44762</v>
      </c>
      <c r="D8366" s="26">
        <v>0.43925925925925924</v>
      </c>
      <c r="E8366" t="s">
        <v>30</v>
      </c>
      <c r="F8366" t="s">
        <v>210</v>
      </c>
      <c r="G8366" t="s">
        <v>211</v>
      </c>
      <c r="H8366" t="s">
        <v>209</v>
      </c>
      <c r="I8366" s="284">
        <v>447.09</v>
      </c>
      <c r="J8366" s="44"/>
      <c r="K8366" s="44">
        <v>587884</v>
      </c>
      <c r="L8366" s="44">
        <f>+K8366-J8366</f>
        <v>587884</v>
      </c>
      <c r="M8366" s="267">
        <f t="shared" si="516"/>
        <v>0</v>
      </c>
    </row>
    <row r="8367" spans="1:13" hidden="1" x14ac:dyDescent="0.3">
      <c r="B8367" t="s">
        <v>552</v>
      </c>
      <c r="C8367" s="25">
        <v>44762</v>
      </c>
      <c r="D8367" s="26">
        <v>0.44523148148148151</v>
      </c>
      <c r="E8367" t="s">
        <v>30</v>
      </c>
      <c r="F8367" t="s">
        <v>210</v>
      </c>
      <c r="G8367" t="s">
        <v>211</v>
      </c>
      <c r="H8367" t="s">
        <v>209</v>
      </c>
      <c r="I8367" s="163">
        <v>140.29</v>
      </c>
      <c r="J8367" s="8"/>
      <c r="K8367" s="8">
        <v>587884</v>
      </c>
      <c r="L8367" s="8">
        <f>+K8367-J8367</f>
        <v>587884</v>
      </c>
      <c r="M8367" s="254">
        <f t="shared" si="516"/>
        <v>0</v>
      </c>
    </row>
    <row r="8368" spans="1:13" hidden="1" x14ac:dyDescent="0.3">
      <c r="B8368" t="s">
        <v>552</v>
      </c>
      <c r="C8368" s="25">
        <v>44763</v>
      </c>
      <c r="D8368" s="26">
        <v>0.50422453703703707</v>
      </c>
      <c r="E8368" t="s">
        <v>30</v>
      </c>
      <c r="F8368" t="s">
        <v>428</v>
      </c>
      <c r="G8368" t="s">
        <v>429</v>
      </c>
      <c r="H8368" t="s">
        <v>209</v>
      </c>
      <c r="I8368" s="163">
        <v>100.11</v>
      </c>
      <c r="J8368" s="8"/>
      <c r="K8368" s="8">
        <v>225369</v>
      </c>
      <c r="L8368" s="8">
        <f>+K8368-J8368</f>
        <v>225369</v>
      </c>
      <c r="M8368" s="254">
        <f t="shared" si="516"/>
        <v>0</v>
      </c>
    </row>
    <row r="8369" spans="2:13" hidden="1" x14ac:dyDescent="0.3">
      <c r="B8369" t="s">
        <v>552</v>
      </c>
      <c r="C8369" s="25">
        <v>44768</v>
      </c>
      <c r="D8369" s="26">
        <v>0.41018518518518521</v>
      </c>
      <c r="E8369" t="s">
        <v>30</v>
      </c>
      <c r="F8369" t="s">
        <v>175</v>
      </c>
      <c r="G8369" t="s">
        <v>172</v>
      </c>
      <c r="H8369" t="s">
        <v>209</v>
      </c>
      <c r="I8369" s="163">
        <v>425.11</v>
      </c>
      <c r="J8369" s="8"/>
      <c r="K8369" s="8">
        <v>589080</v>
      </c>
      <c r="L8369" s="8">
        <f>+K8369-J8369</f>
        <v>589080</v>
      </c>
      <c r="M8369" s="254">
        <f t="shared" si="516"/>
        <v>0</v>
      </c>
    </row>
    <row r="8370" spans="2:13" hidden="1" x14ac:dyDescent="0.3">
      <c r="B8370" t="s">
        <v>552</v>
      </c>
      <c r="C8370" s="25">
        <v>44769</v>
      </c>
      <c r="D8370" s="26">
        <v>0.58559027777777783</v>
      </c>
      <c r="E8370" t="s">
        <v>30</v>
      </c>
      <c r="F8370" t="s">
        <v>210</v>
      </c>
      <c r="G8370" t="s">
        <v>211</v>
      </c>
      <c r="H8370" t="s">
        <v>209</v>
      </c>
      <c r="I8370" s="163">
        <v>446.67</v>
      </c>
      <c r="J8370" s="160">
        <f>447+140+100+425+447</f>
        <v>1559</v>
      </c>
      <c r="K8370" s="160">
        <v>589919</v>
      </c>
      <c r="L8370" s="160">
        <v>3139</v>
      </c>
      <c r="M8370" s="254">
        <f t="shared" si="516"/>
        <v>49.665498566422428</v>
      </c>
    </row>
    <row r="8371" spans="2:13" hidden="1" x14ac:dyDescent="0.3">
      <c r="B8371" t="s">
        <v>552</v>
      </c>
      <c r="C8371" s="25">
        <v>44770</v>
      </c>
      <c r="D8371" s="26">
        <v>4.2013888888888885E-2</v>
      </c>
      <c r="E8371" t="s">
        <v>30</v>
      </c>
      <c r="F8371" t="s">
        <v>165</v>
      </c>
      <c r="G8371" t="s">
        <v>185</v>
      </c>
      <c r="H8371" t="s">
        <v>209</v>
      </c>
      <c r="I8371" s="163">
        <v>300.26</v>
      </c>
      <c r="J8371" s="8"/>
      <c r="K8371" s="8">
        <v>2500</v>
      </c>
      <c r="L8371" s="8">
        <f>+K8371-J8371</f>
        <v>2500</v>
      </c>
      <c r="M8371" s="254">
        <f t="shared" si="516"/>
        <v>0</v>
      </c>
    </row>
    <row r="8372" spans="2:13" hidden="1" x14ac:dyDescent="0.3">
      <c r="B8372" t="s">
        <v>552</v>
      </c>
      <c r="C8372" s="25">
        <v>44770</v>
      </c>
      <c r="D8372" s="26">
        <v>0.9252083333333333</v>
      </c>
      <c r="E8372" t="s">
        <v>30</v>
      </c>
      <c r="F8372" t="s">
        <v>210</v>
      </c>
      <c r="G8372" t="s">
        <v>211</v>
      </c>
      <c r="H8372" t="s">
        <v>209</v>
      </c>
      <c r="I8372" s="160">
        <v>71.73</v>
      </c>
      <c r="J8372" s="160">
        <f>300+72</f>
        <v>372</v>
      </c>
      <c r="K8372" s="160">
        <v>3586</v>
      </c>
      <c r="L8372" s="160">
        <v>1130</v>
      </c>
      <c r="M8372" s="254">
        <f t="shared" si="516"/>
        <v>32.920353982300888</v>
      </c>
    </row>
    <row r="8373" spans="2:13" hidden="1" x14ac:dyDescent="0.3">
      <c r="B8373" t="s">
        <v>552</v>
      </c>
      <c r="C8373" s="25">
        <v>44771</v>
      </c>
      <c r="D8373" s="26">
        <v>0.6227893518518518</v>
      </c>
      <c r="E8373" t="s">
        <v>30</v>
      </c>
      <c r="F8373" t="s">
        <v>169</v>
      </c>
      <c r="G8373" t="s">
        <v>196</v>
      </c>
      <c r="H8373" t="s">
        <v>209</v>
      </c>
      <c r="I8373" s="160">
        <v>415.79</v>
      </c>
      <c r="J8373" s="8"/>
      <c r="K8373" s="8">
        <v>591555</v>
      </c>
      <c r="L8373" s="8">
        <f>+K8373-J8373</f>
        <v>591555</v>
      </c>
      <c r="M8373" s="254">
        <f t="shared" si="516"/>
        <v>0</v>
      </c>
    </row>
    <row r="8374" spans="2:13" hidden="1" x14ac:dyDescent="0.3">
      <c r="B8374" t="s">
        <v>552</v>
      </c>
      <c r="C8374" s="25">
        <v>44771</v>
      </c>
      <c r="D8374" s="26">
        <v>0.95704861111111106</v>
      </c>
      <c r="E8374" t="s">
        <v>30</v>
      </c>
      <c r="F8374" t="s">
        <v>428</v>
      </c>
      <c r="G8374" t="s">
        <v>429</v>
      </c>
      <c r="H8374" t="s">
        <v>209</v>
      </c>
      <c r="I8374" s="161">
        <v>100.27</v>
      </c>
      <c r="J8374" s="106"/>
      <c r="K8374" s="45">
        <v>89000</v>
      </c>
      <c r="L8374" s="45">
        <f>+K8374-J8374</f>
        <v>89000</v>
      </c>
      <c r="M8374" s="273">
        <f t="shared" si="516"/>
        <v>0</v>
      </c>
    </row>
    <row r="8375" spans="2:13" hidden="1" x14ac:dyDescent="0.3">
      <c r="B8375" t="s">
        <v>552</v>
      </c>
      <c r="C8375" s="25">
        <v>44771</v>
      </c>
      <c r="D8375" s="26">
        <v>0.95951388888888889</v>
      </c>
      <c r="E8375" t="s">
        <v>30</v>
      </c>
      <c r="F8375" t="s">
        <v>428</v>
      </c>
      <c r="G8375" t="s">
        <v>429</v>
      </c>
      <c r="H8375" t="s">
        <v>209</v>
      </c>
      <c r="I8375" s="160">
        <v>92.53</v>
      </c>
      <c r="J8375" s="82"/>
      <c r="K8375" s="8">
        <v>890000</v>
      </c>
      <c r="L8375" s="8">
        <f>+K8375-J8375</f>
        <v>890000</v>
      </c>
      <c r="M8375" s="254">
        <f t="shared" si="516"/>
        <v>0</v>
      </c>
    </row>
    <row r="8376" spans="2:13" hidden="1" x14ac:dyDescent="0.3">
      <c r="B8376" t="s">
        <v>552</v>
      </c>
      <c r="C8376" s="25">
        <v>44773</v>
      </c>
      <c r="D8376" s="26">
        <v>0.57373842592592594</v>
      </c>
      <c r="E8376" t="s">
        <v>30</v>
      </c>
      <c r="F8376" t="s">
        <v>210</v>
      </c>
      <c r="G8376" t="s">
        <v>211</v>
      </c>
      <c r="H8376" t="s">
        <v>209</v>
      </c>
      <c r="I8376" s="160">
        <v>466.82</v>
      </c>
      <c r="J8376" s="284">
        <f>416+100+92+467</f>
        <v>1075</v>
      </c>
      <c r="K8376" s="161">
        <v>592956</v>
      </c>
      <c r="L8376" s="161">
        <v>1879</v>
      </c>
      <c r="M8376" s="267">
        <f t="shared" si="516"/>
        <v>57.211282597126136</v>
      </c>
    </row>
    <row r="8377" spans="2:13" hidden="1" x14ac:dyDescent="0.3">
      <c r="B8377" t="s">
        <v>552</v>
      </c>
      <c r="C8377" s="25">
        <v>44773</v>
      </c>
      <c r="D8377" s="26">
        <v>0.95954861111111101</v>
      </c>
      <c r="E8377" t="s">
        <v>30</v>
      </c>
      <c r="F8377" t="s">
        <v>165</v>
      </c>
      <c r="G8377" t="s">
        <v>185</v>
      </c>
      <c r="H8377" t="s">
        <v>209</v>
      </c>
      <c r="I8377" s="160">
        <v>277.42</v>
      </c>
      <c r="J8377"/>
      <c r="K8377">
        <v>593509</v>
      </c>
      <c r="L8377">
        <f t="shared" ref="L8377:L8382" si="517">+K8377-J8377</f>
        <v>593509</v>
      </c>
      <c r="M8377" s="297">
        <f t="shared" si="516"/>
        <v>0</v>
      </c>
    </row>
    <row r="8378" spans="2:13" hidden="1" x14ac:dyDescent="0.3">
      <c r="B8378" t="s">
        <v>213</v>
      </c>
      <c r="C8378" s="25">
        <v>44744</v>
      </c>
      <c r="D8378" s="26">
        <v>0.34390046296296295</v>
      </c>
      <c r="E8378" t="s">
        <v>30</v>
      </c>
      <c r="F8378" t="s">
        <v>197</v>
      </c>
      <c r="G8378" t="s">
        <v>44</v>
      </c>
      <c r="H8378" t="s">
        <v>214</v>
      </c>
      <c r="I8378" s="160">
        <v>326.82</v>
      </c>
      <c r="J8378" s="56"/>
      <c r="K8378" s="54">
        <v>888999</v>
      </c>
      <c r="L8378" s="54">
        <f t="shared" si="517"/>
        <v>888999</v>
      </c>
      <c r="M8378" s="139">
        <f>I8378/L8378*100</f>
        <v>3.676269602103039E-2</v>
      </c>
    </row>
    <row r="8379" spans="2:13" hidden="1" x14ac:dyDescent="0.3">
      <c r="B8379" t="s">
        <v>213</v>
      </c>
      <c r="C8379" s="25">
        <v>44744</v>
      </c>
      <c r="D8379" s="26">
        <v>0.69113425925925931</v>
      </c>
      <c r="E8379" t="s">
        <v>30</v>
      </c>
      <c r="F8379" t="s">
        <v>210</v>
      </c>
      <c r="G8379" t="s">
        <v>211</v>
      </c>
      <c r="H8379" t="s">
        <v>214</v>
      </c>
      <c r="I8379" s="160">
        <v>284.31</v>
      </c>
      <c r="J8379" s="82"/>
      <c r="K8379" s="8">
        <v>4814</v>
      </c>
      <c r="L8379" s="24">
        <f t="shared" si="517"/>
        <v>4814</v>
      </c>
      <c r="M8379" s="91">
        <f>I8379/L8379*100</f>
        <v>5.9058994599085999</v>
      </c>
    </row>
    <row r="8380" spans="2:13" hidden="1" x14ac:dyDescent="0.3">
      <c r="B8380" t="s">
        <v>213</v>
      </c>
      <c r="C8380" s="25">
        <v>44745</v>
      </c>
      <c r="D8380" s="26">
        <v>0.42396990740740742</v>
      </c>
      <c r="E8380" t="s">
        <v>30</v>
      </c>
      <c r="F8380" t="s">
        <v>165</v>
      </c>
      <c r="G8380" t="s">
        <v>185</v>
      </c>
      <c r="H8380" t="s">
        <v>214</v>
      </c>
      <c r="I8380" s="160">
        <v>284.01</v>
      </c>
      <c r="J8380"/>
      <c r="K8380">
        <v>1234</v>
      </c>
      <c r="L8380">
        <f t="shared" si="517"/>
        <v>1234</v>
      </c>
      <c r="M8380" s="134">
        <f>I8380/L8380*100</f>
        <v>23.015397082658019</v>
      </c>
    </row>
    <row r="8381" spans="2:13" hidden="1" x14ac:dyDescent="0.3">
      <c r="B8381" t="s">
        <v>213</v>
      </c>
      <c r="C8381" s="25">
        <v>44745</v>
      </c>
      <c r="D8381" s="26">
        <v>0.7348958333333333</v>
      </c>
      <c r="E8381" t="s">
        <v>30</v>
      </c>
      <c r="F8381" t="s">
        <v>210</v>
      </c>
      <c r="G8381" t="s">
        <v>211</v>
      </c>
      <c r="H8381" t="s">
        <v>214</v>
      </c>
      <c r="I8381" s="160">
        <v>153.72999999999999</v>
      </c>
      <c r="J8381" s="82"/>
      <c r="K8381" s="8">
        <v>4814</v>
      </c>
      <c r="L8381" s="8">
        <f t="shared" si="517"/>
        <v>4814</v>
      </c>
      <c r="M8381" s="91">
        <f>I8381/L8381*100</f>
        <v>3.1933942667220605</v>
      </c>
    </row>
    <row r="8382" spans="2:13" hidden="1" x14ac:dyDescent="0.3">
      <c r="B8382" t="s">
        <v>213</v>
      </c>
      <c r="C8382" s="25">
        <v>44746</v>
      </c>
      <c r="D8382" s="26">
        <v>0.31818287037037035</v>
      </c>
      <c r="E8382" t="s">
        <v>30</v>
      </c>
      <c r="F8382" t="s">
        <v>169</v>
      </c>
      <c r="G8382" t="s">
        <v>196</v>
      </c>
      <c r="H8382" t="s">
        <v>214</v>
      </c>
      <c r="I8382" s="160">
        <v>145.28</v>
      </c>
      <c r="J8382" s="86"/>
      <c r="K8382" s="44">
        <v>9852</v>
      </c>
      <c r="L8382" s="44">
        <f t="shared" si="517"/>
        <v>9852</v>
      </c>
      <c r="M8382" s="132">
        <f>I8382/L8382*100</f>
        <v>1.4746244417377181</v>
      </c>
    </row>
    <row r="8383" spans="2:13" hidden="1" x14ac:dyDescent="0.3">
      <c r="B8383" t="s">
        <v>213</v>
      </c>
      <c r="C8383" s="25">
        <v>44747</v>
      </c>
      <c r="D8383" s="26">
        <v>0.4067013888888889</v>
      </c>
      <c r="E8383" t="s">
        <v>30</v>
      </c>
      <c r="F8383" t="s">
        <v>197</v>
      </c>
      <c r="G8383" t="s">
        <v>44</v>
      </c>
      <c r="H8383" t="s">
        <v>214</v>
      </c>
      <c r="I8383" s="160">
        <v>274.27</v>
      </c>
      <c r="J8383" s="284">
        <f>274+145+153+284+284+326+230+389</f>
        <v>2085</v>
      </c>
      <c r="K8383" s="161">
        <v>888999</v>
      </c>
      <c r="L8383" s="244">
        <v>5072</v>
      </c>
      <c r="M8383" s="238">
        <f>+J8383/L8383*100</f>
        <v>41.108044164037857</v>
      </c>
    </row>
    <row r="8384" spans="2:13" hidden="1" x14ac:dyDescent="0.3">
      <c r="B8384" t="s">
        <v>213</v>
      </c>
      <c r="C8384" s="25">
        <v>44747</v>
      </c>
      <c r="D8384" s="26">
        <v>0.75006944444444434</v>
      </c>
      <c r="E8384" t="s">
        <v>30</v>
      </c>
      <c r="F8384" t="s">
        <v>210</v>
      </c>
      <c r="G8384" t="s">
        <v>211</v>
      </c>
      <c r="H8384" t="s">
        <v>214</v>
      </c>
      <c r="I8384" s="160">
        <v>251.31</v>
      </c>
      <c r="J8384" s="86"/>
      <c r="K8384" s="44"/>
      <c r="L8384" s="44"/>
      <c r="M8384" s="132"/>
    </row>
    <row r="8385" spans="2:13" hidden="1" x14ac:dyDescent="0.3">
      <c r="B8385" t="s">
        <v>213</v>
      </c>
      <c r="C8385" s="25">
        <v>44748</v>
      </c>
      <c r="D8385" s="26">
        <v>0.54814814814814816</v>
      </c>
      <c r="E8385" t="s">
        <v>30</v>
      </c>
      <c r="F8385" t="s">
        <v>165</v>
      </c>
      <c r="G8385" t="s">
        <v>185</v>
      </c>
      <c r="H8385" t="s">
        <v>214</v>
      </c>
      <c r="I8385" s="160">
        <v>256.58999999999997</v>
      </c>
      <c r="J8385" s="82"/>
      <c r="K8385" s="8"/>
      <c r="L8385" s="8"/>
      <c r="M8385" s="139"/>
    </row>
    <row r="8386" spans="2:13" hidden="1" x14ac:dyDescent="0.3">
      <c r="B8386" t="s">
        <v>213</v>
      </c>
      <c r="C8386" s="25">
        <v>44749</v>
      </c>
      <c r="D8386" s="26">
        <v>0.72092592592592597</v>
      </c>
      <c r="E8386" t="s">
        <v>30</v>
      </c>
      <c r="F8386" t="s">
        <v>776</v>
      </c>
      <c r="G8386" t="s">
        <v>337</v>
      </c>
      <c r="H8386" t="s">
        <v>214</v>
      </c>
      <c r="I8386" s="173">
        <v>296.04000000000002</v>
      </c>
      <c r="J8386" s="86"/>
      <c r="K8386" s="44"/>
      <c r="L8386" s="75"/>
      <c r="M8386" s="91"/>
    </row>
    <row r="8387" spans="2:13" hidden="1" x14ac:dyDescent="0.3">
      <c r="B8387" t="s">
        <v>213</v>
      </c>
      <c r="C8387" s="25">
        <v>44750</v>
      </c>
      <c r="D8387" s="26">
        <v>0.70859953703703704</v>
      </c>
      <c r="E8387" t="s">
        <v>30</v>
      </c>
      <c r="F8387" t="s">
        <v>165</v>
      </c>
      <c r="G8387" t="s">
        <v>185</v>
      </c>
      <c r="H8387" t="s">
        <v>214</v>
      </c>
      <c r="I8387" s="173">
        <v>390.02</v>
      </c>
      <c r="J8387" s="86"/>
      <c r="K8387" s="44"/>
      <c r="L8387" s="44"/>
      <c r="M8387" s="132"/>
    </row>
    <row r="8388" spans="2:13" hidden="1" x14ac:dyDescent="0.3">
      <c r="B8388" t="s">
        <v>213</v>
      </c>
      <c r="C8388" s="25">
        <v>44752</v>
      </c>
      <c r="D8388" s="26">
        <v>0.33924768518518517</v>
      </c>
      <c r="E8388" t="s">
        <v>30</v>
      </c>
      <c r="F8388" t="s">
        <v>210</v>
      </c>
      <c r="G8388" t="s">
        <v>211</v>
      </c>
      <c r="H8388" t="s">
        <v>214</v>
      </c>
      <c r="I8388" s="173">
        <v>242.34</v>
      </c>
      <c r="J8388" s="160">
        <f>251+257+296+390+242</f>
        <v>1436</v>
      </c>
      <c r="K8388" s="160"/>
      <c r="L8388" s="173">
        <v>3363</v>
      </c>
      <c r="M8388" s="149">
        <f>+J8388/L8388*100</f>
        <v>42.699970264644662</v>
      </c>
    </row>
    <row r="8389" spans="2:13" hidden="1" x14ac:dyDescent="0.3">
      <c r="B8389" t="s">
        <v>213</v>
      </c>
      <c r="C8389" s="25">
        <v>44752</v>
      </c>
      <c r="D8389" s="26">
        <v>0.58994212962962966</v>
      </c>
      <c r="E8389" t="s">
        <v>30</v>
      </c>
      <c r="F8389" t="s">
        <v>169</v>
      </c>
      <c r="G8389" t="s">
        <v>196</v>
      </c>
      <c r="H8389" t="s">
        <v>214</v>
      </c>
      <c r="I8389" s="173">
        <v>144.55000000000001</v>
      </c>
      <c r="J8389" s="8"/>
      <c r="K8389" s="8"/>
      <c r="L8389" s="8"/>
      <c r="M8389" s="254"/>
    </row>
    <row r="8390" spans="2:13" hidden="1" x14ac:dyDescent="0.3">
      <c r="B8390" t="s">
        <v>213</v>
      </c>
      <c r="C8390" s="25">
        <v>44757</v>
      </c>
      <c r="D8390" s="26">
        <v>0.39743055555555556</v>
      </c>
      <c r="E8390" t="s">
        <v>30</v>
      </c>
      <c r="F8390" t="s">
        <v>175</v>
      </c>
      <c r="G8390" t="s">
        <v>172</v>
      </c>
      <c r="H8390" t="s">
        <v>214</v>
      </c>
      <c r="I8390" s="173">
        <v>185.01</v>
      </c>
      <c r="J8390" s="8"/>
      <c r="K8390" s="8"/>
      <c r="L8390" s="8"/>
      <c r="M8390" s="254"/>
    </row>
    <row r="8391" spans="2:13" hidden="1" x14ac:dyDescent="0.3">
      <c r="B8391" t="s">
        <v>213</v>
      </c>
      <c r="C8391" s="25">
        <v>44758</v>
      </c>
      <c r="D8391" s="26">
        <v>0.39614583333333336</v>
      </c>
      <c r="E8391" t="s">
        <v>30</v>
      </c>
      <c r="F8391" t="s">
        <v>210</v>
      </c>
      <c r="G8391" t="s">
        <v>211</v>
      </c>
      <c r="H8391" t="s">
        <v>214</v>
      </c>
      <c r="I8391" s="173">
        <v>372.25</v>
      </c>
      <c r="J8391" s="231">
        <f>372+185+144</f>
        <v>701</v>
      </c>
      <c r="K8391" s="151"/>
      <c r="L8391" s="231">
        <v>1742</v>
      </c>
      <c r="M8391" s="149">
        <f>+J8391/L8391*100</f>
        <v>40.241102181400692</v>
      </c>
    </row>
    <row r="8392" spans="2:13" hidden="1" x14ac:dyDescent="0.3">
      <c r="B8392" t="s">
        <v>213</v>
      </c>
      <c r="C8392" s="25">
        <v>44758</v>
      </c>
      <c r="D8392" s="26">
        <v>0.76369212962962962</v>
      </c>
      <c r="E8392" t="s">
        <v>30</v>
      </c>
      <c r="F8392" t="s">
        <v>165</v>
      </c>
      <c r="G8392" t="s">
        <v>185</v>
      </c>
      <c r="H8392" t="s">
        <v>214</v>
      </c>
      <c r="I8392" s="173">
        <v>247.8</v>
      </c>
      <c r="J8392" s="8"/>
      <c r="K8392" s="8"/>
      <c r="L8392" s="8"/>
      <c r="M8392" s="254"/>
    </row>
    <row r="8393" spans="2:13" hidden="1" x14ac:dyDescent="0.3">
      <c r="B8393" t="s">
        <v>213</v>
      </c>
      <c r="C8393" s="25">
        <v>44759</v>
      </c>
      <c r="D8393" s="26">
        <v>0.57393518518518516</v>
      </c>
      <c r="E8393" t="s">
        <v>30</v>
      </c>
      <c r="F8393" t="s">
        <v>210</v>
      </c>
      <c r="G8393" t="s">
        <v>211</v>
      </c>
      <c r="H8393" t="s">
        <v>214</v>
      </c>
      <c r="I8393" s="173">
        <v>159</v>
      </c>
      <c r="J8393" s="231">
        <f>159+248</f>
        <v>407</v>
      </c>
      <c r="K8393" s="151"/>
      <c r="L8393" s="151">
        <v>1061</v>
      </c>
      <c r="M8393" s="149">
        <f>+J8393/L8393*100</f>
        <v>38.360037700282753</v>
      </c>
    </row>
    <row r="8394" spans="2:13" hidden="1" x14ac:dyDescent="0.3">
      <c r="B8394" t="s">
        <v>213</v>
      </c>
      <c r="C8394" s="25">
        <v>44759</v>
      </c>
      <c r="D8394" s="26">
        <v>0.8276041666666667</v>
      </c>
      <c r="E8394" t="s">
        <v>30</v>
      </c>
      <c r="F8394" t="s">
        <v>169</v>
      </c>
      <c r="G8394" t="s">
        <v>196</v>
      </c>
      <c r="H8394" t="s">
        <v>214</v>
      </c>
      <c r="I8394" s="173">
        <v>155.99</v>
      </c>
      <c r="J8394" s="8"/>
      <c r="K8394" s="8"/>
      <c r="L8394" s="8"/>
      <c r="M8394" s="254"/>
    </row>
    <row r="8395" spans="2:13" hidden="1" x14ac:dyDescent="0.3">
      <c r="B8395" t="s">
        <v>213</v>
      </c>
      <c r="C8395" s="25">
        <v>44760</v>
      </c>
      <c r="D8395" s="26">
        <v>0.63863425925925921</v>
      </c>
      <c r="E8395" t="s">
        <v>30</v>
      </c>
      <c r="F8395" t="s">
        <v>391</v>
      </c>
      <c r="G8395" t="s">
        <v>392</v>
      </c>
      <c r="H8395" t="s">
        <v>214</v>
      </c>
      <c r="I8395" s="160">
        <v>178.62</v>
      </c>
      <c r="J8395" s="8"/>
      <c r="K8395" s="8"/>
      <c r="L8395" s="8"/>
      <c r="M8395" s="254"/>
    </row>
    <row r="8396" spans="2:13" hidden="1" x14ac:dyDescent="0.3">
      <c r="B8396" t="s">
        <v>213</v>
      </c>
      <c r="C8396" s="25">
        <v>44761</v>
      </c>
      <c r="D8396" s="26">
        <v>0.71717592592592594</v>
      </c>
      <c r="E8396" t="s">
        <v>30</v>
      </c>
      <c r="F8396" t="s">
        <v>166</v>
      </c>
      <c r="G8396" t="s">
        <v>161</v>
      </c>
      <c r="H8396" t="s">
        <v>214</v>
      </c>
      <c r="I8396" s="160">
        <v>312.7</v>
      </c>
      <c r="J8396" s="160">
        <f>156+179+313</f>
        <v>648</v>
      </c>
      <c r="K8396" s="160">
        <v>1234</v>
      </c>
      <c r="L8396" s="160">
        <v>1680</v>
      </c>
      <c r="M8396" s="150">
        <f t="shared" ref="M8396:M8402" si="518">+J8396/L8396*100</f>
        <v>38.571428571428577</v>
      </c>
    </row>
    <row r="8397" spans="2:13" hidden="1" x14ac:dyDescent="0.3">
      <c r="B8397" t="s">
        <v>213</v>
      </c>
      <c r="C8397" s="25">
        <v>44762</v>
      </c>
      <c r="D8397" s="26">
        <v>0.49131944444444442</v>
      </c>
      <c r="E8397" t="s">
        <v>30</v>
      </c>
      <c r="F8397" t="s">
        <v>165</v>
      </c>
      <c r="G8397" t="s">
        <v>185</v>
      </c>
      <c r="H8397" t="s">
        <v>214</v>
      </c>
      <c r="I8397" s="160">
        <v>271.33</v>
      </c>
      <c r="J8397" s="8"/>
      <c r="K8397" s="8"/>
      <c r="L8397" s="8"/>
      <c r="M8397" s="254"/>
    </row>
    <row r="8398" spans="2:13" hidden="1" x14ac:dyDescent="0.3">
      <c r="B8398" t="s">
        <v>213</v>
      </c>
      <c r="C8398" s="25">
        <v>44763</v>
      </c>
      <c r="D8398" s="26">
        <v>0.43863425925925931</v>
      </c>
      <c r="E8398" t="s">
        <v>30</v>
      </c>
      <c r="F8398" t="s">
        <v>210</v>
      </c>
      <c r="G8398" t="s">
        <v>211</v>
      </c>
      <c r="H8398" t="s">
        <v>214</v>
      </c>
      <c r="I8398" s="160">
        <v>168.5</v>
      </c>
      <c r="J8398" s="160">
        <f>271+168</f>
        <v>439</v>
      </c>
      <c r="K8398" s="160">
        <v>4814</v>
      </c>
      <c r="L8398" s="160">
        <v>1140</v>
      </c>
      <c r="M8398" s="150">
        <f t="shared" si="518"/>
        <v>38.508771929824562</v>
      </c>
    </row>
    <row r="8399" spans="2:13" hidden="1" x14ac:dyDescent="0.3">
      <c r="B8399" t="s">
        <v>213</v>
      </c>
      <c r="C8399" s="25">
        <v>44764</v>
      </c>
      <c r="D8399" s="26">
        <v>0.44502314814814814</v>
      </c>
      <c r="E8399" t="s">
        <v>30</v>
      </c>
      <c r="F8399" t="s">
        <v>391</v>
      </c>
      <c r="G8399" t="s">
        <v>392</v>
      </c>
      <c r="H8399" t="s">
        <v>214</v>
      </c>
      <c r="I8399" s="160">
        <v>307</v>
      </c>
      <c r="J8399" s="8"/>
      <c r="K8399" s="8"/>
      <c r="L8399" s="8"/>
      <c r="M8399" s="254"/>
    </row>
    <row r="8400" spans="2:13" hidden="1" x14ac:dyDescent="0.3">
      <c r="B8400" t="s">
        <v>213</v>
      </c>
      <c r="C8400" s="25">
        <v>44765</v>
      </c>
      <c r="D8400" s="26">
        <v>0.75039351851851854</v>
      </c>
      <c r="E8400" t="s">
        <v>30</v>
      </c>
      <c r="F8400" t="s">
        <v>166</v>
      </c>
      <c r="G8400" t="s">
        <v>161</v>
      </c>
      <c r="H8400" t="s">
        <v>214</v>
      </c>
      <c r="I8400" s="160">
        <v>311.56</v>
      </c>
      <c r="J8400" s="160">
        <f>307+311</f>
        <v>618</v>
      </c>
      <c r="K8400" s="160">
        <v>1234</v>
      </c>
      <c r="L8400" s="160">
        <v>1687</v>
      </c>
      <c r="M8400" s="150">
        <f t="shared" si="518"/>
        <v>36.633076467101361</v>
      </c>
    </row>
    <row r="8401" spans="2:13" hidden="1" x14ac:dyDescent="0.3">
      <c r="B8401" t="s">
        <v>213</v>
      </c>
      <c r="C8401" s="25">
        <v>44766</v>
      </c>
      <c r="D8401" s="26">
        <v>0.75112268518518521</v>
      </c>
      <c r="E8401" t="s">
        <v>30</v>
      </c>
      <c r="F8401" t="s">
        <v>165</v>
      </c>
      <c r="G8401" t="s">
        <v>185</v>
      </c>
      <c r="H8401" t="s">
        <v>214</v>
      </c>
      <c r="I8401" s="160">
        <v>275.07</v>
      </c>
      <c r="J8401" s="8"/>
      <c r="K8401" s="8"/>
      <c r="L8401" s="8"/>
      <c r="M8401" s="254"/>
    </row>
    <row r="8402" spans="2:13" hidden="1" x14ac:dyDescent="0.3">
      <c r="B8402" t="s">
        <v>213</v>
      </c>
      <c r="C8402" s="25">
        <v>44767</v>
      </c>
      <c r="D8402" s="26">
        <v>0.4777777777777778</v>
      </c>
      <c r="E8402" t="s">
        <v>30</v>
      </c>
      <c r="F8402" t="s">
        <v>210</v>
      </c>
      <c r="G8402" t="s">
        <v>211</v>
      </c>
      <c r="H8402" t="s">
        <v>214</v>
      </c>
      <c r="I8402" s="160">
        <v>158.80000000000001</v>
      </c>
      <c r="J8402" s="160">
        <v>1138</v>
      </c>
      <c r="K8402" s="160">
        <v>4814</v>
      </c>
      <c r="L8402" s="160">
        <f>+K8402-J8402</f>
        <v>3676</v>
      </c>
      <c r="M8402" s="150">
        <f t="shared" si="518"/>
        <v>30.957562568008708</v>
      </c>
    </row>
    <row r="8403" spans="2:13" hidden="1" x14ac:dyDescent="0.3">
      <c r="B8403" t="s">
        <v>213</v>
      </c>
      <c r="C8403" s="25">
        <v>44767</v>
      </c>
      <c r="D8403" s="26">
        <v>0.87998842592592597</v>
      </c>
      <c r="E8403" t="s">
        <v>30</v>
      </c>
      <c r="F8403" t="s">
        <v>169</v>
      </c>
      <c r="G8403" t="s">
        <v>196</v>
      </c>
      <c r="H8403" t="s">
        <v>214</v>
      </c>
      <c r="I8403" s="160">
        <v>178.99</v>
      </c>
      <c r="J8403" s="8"/>
      <c r="K8403" s="8"/>
      <c r="L8403" s="8"/>
      <c r="M8403" s="254"/>
    </row>
    <row r="8404" spans="2:13" hidden="1" x14ac:dyDescent="0.3">
      <c r="B8404" t="s">
        <v>213</v>
      </c>
      <c r="C8404" s="25">
        <v>44768</v>
      </c>
      <c r="D8404" s="26">
        <v>0.43715277777777778</v>
      </c>
      <c r="E8404" t="s">
        <v>30</v>
      </c>
      <c r="F8404" t="s">
        <v>391</v>
      </c>
      <c r="G8404" t="s">
        <v>392</v>
      </c>
      <c r="H8404" t="s">
        <v>214</v>
      </c>
      <c r="I8404" s="160">
        <v>178.55</v>
      </c>
      <c r="J8404" s="8"/>
      <c r="K8404" s="8"/>
      <c r="L8404" s="8"/>
      <c r="M8404" s="254"/>
    </row>
    <row r="8405" spans="2:13" hidden="1" x14ac:dyDescent="0.3">
      <c r="B8405" t="s">
        <v>213</v>
      </c>
      <c r="C8405" s="25">
        <v>44773</v>
      </c>
      <c r="D8405" s="26">
        <v>0.411099537037037</v>
      </c>
      <c r="E8405" t="s">
        <v>30</v>
      </c>
      <c r="F8405" t="s">
        <v>210</v>
      </c>
      <c r="G8405" t="s">
        <v>211</v>
      </c>
      <c r="H8405" t="s">
        <v>214</v>
      </c>
      <c r="I8405" s="160">
        <v>63.34</v>
      </c>
      <c r="J8405" s="8"/>
      <c r="K8405" s="8"/>
      <c r="L8405" s="8"/>
      <c r="M8405" s="254"/>
    </row>
    <row r="8406" spans="2:13" hidden="1" x14ac:dyDescent="0.3">
      <c r="B8406" t="s">
        <v>213</v>
      </c>
      <c r="C8406" s="25">
        <v>44773</v>
      </c>
      <c r="D8406" s="26">
        <v>0.60640046296296302</v>
      </c>
      <c r="E8406" t="s">
        <v>30</v>
      </c>
      <c r="F8406" t="s">
        <v>278</v>
      </c>
      <c r="G8406" t="s">
        <v>279</v>
      </c>
      <c r="H8406" t="s">
        <v>214</v>
      </c>
      <c r="I8406" s="160">
        <v>438.31</v>
      </c>
      <c r="J8406" s="8"/>
      <c r="K8406" s="8"/>
      <c r="L8406" s="8"/>
      <c r="M8406" s="254"/>
    </row>
    <row r="8407" spans="2:13" x14ac:dyDescent="0.3">
      <c r="B8407" t="s">
        <v>465</v>
      </c>
      <c r="C8407" s="25">
        <v>44743</v>
      </c>
      <c r="D8407" s="26">
        <v>7.8472222222222221E-2</v>
      </c>
      <c r="E8407" t="s">
        <v>30</v>
      </c>
      <c r="F8407" t="s">
        <v>197</v>
      </c>
      <c r="G8407" t="s">
        <v>44</v>
      </c>
      <c r="H8407" t="s">
        <v>216</v>
      </c>
      <c r="I8407" s="160">
        <v>99.36</v>
      </c>
      <c r="J8407" s="8"/>
      <c r="K8407" s="8"/>
      <c r="L8407" s="8"/>
      <c r="M8407" s="91"/>
    </row>
    <row r="8408" spans="2:13" x14ac:dyDescent="0.3">
      <c r="B8408" t="s">
        <v>465</v>
      </c>
      <c r="C8408" s="25">
        <v>44743</v>
      </c>
      <c r="D8408" s="26">
        <v>0.61236111111111113</v>
      </c>
      <c r="E8408" t="s">
        <v>30</v>
      </c>
      <c r="F8408" t="s">
        <v>210</v>
      </c>
      <c r="G8408" t="s">
        <v>211</v>
      </c>
      <c r="H8408" t="s">
        <v>216</v>
      </c>
      <c r="I8408" s="160">
        <v>490.58</v>
      </c>
      <c r="J8408" s="8"/>
      <c r="K8408" s="8"/>
      <c r="L8408" s="8"/>
      <c r="M8408" s="91"/>
    </row>
    <row r="8409" spans="2:13" x14ac:dyDescent="0.3">
      <c r="B8409" t="s">
        <v>465</v>
      </c>
      <c r="C8409" s="25">
        <v>44744</v>
      </c>
      <c r="D8409" s="26">
        <v>0.7908912037037038</v>
      </c>
      <c r="E8409" t="s">
        <v>30</v>
      </c>
      <c r="F8409" t="s">
        <v>210</v>
      </c>
      <c r="G8409" t="s">
        <v>211</v>
      </c>
      <c r="H8409" t="s">
        <v>216</v>
      </c>
      <c r="I8409" s="160">
        <v>396.72</v>
      </c>
      <c r="J8409" s="8"/>
      <c r="K8409" s="8"/>
      <c r="L8409" s="8"/>
      <c r="M8409" s="91"/>
    </row>
    <row r="8410" spans="2:13" x14ac:dyDescent="0.3">
      <c r="B8410" t="s">
        <v>465</v>
      </c>
      <c r="C8410" s="25">
        <v>44747</v>
      </c>
      <c r="D8410" s="26">
        <v>8.8935185185185187E-2</v>
      </c>
      <c r="E8410" t="s">
        <v>30</v>
      </c>
      <c r="F8410" t="s">
        <v>197</v>
      </c>
      <c r="G8410" t="s">
        <v>44</v>
      </c>
      <c r="H8410" t="s">
        <v>216</v>
      </c>
      <c r="I8410" s="160">
        <v>99.36</v>
      </c>
      <c r="J8410" s="8"/>
      <c r="K8410" s="8"/>
      <c r="L8410" s="8"/>
      <c r="M8410" s="91"/>
    </row>
    <row r="8411" spans="2:13" x14ac:dyDescent="0.3">
      <c r="B8411" t="s">
        <v>465</v>
      </c>
      <c r="C8411" s="25">
        <v>44747</v>
      </c>
      <c r="D8411" s="26">
        <v>0.63362268518518516</v>
      </c>
      <c r="E8411" t="s">
        <v>30</v>
      </c>
      <c r="F8411" t="s">
        <v>210</v>
      </c>
      <c r="G8411" t="s">
        <v>211</v>
      </c>
      <c r="H8411" t="s">
        <v>216</v>
      </c>
      <c r="I8411" s="163">
        <v>559.17999999999995</v>
      </c>
      <c r="J8411" s="160">
        <f>100+491+397+100+560</f>
        <v>1648</v>
      </c>
      <c r="K8411" s="160">
        <v>7913</v>
      </c>
      <c r="L8411" s="160">
        <v>4334</v>
      </c>
      <c r="M8411" s="237">
        <f>+J8411/L8411*100</f>
        <v>38.024919243193352</v>
      </c>
    </row>
    <row r="8412" spans="2:13" x14ac:dyDescent="0.3">
      <c r="B8412" t="s">
        <v>465</v>
      </c>
      <c r="C8412" s="25">
        <v>44748</v>
      </c>
      <c r="D8412" s="26">
        <v>4.6689814814814816E-2</v>
      </c>
      <c r="E8412" t="s">
        <v>30</v>
      </c>
      <c r="F8412" t="s">
        <v>165</v>
      </c>
      <c r="G8412" t="s">
        <v>185</v>
      </c>
      <c r="H8412" t="s">
        <v>216</v>
      </c>
      <c r="I8412" s="311">
        <v>223.44</v>
      </c>
      <c r="J8412" s="8"/>
      <c r="K8412" s="8"/>
      <c r="L8412" s="24"/>
      <c r="M8412" s="91"/>
    </row>
    <row r="8413" spans="2:13" x14ac:dyDescent="0.3">
      <c r="B8413" t="s">
        <v>465</v>
      </c>
      <c r="C8413" s="25">
        <v>44748</v>
      </c>
      <c r="D8413" s="26">
        <v>0.8992592592592592</v>
      </c>
      <c r="E8413" t="s">
        <v>30</v>
      </c>
      <c r="F8413" t="s">
        <v>202</v>
      </c>
      <c r="G8413" t="s">
        <v>203</v>
      </c>
      <c r="H8413" t="s">
        <v>216</v>
      </c>
      <c r="I8413" s="311">
        <v>329.17</v>
      </c>
      <c r="J8413" s="8"/>
      <c r="K8413" s="8"/>
      <c r="L8413" s="8"/>
      <c r="M8413" s="132"/>
    </row>
    <row r="8414" spans="2:13" x14ac:dyDescent="0.3">
      <c r="B8414" t="s">
        <v>465</v>
      </c>
      <c r="C8414" s="25">
        <v>44750</v>
      </c>
      <c r="D8414" s="26">
        <v>1.59375E-2</v>
      </c>
      <c r="E8414" t="s">
        <v>30</v>
      </c>
      <c r="F8414" t="s">
        <v>210</v>
      </c>
      <c r="G8414" t="s">
        <v>211</v>
      </c>
      <c r="H8414" t="s">
        <v>216</v>
      </c>
      <c r="I8414" s="311">
        <v>402.41</v>
      </c>
      <c r="J8414" s="160">
        <f>223+329+51+402</f>
        <v>1005</v>
      </c>
      <c r="K8414" s="160"/>
      <c r="L8414" s="160">
        <v>2688</v>
      </c>
      <c r="M8414" s="149">
        <f>+J8414/L8414*100</f>
        <v>37.388392857142854</v>
      </c>
    </row>
    <row r="8415" spans="2:13" x14ac:dyDescent="0.3">
      <c r="B8415" t="s">
        <v>465</v>
      </c>
      <c r="C8415" s="25">
        <v>44750</v>
      </c>
      <c r="D8415" s="26">
        <v>0.73119212962962965</v>
      </c>
      <c r="E8415" t="s">
        <v>30</v>
      </c>
      <c r="F8415" t="s">
        <v>777</v>
      </c>
      <c r="G8415" t="s">
        <v>521</v>
      </c>
      <c r="H8415" t="s">
        <v>216</v>
      </c>
      <c r="I8415" s="311">
        <v>50.95</v>
      </c>
      <c r="J8415" s="8"/>
      <c r="K8415" s="8"/>
      <c r="L8415" s="8"/>
      <c r="M8415" s="91"/>
    </row>
    <row r="8416" spans="2:13" x14ac:dyDescent="0.3">
      <c r="B8416" t="s">
        <v>465</v>
      </c>
      <c r="C8416" s="25">
        <v>44754</v>
      </c>
      <c r="D8416" s="26">
        <v>0.53900462962962969</v>
      </c>
      <c r="E8416" t="s">
        <v>30</v>
      </c>
      <c r="F8416" t="s">
        <v>175</v>
      </c>
      <c r="G8416" t="s">
        <v>172</v>
      </c>
      <c r="H8416" t="s">
        <v>216</v>
      </c>
      <c r="I8416" s="311">
        <v>305.27999999999997</v>
      </c>
      <c r="J8416" s="23"/>
      <c r="K8416" s="90"/>
      <c r="L8416" s="23"/>
      <c r="M8416" s="91"/>
    </row>
    <row r="8417" spans="2:13" x14ac:dyDescent="0.3">
      <c r="B8417" t="s">
        <v>465</v>
      </c>
      <c r="C8417" s="25">
        <v>44755</v>
      </c>
      <c r="D8417" s="26">
        <v>0.46993055555555552</v>
      </c>
      <c r="E8417" t="s">
        <v>30</v>
      </c>
      <c r="F8417" t="s">
        <v>210</v>
      </c>
      <c r="G8417" t="s">
        <v>211</v>
      </c>
      <c r="H8417" t="s">
        <v>216</v>
      </c>
      <c r="I8417" s="311">
        <v>320.67</v>
      </c>
      <c r="J8417" s="23"/>
      <c r="K8417" s="90"/>
      <c r="L8417" s="23"/>
      <c r="M8417" s="91"/>
    </row>
    <row r="8418" spans="2:13" x14ac:dyDescent="0.3">
      <c r="B8418" t="s">
        <v>465</v>
      </c>
      <c r="C8418" s="25">
        <v>44756</v>
      </c>
      <c r="D8418" s="26">
        <v>0.82550925925925922</v>
      </c>
      <c r="E8418" t="s">
        <v>30</v>
      </c>
      <c r="F8418" t="s">
        <v>210</v>
      </c>
      <c r="G8418" t="s">
        <v>211</v>
      </c>
      <c r="H8418" t="s">
        <v>216</v>
      </c>
      <c r="I8418" s="311">
        <v>391.77</v>
      </c>
      <c r="J8418" s="231">
        <f>392+321+205+51</f>
        <v>969</v>
      </c>
      <c r="K8418" s="151"/>
      <c r="L8418" s="151">
        <v>2712</v>
      </c>
      <c r="M8418" s="149">
        <f>+J8418/L8418*100</f>
        <v>35.730088495575217</v>
      </c>
    </row>
    <row r="8419" spans="2:13" x14ac:dyDescent="0.3">
      <c r="B8419" t="s">
        <v>465</v>
      </c>
      <c r="C8419" s="25">
        <v>44758</v>
      </c>
      <c r="D8419" s="26">
        <v>0.50856481481481486</v>
      </c>
      <c r="E8419" t="s">
        <v>30</v>
      </c>
      <c r="F8419" t="s">
        <v>772</v>
      </c>
      <c r="G8419" t="s">
        <v>44</v>
      </c>
      <c r="H8419" t="s">
        <v>216</v>
      </c>
      <c r="I8419" s="311">
        <v>134.77000000000001</v>
      </c>
      <c r="J8419" s="23"/>
      <c r="K8419" s="90"/>
      <c r="L8419" s="23"/>
      <c r="M8419" s="91"/>
    </row>
    <row r="8420" spans="2:13" x14ac:dyDescent="0.3">
      <c r="B8420" t="s">
        <v>465</v>
      </c>
      <c r="C8420" s="25">
        <v>44758</v>
      </c>
      <c r="D8420" s="26">
        <v>0.87732638888888881</v>
      </c>
      <c r="E8420" t="s">
        <v>30</v>
      </c>
      <c r="F8420" t="s">
        <v>210</v>
      </c>
      <c r="G8420" t="s">
        <v>211</v>
      </c>
      <c r="H8420" t="s">
        <v>216</v>
      </c>
      <c r="I8420" s="311">
        <v>574.87</v>
      </c>
      <c r="J8420" s="23"/>
      <c r="K8420" s="90"/>
      <c r="L8420" s="23"/>
      <c r="M8420" s="91"/>
    </row>
    <row r="8421" spans="2:13" x14ac:dyDescent="0.3">
      <c r="B8421" t="s">
        <v>465</v>
      </c>
      <c r="C8421" s="25">
        <v>44759</v>
      </c>
      <c r="D8421" s="26">
        <v>0.89078703703703699</v>
      </c>
      <c r="E8421" t="s">
        <v>30</v>
      </c>
      <c r="F8421" t="s">
        <v>210</v>
      </c>
      <c r="G8421" t="s">
        <v>211</v>
      </c>
      <c r="H8421" t="s">
        <v>216</v>
      </c>
      <c r="I8421" s="311">
        <v>390.02</v>
      </c>
      <c r="J8421" s="231">
        <f>391+575+135</f>
        <v>1101</v>
      </c>
      <c r="K8421" s="151"/>
      <c r="L8421" s="151">
        <v>2836</v>
      </c>
      <c r="M8421" s="149">
        <f t="shared" ref="M8421:M8432" si="519">+J8421/L8421*100</f>
        <v>38.822284908321578</v>
      </c>
    </row>
    <row r="8422" spans="2:13" x14ac:dyDescent="0.3">
      <c r="B8422" t="s">
        <v>465</v>
      </c>
      <c r="C8422" s="25">
        <v>44761</v>
      </c>
      <c r="D8422" s="26">
        <v>0.64398148148148149</v>
      </c>
      <c r="E8422" t="s">
        <v>30</v>
      </c>
      <c r="F8422" t="s">
        <v>391</v>
      </c>
      <c r="G8422" t="s">
        <v>392</v>
      </c>
      <c r="H8422" t="s">
        <v>216</v>
      </c>
      <c r="I8422" s="163">
        <v>340.37</v>
      </c>
      <c r="J8422" s="8"/>
      <c r="K8422" s="8"/>
      <c r="L8422" s="8"/>
      <c r="M8422" s="254"/>
    </row>
    <row r="8423" spans="2:13" x14ac:dyDescent="0.3">
      <c r="B8423" t="s">
        <v>465</v>
      </c>
      <c r="C8423" s="25">
        <v>44762</v>
      </c>
      <c r="D8423" s="26">
        <v>0.69430555555555562</v>
      </c>
      <c r="E8423" t="s">
        <v>30</v>
      </c>
      <c r="F8423" t="s">
        <v>210</v>
      </c>
      <c r="G8423" t="s">
        <v>211</v>
      </c>
      <c r="H8423" t="s">
        <v>216</v>
      </c>
      <c r="I8423" s="163">
        <v>352.14</v>
      </c>
      <c r="J8423" s="8"/>
      <c r="K8423" s="8"/>
      <c r="L8423" s="8"/>
      <c r="M8423" s="254"/>
    </row>
    <row r="8424" spans="2:13" x14ac:dyDescent="0.3">
      <c r="B8424" t="s">
        <v>465</v>
      </c>
      <c r="C8424" s="25">
        <v>44764</v>
      </c>
      <c r="D8424" s="26">
        <v>7.5578703703703703E-2</v>
      </c>
      <c r="E8424" t="s">
        <v>30</v>
      </c>
      <c r="F8424" t="s">
        <v>166</v>
      </c>
      <c r="G8424" t="s">
        <v>161</v>
      </c>
      <c r="H8424" t="s">
        <v>216</v>
      </c>
      <c r="I8424" s="163">
        <v>487.18</v>
      </c>
      <c r="J8424" s="160">
        <f>340+352+487</f>
        <v>1179</v>
      </c>
      <c r="K8424" s="160">
        <v>1423</v>
      </c>
      <c r="L8424" s="160">
        <v>2921</v>
      </c>
      <c r="M8424" s="150">
        <f t="shared" si="519"/>
        <v>40.362889421431014</v>
      </c>
    </row>
    <row r="8425" spans="2:13" x14ac:dyDescent="0.3">
      <c r="B8425" t="s">
        <v>465</v>
      </c>
      <c r="C8425" s="25">
        <v>44767</v>
      </c>
      <c r="D8425" s="26">
        <v>0.36035879629629625</v>
      </c>
      <c r="E8425" t="s">
        <v>30</v>
      </c>
      <c r="F8425" t="s">
        <v>197</v>
      </c>
      <c r="G8425" t="s">
        <v>44</v>
      </c>
      <c r="H8425" t="s">
        <v>216</v>
      </c>
      <c r="I8425" s="163">
        <v>412.26</v>
      </c>
      <c r="J8425" s="8"/>
      <c r="K8425" s="8"/>
      <c r="L8425" s="8"/>
      <c r="M8425" s="254"/>
    </row>
    <row r="8426" spans="2:13" x14ac:dyDescent="0.3">
      <c r="B8426" t="s">
        <v>465</v>
      </c>
      <c r="C8426" s="25">
        <v>44767</v>
      </c>
      <c r="D8426" s="26">
        <v>0.71190972222222226</v>
      </c>
      <c r="E8426" t="s">
        <v>30</v>
      </c>
      <c r="F8426" t="s">
        <v>210</v>
      </c>
      <c r="G8426" t="s">
        <v>211</v>
      </c>
      <c r="H8426" t="s">
        <v>216</v>
      </c>
      <c r="I8426" s="163">
        <v>237.01</v>
      </c>
      <c r="J8426" s="8"/>
      <c r="K8426" s="8"/>
      <c r="L8426" s="8"/>
      <c r="M8426" s="254"/>
    </row>
    <row r="8427" spans="2:13" x14ac:dyDescent="0.3">
      <c r="B8427" t="s">
        <v>465</v>
      </c>
      <c r="C8427" s="25">
        <v>44768</v>
      </c>
      <c r="D8427" s="26">
        <v>0.8097685185185185</v>
      </c>
      <c r="E8427" t="s">
        <v>30</v>
      </c>
      <c r="F8427" t="s">
        <v>210</v>
      </c>
      <c r="G8427" t="s">
        <v>211</v>
      </c>
      <c r="H8427" t="s">
        <v>216</v>
      </c>
      <c r="I8427" s="163">
        <v>400.08</v>
      </c>
      <c r="J8427" s="160">
        <f>412+237+400</f>
        <v>1049</v>
      </c>
      <c r="K8427" s="160">
        <v>7913</v>
      </c>
      <c r="L8427" s="160">
        <v>2719</v>
      </c>
      <c r="M8427" s="150">
        <f t="shared" si="519"/>
        <v>38.580360426627436</v>
      </c>
    </row>
    <row r="8428" spans="2:13" x14ac:dyDescent="0.3">
      <c r="B8428" t="s">
        <v>465</v>
      </c>
      <c r="C8428" s="25">
        <v>44772</v>
      </c>
      <c r="D8428" s="26">
        <v>0.58978009259259256</v>
      </c>
      <c r="E8428" t="s">
        <v>30</v>
      </c>
      <c r="F8428" t="s">
        <v>197</v>
      </c>
      <c r="G8428" t="s">
        <v>44</v>
      </c>
      <c r="H8428" t="s">
        <v>216</v>
      </c>
      <c r="I8428" s="163">
        <v>134.77000000000001</v>
      </c>
      <c r="J8428" s="8"/>
      <c r="K8428" s="8"/>
      <c r="L8428" s="8"/>
      <c r="M8428" s="254"/>
    </row>
    <row r="8429" spans="2:13" x14ac:dyDescent="0.3">
      <c r="B8429" t="s">
        <v>465</v>
      </c>
      <c r="C8429" s="25">
        <v>44772</v>
      </c>
      <c r="D8429" s="26">
        <v>0.64306712962962964</v>
      </c>
      <c r="E8429" t="s">
        <v>30</v>
      </c>
      <c r="F8429" t="s">
        <v>343</v>
      </c>
      <c r="G8429" t="s">
        <v>344</v>
      </c>
      <c r="H8429" t="s">
        <v>216</v>
      </c>
      <c r="I8429" s="163">
        <v>100</v>
      </c>
      <c r="J8429" s="8"/>
      <c r="K8429" s="8"/>
      <c r="L8429" s="8"/>
      <c r="M8429" s="254"/>
    </row>
    <row r="8430" spans="2:13" x14ac:dyDescent="0.3">
      <c r="B8430" t="s">
        <v>465</v>
      </c>
      <c r="C8430" s="25">
        <v>44773</v>
      </c>
      <c r="D8430" s="26">
        <v>4.8668981481481487E-2</v>
      </c>
      <c r="E8430" t="s">
        <v>30</v>
      </c>
      <c r="F8430" t="s">
        <v>210</v>
      </c>
      <c r="G8430" t="s">
        <v>211</v>
      </c>
      <c r="H8430" t="s">
        <v>216</v>
      </c>
      <c r="I8430" s="163">
        <v>514.67999999999995</v>
      </c>
      <c r="J8430" s="8"/>
      <c r="K8430" s="8"/>
      <c r="L8430" s="8"/>
      <c r="M8430" s="254"/>
    </row>
    <row r="8431" spans="2:13" x14ac:dyDescent="0.3">
      <c r="B8431" t="s">
        <v>465</v>
      </c>
      <c r="C8431" s="25">
        <v>44773</v>
      </c>
      <c r="D8431" s="26">
        <v>0.9787731481481482</v>
      </c>
      <c r="E8431" t="s">
        <v>30</v>
      </c>
      <c r="F8431" t="s">
        <v>210</v>
      </c>
      <c r="G8431" t="s">
        <v>211</v>
      </c>
      <c r="H8431" t="s">
        <v>216</v>
      </c>
      <c r="I8431" s="284">
        <v>391.7</v>
      </c>
      <c r="J8431" s="161">
        <f>135+100+515+392</f>
        <v>1142</v>
      </c>
      <c r="K8431" s="161">
        <v>7913</v>
      </c>
      <c r="L8431" s="161">
        <v>2984</v>
      </c>
      <c r="M8431" s="152">
        <f t="shared" si="519"/>
        <v>38.270777479892757</v>
      </c>
    </row>
    <row r="8432" spans="2:13" hidden="1" x14ac:dyDescent="0.3">
      <c r="B8432" t="s">
        <v>217</v>
      </c>
      <c r="C8432" s="25">
        <v>44744</v>
      </c>
      <c r="D8432" s="26">
        <v>0.86708333333333332</v>
      </c>
      <c r="E8432" t="s">
        <v>30</v>
      </c>
      <c r="F8432" t="s">
        <v>210</v>
      </c>
      <c r="G8432" t="s">
        <v>211</v>
      </c>
      <c r="H8432" t="s">
        <v>218</v>
      </c>
      <c r="I8432" s="173">
        <v>450</v>
      </c>
      <c r="J8432" s="173">
        <f>450+96+264+142</f>
        <v>952</v>
      </c>
      <c r="K8432" s="173">
        <v>590818</v>
      </c>
      <c r="L8432" s="173">
        <v>2833</v>
      </c>
      <c r="M8432" s="149">
        <f t="shared" si="519"/>
        <v>33.603953406283097</v>
      </c>
    </row>
    <row r="8433" spans="2:13" hidden="1" x14ac:dyDescent="0.3">
      <c r="B8433" t="s">
        <v>217</v>
      </c>
      <c r="C8433" s="25">
        <v>44746</v>
      </c>
      <c r="D8433" s="26">
        <v>0.40879629629629632</v>
      </c>
      <c r="E8433" t="s">
        <v>30</v>
      </c>
      <c r="F8433" t="s">
        <v>274</v>
      </c>
      <c r="G8433" t="s">
        <v>495</v>
      </c>
      <c r="H8433" t="s">
        <v>218</v>
      </c>
      <c r="I8433" s="173">
        <v>100.01</v>
      </c>
      <c r="J8433" s="236"/>
      <c r="K8433" s="236">
        <v>1258</v>
      </c>
      <c r="L8433" s="236">
        <f>+K8433-J8433</f>
        <v>1258</v>
      </c>
      <c r="M8433" s="91">
        <f>I8433/L8433*100</f>
        <v>7.9499205087440394</v>
      </c>
    </row>
    <row r="8434" spans="2:13" hidden="1" x14ac:dyDescent="0.3">
      <c r="B8434" t="s">
        <v>217</v>
      </c>
      <c r="C8434" s="25">
        <v>44754</v>
      </c>
      <c r="D8434" s="26">
        <v>0.46329861111111109</v>
      </c>
      <c r="E8434" t="s">
        <v>30</v>
      </c>
      <c r="F8434" t="s">
        <v>175</v>
      </c>
      <c r="G8434" t="s">
        <v>172</v>
      </c>
      <c r="H8434" t="s">
        <v>218</v>
      </c>
      <c r="I8434" s="173">
        <v>255.76</v>
      </c>
      <c r="J8434" s="233"/>
      <c r="K8434" s="260"/>
      <c r="L8434" s="233"/>
      <c r="M8434" s="254"/>
    </row>
    <row r="8435" spans="2:13" hidden="1" x14ac:dyDescent="0.3">
      <c r="B8435" t="s">
        <v>217</v>
      </c>
      <c r="C8435" s="25">
        <v>44755</v>
      </c>
      <c r="D8435" s="26">
        <v>0.50993055555555555</v>
      </c>
      <c r="E8435" t="s">
        <v>30</v>
      </c>
      <c r="F8435" t="s">
        <v>210</v>
      </c>
      <c r="G8435" t="s">
        <v>211</v>
      </c>
      <c r="H8435" t="s">
        <v>218</v>
      </c>
      <c r="I8435" s="173">
        <v>330.99</v>
      </c>
      <c r="J8435" s="231">
        <f>331+256+100</f>
        <v>687</v>
      </c>
      <c r="K8435" s="231"/>
      <c r="L8435" s="231">
        <v>1808</v>
      </c>
      <c r="M8435" s="198">
        <f>+J8435/L8435*100</f>
        <v>37.997787610619469</v>
      </c>
    </row>
    <row r="8436" spans="2:13" hidden="1" x14ac:dyDescent="0.3">
      <c r="B8436" t="s">
        <v>217</v>
      </c>
      <c r="C8436" s="25">
        <v>44755</v>
      </c>
      <c r="D8436" s="26">
        <v>0.98622685185185188</v>
      </c>
      <c r="E8436" t="s">
        <v>30</v>
      </c>
      <c r="F8436" t="s">
        <v>165</v>
      </c>
      <c r="G8436" t="s">
        <v>185</v>
      </c>
      <c r="H8436" t="s">
        <v>218</v>
      </c>
      <c r="I8436" s="173">
        <v>248.88</v>
      </c>
      <c r="J8436" s="233"/>
      <c r="K8436" s="260"/>
      <c r="L8436" s="292"/>
      <c r="M8436" s="254"/>
    </row>
    <row r="8437" spans="2:13" hidden="1" x14ac:dyDescent="0.3">
      <c r="B8437" t="s">
        <v>217</v>
      </c>
      <c r="C8437" s="25">
        <v>44757</v>
      </c>
      <c r="D8437" s="26">
        <v>0.79096064814814815</v>
      </c>
      <c r="E8437" t="s">
        <v>30</v>
      </c>
      <c r="F8437" t="s">
        <v>165</v>
      </c>
      <c r="G8437" t="s">
        <v>185</v>
      </c>
      <c r="H8437" t="s">
        <v>218</v>
      </c>
      <c r="I8437" s="173">
        <v>376.11</v>
      </c>
      <c r="J8437" s="231">
        <f>376+249</f>
        <v>625</v>
      </c>
      <c r="K8437" s="231"/>
      <c r="L8437" s="231">
        <v>1401</v>
      </c>
      <c r="M8437" s="152">
        <f>+J8437/L8437*100</f>
        <v>44.610992148465385</v>
      </c>
    </row>
    <row r="8438" spans="2:13" hidden="1" x14ac:dyDescent="0.3">
      <c r="B8438" t="s">
        <v>217</v>
      </c>
      <c r="C8438" s="25">
        <v>44758</v>
      </c>
      <c r="D8438" s="26">
        <v>0.77475694444444443</v>
      </c>
      <c r="E8438" t="s">
        <v>30</v>
      </c>
      <c r="F8438" t="s">
        <v>202</v>
      </c>
      <c r="G8438" t="s">
        <v>203</v>
      </c>
      <c r="H8438" t="s">
        <v>218</v>
      </c>
      <c r="I8438" s="173">
        <v>205.03</v>
      </c>
      <c r="J8438" s="233"/>
      <c r="K8438" s="260"/>
      <c r="L8438" s="233"/>
      <c r="M8438" s="254"/>
    </row>
    <row r="8439" spans="2:13" hidden="1" x14ac:dyDescent="0.3">
      <c r="B8439" t="s">
        <v>217</v>
      </c>
      <c r="C8439" s="25">
        <v>44760</v>
      </c>
      <c r="D8439" s="26">
        <v>0.56512731481481482</v>
      </c>
      <c r="E8439" t="s">
        <v>30</v>
      </c>
      <c r="F8439" t="s">
        <v>202</v>
      </c>
      <c r="G8439" t="s">
        <v>203</v>
      </c>
      <c r="H8439" t="s">
        <v>218</v>
      </c>
      <c r="I8439" s="160">
        <v>178.77</v>
      </c>
      <c r="J8439" s="8"/>
      <c r="K8439" s="8">
        <v>595163</v>
      </c>
      <c r="L8439" s="8">
        <f t="shared" ref="L8439:L8445" si="520">+K8439-J8439</f>
        <v>595163</v>
      </c>
      <c r="M8439" s="254"/>
    </row>
    <row r="8440" spans="2:13" hidden="1" x14ac:dyDescent="0.3">
      <c r="B8440" t="s">
        <v>217</v>
      </c>
      <c r="C8440" s="25">
        <v>44761</v>
      </c>
      <c r="D8440" s="26">
        <v>0.44332175925925926</v>
      </c>
      <c r="E8440" t="s">
        <v>30</v>
      </c>
      <c r="F8440" t="s">
        <v>165</v>
      </c>
      <c r="G8440" t="s">
        <v>185</v>
      </c>
      <c r="H8440" t="s">
        <v>218</v>
      </c>
      <c r="I8440" s="160">
        <v>235.95</v>
      </c>
      <c r="J8440" s="8"/>
      <c r="K8440" s="8">
        <v>595749</v>
      </c>
      <c r="L8440" s="8">
        <f t="shared" si="520"/>
        <v>595749</v>
      </c>
      <c r="M8440" s="254"/>
    </row>
    <row r="8441" spans="2:13" hidden="1" x14ac:dyDescent="0.3">
      <c r="B8441" t="s">
        <v>217</v>
      </c>
      <c r="C8441" s="25">
        <v>44761</v>
      </c>
      <c r="D8441" s="26">
        <v>0.78631944444444446</v>
      </c>
      <c r="E8441" t="s">
        <v>30</v>
      </c>
      <c r="F8441" t="s">
        <v>210</v>
      </c>
      <c r="G8441" t="s">
        <v>211</v>
      </c>
      <c r="H8441" t="s">
        <v>218</v>
      </c>
      <c r="I8441" s="160">
        <v>154</v>
      </c>
      <c r="J8441" s="160"/>
      <c r="K8441" s="160">
        <v>596261</v>
      </c>
      <c r="L8441" s="160">
        <f t="shared" si="520"/>
        <v>596261</v>
      </c>
      <c r="M8441" s="254">
        <f>+J8441/L8441*100</f>
        <v>0</v>
      </c>
    </row>
    <row r="8442" spans="2:13" hidden="1" x14ac:dyDescent="0.3">
      <c r="B8442" t="s">
        <v>217</v>
      </c>
      <c r="C8442" s="25">
        <v>44763</v>
      </c>
      <c r="D8442" s="26">
        <v>0.55473379629629627</v>
      </c>
      <c r="E8442" t="s">
        <v>30</v>
      </c>
      <c r="F8442" t="s">
        <v>197</v>
      </c>
      <c r="G8442" t="s">
        <v>44</v>
      </c>
      <c r="H8442" t="s">
        <v>218</v>
      </c>
      <c r="I8442" s="160">
        <v>134.77000000000001</v>
      </c>
      <c r="J8442" s="8"/>
      <c r="K8442" s="8">
        <v>999888</v>
      </c>
      <c r="L8442" s="8">
        <f t="shared" si="520"/>
        <v>999888</v>
      </c>
      <c r="M8442" s="254">
        <f>N8445</f>
        <v>0</v>
      </c>
    </row>
    <row r="8443" spans="2:13" hidden="1" x14ac:dyDescent="0.3">
      <c r="B8443" t="s">
        <v>217</v>
      </c>
      <c r="C8443" s="25">
        <v>44763</v>
      </c>
      <c r="D8443" s="26">
        <v>0.55825231481481474</v>
      </c>
      <c r="E8443" t="s">
        <v>30</v>
      </c>
      <c r="F8443" t="s">
        <v>197</v>
      </c>
      <c r="G8443" t="s">
        <v>44</v>
      </c>
      <c r="H8443" t="s">
        <v>218</v>
      </c>
      <c r="I8443" s="160">
        <v>99.36</v>
      </c>
      <c r="J8443" s="8"/>
      <c r="K8443" s="8">
        <v>999888</v>
      </c>
      <c r="L8443" s="8">
        <f t="shared" si="520"/>
        <v>999888</v>
      </c>
      <c r="M8443" s="272">
        <f t="shared" ref="M8443:M8457" si="521">+J8443/L8443*100</f>
        <v>0</v>
      </c>
    </row>
    <row r="8444" spans="2:13" hidden="1" x14ac:dyDescent="0.3">
      <c r="B8444" t="s">
        <v>217</v>
      </c>
      <c r="C8444" s="25">
        <v>44763</v>
      </c>
      <c r="D8444" s="26">
        <v>0.93513888888888896</v>
      </c>
      <c r="E8444" t="s">
        <v>30</v>
      </c>
      <c r="F8444" t="s">
        <v>210</v>
      </c>
      <c r="G8444" t="s">
        <v>487</v>
      </c>
      <c r="H8444" t="s">
        <v>218</v>
      </c>
      <c r="I8444" s="160">
        <v>410.08</v>
      </c>
      <c r="J8444" s="8"/>
      <c r="K8444" s="8">
        <v>597970</v>
      </c>
      <c r="L8444" s="24">
        <f t="shared" si="520"/>
        <v>597970</v>
      </c>
      <c r="M8444" s="254">
        <f t="shared" si="521"/>
        <v>0</v>
      </c>
    </row>
    <row r="8445" spans="2:13" hidden="1" x14ac:dyDescent="0.3">
      <c r="B8445" t="s">
        <v>217</v>
      </c>
      <c r="C8445" s="25">
        <v>44764</v>
      </c>
      <c r="D8445" s="26">
        <v>0.75123842592592593</v>
      </c>
      <c r="E8445" t="s">
        <v>30</v>
      </c>
      <c r="F8445" t="s">
        <v>165</v>
      </c>
      <c r="G8445" t="s">
        <v>185</v>
      </c>
      <c r="H8445" t="s">
        <v>218</v>
      </c>
      <c r="I8445" s="160">
        <v>286.83</v>
      </c>
      <c r="J8445" s="8"/>
      <c r="K8445" s="8">
        <v>5474</v>
      </c>
      <c r="L8445" s="8">
        <f t="shared" si="520"/>
        <v>5474</v>
      </c>
      <c r="M8445" s="254">
        <f t="shared" si="521"/>
        <v>0</v>
      </c>
    </row>
    <row r="8446" spans="2:13" hidden="1" x14ac:dyDescent="0.3">
      <c r="B8446" t="s">
        <v>217</v>
      </c>
      <c r="C8446" s="25">
        <v>44767</v>
      </c>
      <c r="D8446" s="26">
        <v>0.69920138888888894</v>
      </c>
      <c r="E8446" t="s">
        <v>30</v>
      </c>
      <c r="F8446" t="s">
        <v>210</v>
      </c>
      <c r="G8446" t="s">
        <v>211</v>
      </c>
      <c r="H8446" t="s">
        <v>218</v>
      </c>
      <c r="I8446" s="160">
        <v>347.98</v>
      </c>
      <c r="J8446" s="160">
        <f>135+99+410+287+348</f>
        <v>1279</v>
      </c>
      <c r="K8446" s="160">
        <v>599596</v>
      </c>
      <c r="L8446" s="160">
        <v>3308</v>
      </c>
      <c r="M8446" s="254">
        <f t="shared" si="521"/>
        <v>38.663845223700122</v>
      </c>
    </row>
    <row r="8447" spans="2:13" hidden="1" x14ac:dyDescent="0.3">
      <c r="B8447" t="s">
        <v>217</v>
      </c>
      <c r="C8447" s="25">
        <v>44768</v>
      </c>
      <c r="D8447" s="26">
        <v>0.77335648148148151</v>
      </c>
      <c r="E8447" t="s">
        <v>30</v>
      </c>
      <c r="F8447" t="s">
        <v>428</v>
      </c>
      <c r="G8447" t="s">
        <v>429</v>
      </c>
      <c r="H8447" t="s">
        <v>218</v>
      </c>
      <c r="I8447" s="160">
        <v>101.21</v>
      </c>
      <c r="J8447" s="8"/>
      <c r="K8447" s="8">
        <v>745698</v>
      </c>
      <c r="L8447" s="8">
        <f>+K8447-J8447</f>
        <v>745698</v>
      </c>
      <c r="M8447" s="254">
        <f t="shared" si="521"/>
        <v>0</v>
      </c>
    </row>
    <row r="8448" spans="2:13" hidden="1" x14ac:dyDescent="0.3">
      <c r="B8448" t="s">
        <v>217</v>
      </c>
      <c r="C8448" s="25">
        <v>44768</v>
      </c>
      <c r="D8448" s="26">
        <v>0.77631944444444445</v>
      </c>
      <c r="E8448" t="s">
        <v>30</v>
      </c>
      <c r="F8448" t="s">
        <v>428</v>
      </c>
      <c r="G8448" t="s">
        <v>429</v>
      </c>
      <c r="H8448" t="s">
        <v>218</v>
      </c>
      <c r="I8448" s="160">
        <v>239.14</v>
      </c>
      <c r="J8448" s="8"/>
      <c r="K8448" s="8">
        <v>74569</v>
      </c>
      <c r="L8448" s="8">
        <f>+K8448-J8448</f>
        <v>74569</v>
      </c>
      <c r="M8448" s="254">
        <f t="shared" si="521"/>
        <v>0</v>
      </c>
    </row>
    <row r="8449" spans="1:13" hidden="1" x14ac:dyDescent="0.3">
      <c r="B8449" t="s">
        <v>217</v>
      </c>
      <c r="C8449" s="25">
        <v>44769</v>
      </c>
      <c r="D8449" s="26">
        <v>0.70767361111111116</v>
      </c>
      <c r="E8449" t="s">
        <v>30</v>
      </c>
      <c r="F8449" t="s">
        <v>197</v>
      </c>
      <c r="G8449" t="s">
        <v>44</v>
      </c>
      <c r="H8449" t="s">
        <v>218</v>
      </c>
      <c r="I8449" s="160">
        <v>134.77000000000001</v>
      </c>
      <c r="J8449" s="8"/>
      <c r="K8449" s="8">
        <v>600980</v>
      </c>
      <c r="L8449" s="8">
        <f>+K8449-J8449</f>
        <v>600980</v>
      </c>
      <c r="M8449" s="254">
        <f t="shared" si="521"/>
        <v>0</v>
      </c>
    </row>
    <row r="8450" spans="1:13" hidden="1" x14ac:dyDescent="0.3">
      <c r="B8450" t="s">
        <v>217</v>
      </c>
      <c r="C8450" s="25">
        <v>44770</v>
      </c>
      <c r="D8450" s="26">
        <v>0.47107638888888892</v>
      </c>
      <c r="E8450" t="s">
        <v>30</v>
      </c>
      <c r="F8450" t="s">
        <v>210</v>
      </c>
      <c r="G8450" t="s">
        <v>487</v>
      </c>
      <c r="H8450" t="s">
        <v>218</v>
      </c>
      <c r="I8450" s="161">
        <v>240</v>
      </c>
      <c r="J8450" s="44"/>
      <c r="K8450" s="44">
        <v>601470</v>
      </c>
      <c r="L8450" s="44">
        <f>+K8450-J8450</f>
        <v>601470</v>
      </c>
      <c r="M8450" s="267">
        <f t="shared" si="521"/>
        <v>0</v>
      </c>
    </row>
    <row r="8451" spans="1:13" hidden="1" x14ac:dyDescent="0.3">
      <c r="B8451" t="s">
        <v>217</v>
      </c>
      <c r="C8451" s="25">
        <v>44771</v>
      </c>
      <c r="D8451" s="26">
        <v>0.44755787037037037</v>
      </c>
      <c r="E8451" t="s">
        <v>30</v>
      </c>
      <c r="F8451" t="s">
        <v>278</v>
      </c>
      <c r="G8451" t="s">
        <v>279</v>
      </c>
      <c r="H8451" t="s">
        <v>218</v>
      </c>
      <c r="I8451" s="160">
        <v>357</v>
      </c>
      <c r="J8451" s="8"/>
      <c r="K8451" s="8">
        <v>602267</v>
      </c>
      <c r="L8451" s="8">
        <f>+K8451-J8451</f>
        <v>602267</v>
      </c>
      <c r="M8451" s="254">
        <f t="shared" si="521"/>
        <v>0</v>
      </c>
    </row>
    <row r="8452" spans="1:13" hidden="1" x14ac:dyDescent="0.3">
      <c r="B8452" t="s">
        <v>217</v>
      </c>
      <c r="C8452" s="25">
        <v>44771</v>
      </c>
      <c r="D8452" s="26">
        <v>0.66177083333333331</v>
      </c>
      <c r="E8452" t="s">
        <v>30</v>
      </c>
      <c r="F8452" t="s">
        <v>210</v>
      </c>
      <c r="G8452" t="s">
        <v>211</v>
      </c>
      <c r="H8452" t="s">
        <v>218</v>
      </c>
      <c r="I8452" s="160">
        <v>72.209999999999994</v>
      </c>
      <c r="J8452" s="160">
        <f>101+239+135+240+357+72</f>
        <v>1144</v>
      </c>
      <c r="K8452" s="160">
        <v>602681</v>
      </c>
      <c r="L8452" s="160">
        <v>2998</v>
      </c>
      <c r="M8452" s="254">
        <f t="shared" si="521"/>
        <v>38.158772515010007</v>
      </c>
    </row>
    <row r="8453" spans="1:13" hidden="1" x14ac:dyDescent="0.3">
      <c r="B8453" t="s">
        <v>217</v>
      </c>
      <c r="C8453" s="25">
        <v>44772</v>
      </c>
      <c r="D8453" s="26">
        <v>0.72928240740740735</v>
      </c>
      <c r="E8453" t="s">
        <v>30</v>
      </c>
      <c r="F8453" t="s">
        <v>428</v>
      </c>
      <c r="G8453" t="s">
        <v>429</v>
      </c>
      <c r="H8453" t="s">
        <v>218</v>
      </c>
      <c r="I8453" s="160">
        <v>102.93</v>
      </c>
      <c r="J8453" s="8"/>
      <c r="K8453" s="8">
        <v>603547</v>
      </c>
      <c r="L8453" s="8">
        <f>+K8453-J8453</f>
        <v>603547</v>
      </c>
      <c r="M8453" s="254">
        <f t="shared" si="521"/>
        <v>0</v>
      </c>
    </row>
    <row r="8454" spans="1:13" hidden="1" x14ac:dyDescent="0.3">
      <c r="B8454" t="s">
        <v>217</v>
      </c>
      <c r="C8454" s="25">
        <v>44772</v>
      </c>
      <c r="D8454" s="26">
        <v>0.73328703703703713</v>
      </c>
      <c r="E8454" t="s">
        <v>30</v>
      </c>
      <c r="F8454" t="s">
        <v>428</v>
      </c>
      <c r="G8454" t="s">
        <v>429</v>
      </c>
      <c r="H8454" t="s">
        <v>218</v>
      </c>
      <c r="I8454" s="160">
        <v>219.62</v>
      </c>
      <c r="J8454" s="8"/>
      <c r="K8454" s="8">
        <v>603547</v>
      </c>
      <c r="L8454" s="8">
        <f>+K8454-J8454</f>
        <v>603547</v>
      </c>
      <c r="M8454" s="272">
        <f t="shared" si="521"/>
        <v>0</v>
      </c>
    </row>
    <row r="8455" spans="1:13" hidden="1" x14ac:dyDescent="0.3">
      <c r="B8455" t="s">
        <v>217</v>
      </c>
      <c r="C8455" s="25">
        <v>44773</v>
      </c>
      <c r="D8455" s="26">
        <v>0.41682870370370373</v>
      </c>
      <c r="E8455" t="s">
        <v>30</v>
      </c>
      <c r="F8455" t="s">
        <v>175</v>
      </c>
      <c r="G8455" t="s">
        <v>172</v>
      </c>
      <c r="H8455" t="s">
        <v>218</v>
      </c>
      <c r="I8455" s="160">
        <v>103.49</v>
      </c>
      <c r="J8455" s="8"/>
      <c r="K8455" s="8">
        <v>603831</v>
      </c>
      <c r="L8455" s="24">
        <f>+K8455-J8455</f>
        <v>603831</v>
      </c>
      <c r="M8455" s="254">
        <f t="shared" si="521"/>
        <v>0</v>
      </c>
    </row>
    <row r="8456" spans="1:13" hidden="1" x14ac:dyDescent="0.3">
      <c r="B8456" t="s">
        <v>217</v>
      </c>
      <c r="C8456" s="25">
        <v>44773</v>
      </c>
      <c r="D8456" s="26">
        <v>0.89344907407407403</v>
      </c>
      <c r="E8456" t="s">
        <v>30</v>
      </c>
      <c r="F8456" t="s">
        <v>210</v>
      </c>
      <c r="G8456" t="s">
        <v>211</v>
      </c>
      <c r="H8456" t="s">
        <v>218</v>
      </c>
      <c r="I8456" s="160">
        <v>255.22</v>
      </c>
      <c r="J8456" s="160">
        <f>103+220+103+255</f>
        <v>681</v>
      </c>
      <c r="K8456" s="160">
        <v>5474</v>
      </c>
      <c r="L8456" s="160">
        <v>1887</v>
      </c>
      <c r="M8456" s="267">
        <f t="shared" si="521"/>
        <v>36.089030206677265</v>
      </c>
    </row>
    <row r="8457" spans="1:13" hidden="1" x14ac:dyDescent="0.3">
      <c r="A8457" s="9">
        <v>6751</v>
      </c>
      <c r="B8457" t="s">
        <v>252</v>
      </c>
      <c r="C8457" s="25">
        <v>44743</v>
      </c>
      <c r="D8457" s="26">
        <v>0.74934027777777779</v>
      </c>
      <c r="E8457" t="s">
        <v>30</v>
      </c>
      <c r="F8457" t="s">
        <v>210</v>
      </c>
      <c r="G8457" t="s">
        <v>211</v>
      </c>
      <c r="H8457" t="s">
        <v>220</v>
      </c>
      <c r="I8457" s="173">
        <v>350.77</v>
      </c>
      <c r="J8457" s="160">
        <f>220+244+254+350</f>
        <v>1068</v>
      </c>
      <c r="K8457" s="160">
        <v>4205</v>
      </c>
      <c r="L8457" s="160">
        <v>2740</v>
      </c>
      <c r="M8457" s="149">
        <f t="shared" si="521"/>
        <v>38.978102189781019</v>
      </c>
    </row>
    <row r="8458" spans="1:13" hidden="1" x14ac:dyDescent="0.3">
      <c r="A8458" s="9">
        <v>6751</v>
      </c>
      <c r="B8458" t="s">
        <v>252</v>
      </c>
      <c r="C8458" s="25">
        <v>44744</v>
      </c>
      <c r="D8458" s="26">
        <v>0.8149074074074073</v>
      </c>
      <c r="E8458" t="s">
        <v>30</v>
      </c>
      <c r="F8458" t="s">
        <v>446</v>
      </c>
      <c r="G8458" t="s">
        <v>402</v>
      </c>
      <c r="H8458" t="s">
        <v>220</v>
      </c>
      <c r="I8458" s="173">
        <v>189.86</v>
      </c>
      <c r="J8458" s="8"/>
      <c r="K8458" s="8">
        <v>12345</v>
      </c>
      <c r="L8458" s="8">
        <f>+K8458-J8458</f>
        <v>12345</v>
      </c>
      <c r="M8458" s="91">
        <f>I8458/L8458*100</f>
        <v>1.5379505872823007</v>
      </c>
    </row>
    <row r="8459" spans="1:13" hidden="1" x14ac:dyDescent="0.3">
      <c r="A8459" s="9">
        <v>6751</v>
      </c>
      <c r="B8459" t="s">
        <v>252</v>
      </c>
      <c r="C8459" s="25">
        <v>44749</v>
      </c>
      <c r="D8459" s="26">
        <v>0.99039351851851853</v>
      </c>
      <c r="E8459" t="s">
        <v>30</v>
      </c>
      <c r="F8459" t="s">
        <v>492</v>
      </c>
      <c r="G8459" t="s">
        <v>44</v>
      </c>
      <c r="H8459" t="s">
        <v>220</v>
      </c>
      <c r="I8459" s="173" t="s">
        <v>805</v>
      </c>
      <c r="J8459" s="8"/>
      <c r="K8459" s="8"/>
      <c r="L8459" s="8"/>
      <c r="M8459" s="139" t="e">
        <f>I8459/K8459*100</f>
        <v>#DIV/0!</v>
      </c>
    </row>
    <row r="8460" spans="1:13" hidden="1" x14ac:dyDescent="0.3">
      <c r="A8460" s="9">
        <v>6751</v>
      </c>
      <c r="B8460" t="s">
        <v>252</v>
      </c>
      <c r="C8460" s="25">
        <v>44750</v>
      </c>
      <c r="D8460" s="26">
        <v>0.68585648148148148</v>
      </c>
      <c r="E8460" t="s">
        <v>30</v>
      </c>
      <c r="F8460" t="s">
        <v>774</v>
      </c>
      <c r="G8460" t="s">
        <v>161</v>
      </c>
      <c r="H8460" t="s">
        <v>220</v>
      </c>
      <c r="I8460" s="173" t="s">
        <v>804</v>
      </c>
      <c r="J8460" s="8"/>
      <c r="K8460" s="8"/>
      <c r="L8460" s="24"/>
      <c r="M8460" s="91" t="e">
        <f>I8460/K8460*100</f>
        <v>#DIV/0!</v>
      </c>
    </row>
    <row r="8461" spans="1:13" hidden="1" x14ac:dyDescent="0.3">
      <c r="A8461" s="9">
        <v>6751</v>
      </c>
      <c r="B8461" t="s">
        <v>252</v>
      </c>
      <c r="C8461" s="25">
        <v>44751</v>
      </c>
      <c r="D8461" s="26">
        <v>0.19532407407407407</v>
      </c>
      <c r="E8461" t="s">
        <v>30</v>
      </c>
      <c r="F8461" t="s">
        <v>165</v>
      </c>
      <c r="G8461" t="s">
        <v>185</v>
      </c>
      <c r="H8461" t="s">
        <v>220</v>
      </c>
      <c r="I8461" s="173" t="s">
        <v>803</v>
      </c>
      <c r="J8461" s="8"/>
      <c r="K8461" s="8"/>
      <c r="L8461" s="8"/>
      <c r="M8461" s="132" t="e">
        <f>I8461/K8461*100</f>
        <v>#DIV/0!</v>
      </c>
    </row>
    <row r="8462" spans="1:13" hidden="1" x14ac:dyDescent="0.3">
      <c r="A8462" s="9">
        <v>6751</v>
      </c>
      <c r="B8462" t="s">
        <v>252</v>
      </c>
      <c r="C8462" s="25">
        <v>44751</v>
      </c>
      <c r="D8462" s="26">
        <v>0.90078703703703711</v>
      </c>
      <c r="E8462" t="s">
        <v>30</v>
      </c>
      <c r="F8462" t="s">
        <v>210</v>
      </c>
      <c r="G8462" t="s">
        <v>211</v>
      </c>
      <c r="H8462" t="s">
        <v>220</v>
      </c>
      <c r="I8462" s="173" t="s">
        <v>802</v>
      </c>
      <c r="J8462" s="160">
        <f>190+233+231+298+126</f>
        <v>1078</v>
      </c>
      <c r="K8462" s="160"/>
      <c r="L8462" s="160">
        <v>2889</v>
      </c>
      <c r="M8462" s="237">
        <f>+J8462/L8462*100</f>
        <v>37.313949463482174</v>
      </c>
    </row>
    <row r="8463" spans="1:13" hidden="1" x14ac:dyDescent="0.3">
      <c r="A8463" s="9">
        <v>6751</v>
      </c>
      <c r="B8463" t="s">
        <v>252</v>
      </c>
      <c r="C8463" s="25">
        <v>44753</v>
      </c>
      <c r="D8463" s="26">
        <v>2.2789351851851852E-2</v>
      </c>
      <c r="E8463" t="s">
        <v>30</v>
      </c>
      <c r="F8463" t="s">
        <v>293</v>
      </c>
      <c r="G8463" t="s">
        <v>196</v>
      </c>
      <c r="H8463" t="s">
        <v>220</v>
      </c>
      <c r="I8463" s="173" t="s">
        <v>909</v>
      </c>
      <c r="J8463" s="23"/>
      <c r="K8463" s="90"/>
      <c r="L8463" s="291"/>
      <c r="M8463" s="254"/>
    </row>
    <row r="8464" spans="1:13" hidden="1" x14ac:dyDescent="0.3">
      <c r="A8464" s="9">
        <v>6751</v>
      </c>
      <c r="B8464" t="s">
        <v>252</v>
      </c>
      <c r="C8464" s="25">
        <v>44754</v>
      </c>
      <c r="D8464" s="26">
        <v>0.59679398148148144</v>
      </c>
      <c r="E8464" t="s">
        <v>30</v>
      </c>
      <c r="F8464" t="s">
        <v>492</v>
      </c>
      <c r="G8464" t="s">
        <v>44</v>
      </c>
      <c r="H8464" t="s">
        <v>220</v>
      </c>
      <c r="I8464" s="173" t="s">
        <v>908</v>
      </c>
      <c r="J8464" s="23"/>
      <c r="K8464" s="90"/>
      <c r="L8464" s="23"/>
      <c r="M8464" s="267"/>
    </row>
    <row r="8465" spans="1:13" hidden="1" x14ac:dyDescent="0.3">
      <c r="A8465" s="9">
        <v>6751</v>
      </c>
      <c r="B8465" t="s">
        <v>252</v>
      </c>
      <c r="C8465" s="25">
        <v>44755</v>
      </c>
      <c r="D8465" s="26">
        <v>1.832175925925926E-2</v>
      </c>
      <c r="E8465" t="s">
        <v>30</v>
      </c>
      <c r="F8465" t="s">
        <v>210</v>
      </c>
      <c r="G8465" t="s">
        <v>211</v>
      </c>
      <c r="H8465" t="s">
        <v>220</v>
      </c>
      <c r="I8465" s="173" t="s">
        <v>1020</v>
      </c>
      <c r="J8465" s="231">
        <f>248+286+145</f>
        <v>679</v>
      </c>
      <c r="K8465" s="151"/>
      <c r="L8465" s="151">
        <v>1750</v>
      </c>
      <c r="M8465" s="150">
        <f>+J8465/L8465*100</f>
        <v>38.800000000000004</v>
      </c>
    </row>
    <row r="8466" spans="1:13" hidden="1" x14ac:dyDescent="0.3">
      <c r="A8466" s="9">
        <v>6751</v>
      </c>
      <c r="B8466" t="s">
        <v>252</v>
      </c>
      <c r="C8466" s="25">
        <v>44756</v>
      </c>
      <c r="D8466" s="26">
        <v>0.72494212962962967</v>
      </c>
      <c r="E8466" t="s">
        <v>30</v>
      </c>
      <c r="F8466" t="s">
        <v>165</v>
      </c>
      <c r="G8466" t="s">
        <v>185</v>
      </c>
      <c r="H8466" t="s">
        <v>220</v>
      </c>
      <c r="I8466" s="173" t="s">
        <v>1019</v>
      </c>
      <c r="J8466" s="23"/>
      <c r="K8466" s="90"/>
      <c r="L8466" s="23"/>
      <c r="M8466" s="254"/>
    </row>
    <row r="8467" spans="1:13" hidden="1" x14ac:dyDescent="0.3">
      <c r="A8467" s="9">
        <v>6751</v>
      </c>
      <c r="B8467" t="s">
        <v>252</v>
      </c>
      <c r="C8467" s="25">
        <v>44757</v>
      </c>
      <c r="D8467" s="26">
        <v>0.85307870370370376</v>
      </c>
      <c r="E8467" t="s">
        <v>30</v>
      </c>
      <c r="F8467" t="s">
        <v>165</v>
      </c>
      <c r="G8467" t="s">
        <v>185</v>
      </c>
      <c r="H8467" t="s">
        <v>220</v>
      </c>
      <c r="I8467" s="159" t="s">
        <v>1018</v>
      </c>
      <c r="K8467" s="88"/>
      <c r="L8467" s="3"/>
      <c r="M8467" s="297"/>
    </row>
    <row r="8468" spans="1:13" hidden="1" x14ac:dyDescent="0.3">
      <c r="A8468" s="9">
        <v>6751</v>
      </c>
      <c r="B8468" t="s">
        <v>252</v>
      </c>
      <c r="C8468" s="25">
        <v>44759</v>
      </c>
      <c r="D8468" s="26">
        <v>3.2696759259259259E-2</v>
      </c>
      <c r="E8468" t="s">
        <v>30</v>
      </c>
      <c r="F8468" t="s">
        <v>937</v>
      </c>
      <c r="G8468" t="s">
        <v>336</v>
      </c>
      <c r="H8468" t="s">
        <v>220</v>
      </c>
      <c r="I8468" s="173" t="s">
        <v>1017</v>
      </c>
      <c r="J8468" s="23"/>
      <c r="K8468" s="90"/>
      <c r="L8468" s="23"/>
      <c r="M8468" s="254"/>
    </row>
    <row r="8469" spans="1:13" hidden="1" x14ac:dyDescent="0.3">
      <c r="B8469" t="s">
        <v>252</v>
      </c>
      <c r="C8469" s="25">
        <v>44760</v>
      </c>
      <c r="D8469" s="26">
        <v>0.53469907407407413</v>
      </c>
      <c r="E8469" t="s">
        <v>30</v>
      </c>
      <c r="F8469" t="s">
        <v>202</v>
      </c>
      <c r="G8469" t="s">
        <v>203</v>
      </c>
      <c r="H8469" t="s">
        <v>220</v>
      </c>
      <c r="I8469" s="160">
        <v>178.99</v>
      </c>
      <c r="J8469" s="8"/>
      <c r="K8469" s="8">
        <v>10000</v>
      </c>
      <c r="L8469" s="8">
        <f>+K8469-J8469</f>
        <v>10000</v>
      </c>
      <c r="M8469" s="254">
        <f t="shared" ref="M8469:M8477" si="522">+J8469/L8469*100</f>
        <v>0</v>
      </c>
    </row>
    <row r="8470" spans="1:13" hidden="1" x14ac:dyDescent="0.3">
      <c r="B8470" t="s">
        <v>252</v>
      </c>
      <c r="C8470" s="25">
        <v>44761</v>
      </c>
      <c r="D8470" s="26">
        <v>2.0833333333333332E-2</v>
      </c>
      <c r="E8470" t="s">
        <v>30</v>
      </c>
      <c r="F8470" t="s">
        <v>165</v>
      </c>
      <c r="G8470" t="s">
        <v>185</v>
      </c>
      <c r="H8470" t="s">
        <v>220</v>
      </c>
      <c r="I8470" s="160">
        <v>262.93</v>
      </c>
      <c r="J8470" s="8"/>
      <c r="K8470" s="8">
        <v>12345</v>
      </c>
      <c r="L8470" s="8">
        <f>+K8470-J8470</f>
        <v>12345</v>
      </c>
      <c r="M8470" s="254">
        <f t="shared" si="522"/>
        <v>0</v>
      </c>
    </row>
    <row r="8471" spans="1:13" hidden="1" x14ac:dyDescent="0.3">
      <c r="B8471" t="s">
        <v>252</v>
      </c>
      <c r="C8471" s="25">
        <v>44761</v>
      </c>
      <c r="D8471" s="26">
        <v>0.92880787037037038</v>
      </c>
      <c r="E8471" t="s">
        <v>30</v>
      </c>
      <c r="F8471" t="s">
        <v>210</v>
      </c>
      <c r="G8471" t="s">
        <v>211</v>
      </c>
      <c r="H8471" t="s">
        <v>220</v>
      </c>
      <c r="I8471" s="160">
        <v>230.86</v>
      </c>
      <c r="J8471" s="160">
        <f>416+207+165+179+263+231</f>
        <v>1461</v>
      </c>
      <c r="K8471" s="160">
        <v>4205</v>
      </c>
      <c r="L8471" s="160">
        <v>3517</v>
      </c>
      <c r="M8471" s="254">
        <f t="shared" si="522"/>
        <v>41.541086152971282</v>
      </c>
    </row>
    <row r="8472" spans="1:13" hidden="1" x14ac:dyDescent="0.3">
      <c r="B8472" t="s">
        <v>252</v>
      </c>
      <c r="C8472" s="25">
        <v>44762</v>
      </c>
      <c r="D8472" s="26">
        <v>0.88634259259259263</v>
      </c>
      <c r="E8472" t="s">
        <v>30</v>
      </c>
      <c r="F8472" t="s">
        <v>446</v>
      </c>
      <c r="G8472" t="s">
        <v>402</v>
      </c>
      <c r="H8472" t="s">
        <v>220</v>
      </c>
      <c r="I8472" s="160">
        <v>232.69</v>
      </c>
      <c r="J8472" s="8"/>
      <c r="K8472" s="8">
        <v>12345</v>
      </c>
      <c r="L8472" s="8">
        <f>+K8472-J8472</f>
        <v>12345</v>
      </c>
      <c r="M8472" s="254">
        <f t="shared" si="522"/>
        <v>0</v>
      </c>
    </row>
    <row r="8473" spans="1:13" hidden="1" x14ac:dyDescent="0.3">
      <c r="B8473" t="s">
        <v>252</v>
      </c>
      <c r="C8473" s="25">
        <v>44770</v>
      </c>
      <c r="D8473" s="26">
        <v>0.54616898148148152</v>
      </c>
      <c r="E8473" t="s">
        <v>30</v>
      </c>
      <c r="F8473" t="s">
        <v>175</v>
      </c>
      <c r="G8473" t="s">
        <v>172</v>
      </c>
      <c r="H8473" t="s">
        <v>220</v>
      </c>
      <c r="I8473" s="160">
        <v>141.29</v>
      </c>
      <c r="J8473" s="8"/>
      <c r="K8473" s="8">
        <v>12345</v>
      </c>
      <c r="L8473" s="8">
        <f>+K8473-J8473</f>
        <v>12345</v>
      </c>
      <c r="M8473" s="254">
        <f t="shared" si="522"/>
        <v>0</v>
      </c>
    </row>
    <row r="8474" spans="1:13" hidden="1" x14ac:dyDescent="0.3">
      <c r="B8474" t="s">
        <v>252</v>
      </c>
      <c r="C8474" s="25">
        <v>44771</v>
      </c>
      <c r="D8474" s="26">
        <v>0.55383101851851857</v>
      </c>
      <c r="E8474" t="s">
        <v>30</v>
      </c>
      <c r="F8474" t="s">
        <v>166</v>
      </c>
      <c r="G8474" t="s">
        <v>161</v>
      </c>
      <c r="H8474" t="s">
        <v>220</v>
      </c>
      <c r="I8474" s="160">
        <v>305.76</v>
      </c>
      <c r="J8474" s="160">
        <f>233+141+307</f>
        <v>681</v>
      </c>
      <c r="K8474" s="160">
        <v>1234</v>
      </c>
      <c r="L8474" s="160">
        <v>1715</v>
      </c>
      <c r="M8474" s="254">
        <f t="shared" si="522"/>
        <v>39.708454810495624</v>
      </c>
    </row>
    <row r="8475" spans="1:13" hidden="1" x14ac:dyDescent="0.3">
      <c r="B8475" t="s">
        <v>252</v>
      </c>
      <c r="C8475" s="25">
        <v>44772</v>
      </c>
      <c r="D8475" s="26">
        <v>8.7048611111111118E-2</v>
      </c>
      <c r="E8475" t="s">
        <v>30</v>
      </c>
      <c r="F8475" t="s">
        <v>165</v>
      </c>
      <c r="G8475" t="s">
        <v>185</v>
      </c>
      <c r="H8475" t="s">
        <v>220</v>
      </c>
      <c r="I8475" s="160">
        <v>298</v>
      </c>
      <c r="J8475" s="8"/>
      <c r="K8475" s="8">
        <v>1234</v>
      </c>
      <c r="L8475" s="8">
        <f>+K8475-J8475</f>
        <v>1234</v>
      </c>
      <c r="M8475" s="254">
        <f t="shared" si="522"/>
        <v>0</v>
      </c>
    </row>
    <row r="8476" spans="1:13" hidden="1" x14ac:dyDescent="0.3">
      <c r="B8476" t="s">
        <v>252</v>
      </c>
      <c r="C8476" s="25">
        <v>44772</v>
      </c>
      <c r="D8476" s="26">
        <v>0.73207175925925927</v>
      </c>
      <c r="E8476" t="s">
        <v>30</v>
      </c>
      <c r="F8476" t="s">
        <v>165</v>
      </c>
      <c r="G8476" t="s">
        <v>185</v>
      </c>
      <c r="H8476" t="s">
        <v>220</v>
      </c>
      <c r="I8476" s="160">
        <v>181.58</v>
      </c>
      <c r="J8476" s="8"/>
      <c r="K8476" s="8">
        <v>1234</v>
      </c>
      <c r="L8476" s="8">
        <f>+K8476-J8476</f>
        <v>1234</v>
      </c>
      <c r="M8476" s="254">
        <f t="shared" si="522"/>
        <v>0</v>
      </c>
    </row>
    <row r="8477" spans="1:13" hidden="1" x14ac:dyDescent="0.3">
      <c r="B8477" t="s">
        <v>252</v>
      </c>
      <c r="C8477" s="25">
        <v>44773</v>
      </c>
      <c r="D8477" s="26">
        <v>0.81331018518518527</v>
      </c>
      <c r="E8477" t="s">
        <v>30</v>
      </c>
      <c r="F8477" t="s">
        <v>166</v>
      </c>
      <c r="G8477" t="s">
        <v>161</v>
      </c>
      <c r="H8477" t="s">
        <v>220</v>
      </c>
      <c r="I8477" s="160">
        <v>177.28</v>
      </c>
      <c r="J8477" s="160">
        <f>298+181+177</f>
        <v>656</v>
      </c>
      <c r="K8477" s="160">
        <v>1234</v>
      </c>
      <c r="L8477" s="160">
        <v>1670</v>
      </c>
      <c r="M8477" s="254">
        <f t="shared" si="522"/>
        <v>39.281437125748504</v>
      </c>
    </row>
    <row r="8478" spans="1:13" hidden="1" x14ac:dyDescent="0.3">
      <c r="B8478" t="s">
        <v>221</v>
      </c>
      <c r="C8478" s="25">
        <v>44743</v>
      </c>
      <c r="D8478" s="26">
        <v>0.49412037037037032</v>
      </c>
      <c r="E8478" t="s">
        <v>30</v>
      </c>
      <c r="F8478" t="s">
        <v>171</v>
      </c>
      <c r="G8478" t="s">
        <v>172</v>
      </c>
      <c r="H8478" t="s">
        <v>222</v>
      </c>
      <c r="I8478" s="173">
        <v>405.98</v>
      </c>
      <c r="J8478" s="236"/>
      <c r="K8478" s="236"/>
      <c r="L8478" s="236"/>
      <c r="M8478" s="91"/>
    </row>
    <row r="8479" spans="1:13" hidden="1" x14ac:dyDescent="0.3">
      <c r="B8479" t="s">
        <v>221</v>
      </c>
      <c r="C8479" s="25">
        <v>44744</v>
      </c>
      <c r="D8479" s="26">
        <v>0.37918981481481479</v>
      </c>
      <c r="E8479" t="s">
        <v>30</v>
      </c>
      <c r="F8479" t="s">
        <v>166</v>
      </c>
      <c r="G8479" t="s">
        <v>161</v>
      </c>
      <c r="H8479" t="s">
        <v>222</v>
      </c>
      <c r="I8479" s="173">
        <v>294.95999999999998</v>
      </c>
      <c r="J8479" s="236"/>
      <c r="K8479" s="236"/>
      <c r="L8479" s="236"/>
      <c r="M8479" s="91"/>
    </row>
    <row r="8480" spans="1:13" hidden="1" x14ac:dyDescent="0.3">
      <c r="B8480" t="s">
        <v>221</v>
      </c>
      <c r="C8480" s="25">
        <v>44745</v>
      </c>
      <c r="D8480" s="26">
        <v>0.85550925925925936</v>
      </c>
      <c r="E8480" t="s">
        <v>30</v>
      </c>
      <c r="F8480" t="s">
        <v>210</v>
      </c>
      <c r="G8480" t="s">
        <v>211</v>
      </c>
      <c r="H8480" t="s">
        <v>222</v>
      </c>
      <c r="I8480" s="173">
        <v>376.55</v>
      </c>
      <c r="J8480" s="173">
        <f>376+295+406</f>
        <v>1077</v>
      </c>
      <c r="K8480" s="173">
        <v>1736</v>
      </c>
      <c r="L8480" s="173">
        <v>2827</v>
      </c>
      <c r="M8480" s="149">
        <f>+J8480/L8480*100</f>
        <v>38.096922532720193</v>
      </c>
    </row>
    <row r="8481" spans="2:13" hidden="1" x14ac:dyDescent="0.3">
      <c r="B8481" t="s">
        <v>221</v>
      </c>
      <c r="C8481" s="25">
        <v>44754</v>
      </c>
      <c r="D8481" s="26">
        <v>0.61049768518518521</v>
      </c>
      <c r="E8481" t="s">
        <v>30</v>
      </c>
      <c r="F8481" t="s">
        <v>210</v>
      </c>
      <c r="G8481" t="s">
        <v>211</v>
      </c>
      <c r="H8481" t="s">
        <v>222</v>
      </c>
      <c r="I8481" s="173">
        <v>613.21</v>
      </c>
      <c r="J8481" s="233"/>
      <c r="K8481" s="233"/>
      <c r="L8481" s="233"/>
      <c r="M8481" s="19"/>
    </row>
    <row r="8482" spans="2:13" hidden="1" x14ac:dyDescent="0.3">
      <c r="B8482" t="s">
        <v>221</v>
      </c>
      <c r="C8482" s="25">
        <v>44754</v>
      </c>
      <c r="D8482" s="26">
        <v>0.62165509259259266</v>
      </c>
      <c r="E8482" t="s">
        <v>30</v>
      </c>
      <c r="F8482" t="s">
        <v>210</v>
      </c>
      <c r="G8482" t="s">
        <v>211</v>
      </c>
      <c r="H8482" t="s">
        <v>222</v>
      </c>
      <c r="I8482" s="173">
        <v>98.18</v>
      </c>
      <c r="J8482" s="231">
        <f>613+98</f>
        <v>711</v>
      </c>
      <c r="K8482" s="231"/>
      <c r="L8482" s="231">
        <v>1779</v>
      </c>
      <c r="M8482" s="150">
        <f>+J8482/L8482*100</f>
        <v>39.966273187183809</v>
      </c>
    </row>
    <row r="8483" spans="2:13" hidden="1" x14ac:dyDescent="0.3">
      <c r="B8483" t="s">
        <v>221</v>
      </c>
      <c r="C8483" s="25">
        <v>44756</v>
      </c>
      <c r="D8483" s="26">
        <v>3.4722222222222222E-5</v>
      </c>
      <c r="E8483" t="s">
        <v>30</v>
      </c>
      <c r="F8483" t="s">
        <v>210</v>
      </c>
      <c r="G8483" t="s">
        <v>211</v>
      </c>
      <c r="H8483" t="s">
        <v>222</v>
      </c>
      <c r="I8483" s="173">
        <v>402.23</v>
      </c>
      <c r="J8483" s="233"/>
      <c r="K8483" s="8"/>
      <c r="L8483" s="233"/>
      <c r="M8483" s="19"/>
    </row>
    <row r="8484" spans="2:13" hidden="1" x14ac:dyDescent="0.3">
      <c r="B8484" t="s">
        <v>221</v>
      </c>
      <c r="C8484" s="25">
        <v>44758</v>
      </c>
      <c r="D8484" s="26">
        <v>0.44901620370370371</v>
      </c>
      <c r="E8484" t="s">
        <v>30</v>
      </c>
      <c r="F8484" t="s">
        <v>171</v>
      </c>
      <c r="G8484" t="s">
        <v>172</v>
      </c>
      <c r="H8484" t="s">
        <v>222</v>
      </c>
      <c r="I8484" s="173">
        <v>300.35000000000002</v>
      </c>
      <c r="J8484" s="233"/>
      <c r="K8484" s="8"/>
      <c r="L8484" s="233"/>
      <c r="M8484" s="19"/>
    </row>
    <row r="8485" spans="2:13" hidden="1" x14ac:dyDescent="0.3">
      <c r="B8485" t="s">
        <v>221</v>
      </c>
      <c r="C8485" s="25">
        <v>44758</v>
      </c>
      <c r="D8485" s="26">
        <v>0.95942129629629624</v>
      </c>
      <c r="E8485" t="s">
        <v>30</v>
      </c>
      <c r="F8485" t="s">
        <v>210</v>
      </c>
      <c r="G8485" t="s">
        <v>211</v>
      </c>
      <c r="H8485" t="s">
        <v>222</v>
      </c>
      <c r="I8485" s="173">
        <v>521.91</v>
      </c>
      <c r="J8485" s="231">
        <f>522+300+402</f>
        <v>1224</v>
      </c>
      <c r="K8485" s="231"/>
      <c r="L8485" s="231">
        <v>2796</v>
      </c>
      <c r="M8485" s="150">
        <f t="shared" ref="M8485:M8493" si="523">+J8485/L8485*100</f>
        <v>43.776824034334766</v>
      </c>
    </row>
    <row r="8486" spans="2:13" hidden="1" x14ac:dyDescent="0.3">
      <c r="B8486" t="s">
        <v>221</v>
      </c>
      <c r="C8486" s="25">
        <v>44760</v>
      </c>
      <c r="D8486" s="26">
        <v>2.4606481481481479E-2</v>
      </c>
      <c r="E8486" t="s">
        <v>30</v>
      </c>
      <c r="F8486" t="s">
        <v>210</v>
      </c>
      <c r="G8486" t="s">
        <v>211</v>
      </c>
      <c r="H8486" t="s">
        <v>222</v>
      </c>
      <c r="I8486" s="160">
        <v>393.38</v>
      </c>
      <c r="J8486" s="8"/>
      <c r="K8486" s="8"/>
      <c r="L8486" s="8"/>
      <c r="M8486" s="254"/>
    </row>
    <row r="8487" spans="2:13" hidden="1" x14ac:dyDescent="0.3">
      <c r="B8487" t="s">
        <v>221</v>
      </c>
      <c r="C8487" s="25">
        <v>44761</v>
      </c>
      <c r="D8487" s="26">
        <v>0.41525462962962961</v>
      </c>
      <c r="E8487" t="s">
        <v>30</v>
      </c>
      <c r="F8487" t="s">
        <v>428</v>
      </c>
      <c r="G8487" t="s">
        <v>429</v>
      </c>
      <c r="H8487" t="s">
        <v>222</v>
      </c>
      <c r="I8487" s="160">
        <v>100.23</v>
      </c>
      <c r="J8487" s="8"/>
      <c r="K8487" s="8"/>
      <c r="L8487" s="8"/>
      <c r="M8487" s="272"/>
    </row>
    <row r="8488" spans="2:13" hidden="1" x14ac:dyDescent="0.3">
      <c r="B8488" t="s">
        <v>221</v>
      </c>
      <c r="C8488" s="25">
        <v>44761</v>
      </c>
      <c r="D8488" s="26">
        <v>0.4169444444444444</v>
      </c>
      <c r="E8488" t="s">
        <v>30</v>
      </c>
      <c r="F8488" t="s">
        <v>428</v>
      </c>
      <c r="G8488" t="s">
        <v>429</v>
      </c>
      <c r="H8488" t="s">
        <v>222</v>
      </c>
      <c r="I8488" s="164">
        <v>100.18</v>
      </c>
      <c r="J8488" s="54"/>
      <c r="K8488" s="54"/>
      <c r="L8488" s="78"/>
      <c r="M8488" s="272"/>
    </row>
    <row r="8489" spans="2:13" hidden="1" x14ac:dyDescent="0.3">
      <c r="B8489" t="s">
        <v>221</v>
      </c>
      <c r="C8489" s="25">
        <v>44762</v>
      </c>
      <c r="D8489" s="26">
        <v>0.46219907407407407</v>
      </c>
      <c r="E8489" t="s">
        <v>30</v>
      </c>
      <c r="F8489" t="s">
        <v>197</v>
      </c>
      <c r="G8489" t="s">
        <v>44</v>
      </c>
      <c r="H8489" t="s">
        <v>222</v>
      </c>
      <c r="I8489" s="160">
        <v>134.77000000000001</v>
      </c>
      <c r="J8489" s="8"/>
      <c r="K8489" s="8"/>
      <c r="L8489" s="8"/>
      <c r="M8489" s="254"/>
    </row>
    <row r="8490" spans="2:13" hidden="1" x14ac:dyDescent="0.3">
      <c r="B8490" t="s">
        <v>221</v>
      </c>
      <c r="C8490" s="25">
        <v>44762</v>
      </c>
      <c r="D8490" s="26">
        <v>0.96630787037037036</v>
      </c>
      <c r="E8490" t="s">
        <v>30</v>
      </c>
      <c r="F8490" t="s">
        <v>210</v>
      </c>
      <c r="G8490" t="s">
        <v>211</v>
      </c>
      <c r="H8490" t="s">
        <v>222</v>
      </c>
      <c r="I8490" s="160">
        <v>376.35</v>
      </c>
      <c r="J8490" s="160">
        <f>393+100+100+135+376</f>
        <v>1104</v>
      </c>
      <c r="K8490" s="160">
        <v>1736</v>
      </c>
      <c r="L8490" s="160">
        <v>2986</v>
      </c>
      <c r="M8490" s="150">
        <f t="shared" si="523"/>
        <v>36.972538513060947</v>
      </c>
    </row>
    <row r="8491" spans="2:13" hidden="1" x14ac:dyDescent="0.3">
      <c r="B8491" t="s">
        <v>221</v>
      </c>
      <c r="C8491" s="25">
        <v>44764</v>
      </c>
      <c r="D8491" s="26">
        <v>0.87756944444444451</v>
      </c>
      <c r="E8491" t="s">
        <v>30</v>
      </c>
      <c r="F8491" t="s">
        <v>210</v>
      </c>
      <c r="G8491" t="s">
        <v>211</v>
      </c>
      <c r="H8491" t="s">
        <v>222</v>
      </c>
      <c r="I8491" s="160">
        <v>486.36</v>
      </c>
      <c r="J8491" s="8"/>
      <c r="K8491" s="8"/>
      <c r="L8491" s="8"/>
      <c r="M8491" s="254"/>
    </row>
    <row r="8492" spans="2:13" hidden="1" x14ac:dyDescent="0.3">
      <c r="B8492" t="s">
        <v>221</v>
      </c>
      <c r="C8492" s="25">
        <v>44765</v>
      </c>
      <c r="D8492" s="26">
        <v>0.97349537037037026</v>
      </c>
      <c r="E8492" t="s">
        <v>30</v>
      </c>
      <c r="F8492" t="s">
        <v>512</v>
      </c>
      <c r="G8492" t="s">
        <v>513</v>
      </c>
      <c r="H8492" t="s">
        <v>222</v>
      </c>
      <c r="I8492" s="160">
        <v>296.25</v>
      </c>
      <c r="J8492" s="8"/>
      <c r="K8492" s="8"/>
      <c r="L8492" s="8"/>
      <c r="M8492" s="254"/>
    </row>
    <row r="8493" spans="2:13" hidden="1" x14ac:dyDescent="0.3">
      <c r="B8493" t="s">
        <v>221</v>
      </c>
      <c r="C8493" s="25">
        <v>44770</v>
      </c>
      <c r="D8493" s="26">
        <v>0.82239583333333333</v>
      </c>
      <c r="E8493" t="s">
        <v>30</v>
      </c>
      <c r="F8493" t="s">
        <v>210</v>
      </c>
      <c r="G8493" t="s">
        <v>211</v>
      </c>
      <c r="H8493" t="s">
        <v>222</v>
      </c>
      <c r="I8493" s="160">
        <v>447.09</v>
      </c>
      <c r="J8493" s="160">
        <f>486+296+447</f>
        <v>1229</v>
      </c>
      <c r="K8493" s="160">
        <v>1736</v>
      </c>
      <c r="L8493" s="160">
        <v>3116</v>
      </c>
      <c r="M8493" s="150">
        <f t="shared" si="523"/>
        <v>39.441591784338897</v>
      </c>
    </row>
    <row r="8494" spans="2:13" hidden="1" x14ac:dyDescent="0.3">
      <c r="B8494" t="s">
        <v>221</v>
      </c>
      <c r="C8494" s="25">
        <v>44770</v>
      </c>
      <c r="D8494" s="26">
        <v>0.82732638888888888</v>
      </c>
      <c r="E8494" t="s">
        <v>30</v>
      </c>
      <c r="F8494" t="s">
        <v>210</v>
      </c>
      <c r="G8494" t="s">
        <v>211</v>
      </c>
      <c r="H8494" t="s">
        <v>222</v>
      </c>
      <c r="I8494" s="148">
        <v>31.74</v>
      </c>
      <c r="J8494" s="45"/>
      <c r="K8494" s="45"/>
      <c r="L8494" s="45"/>
      <c r="M8494" s="273"/>
    </row>
    <row r="8495" spans="2:13" hidden="1" x14ac:dyDescent="0.3">
      <c r="B8495" t="s">
        <v>221</v>
      </c>
      <c r="C8495" s="25">
        <v>44772</v>
      </c>
      <c r="D8495" s="26">
        <v>0.76031249999999995</v>
      </c>
      <c r="E8495" t="s">
        <v>30</v>
      </c>
      <c r="F8495" t="s">
        <v>165</v>
      </c>
      <c r="G8495" t="s">
        <v>185</v>
      </c>
      <c r="H8495" t="s">
        <v>222</v>
      </c>
      <c r="I8495" s="160">
        <v>448.89</v>
      </c>
      <c r="J8495" s="8"/>
      <c r="K8495" s="8"/>
      <c r="L8495" s="8"/>
      <c r="M8495" s="254"/>
    </row>
    <row r="8496" spans="2:13" hidden="1" x14ac:dyDescent="0.3">
      <c r="B8496" t="s">
        <v>221</v>
      </c>
      <c r="C8496" s="25">
        <v>44773</v>
      </c>
      <c r="D8496" s="26">
        <v>0.82739583333333344</v>
      </c>
      <c r="E8496" t="s">
        <v>30</v>
      </c>
      <c r="F8496" t="s">
        <v>166</v>
      </c>
      <c r="G8496" t="s">
        <v>161</v>
      </c>
      <c r="H8496" t="s">
        <v>222</v>
      </c>
      <c r="I8496" s="160">
        <v>178.77</v>
      </c>
      <c r="J8496" s="8"/>
      <c r="K8496" s="8"/>
      <c r="L8496" s="8"/>
      <c r="M8496" s="254"/>
    </row>
    <row r="8497" spans="1:15" hidden="1" x14ac:dyDescent="0.3">
      <c r="A8497" s="9">
        <v>6751</v>
      </c>
      <c r="B8497" t="s">
        <v>668</v>
      </c>
      <c r="C8497" s="25">
        <v>44749</v>
      </c>
      <c r="D8497" s="26">
        <v>0.85002314814814817</v>
      </c>
      <c r="E8497" t="s">
        <v>30</v>
      </c>
      <c r="F8497" t="s">
        <v>778</v>
      </c>
      <c r="G8497" t="s">
        <v>670</v>
      </c>
      <c r="H8497" t="s">
        <v>671</v>
      </c>
      <c r="I8497" s="44" t="s">
        <v>806</v>
      </c>
      <c r="J8497" s="44"/>
      <c r="K8497" s="44"/>
      <c r="L8497" s="44"/>
      <c r="M8497" s="132" t="e">
        <f>I8497/K8497*100</f>
        <v>#DIV/0!</v>
      </c>
    </row>
    <row r="8498" spans="1:15" hidden="1" x14ac:dyDescent="0.3">
      <c r="B8498" t="s">
        <v>437</v>
      </c>
      <c r="C8498" s="25">
        <v>44743</v>
      </c>
      <c r="D8498" s="26">
        <v>0.87603009259259268</v>
      </c>
      <c r="E8498" t="s">
        <v>30</v>
      </c>
      <c r="F8498" t="s">
        <v>210</v>
      </c>
      <c r="G8498" t="s">
        <v>211</v>
      </c>
      <c r="H8498" t="s">
        <v>438</v>
      </c>
      <c r="I8498" s="160">
        <v>357.15</v>
      </c>
      <c r="J8498" s="8"/>
      <c r="K8498" s="8">
        <v>1702</v>
      </c>
      <c r="L8498" s="8">
        <f>+K8498-J8498</f>
        <v>1702</v>
      </c>
      <c r="M8498" s="91">
        <f>I8498/L8498*100</f>
        <v>20.984136310223263</v>
      </c>
    </row>
    <row r="8499" spans="1:15" hidden="1" x14ac:dyDescent="0.3">
      <c r="B8499" t="s">
        <v>437</v>
      </c>
      <c r="C8499" s="25">
        <v>44747</v>
      </c>
      <c r="D8499" s="26">
        <v>0.38699074074074075</v>
      </c>
      <c r="E8499" t="s">
        <v>30</v>
      </c>
      <c r="F8499" t="s">
        <v>446</v>
      </c>
      <c r="G8499" t="s">
        <v>402</v>
      </c>
      <c r="H8499" t="s">
        <v>438</v>
      </c>
      <c r="I8499" s="160">
        <v>412.8</v>
      </c>
      <c r="J8499" s="8"/>
      <c r="K8499" s="8">
        <v>1234</v>
      </c>
      <c r="L8499" s="8">
        <f>+K8499-J8499</f>
        <v>1234</v>
      </c>
      <c r="M8499" s="91">
        <f>I8499/L8499*100</f>
        <v>33.452188006482984</v>
      </c>
    </row>
    <row r="8500" spans="1:15" hidden="1" x14ac:dyDescent="0.3">
      <c r="B8500" t="s">
        <v>437</v>
      </c>
      <c r="C8500" s="25">
        <v>44747</v>
      </c>
      <c r="D8500" s="26">
        <v>0.88346064814814806</v>
      </c>
      <c r="E8500" t="s">
        <v>30</v>
      </c>
      <c r="F8500" t="s">
        <v>210</v>
      </c>
      <c r="G8500" t="s">
        <v>211</v>
      </c>
      <c r="H8500" t="s">
        <v>438</v>
      </c>
      <c r="I8500" s="160">
        <v>271.32</v>
      </c>
      <c r="J8500" s="8"/>
      <c r="K8500" s="8">
        <v>1702</v>
      </c>
      <c r="L8500" s="8">
        <f>+K8500-J8500</f>
        <v>1702</v>
      </c>
      <c r="M8500" s="91">
        <f>I8500/L8500*100</f>
        <v>15.941245593419506</v>
      </c>
    </row>
    <row r="8501" spans="1:15" hidden="1" x14ac:dyDescent="0.3">
      <c r="B8501" t="s">
        <v>437</v>
      </c>
      <c r="C8501" s="25">
        <v>44748</v>
      </c>
      <c r="D8501" s="26">
        <v>0.88629629629629625</v>
      </c>
      <c r="E8501" t="s">
        <v>30</v>
      </c>
      <c r="F8501" t="s">
        <v>210</v>
      </c>
      <c r="G8501" t="s">
        <v>211</v>
      </c>
      <c r="H8501" t="s">
        <v>438</v>
      </c>
      <c r="I8501" s="160">
        <v>317.47000000000003</v>
      </c>
      <c r="J8501" s="160">
        <f>317+272+413+358+265</f>
        <v>1625</v>
      </c>
      <c r="K8501" s="160">
        <v>1702</v>
      </c>
      <c r="L8501" s="160">
        <v>4659</v>
      </c>
      <c r="M8501" s="149">
        <f>+J8501/L8501*100</f>
        <v>34.878729341060314</v>
      </c>
    </row>
    <row r="8502" spans="1:15" hidden="1" x14ac:dyDescent="0.3">
      <c r="B8502" t="s">
        <v>437</v>
      </c>
      <c r="C8502" s="25">
        <v>44751</v>
      </c>
      <c r="D8502" s="26">
        <v>0.41569444444444442</v>
      </c>
      <c r="E8502" t="s">
        <v>30</v>
      </c>
      <c r="F8502" t="s">
        <v>197</v>
      </c>
      <c r="G8502" t="s">
        <v>44</v>
      </c>
      <c r="H8502" t="s">
        <v>438</v>
      </c>
      <c r="I8502" s="173">
        <v>387.49</v>
      </c>
      <c r="J8502" s="8"/>
      <c r="K8502" s="8"/>
      <c r="L8502" s="8"/>
      <c r="M8502" s="254"/>
    </row>
    <row r="8503" spans="1:15" hidden="1" x14ac:dyDescent="0.3">
      <c r="B8503" t="s">
        <v>437</v>
      </c>
      <c r="C8503" s="25">
        <v>44752</v>
      </c>
      <c r="D8503" s="26">
        <v>0.26318287037037036</v>
      </c>
      <c r="E8503" t="s">
        <v>30</v>
      </c>
      <c r="F8503" t="s">
        <v>210</v>
      </c>
      <c r="G8503" t="s">
        <v>211</v>
      </c>
      <c r="H8503" t="s">
        <v>438</v>
      </c>
      <c r="I8503" s="173">
        <v>213.86</v>
      </c>
      <c r="J8503" s="8"/>
      <c r="K8503" s="8"/>
      <c r="L8503" s="24"/>
      <c r="M8503" s="254"/>
    </row>
    <row r="8504" spans="1:15" hidden="1" x14ac:dyDescent="0.3">
      <c r="B8504" t="s">
        <v>437</v>
      </c>
      <c r="C8504" s="25">
        <v>44754</v>
      </c>
      <c r="D8504" s="26">
        <v>0.4574537037037037</v>
      </c>
      <c r="E8504" t="s">
        <v>30</v>
      </c>
      <c r="F8504" t="s">
        <v>210</v>
      </c>
      <c r="G8504" t="s">
        <v>211</v>
      </c>
      <c r="H8504" t="s">
        <v>438</v>
      </c>
      <c r="I8504" s="173">
        <v>387.29</v>
      </c>
      <c r="J8504" s="231">
        <f>387+214+387</f>
        <v>988</v>
      </c>
      <c r="K8504" s="151"/>
      <c r="L8504" s="151">
        <v>2757</v>
      </c>
      <c r="M8504" s="150">
        <f>+J8504/L8504*100</f>
        <v>35.836053681537905</v>
      </c>
    </row>
    <row r="8505" spans="1:15" hidden="1" x14ac:dyDescent="0.3">
      <c r="B8505" t="s">
        <v>437</v>
      </c>
      <c r="C8505" s="25">
        <v>44755</v>
      </c>
      <c r="D8505" s="26">
        <v>0.52614583333333331</v>
      </c>
      <c r="E8505" t="s">
        <v>30</v>
      </c>
      <c r="F8505" t="s">
        <v>446</v>
      </c>
      <c r="G8505" t="s">
        <v>402</v>
      </c>
      <c r="H8505" t="s">
        <v>438</v>
      </c>
      <c r="I8505" s="173">
        <v>225.345</v>
      </c>
      <c r="J8505" s="8"/>
      <c r="K8505" s="8"/>
      <c r="L8505" s="8"/>
      <c r="M8505" s="254"/>
    </row>
    <row r="8506" spans="1:15" hidden="1" x14ac:dyDescent="0.3">
      <c r="B8506" t="s">
        <v>437</v>
      </c>
      <c r="C8506" s="25">
        <v>44762</v>
      </c>
      <c r="D8506" s="26">
        <v>0.86215277777777777</v>
      </c>
      <c r="E8506" t="s">
        <v>30</v>
      </c>
      <c r="F8506" t="s">
        <v>197</v>
      </c>
      <c r="G8506" t="s">
        <v>44</v>
      </c>
      <c r="H8506" t="s">
        <v>438</v>
      </c>
      <c r="I8506" s="160">
        <v>99.36</v>
      </c>
      <c r="J8506" s="8"/>
      <c r="K8506" s="8"/>
      <c r="L8506" s="24"/>
      <c r="M8506" s="254"/>
    </row>
    <row r="8507" spans="1:15" hidden="1" x14ac:dyDescent="0.3">
      <c r="B8507" t="s">
        <v>437</v>
      </c>
      <c r="C8507" s="25">
        <v>44762</v>
      </c>
      <c r="D8507" s="26">
        <v>0.86465277777777771</v>
      </c>
      <c r="E8507" t="s">
        <v>30</v>
      </c>
      <c r="F8507" t="s">
        <v>197</v>
      </c>
      <c r="G8507" t="s">
        <v>44</v>
      </c>
      <c r="H8507" t="s">
        <v>438</v>
      </c>
      <c r="I8507" s="160">
        <v>99.36</v>
      </c>
      <c r="J8507" s="8"/>
      <c r="K8507" s="8"/>
      <c r="L8507" s="8"/>
      <c r="M8507" s="254"/>
    </row>
    <row r="8508" spans="1:15" hidden="1" x14ac:dyDescent="0.3">
      <c r="B8508" t="s">
        <v>437</v>
      </c>
      <c r="C8508" s="25">
        <v>44763</v>
      </c>
      <c r="D8508" s="26">
        <v>0.68113425925925919</v>
      </c>
      <c r="E8508" t="s">
        <v>30</v>
      </c>
      <c r="F8508" t="s">
        <v>210</v>
      </c>
      <c r="G8508" t="s">
        <v>211</v>
      </c>
      <c r="H8508" t="s">
        <v>438</v>
      </c>
      <c r="I8508" s="160">
        <v>223.47</v>
      </c>
      <c r="J8508" s="160">
        <f>225+200+223</f>
        <v>648</v>
      </c>
      <c r="K8508" s="160"/>
      <c r="L8508" s="160">
        <v>1817</v>
      </c>
      <c r="M8508" s="150">
        <f>+J8508/L8508*100</f>
        <v>35.663181067693998</v>
      </c>
    </row>
    <row r="8509" spans="1:15" hidden="1" x14ac:dyDescent="0.3">
      <c r="B8509" t="s">
        <v>437</v>
      </c>
      <c r="C8509" s="25">
        <v>44764</v>
      </c>
      <c r="D8509" s="26">
        <v>0.75370370370370365</v>
      </c>
      <c r="E8509" t="s">
        <v>30</v>
      </c>
      <c r="F8509" t="s">
        <v>210</v>
      </c>
      <c r="G8509" t="s">
        <v>211</v>
      </c>
      <c r="H8509" t="s">
        <v>438</v>
      </c>
      <c r="I8509" s="160">
        <v>363.06</v>
      </c>
      <c r="J8509" s="8"/>
      <c r="K8509" s="8"/>
      <c r="L8509" s="8"/>
      <c r="M8509" s="254"/>
    </row>
    <row r="8510" spans="1:15" hidden="1" x14ac:dyDescent="0.3">
      <c r="B8510" t="s">
        <v>437</v>
      </c>
      <c r="C8510" s="25">
        <v>44765</v>
      </c>
      <c r="D8510" s="26">
        <v>0.6843055555555555</v>
      </c>
      <c r="E8510" t="s">
        <v>30</v>
      </c>
      <c r="F8510" t="s">
        <v>428</v>
      </c>
      <c r="G8510" t="s">
        <v>429</v>
      </c>
      <c r="H8510" t="s">
        <v>438</v>
      </c>
      <c r="I8510" s="160">
        <v>200.1</v>
      </c>
      <c r="J8510" s="8"/>
      <c r="K8510" s="8"/>
      <c r="L8510" s="8"/>
      <c r="M8510" s="254"/>
    </row>
    <row r="8511" spans="1:15" hidden="1" x14ac:dyDescent="0.3">
      <c r="B8511" t="s">
        <v>437</v>
      </c>
      <c r="C8511" s="25">
        <v>44766</v>
      </c>
      <c r="D8511" s="26">
        <v>0.77306712962962953</v>
      </c>
      <c r="E8511" t="s">
        <v>30</v>
      </c>
      <c r="F8511" t="s">
        <v>210</v>
      </c>
      <c r="G8511" t="s">
        <v>211</v>
      </c>
      <c r="H8511" t="s">
        <v>438</v>
      </c>
      <c r="I8511" s="161">
        <v>444.55</v>
      </c>
      <c r="J8511" s="160">
        <f>363+200+444</f>
        <v>1007</v>
      </c>
      <c r="K8511" s="160"/>
      <c r="L8511" s="160">
        <v>2977</v>
      </c>
      <c r="M8511" s="150">
        <f>+J8511/L8511*100</f>
        <v>33.825999328182732</v>
      </c>
      <c r="N8511" s="8"/>
      <c r="O8511" s="19"/>
    </row>
    <row r="8512" spans="1:15" hidden="1" x14ac:dyDescent="0.3">
      <c r="B8512" t="s">
        <v>437</v>
      </c>
      <c r="C8512" s="25">
        <v>44767</v>
      </c>
      <c r="D8512" s="26">
        <v>0.505</v>
      </c>
      <c r="E8512" t="s">
        <v>30</v>
      </c>
      <c r="F8512" t="s">
        <v>165</v>
      </c>
      <c r="G8512" t="s">
        <v>185</v>
      </c>
      <c r="H8512" t="s">
        <v>438</v>
      </c>
      <c r="I8512" s="160">
        <v>211.32</v>
      </c>
      <c r="J8512" s="8"/>
      <c r="K8512" s="8"/>
      <c r="L8512" s="8"/>
      <c r="M8512" s="254"/>
    </row>
    <row r="8513" spans="2:13" hidden="1" x14ac:dyDescent="0.3">
      <c r="B8513" t="s">
        <v>437</v>
      </c>
      <c r="C8513" s="25">
        <v>44768</v>
      </c>
      <c r="D8513" s="26">
        <v>0.69805555555555554</v>
      </c>
      <c r="E8513" t="s">
        <v>30</v>
      </c>
      <c r="F8513" t="s">
        <v>202</v>
      </c>
      <c r="G8513" t="s">
        <v>203</v>
      </c>
      <c r="H8513" t="s">
        <v>438</v>
      </c>
      <c r="I8513" s="163">
        <v>303.22000000000003</v>
      </c>
      <c r="J8513" s="8"/>
      <c r="K8513" s="8"/>
      <c r="L8513" s="8"/>
      <c r="M8513" s="254"/>
    </row>
    <row r="8514" spans="2:13" hidden="1" x14ac:dyDescent="0.3">
      <c r="B8514" t="s">
        <v>437</v>
      </c>
      <c r="C8514" s="25">
        <v>44770</v>
      </c>
      <c r="D8514" s="26">
        <v>0.42221064814814818</v>
      </c>
      <c r="E8514" t="s">
        <v>30</v>
      </c>
      <c r="F8514" t="s">
        <v>210</v>
      </c>
      <c r="G8514" t="s">
        <v>211</v>
      </c>
      <c r="H8514" t="s">
        <v>438</v>
      </c>
      <c r="I8514" s="160">
        <v>335.62</v>
      </c>
      <c r="J8514" s="160">
        <f>336+303+211</f>
        <v>850</v>
      </c>
      <c r="K8514" s="160"/>
      <c r="L8514" s="160">
        <v>2687</v>
      </c>
      <c r="M8514" s="150">
        <f>+J8514/L8514*100</f>
        <v>31.633792333457389</v>
      </c>
    </row>
    <row r="8515" spans="2:13" hidden="1" x14ac:dyDescent="0.3">
      <c r="B8515" t="s">
        <v>437</v>
      </c>
      <c r="C8515" s="25">
        <v>44771</v>
      </c>
      <c r="D8515" s="26">
        <v>0.3760532407407407</v>
      </c>
      <c r="E8515" t="s">
        <v>30</v>
      </c>
      <c r="F8515" t="s">
        <v>446</v>
      </c>
      <c r="G8515" t="s">
        <v>402</v>
      </c>
      <c r="H8515" t="s">
        <v>438</v>
      </c>
      <c r="I8515" s="160">
        <v>226.29</v>
      </c>
      <c r="J8515" s="8"/>
      <c r="K8515" s="8"/>
      <c r="L8515" s="8"/>
      <c r="M8515" s="254"/>
    </row>
    <row r="8516" spans="2:13" hidden="1" x14ac:dyDescent="0.3">
      <c r="B8516" t="s">
        <v>437</v>
      </c>
      <c r="C8516" s="25">
        <v>44773</v>
      </c>
      <c r="D8516" s="26">
        <v>0.47552083333333334</v>
      </c>
      <c r="E8516" t="s">
        <v>30</v>
      </c>
      <c r="F8516" t="s">
        <v>210</v>
      </c>
      <c r="G8516" t="s">
        <v>211</v>
      </c>
      <c r="H8516" t="s">
        <v>438</v>
      </c>
      <c r="I8516" s="160">
        <v>135.58000000000001</v>
      </c>
      <c r="J8516" s="8"/>
      <c r="K8516" s="8"/>
      <c r="L8516" s="8"/>
      <c r="M8516" s="254"/>
    </row>
    <row r="8517" spans="2:13" hidden="1" x14ac:dyDescent="0.3">
      <c r="B8517" t="s">
        <v>437</v>
      </c>
      <c r="C8517" s="25">
        <v>44773</v>
      </c>
      <c r="D8517" s="26">
        <v>0.94895833333333324</v>
      </c>
      <c r="E8517" t="s">
        <v>30</v>
      </c>
      <c r="F8517" t="s">
        <v>165</v>
      </c>
      <c r="G8517" t="s">
        <v>185</v>
      </c>
      <c r="H8517" t="s">
        <v>438</v>
      </c>
      <c r="I8517" s="160">
        <v>466.15</v>
      </c>
      <c r="J8517" s="160">
        <f>466+135+226</f>
        <v>827</v>
      </c>
      <c r="K8517" s="160"/>
      <c r="L8517" s="160">
        <v>2304</v>
      </c>
      <c r="M8517" s="150">
        <f>+J8517/L8517*100</f>
        <v>35.894097222222221</v>
      </c>
    </row>
    <row r="8518" spans="2:13" hidden="1" x14ac:dyDescent="0.3">
      <c r="B8518" t="s">
        <v>249</v>
      </c>
      <c r="C8518" s="25">
        <v>44743</v>
      </c>
      <c r="D8518" s="26">
        <v>0.40809027777777779</v>
      </c>
      <c r="E8518" t="s">
        <v>30</v>
      </c>
      <c r="F8518" t="s">
        <v>343</v>
      </c>
      <c r="G8518" t="s">
        <v>344</v>
      </c>
      <c r="H8518" t="s">
        <v>440</v>
      </c>
      <c r="I8518" s="148">
        <v>412.8</v>
      </c>
      <c r="J8518"/>
      <c r="K8518"/>
      <c r="L8518"/>
      <c r="M8518" s="134"/>
    </row>
    <row r="8519" spans="2:13" hidden="1" x14ac:dyDescent="0.3">
      <c r="B8519" t="s">
        <v>249</v>
      </c>
      <c r="C8519" s="25">
        <v>44743</v>
      </c>
      <c r="D8519" s="26">
        <v>0.74006944444444445</v>
      </c>
      <c r="E8519" t="s">
        <v>30</v>
      </c>
      <c r="F8519" t="s">
        <v>210</v>
      </c>
      <c r="G8519" t="s">
        <v>211</v>
      </c>
      <c r="H8519" t="s">
        <v>440</v>
      </c>
      <c r="I8519" s="164">
        <v>228.44</v>
      </c>
      <c r="J8519" s="164">
        <f>228+413+366</f>
        <v>1007</v>
      </c>
      <c r="K8519" s="164">
        <v>4500</v>
      </c>
      <c r="L8519" s="164">
        <v>2892</v>
      </c>
      <c r="M8519" s="237">
        <f>+J8519/L8519*100</f>
        <v>34.820193637621024</v>
      </c>
    </row>
    <row r="8520" spans="2:13" hidden="1" x14ac:dyDescent="0.3">
      <c r="B8520" t="s">
        <v>249</v>
      </c>
      <c r="C8520" s="25">
        <v>44744</v>
      </c>
      <c r="D8520" s="26">
        <v>0.94009259259259259</v>
      </c>
      <c r="E8520" t="s">
        <v>30</v>
      </c>
      <c r="F8520" t="s">
        <v>210</v>
      </c>
      <c r="G8520" t="s">
        <v>211</v>
      </c>
      <c r="H8520" t="s">
        <v>440</v>
      </c>
      <c r="I8520" s="160">
        <v>465.58</v>
      </c>
      <c r="J8520" s="8"/>
      <c r="K8520" s="8"/>
      <c r="L8520" s="8"/>
      <c r="M8520" s="91"/>
    </row>
    <row r="8521" spans="2:13" hidden="1" x14ac:dyDescent="0.3">
      <c r="B8521" t="s">
        <v>249</v>
      </c>
      <c r="C8521" s="25">
        <v>44747</v>
      </c>
      <c r="D8521" s="26">
        <v>0.64076388888888891</v>
      </c>
      <c r="E8521" t="s">
        <v>30</v>
      </c>
      <c r="F8521" t="s">
        <v>311</v>
      </c>
      <c r="G8521" t="s">
        <v>303</v>
      </c>
      <c r="H8521" t="s">
        <v>440</v>
      </c>
      <c r="I8521" s="160">
        <v>412.73</v>
      </c>
      <c r="J8521" s="8"/>
      <c r="K8521" s="8"/>
      <c r="L8521" s="8"/>
      <c r="M8521" s="91"/>
    </row>
    <row r="8522" spans="2:13" hidden="1" x14ac:dyDescent="0.3">
      <c r="B8522" t="s">
        <v>249</v>
      </c>
      <c r="C8522" s="25">
        <v>44747</v>
      </c>
      <c r="D8522" s="26">
        <v>0.6523958333333334</v>
      </c>
      <c r="E8522" t="s">
        <v>30</v>
      </c>
      <c r="F8522" t="s">
        <v>311</v>
      </c>
      <c r="G8522" t="s">
        <v>303</v>
      </c>
      <c r="H8522" t="s">
        <v>440</v>
      </c>
      <c r="I8522" s="161">
        <v>77.900000000000006</v>
      </c>
      <c r="J8522" s="44"/>
      <c r="K8522" s="44"/>
      <c r="L8522" s="44"/>
      <c r="M8522" s="132"/>
    </row>
    <row r="8523" spans="2:13" hidden="1" x14ac:dyDescent="0.3">
      <c r="B8523" t="s">
        <v>249</v>
      </c>
      <c r="C8523" s="25">
        <v>44748</v>
      </c>
      <c r="D8523" s="26">
        <v>0.36313657407407413</v>
      </c>
      <c r="E8523" t="s">
        <v>30</v>
      </c>
      <c r="F8523" t="s">
        <v>210</v>
      </c>
      <c r="G8523" t="s">
        <v>211</v>
      </c>
      <c r="H8523" t="s">
        <v>440</v>
      </c>
      <c r="I8523" s="160">
        <v>171.2</v>
      </c>
      <c r="J8523" s="160">
        <f>171+78+413+466</f>
        <v>1128</v>
      </c>
      <c r="K8523" s="160">
        <v>4500</v>
      </c>
      <c r="L8523" s="160">
        <v>2896</v>
      </c>
      <c r="M8523" s="149">
        <f>+J8523/L8523*100</f>
        <v>38.950276243093924</v>
      </c>
    </row>
    <row r="8524" spans="2:13" hidden="1" x14ac:dyDescent="0.3">
      <c r="B8524" t="s">
        <v>249</v>
      </c>
      <c r="C8524" s="25">
        <v>44749</v>
      </c>
      <c r="D8524" s="26">
        <v>0.53228009259259257</v>
      </c>
      <c r="E8524" t="s">
        <v>30</v>
      </c>
      <c r="F8524" t="s">
        <v>210</v>
      </c>
      <c r="G8524" t="s">
        <v>211</v>
      </c>
      <c r="H8524" t="s">
        <v>440</v>
      </c>
      <c r="I8524" s="173">
        <v>405.81</v>
      </c>
      <c r="J8524" s="8"/>
      <c r="K8524" s="8"/>
      <c r="L8524" s="8"/>
      <c r="M8524" s="91"/>
    </row>
    <row r="8525" spans="2:13" hidden="1" x14ac:dyDescent="0.3">
      <c r="B8525" t="s">
        <v>249</v>
      </c>
      <c r="C8525" s="25">
        <v>44751</v>
      </c>
      <c r="D8525" s="26">
        <v>0.5605324074074074</v>
      </c>
      <c r="E8525" t="s">
        <v>30</v>
      </c>
      <c r="F8525" t="s">
        <v>311</v>
      </c>
      <c r="G8525" t="s">
        <v>303</v>
      </c>
      <c r="H8525" t="s">
        <v>440</v>
      </c>
      <c r="I8525" s="173">
        <v>412.8</v>
      </c>
      <c r="J8525" s="8"/>
      <c r="K8525" s="8"/>
      <c r="L8525" s="8"/>
      <c r="M8525" s="91"/>
    </row>
    <row r="8526" spans="2:13" hidden="1" x14ac:dyDescent="0.3">
      <c r="B8526" t="s">
        <v>249</v>
      </c>
      <c r="C8526" s="25">
        <v>44751</v>
      </c>
      <c r="D8526" s="26">
        <v>0.58262731481481478</v>
      </c>
      <c r="E8526" t="s">
        <v>30</v>
      </c>
      <c r="F8526" t="s">
        <v>311</v>
      </c>
      <c r="G8526" t="s">
        <v>303</v>
      </c>
      <c r="H8526" t="s">
        <v>440</v>
      </c>
      <c r="I8526" s="173">
        <v>65</v>
      </c>
      <c r="J8526" s="23"/>
      <c r="K8526" s="23"/>
      <c r="L8526" s="23"/>
      <c r="M8526" s="91"/>
    </row>
    <row r="8527" spans="2:13" hidden="1" x14ac:dyDescent="0.3">
      <c r="B8527" t="s">
        <v>249</v>
      </c>
      <c r="C8527" s="25">
        <v>44751</v>
      </c>
      <c r="D8527" s="26">
        <v>0.84892361111111114</v>
      </c>
      <c r="E8527" t="s">
        <v>30</v>
      </c>
      <c r="F8527" t="s">
        <v>210</v>
      </c>
      <c r="G8527" t="s">
        <v>211</v>
      </c>
      <c r="H8527" t="s">
        <v>440</v>
      </c>
      <c r="I8527" s="173">
        <v>151.49</v>
      </c>
      <c r="J8527" s="160">
        <f>406+413+65+151</f>
        <v>1035</v>
      </c>
      <c r="K8527" s="160"/>
      <c r="L8527" s="160">
        <v>2843</v>
      </c>
      <c r="M8527" s="149">
        <f>+J8527/L8527*100</f>
        <v>36.405205768554346</v>
      </c>
    </row>
    <row r="8528" spans="2:13" hidden="1" x14ac:dyDescent="0.3">
      <c r="B8528" t="s">
        <v>249</v>
      </c>
      <c r="C8528" s="25">
        <v>44753</v>
      </c>
      <c r="D8528" s="26">
        <v>0.51986111111111111</v>
      </c>
      <c r="E8528" t="s">
        <v>30</v>
      </c>
      <c r="F8528" t="s">
        <v>210</v>
      </c>
      <c r="G8528" t="s">
        <v>211</v>
      </c>
      <c r="H8528" t="s">
        <v>440</v>
      </c>
      <c r="I8528" s="173">
        <v>334.29</v>
      </c>
      <c r="J8528" s="23"/>
      <c r="K8528" s="23"/>
      <c r="L8528" s="23"/>
      <c r="M8528" s="91"/>
    </row>
    <row r="8529" spans="2:14" hidden="1" x14ac:dyDescent="0.3">
      <c r="B8529" t="s">
        <v>249</v>
      </c>
      <c r="C8529" s="25">
        <v>44755</v>
      </c>
      <c r="D8529" s="26">
        <v>5.590277777777778E-2</v>
      </c>
      <c r="E8529" t="s">
        <v>30</v>
      </c>
      <c r="F8529" t="s">
        <v>175</v>
      </c>
      <c r="G8529" t="s">
        <v>172</v>
      </c>
      <c r="H8529" t="s">
        <v>440</v>
      </c>
      <c r="I8529" s="173">
        <v>444.74</v>
      </c>
      <c r="J8529" s="23"/>
      <c r="K8529" s="90"/>
      <c r="L8529" s="23"/>
      <c r="M8529" s="91"/>
    </row>
    <row r="8530" spans="2:14" hidden="1" x14ac:dyDescent="0.3">
      <c r="B8530" t="s">
        <v>249</v>
      </c>
      <c r="C8530" s="25">
        <v>44756</v>
      </c>
      <c r="D8530" s="26">
        <v>0.69819444444444445</v>
      </c>
      <c r="E8530" t="s">
        <v>30</v>
      </c>
      <c r="F8530" t="s">
        <v>210</v>
      </c>
      <c r="G8530" t="s">
        <v>211</v>
      </c>
      <c r="H8530" t="s">
        <v>440</v>
      </c>
      <c r="I8530" s="173">
        <v>317.23</v>
      </c>
      <c r="J8530" s="231">
        <f>317+445+334</f>
        <v>1096</v>
      </c>
      <c r="K8530" s="151"/>
      <c r="L8530" s="151">
        <v>2990</v>
      </c>
      <c r="M8530" s="198">
        <f>+J8530/L8530*100</f>
        <v>36.65551839464883</v>
      </c>
    </row>
    <row r="8531" spans="2:14" hidden="1" x14ac:dyDescent="0.3">
      <c r="B8531" t="s">
        <v>249</v>
      </c>
      <c r="C8531" s="25">
        <v>44757</v>
      </c>
      <c r="D8531" s="26">
        <v>0.8552777777777778</v>
      </c>
      <c r="E8531" t="s">
        <v>30</v>
      </c>
      <c r="F8531" t="s">
        <v>169</v>
      </c>
      <c r="G8531" t="s">
        <v>196</v>
      </c>
      <c r="H8531" t="s">
        <v>440</v>
      </c>
      <c r="I8531" s="173">
        <v>412.8</v>
      </c>
      <c r="J8531" s="23"/>
      <c r="K8531" s="90"/>
      <c r="L8531" s="291"/>
      <c r="M8531" s="91"/>
    </row>
    <row r="8532" spans="2:14" hidden="1" x14ac:dyDescent="0.3">
      <c r="B8532" t="s">
        <v>249</v>
      </c>
      <c r="C8532" s="25">
        <v>44757</v>
      </c>
      <c r="D8532" s="26">
        <v>0.86409722222222218</v>
      </c>
      <c r="E8532" t="s">
        <v>30</v>
      </c>
      <c r="F8532" t="s">
        <v>169</v>
      </c>
      <c r="G8532" t="s">
        <v>196</v>
      </c>
      <c r="H8532" t="s">
        <v>440</v>
      </c>
      <c r="I8532" s="173">
        <v>79.75</v>
      </c>
      <c r="J8532" s="231">
        <f>80+413</f>
        <v>493</v>
      </c>
      <c r="K8532" s="151"/>
      <c r="L8532" s="151">
        <v>1408</v>
      </c>
      <c r="M8532" s="152">
        <f>+J8532/L8532*100</f>
        <v>35.014204545454547</v>
      </c>
    </row>
    <row r="8533" spans="2:14" hidden="1" x14ac:dyDescent="0.3">
      <c r="B8533" t="s">
        <v>249</v>
      </c>
      <c r="C8533" s="25">
        <v>44759</v>
      </c>
      <c r="D8533" s="26">
        <v>0.63454861111111105</v>
      </c>
      <c r="E8533" t="s">
        <v>30</v>
      </c>
      <c r="F8533" t="s">
        <v>518</v>
      </c>
      <c r="G8533" t="s">
        <v>172</v>
      </c>
      <c r="H8533" t="s">
        <v>440</v>
      </c>
      <c r="I8533" s="173">
        <v>274.77</v>
      </c>
      <c r="J8533" s="23"/>
      <c r="K8533" s="90"/>
      <c r="L8533" s="23"/>
      <c r="M8533" s="91"/>
      <c r="N8533" s="148"/>
    </row>
    <row r="8534" spans="2:14" hidden="1" x14ac:dyDescent="0.3">
      <c r="B8534" t="s">
        <v>249</v>
      </c>
      <c r="C8534" s="25">
        <v>44760</v>
      </c>
      <c r="D8534" s="26">
        <v>5.5740740740740737E-2</v>
      </c>
      <c r="E8534" t="s">
        <v>30</v>
      </c>
      <c r="F8534" t="s">
        <v>210</v>
      </c>
      <c r="G8534" t="s">
        <v>211</v>
      </c>
      <c r="H8534" t="s">
        <v>440</v>
      </c>
      <c r="I8534" s="160">
        <v>270.99</v>
      </c>
      <c r="J8534" s="160">
        <f>245+271</f>
        <v>516</v>
      </c>
      <c r="K8534" s="160">
        <v>4500</v>
      </c>
      <c r="L8534" s="160">
        <v>1425</v>
      </c>
      <c r="M8534" s="150">
        <f t="shared" ref="M8534:M8541" si="524">+J8534/L8534*100</f>
        <v>36.21052631578948</v>
      </c>
    </row>
    <row r="8535" spans="2:14" hidden="1" x14ac:dyDescent="0.3">
      <c r="B8535" t="s">
        <v>249</v>
      </c>
      <c r="C8535" s="25">
        <v>44760</v>
      </c>
      <c r="D8535" s="26">
        <v>0.90864583333333337</v>
      </c>
      <c r="E8535" t="s">
        <v>30</v>
      </c>
      <c r="F8535" t="s">
        <v>278</v>
      </c>
      <c r="G8535" t="s">
        <v>279</v>
      </c>
      <c r="H8535" t="s">
        <v>440</v>
      </c>
      <c r="I8535" s="160">
        <v>279.29000000000002</v>
      </c>
      <c r="J8535" s="8"/>
      <c r="K8535" s="8"/>
      <c r="L8535" s="8"/>
      <c r="M8535" s="254"/>
    </row>
    <row r="8536" spans="2:14" hidden="1" x14ac:dyDescent="0.3">
      <c r="B8536" t="s">
        <v>249</v>
      </c>
      <c r="C8536" s="25">
        <v>44761</v>
      </c>
      <c r="D8536" s="26">
        <v>0.81071759259259257</v>
      </c>
      <c r="E8536" t="s">
        <v>30</v>
      </c>
      <c r="F8536" t="s">
        <v>346</v>
      </c>
      <c r="G8536" t="s">
        <v>203</v>
      </c>
      <c r="H8536" t="s">
        <v>440</v>
      </c>
      <c r="I8536" s="160">
        <v>287.08</v>
      </c>
      <c r="J8536" s="8"/>
      <c r="K8536" s="8"/>
      <c r="L8536" s="8"/>
      <c r="M8536" s="254"/>
    </row>
    <row r="8537" spans="2:14" hidden="1" x14ac:dyDescent="0.3">
      <c r="B8537" t="s">
        <v>249</v>
      </c>
      <c r="C8537" s="25">
        <v>44762</v>
      </c>
      <c r="D8537" s="26">
        <v>0.80015046296296299</v>
      </c>
      <c r="E8537" t="s">
        <v>30</v>
      </c>
      <c r="F8537" t="s">
        <v>210</v>
      </c>
      <c r="G8537" t="s">
        <v>211</v>
      </c>
      <c r="H8537" t="s">
        <v>440</v>
      </c>
      <c r="I8537" s="160">
        <v>317.74</v>
      </c>
      <c r="J8537" s="160">
        <f>279+287+318</f>
        <v>884</v>
      </c>
      <c r="K8537" s="160">
        <v>4500</v>
      </c>
      <c r="L8537" s="160">
        <v>2691</v>
      </c>
      <c r="M8537" s="198">
        <f t="shared" si="524"/>
        <v>32.850241545893724</v>
      </c>
    </row>
    <row r="8538" spans="2:14" hidden="1" x14ac:dyDescent="0.3">
      <c r="B8538" t="s">
        <v>249</v>
      </c>
      <c r="C8538" s="25">
        <v>44767</v>
      </c>
      <c r="D8538" s="26">
        <v>0.41021990740740738</v>
      </c>
      <c r="E8538" t="s">
        <v>30</v>
      </c>
      <c r="F8538" t="s">
        <v>175</v>
      </c>
      <c r="G8538" t="s">
        <v>172</v>
      </c>
      <c r="H8538" t="s">
        <v>440</v>
      </c>
      <c r="I8538" s="160">
        <v>439.06</v>
      </c>
      <c r="J8538" s="8"/>
      <c r="K8538" s="8"/>
      <c r="L8538" s="24"/>
      <c r="M8538" s="254"/>
    </row>
    <row r="8539" spans="2:14" hidden="1" x14ac:dyDescent="0.3">
      <c r="B8539" t="s">
        <v>249</v>
      </c>
      <c r="C8539" s="25">
        <v>44768</v>
      </c>
      <c r="D8539" s="26">
        <v>0.6331944444444445</v>
      </c>
      <c r="E8539" t="s">
        <v>30</v>
      </c>
      <c r="F8539" t="s">
        <v>210</v>
      </c>
      <c r="G8539" t="s">
        <v>211</v>
      </c>
      <c r="H8539" t="s">
        <v>440</v>
      </c>
      <c r="I8539" s="160">
        <v>345.09</v>
      </c>
      <c r="J8539" s="8"/>
      <c r="K8539" s="8"/>
      <c r="L8539" s="8"/>
      <c r="M8539" s="267"/>
    </row>
    <row r="8540" spans="2:14" hidden="1" x14ac:dyDescent="0.3">
      <c r="B8540" t="s">
        <v>249</v>
      </c>
      <c r="C8540" s="25">
        <v>44769</v>
      </c>
      <c r="D8540" s="26">
        <v>0.43065972222222221</v>
      </c>
      <c r="E8540" t="s">
        <v>30</v>
      </c>
      <c r="F8540" t="s">
        <v>165</v>
      </c>
      <c r="G8540" t="s">
        <v>185</v>
      </c>
      <c r="H8540" t="s">
        <v>440</v>
      </c>
      <c r="I8540" s="160">
        <v>241.59</v>
      </c>
      <c r="J8540" s="8"/>
      <c r="K8540" s="8"/>
      <c r="L8540" s="8"/>
      <c r="M8540" s="254"/>
    </row>
    <row r="8541" spans="2:14" hidden="1" x14ac:dyDescent="0.3">
      <c r="B8541" t="s">
        <v>249</v>
      </c>
      <c r="C8541" s="25">
        <v>44769</v>
      </c>
      <c r="D8541" s="26">
        <v>0.72778935185185178</v>
      </c>
      <c r="E8541" t="s">
        <v>30</v>
      </c>
      <c r="F8541" t="s">
        <v>210</v>
      </c>
      <c r="G8541" t="s">
        <v>211</v>
      </c>
      <c r="H8541" t="s">
        <v>440</v>
      </c>
      <c r="I8541" s="160">
        <v>132.19999999999999</v>
      </c>
      <c r="J8541" s="160">
        <f>439+345+241+132</f>
        <v>1157</v>
      </c>
      <c r="K8541" s="160">
        <v>4500</v>
      </c>
      <c r="L8541" s="160">
        <v>3031</v>
      </c>
      <c r="M8541" s="150">
        <f t="shared" si="524"/>
        <v>38.172220389310461</v>
      </c>
    </row>
    <row r="8542" spans="2:14" hidden="1" x14ac:dyDescent="0.3">
      <c r="B8542" t="s">
        <v>249</v>
      </c>
      <c r="C8542" s="25">
        <v>44771</v>
      </c>
      <c r="D8542" s="26">
        <v>0.16295138888888888</v>
      </c>
      <c r="E8542" t="s">
        <v>30</v>
      </c>
      <c r="F8542" t="s">
        <v>518</v>
      </c>
      <c r="G8542" t="s">
        <v>172</v>
      </c>
      <c r="H8542" t="s">
        <v>440</v>
      </c>
      <c r="I8542" s="160">
        <v>410.81</v>
      </c>
      <c r="J8542" s="8"/>
      <c r="K8542" s="8"/>
      <c r="L8542" s="8"/>
      <c r="M8542" s="254"/>
    </row>
    <row r="8543" spans="2:14" hidden="1" x14ac:dyDescent="0.3">
      <c r="B8543" t="s">
        <v>421</v>
      </c>
      <c r="C8543" s="25">
        <v>44743</v>
      </c>
      <c r="D8543" s="26">
        <v>0.91234953703703703</v>
      </c>
      <c r="E8543" t="s">
        <v>30</v>
      </c>
      <c r="F8543" t="s">
        <v>197</v>
      </c>
      <c r="G8543" t="s">
        <v>44</v>
      </c>
      <c r="H8543" t="s">
        <v>422</v>
      </c>
      <c r="I8543" s="247">
        <v>99.36</v>
      </c>
      <c r="J8543" s="54"/>
      <c r="K8543" s="54"/>
      <c r="L8543" s="54"/>
      <c r="M8543" s="139"/>
    </row>
    <row r="8544" spans="2:14" hidden="1" x14ac:dyDescent="0.3">
      <c r="B8544" t="s">
        <v>421</v>
      </c>
      <c r="C8544" s="25">
        <v>44743</v>
      </c>
      <c r="D8544" s="26">
        <v>0.91613425925925929</v>
      </c>
      <c r="E8544" t="s">
        <v>30</v>
      </c>
      <c r="F8544" t="s">
        <v>197</v>
      </c>
      <c r="G8544" t="s">
        <v>44</v>
      </c>
      <c r="H8544" t="s">
        <v>422</v>
      </c>
      <c r="I8544" s="173">
        <v>99.36</v>
      </c>
      <c r="J8544" s="8"/>
      <c r="K8544" s="8"/>
      <c r="L8544" s="8"/>
      <c r="M8544" s="91"/>
    </row>
    <row r="8545" spans="2:13" hidden="1" x14ac:dyDescent="0.3">
      <c r="B8545" t="s">
        <v>421</v>
      </c>
      <c r="C8545" s="25">
        <v>44744</v>
      </c>
      <c r="D8545" s="26">
        <v>0.31793981481481481</v>
      </c>
      <c r="E8545" t="s">
        <v>30</v>
      </c>
      <c r="F8545" t="s">
        <v>197</v>
      </c>
      <c r="G8545" t="s">
        <v>44</v>
      </c>
      <c r="H8545" t="s">
        <v>422</v>
      </c>
      <c r="I8545" s="173">
        <v>47.69</v>
      </c>
      <c r="J8545" s="8"/>
      <c r="K8545" s="8"/>
      <c r="L8545" s="8"/>
      <c r="M8545" s="91"/>
    </row>
    <row r="8546" spans="2:13" hidden="1" x14ac:dyDescent="0.3">
      <c r="B8546" t="s">
        <v>421</v>
      </c>
      <c r="C8546" s="25">
        <v>44744</v>
      </c>
      <c r="D8546" s="26">
        <v>0.81048611111111113</v>
      </c>
      <c r="E8546" t="s">
        <v>30</v>
      </c>
      <c r="F8546" t="s">
        <v>166</v>
      </c>
      <c r="G8546" t="s">
        <v>161</v>
      </c>
      <c r="H8546" t="s">
        <v>422</v>
      </c>
      <c r="I8546" s="173">
        <v>214.65</v>
      </c>
      <c r="J8546" s="8"/>
      <c r="K8546" s="8"/>
      <c r="L8546" s="8"/>
      <c r="M8546" s="91"/>
    </row>
    <row r="8547" spans="2:13" hidden="1" x14ac:dyDescent="0.3">
      <c r="B8547" t="s">
        <v>421</v>
      </c>
      <c r="C8547" s="25">
        <v>44745</v>
      </c>
      <c r="D8547" s="26">
        <v>0.54344907407407406</v>
      </c>
      <c r="E8547" t="s">
        <v>30</v>
      </c>
      <c r="F8547" t="s">
        <v>165</v>
      </c>
      <c r="G8547" t="s">
        <v>185</v>
      </c>
      <c r="H8547" t="s">
        <v>422</v>
      </c>
      <c r="I8547" s="173">
        <v>252.6</v>
      </c>
      <c r="J8547" s="8"/>
      <c r="K8547" s="8"/>
      <c r="L8547" s="8"/>
      <c r="M8547" s="91"/>
    </row>
    <row r="8548" spans="2:13" hidden="1" x14ac:dyDescent="0.3">
      <c r="B8548" t="s">
        <v>421</v>
      </c>
      <c r="C8548" s="25">
        <v>44746</v>
      </c>
      <c r="D8548" s="26">
        <v>0.35826388888888888</v>
      </c>
      <c r="E8548" t="s">
        <v>30</v>
      </c>
      <c r="F8548" t="s">
        <v>210</v>
      </c>
      <c r="G8548" t="s">
        <v>211</v>
      </c>
      <c r="H8548" t="s">
        <v>422</v>
      </c>
      <c r="I8548" s="173">
        <v>166.79</v>
      </c>
      <c r="J8548" s="160">
        <f>167+252+214+48+200+156</f>
        <v>1037</v>
      </c>
      <c r="K8548" s="160">
        <v>6467</v>
      </c>
      <c r="L8548" s="160">
        <v>2798</v>
      </c>
      <c r="M8548" s="149">
        <f>+J8548/L8548*100</f>
        <v>37.062187276626162</v>
      </c>
    </row>
    <row r="8549" spans="2:13" hidden="1" x14ac:dyDescent="0.3">
      <c r="B8549" t="s">
        <v>421</v>
      </c>
      <c r="C8549" s="25">
        <v>44746</v>
      </c>
      <c r="D8549" s="26">
        <v>0.69597222222222221</v>
      </c>
      <c r="E8549" t="s">
        <v>30</v>
      </c>
      <c r="F8549" t="s">
        <v>169</v>
      </c>
      <c r="G8549" t="s">
        <v>196</v>
      </c>
      <c r="H8549" t="s">
        <v>422</v>
      </c>
      <c r="I8549" s="173">
        <v>151.12</v>
      </c>
      <c r="J8549" s="8"/>
      <c r="K8549" s="8"/>
      <c r="L8549" s="8"/>
      <c r="M8549" s="91"/>
    </row>
    <row r="8550" spans="2:13" hidden="1" x14ac:dyDescent="0.3">
      <c r="B8550" t="s">
        <v>421</v>
      </c>
      <c r="C8550" s="25">
        <v>44748</v>
      </c>
      <c r="D8550" s="26">
        <v>0.41728009259259258</v>
      </c>
      <c r="E8550" t="s">
        <v>30</v>
      </c>
      <c r="F8550" t="s">
        <v>343</v>
      </c>
      <c r="G8550" t="s">
        <v>344</v>
      </c>
      <c r="H8550" t="s">
        <v>422</v>
      </c>
      <c r="I8550" s="173">
        <v>100</v>
      </c>
      <c r="J8550" s="8"/>
      <c r="K8550" s="8"/>
      <c r="L8550" s="8"/>
      <c r="M8550" s="91"/>
    </row>
    <row r="8551" spans="2:13" hidden="1" x14ac:dyDescent="0.3">
      <c r="B8551" t="s">
        <v>421</v>
      </c>
      <c r="C8551" s="25">
        <v>44748</v>
      </c>
      <c r="D8551" s="26">
        <v>0.47769675925925931</v>
      </c>
      <c r="E8551" t="s">
        <v>30</v>
      </c>
      <c r="F8551" t="s">
        <v>311</v>
      </c>
      <c r="G8551" t="s">
        <v>303</v>
      </c>
      <c r="H8551" t="s">
        <v>422</v>
      </c>
      <c r="I8551" s="173">
        <v>230.69</v>
      </c>
      <c r="J8551" s="8"/>
      <c r="K8551" s="8"/>
      <c r="L8551" s="8"/>
      <c r="M8551" s="91"/>
    </row>
    <row r="8552" spans="2:13" hidden="1" x14ac:dyDescent="0.3">
      <c r="B8552" t="s">
        <v>421</v>
      </c>
      <c r="C8552" s="25">
        <v>44748</v>
      </c>
      <c r="D8552" s="26">
        <v>0.78557870370370375</v>
      </c>
      <c r="E8552" t="s">
        <v>30</v>
      </c>
      <c r="F8552" t="s">
        <v>166</v>
      </c>
      <c r="G8552" t="s">
        <v>161</v>
      </c>
      <c r="H8552" t="s">
        <v>422</v>
      </c>
      <c r="I8552" s="173">
        <v>140.06</v>
      </c>
      <c r="J8552" s="8"/>
      <c r="K8552" s="8"/>
      <c r="L8552" s="8"/>
      <c r="M8552" s="91"/>
    </row>
    <row r="8553" spans="2:13" hidden="1" x14ac:dyDescent="0.3">
      <c r="B8553" t="s">
        <v>421</v>
      </c>
      <c r="C8553" s="25">
        <v>44749</v>
      </c>
      <c r="D8553" s="26">
        <v>0.66797453703703702</v>
      </c>
      <c r="E8553" t="s">
        <v>30</v>
      </c>
      <c r="F8553" t="s">
        <v>165</v>
      </c>
      <c r="G8553" t="s">
        <v>185</v>
      </c>
      <c r="H8553" t="s">
        <v>422</v>
      </c>
      <c r="I8553" s="173">
        <v>285.75</v>
      </c>
      <c r="J8553" s="8"/>
      <c r="K8553" s="8"/>
      <c r="L8553" s="8"/>
      <c r="M8553" s="91"/>
    </row>
    <row r="8554" spans="2:13" hidden="1" x14ac:dyDescent="0.3">
      <c r="B8554" t="s">
        <v>421</v>
      </c>
      <c r="C8554" s="25">
        <v>44750</v>
      </c>
      <c r="D8554" s="26">
        <v>0.45550925925925928</v>
      </c>
      <c r="E8554" t="s">
        <v>30</v>
      </c>
      <c r="F8554" t="s">
        <v>774</v>
      </c>
      <c r="G8554" t="s">
        <v>161</v>
      </c>
      <c r="H8554" t="s">
        <v>422</v>
      </c>
      <c r="I8554" s="173">
        <v>181.97</v>
      </c>
      <c r="J8554" s="160">
        <f>151+100+231+140+286+182</f>
        <v>1090</v>
      </c>
      <c r="K8554" s="160"/>
      <c r="L8554" s="160">
        <v>2951</v>
      </c>
      <c r="M8554" s="149">
        <f>+J8554/L8554*100</f>
        <v>36.936631650288035</v>
      </c>
    </row>
    <row r="8555" spans="2:13" hidden="1" x14ac:dyDescent="0.3">
      <c r="B8555" t="s">
        <v>421</v>
      </c>
      <c r="C8555" s="25">
        <v>44750</v>
      </c>
      <c r="D8555" s="26">
        <v>0.74686342592592592</v>
      </c>
      <c r="E8555" t="s">
        <v>30</v>
      </c>
      <c r="F8555" t="s">
        <v>169</v>
      </c>
      <c r="G8555" t="s">
        <v>196</v>
      </c>
      <c r="H8555" t="s">
        <v>422</v>
      </c>
      <c r="I8555" s="173">
        <v>145</v>
      </c>
      <c r="J8555" s="8"/>
      <c r="K8555" s="8"/>
      <c r="L8555" s="8"/>
      <c r="M8555" s="91"/>
    </row>
    <row r="8556" spans="2:13" hidden="1" x14ac:dyDescent="0.3">
      <c r="B8556" t="s">
        <v>421</v>
      </c>
      <c r="C8556" s="25">
        <v>44751</v>
      </c>
      <c r="D8556" s="26">
        <v>0.42978009259259259</v>
      </c>
      <c r="E8556" t="s">
        <v>30</v>
      </c>
      <c r="F8556" t="s">
        <v>775</v>
      </c>
      <c r="G8556" t="s">
        <v>263</v>
      </c>
      <c r="H8556" t="s">
        <v>422</v>
      </c>
      <c r="I8556" s="173">
        <v>138.1</v>
      </c>
      <c r="J8556" s="8"/>
      <c r="K8556" s="8"/>
      <c r="L8556" s="8"/>
      <c r="M8556" s="91"/>
    </row>
    <row r="8557" spans="2:13" hidden="1" x14ac:dyDescent="0.3">
      <c r="B8557" t="s">
        <v>421</v>
      </c>
      <c r="C8557" s="25">
        <v>44751</v>
      </c>
      <c r="D8557" s="26">
        <v>0.86135416666666664</v>
      </c>
      <c r="E8557" t="s">
        <v>30</v>
      </c>
      <c r="F8557" t="s">
        <v>772</v>
      </c>
      <c r="G8557" t="s">
        <v>44</v>
      </c>
      <c r="H8557" t="s">
        <v>422</v>
      </c>
      <c r="I8557" s="173">
        <v>105.82</v>
      </c>
      <c r="J8557" s="8"/>
      <c r="K8557" s="8"/>
      <c r="L8557" s="8"/>
      <c r="M8557" s="91"/>
    </row>
    <row r="8558" spans="2:13" hidden="1" x14ac:dyDescent="0.3">
      <c r="B8558" t="s">
        <v>421</v>
      </c>
      <c r="C8558" s="25">
        <v>44752</v>
      </c>
      <c r="D8558" s="26">
        <v>0.7496990740740741</v>
      </c>
      <c r="E8558" t="s">
        <v>30</v>
      </c>
      <c r="F8558" t="s">
        <v>210</v>
      </c>
      <c r="G8558" t="s">
        <v>211</v>
      </c>
      <c r="H8558" t="s">
        <v>422</v>
      </c>
      <c r="I8558" s="173">
        <v>250.52</v>
      </c>
      <c r="J8558" s="160">
        <f>145+138+106+250</f>
        <v>639</v>
      </c>
      <c r="K8558" s="160"/>
      <c r="L8558" s="160">
        <v>1656</v>
      </c>
      <c r="M8558" s="149">
        <f>+J8558/L8558*100</f>
        <v>38.586956521739133</v>
      </c>
    </row>
    <row r="8559" spans="2:13" hidden="1" x14ac:dyDescent="0.3">
      <c r="B8559" t="s">
        <v>421</v>
      </c>
      <c r="C8559" s="25">
        <v>44754</v>
      </c>
      <c r="D8559" s="26">
        <v>0.87719907407407405</v>
      </c>
      <c r="E8559" t="s">
        <v>30</v>
      </c>
      <c r="F8559" t="s">
        <v>165</v>
      </c>
      <c r="G8559" t="s">
        <v>185</v>
      </c>
      <c r="H8559" t="s">
        <v>422</v>
      </c>
      <c r="I8559" s="173">
        <v>398.7</v>
      </c>
      <c r="J8559" s="23"/>
      <c r="K8559" s="23"/>
      <c r="L8559" s="23"/>
      <c r="M8559" s="254"/>
    </row>
    <row r="8560" spans="2:13" hidden="1" x14ac:dyDescent="0.3">
      <c r="B8560" t="s">
        <v>421</v>
      </c>
      <c r="C8560" s="25">
        <v>44756</v>
      </c>
      <c r="D8560" s="26">
        <v>0.8348726851851852</v>
      </c>
      <c r="E8560" t="s">
        <v>30</v>
      </c>
      <c r="F8560" t="s">
        <v>210</v>
      </c>
      <c r="G8560" t="s">
        <v>211</v>
      </c>
      <c r="H8560" t="s">
        <v>422</v>
      </c>
      <c r="I8560" s="173">
        <v>388.9</v>
      </c>
      <c r="J8560" s="231">
        <f>389+399</f>
        <v>788</v>
      </c>
      <c r="K8560" s="231"/>
      <c r="L8560" s="231">
        <v>1874</v>
      </c>
      <c r="M8560" s="150">
        <f>+J8560/L8560*100</f>
        <v>42.049092849519745</v>
      </c>
    </row>
    <row r="8561" spans="1:13" hidden="1" x14ac:dyDescent="0.3">
      <c r="B8561" t="s">
        <v>421</v>
      </c>
      <c r="C8561" s="25">
        <v>44757</v>
      </c>
      <c r="D8561" s="26">
        <v>0.3055208333333333</v>
      </c>
      <c r="E8561" t="s">
        <v>30</v>
      </c>
      <c r="F8561" t="s">
        <v>169</v>
      </c>
      <c r="G8561" t="s">
        <v>196</v>
      </c>
      <c r="H8561" t="s">
        <v>422</v>
      </c>
      <c r="I8561" s="173">
        <v>145.18</v>
      </c>
      <c r="J8561" s="160"/>
      <c r="K8561" s="160"/>
      <c r="L8561" s="160"/>
      <c r="M8561" s="150"/>
    </row>
    <row r="8562" spans="1:13" hidden="1" x14ac:dyDescent="0.3">
      <c r="B8562" t="s">
        <v>421</v>
      </c>
      <c r="C8562" s="25">
        <v>44765</v>
      </c>
      <c r="D8562" s="26">
        <v>0.40659722222222222</v>
      </c>
      <c r="E8562" t="s">
        <v>30</v>
      </c>
      <c r="F8562" t="s">
        <v>197</v>
      </c>
      <c r="G8562" t="s">
        <v>44</v>
      </c>
      <c r="H8562" t="s">
        <v>422</v>
      </c>
      <c r="I8562" s="160">
        <v>349.28</v>
      </c>
      <c r="J8562" s="8"/>
      <c r="K8562" s="8"/>
      <c r="L8562" s="8"/>
      <c r="M8562" s="254"/>
    </row>
    <row r="8563" spans="1:13" hidden="1" x14ac:dyDescent="0.3">
      <c r="B8563" t="s">
        <v>421</v>
      </c>
      <c r="C8563" s="25">
        <v>44765</v>
      </c>
      <c r="D8563" s="26">
        <v>0.81601851851851848</v>
      </c>
      <c r="E8563" t="s">
        <v>30</v>
      </c>
      <c r="F8563" t="s">
        <v>166</v>
      </c>
      <c r="G8563" t="s">
        <v>161</v>
      </c>
      <c r="H8563" t="s">
        <v>422</v>
      </c>
      <c r="I8563" s="160">
        <v>196.71</v>
      </c>
      <c r="J8563" s="160">
        <f>145+349+197</f>
        <v>691</v>
      </c>
      <c r="K8563" s="160">
        <v>1234</v>
      </c>
      <c r="L8563" s="160">
        <v>1834</v>
      </c>
      <c r="M8563" s="150">
        <f>+J8563/L8563*100</f>
        <v>37.677208287895311</v>
      </c>
    </row>
    <row r="8564" spans="1:13" hidden="1" x14ac:dyDescent="0.3">
      <c r="B8564" t="s">
        <v>421</v>
      </c>
      <c r="C8564" s="25">
        <v>44766</v>
      </c>
      <c r="D8564" s="26">
        <v>0.63791666666666669</v>
      </c>
      <c r="E8564" t="s">
        <v>30</v>
      </c>
      <c r="F8564" t="s">
        <v>165</v>
      </c>
      <c r="G8564" t="s">
        <v>185</v>
      </c>
      <c r="H8564" t="s">
        <v>422</v>
      </c>
      <c r="I8564" s="160">
        <v>286.20999999999998</v>
      </c>
      <c r="J8564" s="8"/>
      <c r="K8564" s="8"/>
      <c r="L8564" s="8"/>
      <c r="M8564" s="254"/>
    </row>
    <row r="8565" spans="1:13" hidden="1" x14ac:dyDescent="0.3">
      <c r="B8565" t="s">
        <v>421</v>
      </c>
      <c r="C8565" s="25">
        <v>44767</v>
      </c>
      <c r="D8565" s="26">
        <v>0.3613425925925926</v>
      </c>
      <c r="E8565" t="s">
        <v>30</v>
      </c>
      <c r="F8565" t="s">
        <v>346</v>
      </c>
      <c r="G8565" t="s">
        <v>203</v>
      </c>
      <c r="H8565" t="s">
        <v>422</v>
      </c>
      <c r="I8565" s="160">
        <v>152.80000000000001</v>
      </c>
      <c r="J8565" s="8"/>
      <c r="K8565" s="8"/>
      <c r="L8565" s="8"/>
      <c r="M8565" s="254"/>
    </row>
    <row r="8566" spans="1:13" hidden="1" x14ac:dyDescent="0.3">
      <c r="B8566" t="s">
        <v>421</v>
      </c>
      <c r="C8566" s="25">
        <v>44767</v>
      </c>
      <c r="D8566" s="26">
        <v>0.85405092592592602</v>
      </c>
      <c r="E8566" t="s">
        <v>30</v>
      </c>
      <c r="F8566" t="s">
        <v>346</v>
      </c>
      <c r="G8566" t="s">
        <v>203</v>
      </c>
      <c r="H8566" t="s">
        <v>422</v>
      </c>
      <c r="I8566" s="160">
        <v>171.32</v>
      </c>
      <c r="J8566" s="8"/>
      <c r="K8566" s="8"/>
      <c r="L8566" s="8"/>
      <c r="M8566" s="254"/>
    </row>
    <row r="8567" spans="1:13" hidden="1" x14ac:dyDescent="0.3">
      <c r="B8567" t="s">
        <v>421</v>
      </c>
      <c r="C8567" s="25">
        <v>44768</v>
      </c>
      <c r="D8567" s="26">
        <v>0.77811342592592592</v>
      </c>
      <c r="E8567" t="s">
        <v>30</v>
      </c>
      <c r="F8567" t="s">
        <v>165</v>
      </c>
      <c r="G8567" t="s">
        <v>185</v>
      </c>
      <c r="H8567" t="s">
        <v>422</v>
      </c>
      <c r="I8567" s="160">
        <v>265.68</v>
      </c>
      <c r="J8567" s="8"/>
      <c r="K8567" s="8"/>
      <c r="L8567" s="8"/>
      <c r="M8567" s="254"/>
    </row>
    <row r="8568" spans="1:13" hidden="1" x14ac:dyDescent="0.3">
      <c r="B8568" t="s">
        <v>421</v>
      </c>
      <c r="C8568" s="25">
        <v>44769</v>
      </c>
      <c r="D8568" s="26">
        <v>0.47630787037037042</v>
      </c>
      <c r="E8568" t="s">
        <v>30</v>
      </c>
      <c r="F8568" t="s">
        <v>166</v>
      </c>
      <c r="G8568" t="s">
        <v>161</v>
      </c>
      <c r="H8568" t="s">
        <v>422</v>
      </c>
      <c r="I8568" s="160">
        <v>162.58000000000001</v>
      </c>
      <c r="J8568" s="160">
        <f>286+153+171+266+162</f>
        <v>1038</v>
      </c>
      <c r="K8568" s="160">
        <v>1234</v>
      </c>
      <c r="L8568" s="160">
        <v>2841</v>
      </c>
      <c r="M8568" s="150">
        <f>+J8568/L8568*100</f>
        <v>36.536430834213306</v>
      </c>
    </row>
    <row r="8569" spans="1:13" hidden="1" x14ac:dyDescent="0.3">
      <c r="B8569" t="s">
        <v>421</v>
      </c>
      <c r="C8569" s="25">
        <v>44769</v>
      </c>
      <c r="D8569" s="26">
        <v>0.8529282407407407</v>
      </c>
      <c r="E8569" t="s">
        <v>30</v>
      </c>
      <c r="F8569" t="s">
        <v>169</v>
      </c>
      <c r="G8569" t="s">
        <v>196</v>
      </c>
      <c r="H8569" t="s">
        <v>422</v>
      </c>
      <c r="I8569" s="160">
        <v>115.81</v>
      </c>
      <c r="J8569" s="8"/>
      <c r="K8569" s="8"/>
      <c r="L8569" s="8"/>
      <c r="M8569" s="254"/>
    </row>
    <row r="8570" spans="1:13" hidden="1" x14ac:dyDescent="0.3">
      <c r="B8570" t="s">
        <v>421</v>
      </c>
      <c r="C8570" s="25">
        <v>44770</v>
      </c>
      <c r="D8570" s="26">
        <v>0.51468749999999996</v>
      </c>
      <c r="E8570" t="s">
        <v>30</v>
      </c>
      <c r="F8570" t="s">
        <v>428</v>
      </c>
      <c r="G8570" t="s">
        <v>429</v>
      </c>
      <c r="H8570" t="s">
        <v>422</v>
      </c>
      <c r="I8570" s="160">
        <v>176.42</v>
      </c>
      <c r="J8570" s="8"/>
      <c r="K8570" s="8"/>
      <c r="L8570" s="8"/>
      <c r="M8570" s="254"/>
    </row>
    <row r="8571" spans="1:13" hidden="1" x14ac:dyDescent="0.3">
      <c r="B8571" t="s">
        <v>421</v>
      </c>
      <c r="C8571" s="25">
        <v>44772</v>
      </c>
      <c r="D8571" s="26">
        <v>0.36050925925925931</v>
      </c>
      <c r="E8571" t="s">
        <v>30</v>
      </c>
      <c r="F8571" t="s">
        <v>311</v>
      </c>
      <c r="G8571" t="s">
        <v>303</v>
      </c>
      <c r="H8571" t="s">
        <v>422</v>
      </c>
      <c r="I8571" s="160">
        <v>244.96</v>
      </c>
      <c r="J8571" s="8"/>
      <c r="K8571" s="8"/>
      <c r="L8571" s="8"/>
      <c r="M8571" s="254"/>
    </row>
    <row r="8572" spans="1:13" hidden="1" x14ac:dyDescent="0.3">
      <c r="B8572" t="s">
        <v>421</v>
      </c>
      <c r="C8572" s="25">
        <v>44772</v>
      </c>
      <c r="D8572" s="26">
        <v>0.74068287037037039</v>
      </c>
      <c r="E8572" t="s">
        <v>30</v>
      </c>
      <c r="F8572" t="s">
        <v>210</v>
      </c>
      <c r="G8572" t="s">
        <v>211</v>
      </c>
      <c r="H8572" t="s">
        <v>422</v>
      </c>
      <c r="I8572" s="160">
        <v>176.25</v>
      </c>
      <c r="J8572" s="160">
        <f>116+176+245+176</f>
        <v>713</v>
      </c>
      <c r="K8572" s="160">
        <v>6467</v>
      </c>
      <c r="L8572" s="160">
        <v>1833</v>
      </c>
      <c r="M8572" s="150">
        <f>+J8572/L8572*100</f>
        <v>38.897981451172939</v>
      </c>
    </row>
    <row r="8573" spans="1:13" hidden="1" x14ac:dyDescent="0.3">
      <c r="B8573" t="s">
        <v>421</v>
      </c>
      <c r="C8573" s="25">
        <v>44773</v>
      </c>
      <c r="D8573" s="26">
        <v>0.55826388888888889</v>
      </c>
      <c r="E8573" t="s">
        <v>30</v>
      </c>
      <c r="F8573" t="s">
        <v>165</v>
      </c>
      <c r="G8573" t="s">
        <v>185</v>
      </c>
      <c r="H8573" t="s">
        <v>422</v>
      </c>
      <c r="I8573" s="160">
        <v>243.01</v>
      </c>
      <c r="J8573" s="8"/>
      <c r="K8573" s="8"/>
      <c r="L8573" s="8"/>
      <c r="M8573" s="254"/>
    </row>
    <row r="8574" spans="1:13" hidden="1" x14ac:dyDescent="0.3">
      <c r="A8574" s="9">
        <v>6784</v>
      </c>
      <c r="B8574" t="s">
        <v>423</v>
      </c>
      <c r="C8574" s="25">
        <v>44743</v>
      </c>
      <c r="D8574" s="26">
        <v>0.97016203703703707</v>
      </c>
      <c r="E8574" t="s">
        <v>30</v>
      </c>
      <c r="F8574" t="s">
        <v>165</v>
      </c>
      <c r="G8574" t="s">
        <v>185</v>
      </c>
      <c r="H8574" t="s">
        <v>424</v>
      </c>
      <c r="I8574" s="173">
        <v>369.17</v>
      </c>
      <c r="J8574" s="236"/>
      <c r="K8574" s="236"/>
      <c r="L8574" s="236"/>
      <c r="M8574" s="139"/>
    </row>
    <row r="8575" spans="1:13" hidden="1" x14ac:dyDescent="0.3">
      <c r="A8575" s="9">
        <v>6785</v>
      </c>
      <c r="B8575" t="s">
        <v>423</v>
      </c>
      <c r="C8575" s="25">
        <v>44745</v>
      </c>
      <c r="D8575" s="26">
        <v>0.61965277777777772</v>
      </c>
      <c r="E8575" t="s">
        <v>30</v>
      </c>
      <c r="F8575" t="s">
        <v>346</v>
      </c>
      <c r="G8575" t="s">
        <v>203</v>
      </c>
      <c r="H8575" t="s">
        <v>424</v>
      </c>
      <c r="I8575" s="173">
        <v>339.12</v>
      </c>
      <c r="J8575" s="236"/>
      <c r="K8575" s="236"/>
      <c r="L8575" s="293"/>
      <c r="M8575" s="91"/>
    </row>
    <row r="8576" spans="1:13" hidden="1" x14ac:dyDescent="0.3">
      <c r="A8576" s="9">
        <v>6763</v>
      </c>
      <c r="B8576" t="s">
        <v>423</v>
      </c>
      <c r="C8576" s="25">
        <v>44746</v>
      </c>
      <c r="D8576" s="26">
        <v>0.54874999999999996</v>
      </c>
      <c r="E8576" t="s">
        <v>30</v>
      </c>
      <c r="F8576" t="s">
        <v>202</v>
      </c>
      <c r="G8576" t="s">
        <v>203</v>
      </c>
      <c r="H8576" t="s">
        <v>424</v>
      </c>
      <c r="I8576" s="173">
        <v>174.16</v>
      </c>
      <c r="J8576" s="236"/>
      <c r="K8576" s="236"/>
      <c r="L8576" s="236"/>
      <c r="M8576" s="132"/>
    </row>
    <row r="8577" spans="1:13" hidden="1" x14ac:dyDescent="0.3">
      <c r="A8577" s="9">
        <v>6782</v>
      </c>
      <c r="B8577" t="s">
        <v>423</v>
      </c>
      <c r="C8577" s="25">
        <v>44747</v>
      </c>
      <c r="D8577" s="26">
        <v>0.27769675925925924</v>
      </c>
      <c r="E8577" t="s">
        <v>30</v>
      </c>
      <c r="F8577" t="s">
        <v>210</v>
      </c>
      <c r="G8577" t="s">
        <v>211</v>
      </c>
      <c r="H8577" t="s">
        <v>424</v>
      </c>
      <c r="I8577" s="173">
        <v>380.85</v>
      </c>
      <c r="J8577" s="173">
        <f>381+174+339+369+265+154+354+357+238+363</f>
        <v>2994</v>
      </c>
      <c r="K8577" s="173">
        <v>320068</v>
      </c>
      <c r="L8577" s="173">
        <v>8910</v>
      </c>
      <c r="M8577" s="237">
        <f>+J8577/L8577*100</f>
        <v>33.602693602693599</v>
      </c>
    </row>
    <row r="8578" spans="1:13" hidden="1" x14ac:dyDescent="0.3">
      <c r="A8578" s="9">
        <v>6781</v>
      </c>
      <c r="B8578" t="s">
        <v>423</v>
      </c>
      <c r="C8578" s="25">
        <v>44747</v>
      </c>
      <c r="D8578" s="26">
        <v>0.63200231481481484</v>
      </c>
      <c r="E8578" t="s">
        <v>30</v>
      </c>
      <c r="F8578" t="s">
        <v>169</v>
      </c>
      <c r="G8578" t="s">
        <v>196</v>
      </c>
      <c r="H8578" t="s">
        <v>424</v>
      </c>
      <c r="I8578" s="173">
        <v>139.47</v>
      </c>
      <c r="J8578" s="8"/>
      <c r="K8578" s="8"/>
      <c r="L8578" s="8"/>
      <c r="M8578" s="254"/>
    </row>
    <row r="8579" spans="1:13" hidden="1" x14ac:dyDescent="0.3">
      <c r="A8579" s="9">
        <v>6805</v>
      </c>
      <c r="B8579" t="s">
        <v>423</v>
      </c>
      <c r="C8579" s="25">
        <v>44756</v>
      </c>
      <c r="D8579" s="26">
        <v>0.79246527777777775</v>
      </c>
      <c r="E8579" t="s">
        <v>30</v>
      </c>
      <c r="F8579" t="s">
        <v>772</v>
      </c>
      <c r="G8579" t="s">
        <v>44</v>
      </c>
      <c r="H8579" t="s">
        <v>424</v>
      </c>
      <c r="I8579" s="173" t="s">
        <v>790</v>
      </c>
      <c r="J8579" s="8"/>
      <c r="K8579" s="8"/>
      <c r="L8579" s="8"/>
      <c r="M8579" s="254"/>
    </row>
    <row r="8580" spans="1:13" hidden="1" x14ac:dyDescent="0.3">
      <c r="A8580" s="9">
        <v>6804</v>
      </c>
      <c r="B8580" t="s">
        <v>423</v>
      </c>
      <c r="C8580" s="25">
        <v>44757</v>
      </c>
      <c r="D8580" s="26">
        <v>0.38663194444444443</v>
      </c>
      <c r="E8580" t="s">
        <v>30</v>
      </c>
      <c r="F8580" t="s">
        <v>396</v>
      </c>
      <c r="G8580" t="s">
        <v>397</v>
      </c>
      <c r="H8580" t="s">
        <v>424</v>
      </c>
      <c r="I8580" s="173" t="s">
        <v>1055</v>
      </c>
      <c r="J8580" s="8"/>
      <c r="K8580" s="8"/>
      <c r="L8580" s="8"/>
      <c r="M8580" s="254"/>
    </row>
    <row r="8581" spans="1:13" hidden="1" x14ac:dyDescent="0.3">
      <c r="A8581" s="9">
        <v>6802</v>
      </c>
      <c r="B8581" t="s">
        <v>423</v>
      </c>
      <c r="C8581" s="25">
        <v>44757</v>
      </c>
      <c r="D8581" s="26">
        <v>0.66024305555555551</v>
      </c>
      <c r="E8581" t="s">
        <v>30</v>
      </c>
      <c r="F8581" t="s">
        <v>165</v>
      </c>
      <c r="G8581" t="s">
        <v>185</v>
      </c>
      <c r="H8581" t="s">
        <v>424</v>
      </c>
      <c r="I8581" s="173" t="s">
        <v>1054</v>
      </c>
      <c r="J8581" s="8"/>
      <c r="K8581" s="8"/>
      <c r="L8581" s="8"/>
      <c r="M8581" s="254"/>
    </row>
    <row r="8582" spans="1:13" hidden="1" x14ac:dyDescent="0.3">
      <c r="A8582" s="9">
        <v>6801</v>
      </c>
      <c r="B8582" t="s">
        <v>423</v>
      </c>
      <c r="C8582" s="25">
        <v>44758</v>
      </c>
      <c r="D8582" s="26">
        <v>3.712962962962963E-2</v>
      </c>
      <c r="E8582" t="s">
        <v>30</v>
      </c>
      <c r="F8582" t="s">
        <v>210</v>
      </c>
      <c r="G8582" t="s">
        <v>211</v>
      </c>
      <c r="H8582" t="s">
        <v>424</v>
      </c>
      <c r="I8582" s="173" t="s">
        <v>1053</v>
      </c>
      <c r="J8582" s="231">
        <f>143+503+100+135+139</f>
        <v>1020</v>
      </c>
      <c r="K8582" s="231"/>
      <c r="L8582" s="231">
        <v>2784</v>
      </c>
      <c r="M8582" s="150">
        <f>+J8582/L8582*100</f>
        <v>36.637931034482754</v>
      </c>
    </row>
    <row r="8583" spans="1:13" hidden="1" x14ac:dyDescent="0.3">
      <c r="A8583" s="9">
        <v>6817</v>
      </c>
      <c r="B8583" t="s">
        <v>423</v>
      </c>
      <c r="C8583" s="25">
        <v>44758</v>
      </c>
      <c r="D8583" s="26">
        <v>0.8510416666666667</v>
      </c>
      <c r="E8583" t="s">
        <v>30</v>
      </c>
      <c r="F8583" t="s">
        <v>169</v>
      </c>
      <c r="G8583" t="s">
        <v>170</v>
      </c>
      <c r="H8583" t="s">
        <v>424</v>
      </c>
      <c r="I8583" s="173" t="s">
        <v>800</v>
      </c>
      <c r="J8583" s="8"/>
      <c r="K8583" s="8"/>
      <c r="L8583" s="8"/>
      <c r="M8583" s="254"/>
    </row>
    <row r="8584" spans="1:13" hidden="1" x14ac:dyDescent="0.3">
      <c r="A8584" s="9">
        <v>6754</v>
      </c>
      <c r="B8584" t="s">
        <v>423</v>
      </c>
      <c r="C8584" s="25">
        <v>44758</v>
      </c>
      <c r="D8584" s="26">
        <v>0.96996527777777775</v>
      </c>
      <c r="E8584" t="s">
        <v>30</v>
      </c>
      <c r="F8584" t="s">
        <v>446</v>
      </c>
      <c r="G8584" t="s">
        <v>402</v>
      </c>
      <c r="H8584" t="s">
        <v>424</v>
      </c>
      <c r="I8584" s="173" t="s">
        <v>1052</v>
      </c>
      <c r="J8584" s="8"/>
      <c r="K8584" s="8"/>
      <c r="L8584" s="8"/>
      <c r="M8584" s="254"/>
    </row>
    <row r="8585" spans="1:13" hidden="1" x14ac:dyDescent="0.3">
      <c r="A8585" s="9">
        <v>6764</v>
      </c>
      <c r="B8585" t="s">
        <v>423</v>
      </c>
      <c r="C8585" s="25">
        <v>44759</v>
      </c>
      <c r="D8585" s="26">
        <v>0.79296296296296298</v>
      </c>
      <c r="E8585" t="s">
        <v>30</v>
      </c>
      <c r="F8585" t="s">
        <v>175</v>
      </c>
      <c r="G8585" t="s">
        <v>172</v>
      </c>
      <c r="H8585" t="s">
        <v>424</v>
      </c>
      <c r="I8585" s="173" t="s">
        <v>1051</v>
      </c>
      <c r="J8585" s="231">
        <f>107+119+100</f>
        <v>326</v>
      </c>
      <c r="K8585" s="231"/>
      <c r="L8585" s="231">
        <v>967</v>
      </c>
      <c r="M8585" s="152">
        <f t="shared" ref="M8585:M8600" si="525">+J8585/L8585*100</f>
        <v>33.712512926577041</v>
      </c>
    </row>
    <row r="8586" spans="1:13" hidden="1" x14ac:dyDescent="0.3">
      <c r="B8586" t="s">
        <v>423</v>
      </c>
      <c r="C8586" s="25">
        <v>44761</v>
      </c>
      <c r="D8586" s="26">
        <v>0.49006944444444445</v>
      </c>
      <c r="E8586" t="s">
        <v>30</v>
      </c>
      <c r="F8586" t="s">
        <v>166</v>
      </c>
      <c r="G8586" t="s">
        <v>161</v>
      </c>
      <c r="H8586" t="s">
        <v>424</v>
      </c>
      <c r="I8586" s="160">
        <v>150.08000000000001</v>
      </c>
      <c r="J8586" s="8"/>
      <c r="K8586" s="8"/>
      <c r="L8586" s="8"/>
      <c r="M8586" s="254"/>
    </row>
    <row r="8587" spans="1:13" hidden="1" x14ac:dyDescent="0.3">
      <c r="B8587" t="s">
        <v>423</v>
      </c>
      <c r="C8587" s="25">
        <v>44761</v>
      </c>
      <c r="D8587" s="26">
        <v>0.89814814814814825</v>
      </c>
      <c r="E8587" t="s">
        <v>30</v>
      </c>
      <c r="F8587" t="s">
        <v>165</v>
      </c>
      <c r="G8587" t="s">
        <v>185</v>
      </c>
      <c r="H8587" t="s">
        <v>424</v>
      </c>
      <c r="I8587" s="160">
        <v>411.33</v>
      </c>
      <c r="J8587" s="8"/>
      <c r="K8587" s="8"/>
      <c r="L8587" s="8"/>
      <c r="M8587" s="254"/>
    </row>
    <row r="8588" spans="1:13" hidden="1" x14ac:dyDescent="0.3">
      <c r="B8588" t="s">
        <v>423</v>
      </c>
      <c r="C8588" s="25">
        <v>44762</v>
      </c>
      <c r="D8588" s="26">
        <v>0.32981481481481484</v>
      </c>
      <c r="E8588" t="s">
        <v>30</v>
      </c>
      <c r="F8588" t="s">
        <v>346</v>
      </c>
      <c r="G8588" t="s">
        <v>203</v>
      </c>
      <c r="H8588" t="s">
        <v>424</v>
      </c>
      <c r="I8588" s="160">
        <v>153.55000000000001</v>
      </c>
      <c r="J8588" s="8"/>
      <c r="K8588" s="8"/>
      <c r="L8588" s="8"/>
      <c r="M8588" s="254"/>
    </row>
    <row r="8589" spans="1:13" hidden="1" x14ac:dyDescent="0.3">
      <c r="B8589" t="s">
        <v>423</v>
      </c>
      <c r="C8589" s="25">
        <v>44763</v>
      </c>
      <c r="D8589" s="26">
        <v>0.17696759259259257</v>
      </c>
      <c r="E8589" t="s">
        <v>30</v>
      </c>
      <c r="F8589" t="s">
        <v>165</v>
      </c>
      <c r="G8589" t="s">
        <v>185</v>
      </c>
      <c r="H8589" t="s">
        <v>424</v>
      </c>
      <c r="I8589" s="160">
        <v>376.76</v>
      </c>
      <c r="J8589" s="8"/>
      <c r="K8589" s="8"/>
      <c r="L8589" s="8"/>
      <c r="M8589" s="254"/>
    </row>
    <row r="8590" spans="1:13" hidden="1" x14ac:dyDescent="0.3">
      <c r="B8590" t="s">
        <v>423</v>
      </c>
      <c r="C8590" s="25">
        <v>44764</v>
      </c>
      <c r="D8590" s="26">
        <v>7.3090277777777782E-2</v>
      </c>
      <c r="E8590" t="s">
        <v>30</v>
      </c>
      <c r="F8590" t="s">
        <v>166</v>
      </c>
      <c r="G8590" t="s">
        <v>161</v>
      </c>
      <c r="H8590" t="s">
        <v>424</v>
      </c>
      <c r="I8590" s="160">
        <v>179.23</v>
      </c>
      <c r="J8590" s="160">
        <f>150+411+153+377+179</f>
        <v>1270</v>
      </c>
      <c r="K8590" s="160">
        <v>327500</v>
      </c>
      <c r="L8590" s="160">
        <v>3598</v>
      </c>
      <c r="M8590" s="150">
        <f t="shared" si="525"/>
        <v>35.297387437465261</v>
      </c>
    </row>
    <row r="8591" spans="1:13" hidden="1" x14ac:dyDescent="0.3">
      <c r="B8591" t="s">
        <v>423</v>
      </c>
      <c r="C8591" s="25">
        <v>44764</v>
      </c>
      <c r="D8591" s="26">
        <v>0.68665509259259261</v>
      </c>
      <c r="E8591" t="s">
        <v>30</v>
      </c>
      <c r="F8591" t="s">
        <v>428</v>
      </c>
      <c r="G8591" t="s">
        <v>429</v>
      </c>
      <c r="H8591" t="s">
        <v>424</v>
      </c>
      <c r="I8591" s="160">
        <v>105</v>
      </c>
      <c r="J8591" s="8"/>
      <c r="K8591" s="8"/>
      <c r="L8591" s="8"/>
      <c r="M8591" s="254"/>
    </row>
    <row r="8592" spans="1:13" hidden="1" x14ac:dyDescent="0.3">
      <c r="B8592" t="s">
        <v>423</v>
      </c>
      <c r="C8592" s="25">
        <v>44764</v>
      </c>
      <c r="D8592" s="26">
        <v>0.68958333333333333</v>
      </c>
      <c r="E8592" t="s">
        <v>30</v>
      </c>
      <c r="F8592" t="s">
        <v>428</v>
      </c>
      <c r="G8592" t="s">
        <v>429</v>
      </c>
      <c r="H8592" t="s">
        <v>424</v>
      </c>
      <c r="I8592" s="160">
        <v>100.69</v>
      </c>
      <c r="J8592" s="8"/>
      <c r="K8592" s="8"/>
      <c r="L8592" s="8"/>
      <c r="M8592" s="254"/>
    </row>
    <row r="8593" spans="1:13" hidden="1" x14ac:dyDescent="0.3">
      <c r="B8593" t="s">
        <v>423</v>
      </c>
      <c r="C8593" s="25">
        <v>44765</v>
      </c>
      <c r="D8593" s="26">
        <v>0.79567129629629629</v>
      </c>
      <c r="E8593" t="s">
        <v>30</v>
      </c>
      <c r="F8593" t="s">
        <v>311</v>
      </c>
      <c r="G8593" t="s">
        <v>303</v>
      </c>
      <c r="H8593" t="s">
        <v>424</v>
      </c>
      <c r="I8593" s="206">
        <v>259.04000000000002</v>
      </c>
      <c r="J8593" s="45"/>
      <c r="K8593" s="45"/>
      <c r="L8593" s="45"/>
      <c r="M8593" s="273"/>
    </row>
    <row r="8594" spans="1:13" hidden="1" x14ac:dyDescent="0.3">
      <c r="B8594" t="s">
        <v>423</v>
      </c>
      <c r="C8594" s="25">
        <v>44766</v>
      </c>
      <c r="D8594" s="26">
        <v>0.50398148148148147</v>
      </c>
      <c r="E8594" t="s">
        <v>30</v>
      </c>
      <c r="F8594" t="s">
        <v>165</v>
      </c>
      <c r="G8594" t="s">
        <v>185</v>
      </c>
      <c r="H8594" t="s">
        <v>424</v>
      </c>
      <c r="I8594" s="160">
        <v>404.03</v>
      </c>
      <c r="J8594" s="8"/>
      <c r="K8594" s="8"/>
      <c r="L8594" s="8"/>
      <c r="M8594" s="254"/>
    </row>
    <row r="8595" spans="1:13" hidden="1" x14ac:dyDescent="0.3">
      <c r="B8595" t="s">
        <v>423</v>
      </c>
      <c r="C8595" s="25">
        <v>44766</v>
      </c>
      <c r="D8595" s="26">
        <v>0.97978009259259258</v>
      </c>
      <c r="E8595" t="s">
        <v>30</v>
      </c>
      <c r="F8595" t="s">
        <v>210</v>
      </c>
      <c r="G8595" t="s">
        <v>211</v>
      </c>
      <c r="H8595" t="s">
        <v>424</v>
      </c>
      <c r="I8595" s="148">
        <v>141.59</v>
      </c>
      <c r="J8595" s="148">
        <f>105+101+259+404+141</f>
        <v>1010</v>
      </c>
      <c r="K8595" s="148">
        <v>330403</v>
      </c>
      <c r="L8595" s="148">
        <v>2860</v>
      </c>
      <c r="M8595" s="158">
        <f t="shared" si="525"/>
        <v>35.314685314685313</v>
      </c>
    </row>
    <row r="8596" spans="1:13" hidden="1" x14ac:dyDescent="0.3">
      <c r="B8596" t="s">
        <v>423</v>
      </c>
      <c r="C8596" s="25">
        <v>44767</v>
      </c>
      <c r="D8596" s="26">
        <v>0.75138888888888899</v>
      </c>
      <c r="E8596" t="s">
        <v>30</v>
      </c>
      <c r="F8596" t="s">
        <v>169</v>
      </c>
      <c r="G8596" t="s">
        <v>196</v>
      </c>
      <c r="H8596" t="s">
        <v>424</v>
      </c>
      <c r="I8596" s="160">
        <v>177.93</v>
      </c>
      <c r="J8596" s="8"/>
      <c r="K8596" s="8"/>
      <c r="L8596" s="8"/>
      <c r="M8596" s="254"/>
    </row>
    <row r="8597" spans="1:13" hidden="1" x14ac:dyDescent="0.3">
      <c r="B8597" t="s">
        <v>423</v>
      </c>
      <c r="C8597" s="25">
        <v>44768</v>
      </c>
      <c r="D8597" s="26">
        <v>0.94646990740740744</v>
      </c>
      <c r="E8597" t="s">
        <v>30</v>
      </c>
      <c r="F8597" t="s">
        <v>197</v>
      </c>
      <c r="G8597" t="s">
        <v>44</v>
      </c>
      <c r="H8597" t="s">
        <v>424</v>
      </c>
      <c r="I8597" s="160">
        <v>266.36</v>
      </c>
      <c r="J8597" s="8"/>
      <c r="K8597" s="8"/>
      <c r="L8597" s="8"/>
      <c r="M8597" s="254"/>
    </row>
    <row r="8598" spans="1:13" hidden="1" x14ac:dyDescent="0.3">
      <c r="B8598" t="s">
        <v>423</v>
      </c>
      <c r="C8598" s="25">
        <v>44770</v>
      </c>
      <c r="D8598" s="26">
        <v>2.8587962962962964E-2</v>
      </c>
      <c r="E8598" t="s">
        <v>30</v>
      </c>
      <c r="F8598" t="s">
        <v>165</v>
      </c>
      <c r="G8598" t="s">
        <v>185</v>
      </c>
      <c r="H8598" t="s">
        <v>424</v>
      </c>
      <c r="I8598" s="160">
        <v>510.12</v>
      </c>
      <c r="J8598" s="8"/>
      <c r="K8598" s="8"/>
      <c r="L8598" s="8"/>
      <c r="M8598" s="254"/>
    </row>
    <row r="8599" spans="1:13" hidden="1" x14ac:dyDescent="0.3">
      <c r="B8599" t="s">
        <v>423</v>
      </c>
      <c r="C8599" s="25">
        <v>44771</v>
      </c>
      <c r="D8599" s="26">
        <v>0.80118055555555545</v>
      </c>
      <c r="E8599" t="s">
        <v>30</v>
      </c>
      <c r="F8599" t="s">
        <v>166</v>
      </c>
      <c r="G8599" t="s">
        <v>161</v>
      </c>
      <c r="H8599" t="s">
        <v>424</v>
      </c>
      <c r="I8599" s="160">
        <v>315.31</v>
      </c>
      <c r="J8599" s="160">
        <f>178+266+510+315</f>
        <v>1269</v>
      </c>
      <c r="K8599" s="160">
        <v>333308</v>
      </c>
      <c r="L8599" s="160">
        <v>3360</v>
      </c>
      <c r="M8599" s="150">
        <f t="shared" si="525"/>
        <v>37.767857142857139</v>
      </c>
    </row>
    <row r="8600" spans="1:13" hidden="1" x14ac:dyDescent="0.3">
      <c r="A8600" s="9">
        <v>6751</v>
      </c>
      <c r="B8600" t="s">
        <v>432</v>
      </c>
      <c r="C8600" s="25">
        <v>44743</v>
      </c>
      <c r="D8600" s="26">
        <v>0.47637731481481477</v>
      </c>
      <c r="E8600" t="s">
        <v>30</v>
      </c>
      <c r="F8600" t="s">
        <v>210</v>
      </c>
      <c r="G8600" t="s">
        <v>211</v>
      </c>
      <c r="H8600" t="s">
        <v>433</v>
      </c>
      <c r="I8600" s="160">
        <v>222.12</v>
      </c>
      <c r="J8600" s="160">
        <f>222+127+100+222+204+235+241</f>
        <v>1351</v>
      </c>
      <c r="K8600" s="160">
        <v>289954</v>
      </c>
      <c r="L8600" s="160">
        <v>3529</v>
      </c>
      <c r="M8600" s="149">
        <f t="shared" si="525"/>
        <v>38.282799659960325</v>
      </c>
    </row>
    <row r="8601" spans="1:13" hidden="1" x14ac:dyDescent="0.3">
      <c r="A8601" s="9">
        <v>6751</v>
      </c>
      <c r="B8601" t="s">
        <v>432</v>
      </c>
      <c r="C8601" s="25">
        <v>44744</v>
      </c>
      <c r="D8601" s="26">
        <v>0.82224537037037038</v>
      </c>
      <c r="E8601" t="s">
        <v>30</v>
      </c>
      <c r="F8601" t="s">
        <v>210</v>
      </c>
      <c r="G8601" t="s">
        <v>211</v>
      </c>
      <c r="H8601" t="s">
        <v>433</v>
      </c>
      <c r="I8601" s="160">
        <v>420.03</v>
      </c>
      <c r="J8601" s="8"/>
      <c r="K8601" s="8"/>
      <c r="L8601" s="8"/>
      <c r="M8601" s="91"/>
    </row>
    <row r="8602" spans="1:13" hidden="1" x14ac:dyDescent="0.3">
      <c r="A8602" s="9">
        <v>6751</v>
      </c>
      <c r="B8602" t="s">
        <v>432</v>
      </c>
      <c r="C8602" s="25">
        <v>44746</v>
      </c>
      <c r="D8602" s="26">
        <v>0.32478009259259261</v>
      </c>
      <c r="E8602" t="s">
        <v>30</v>
      </c>
      <c r="F8602" t="s">
        <v>169</v>
      </c>
      <c r="G8602" t="s">
        <v>196</v>
      </c>
      <c r="H8602" t="s">
        <v>433</v>
      </c>
      <c r="I8602" s="160">
        <v>134.24</v>
      </c>
      <c r="J8602" s="8"/>
      <c r="K8602" s="8"/>
      <c r="L8602" s="8"/>
      <c r="M8602" s="91"/>
    </row>
    <row r="8603" spans="1:13" hidden="1" x14ac:dyDescent="0.3">
      <c r="A8603" s="9">
        <v>6751</v>
      </c>
      <c r="B8603" t="s">
        <v>432</v>
      </c>
      <c r="C8603" s="25">
        <v>44747</v>
      </c>
      <c r="D8603" s="26">
        <v>0.3512615740740741</v>
      </c>
      <c r="E8603" t="s">
        <v>30</v>
      </c>
      <c r="F8603" t="s">
        <v>197</v>
      </c>
      <c r="G8603" t="s">
        <v>44</v>
      </c>
      <c r="H8603" t="s">
        <v>433</v>
      </c>
      <c r="I8603" s="173">
        <v>134.77000000000001</v>
      </c>
      <c r="J8603" s="8"/>
      <c r="K8603" s="8"/>
      <c r="L8603" s="8"/>
      <c r="M8603" s="91"/>
    </row>
    <row r="8604" spans="1:13" hidden="1" x14ac:dyDescent="0.3">
      <c r="A8604" s="9">
        <v>6751</v>
      </c>
      <c r="B8604" t="s">
        <v>432</v>
      </c>
      <c r="C8604" s="25">
        <v>44747</v>
      </c>
      <c r="D8604" s="26">
        <v>0.35483796296296299</v>
      </c>
      <c r="E8604" t="s">
        <v>30</v>
      </c>
      <c r="F8604" t="s">
        <v>197</v>
      </c>
      <c r="G8604" t="s">
        <v>44</v>
      </c>
      <c r="H8604" t="s">
        <v>433</v>
      </c>
      <c r="I8604" s="173">
        <v>99.36</v>
      </c>
      <c r="J8604" s="8"/>
      <c r="K8604" s="8"/>
      <c r="L8604" s="8"/>
      <c r="M8604" s="91"/>
    </row>
    <row r="8605" spans="1:13" hidden="1" x14ac:dyDescent="0.3">
      <c r="A8605" s="9">
        <v>6751</v>
      </c>
      <c r="B8605" t="s">
        <v>432</v>
      </c>
      <c r="C8605" s="25">
        <v>44747</v>
      </c>
      <c r="D8605" s="26">
        <v>0.80129629629629628</v>
      </c>
      <c r="E8605" t="s">
        <v>30</v>
      </c>
      <c r="F8605" t="s">
        <v>210</v>
      </c>
      <c r="G8605" t="s">
        <v>211</v>
      </c>
      <c r="H8605" t="s">
        <v>433</v>
      </c>
      <c r="I8605" s="173">
        <v>238.79</v>
      </c>
      <c r="J8605" s="8"/>
      <c r="K8605" s="8"/>
      <c r="L8605" s="8"/>
      <c r="M8605" s="91"/>
    </row>
    <row r="8606" spans="1:13" hidden="1" x14ac:dyDescent="0.3">
      <c r="A8606" s="9">
        <v>6751</v>
      </c>
      <c r="B8606" t="s">
        <v>432</v>
      </c>
      <c r="C8606" s="25">
        <v>44748</v>
      </c>
      <c r="D8606" s="26">
        <v>0.99006944444444445</v>
      </c>
      <c r="E8606" t="s">
        <v>30</v>
      </c>
      <c r="F8606" t="s">
        <v>210</v>
      </c>
      <c r="G8606" t="s">
        <v>211</v>
      </c>
      <c r="H8606" t="s">
        <v>433</v>
      </c>
      <c r="I8606" s="173">
        <v>450.62</v>
      </c>
      <c r="J8606" s="160">
        <f>451+239+100+134+134+420</f>
        <v>1478</v>
      </c>
      <c r="K8606" s="160">
        <v>293826</v>
      </c>
      <c r="L8606" s="160">
        <v>3801</v>
      </c>
      <c r="M8606" s="149">
        <f>+J8606/L8606*100</f>
        <v>38.88450407787424</v>
      </c>
    </row>
    <row r="8607" spans="1:13" hidden="1" x14ac:dyDescent="0.3">
      <c r="A8607" s="9">
        <v>6751</v>
      </c>
      <c r="B8607" t="s">
        <v>432</v>
      </c>
      <c r="C8607" s="25">
        <v>44749</v>
      </c>
      <c r="D8607" s="26">
        <v>0.79837962962962961</v>
      </c>
      <c r="E8607" t="s">
        <v>30</v>
      </c>
      <c r="F8607" t="s">
        <v>169</v>
      </c>
      <c r="G8607" t="s">
        <v>196</v>
      </c>
      <c r="H8607" t="s">
        <v>433</v>
      </c>
      <c r="I8607" s="173" t="s">
        <v>810</v>
      </c>
      <c r="J8607" s="8"/>
      <c r="K8607" s="8"/>
      <c r="L8607" s="8"/>
      <c r="M8607" s="91"/>
    </row>
    <row r="8608" spans="1:13" hidden="1" x14ac:dyDescent="0.3">
      <c r="A8608" s="9">
        <v>6751</v>
      </c>
      <c r="B8608" t="s">
        <v>432</v>
      </c>
      <c r="C8608" s="25">
        <v>44751</v>
      </c>
      <c r="D8608" s="26">
        <v>3.8425925925925923E-3</v>
      </c>
      <c r="E8608" t="s">
        <v>30</v>
      </c>
      <c r="F8608" t="s">
        <v>175</v>
      </c>
      <c r="G8608" t="s">
        <v>172</v>
      </c>
      <c r="H8608" t="s">
        <v>433</v>
      </c>
      <c r="I8608" s="173" t="s">
        <v>809</v>
      </c>
      <c r="J8608" s="23"/>
      <c r="K8608" s="8"/>
      <c r="L8608" s="23"/>
      <c r="M8608" s="91"/>
    </row>
    <row r="8609" spans="1:13" hidden="1" x14ac:dyDescent="0.3">
      <c r="A8609" s="9">
        <v>6751</v>
      </c>
      <c r="B8609" t="s">
        <v>432</v>
      </c>
      <c r="C8609" s="25">
        <v>44751</v>
      </c>
      <c r="D8609" s="26">
        <v>0.89489583333333333</v>
      </c>
      <c r="E8609" t="s">
        <v>30</v>
      </c>
      <c r="F8609" t="s">
        <v>210</v>
      </c>
      <c r="G8609" t="s">
        <v>211</v>
      </c>
      <c r="H8609" t="s">
        <v>433</v>
      </c>
      <c r="I8609" s="173" t="s">
        <v>808</v>
      </c>
      <c r="J8609" s="8"/>
      <c r="K8609" s="8"/>
      <c r="L8609" s="8"/>
      <c r="M8609" s="91"/>
    </row>
    <row r="8610" spans="1:13" hidden="1" x14ac:dyDescent="0.3">
      <c r="A8610" s="9">
        <v>6751</v>
      </c>
      <c r="B8610" t="s">
        <v>432</v>
      </c>
      <c r="C8610" s="25">
        <v>44752</v>
      </c>
      <c r="D8610" s="26">
        <v>0.99649305555555545</v>
      </c>
      <c r="E8610" t="s">
        <v>30</v>
      </c>
      <c r="F8610" t="s">
        <v>210</v>
      </c>
      <c r="G8610" t="s">
        <v>211</v>
      </c>
      <c r="H8610" t="s">
        <v>433</v>
      </c>
      <c r="I8610" s="173" t="s">
        <v>807</v>
      </c>
      <c r="J8610" s="160">
        <f>150+253+256+380</f>
        <v>1039</v>
      </c>
      <c r="K8610" s="160"/>
      <c r="L8610" s="160">
        <v>2871</v>
      </c>
      <c r="M8610" s="149">
        <f>+J8610/L8610*100</f>
        <v>36.189481017067223</v>
      </c>
    </row>
    <row r="8611" spans="1:13" hidden="1" x14ac:dyDescent="0.3">
      <c r="A8611" s="9">
        <v>6751</v>
      </c>
      <c r="B8611" t="s">
        <v>432</v>
      </c>
      <c r="C8611" s="25">
        <v>44753</v>
      </c>
      <c r="D8611" s="26">
        <v>0.78012731481481479</v>
      </c>
      <c r="E8611" t="s">
        <v>30</v>
      </c>
      <c r="F8611" t="s">
        <v>274</v>
      </c>
      <c r="G8611" t="s">
        <v>495</v>
      </c>
      <c r="H8611" t="s">
        <v>433</v>
      </c>
      <c r="I8611" s="173" t="s">
        <v>914</v>
      </c>
      <c r="J8611" s="23"/>
      <c r="K8611" s="23"/>
      <c r="L8611" s="23"/>
      <c r="M8611" s="91"/>
    </row>
    <row r="8612" spans="1:13" hidden="1" x14ac:dyDescent="0.3">
      <c r="A8612" s="9">
        <v>6751</v>
      </c>
      <c r="B8612" t="s">
        <v>432</v>
      </c>
      <c r="C8612" s="25">
        <v>44753</v>
      </c>
      <c r="D8612" s="26">
        <v>0.87343749999999998</v>
      </c>
      <c r="E8612" t="s">
        <v>30</v>
      </c>
      <c r="F8612" t="s">
        <v>879</v>
      </c>
      <c r="G8612" t="s">
        <v>500</v>
      </c>
      <c r="H8612" t="s">
        <v>433</v>
      </c>
      <c r="I8612" s="173" t="s">
        <v>913</v>
      </c>
      <c r="J8612" s="23"/>
      <c r="K8612" s="23"/>
      <c r="L8612" s="23"/>
      <c r="M8612" s="91"/>
    </row>
    <row r="8613" spans="1:13" hidden="1" x14ac:dyDescent="0.3">
      <c r="A8613" s="9">
        <v>6751</v>
      </c>
      <c r="B8613" t="s">
        <v>432</v>
      </c>
      <c r="C8613" s="25">
        <v>44754</v>
      </c>
      <c r="D8613" s="26">
        <v>0.44649305555555557</v>
      </c>
      <c r="E8613" t="s">
        <v>30</v>
      </c>
      <c r="F8613" t="s">
        <v>175</v>
      </c>
      <c r="G8613" t="s">
        <v>172</v>
      </c>
      <c r="H8613" t="s">
        <v>433</v>
      </c>
      <c r="I8613" s="173" t="s">
        <v>912</v>
      </c>
      <c r="J8613" s="23"/>
      <c r="K8613" s="23"/>
      <c r="L8613" s="23"/>
      <c r="M8613" s="91"/>
    </row>
    <row r="8614" spans="1:13" hidden="1" x14ac:dyDescent="0.3">
      <c r="A8614" s="9">
        <v>6751</v>
      </c>
      <c r="B8614" t="s">
        <v>432</v>
      </c>
      <c r="C8614" s="25">
        <v>44755</v>
      </c>
      <c r="D8614" s="26">
        <v>0.11380787037037036</v>
      </c>
      <c r="E8614" t="s">
        <v>30</v>
      </c>
      <c r="F8614" t="s">
        <v>210</v>
      </c>
      <c r="G8614" t="s">
        <v>211</v>
      </c>
      <c r="H8614" t="s">
        <v>433</v>
      </c>
      <c r="I8614" s="173" t="s">
        <v>1027</v>
      </c>
      <c r="J8614" s="231">
        <f>329+116+165+50</f>
        <v>660</v>
      </c>
      <c r="K8614" s="151"/>
      <c r="L8614" s="151">
        <v>1811</v>
      </c>
      <c r="M8614" s="150">
        <f>+J8614/L8614*100</f>
        <v>36.44395361678631</v>
      </c>
    </row>
    <row r="8615" spans="1:13" hidden="1" x14ac:dyDescent="0.3">
      <c r="A8615" s="9">
        <v>6751</v>
      </c>
      <c r="B8615" t="s">
        <v>432</v>
      </c>
      <c r="C8615" s="25">
        <v>44757</v>
      </c>
      <c r="D8615" s="26">
        <v>6.4166666666666664E-2</v>
      </c>
      <c r="E8615" t="s">
        <v>30</v>
      </c>
      <c r="F8615" t="s">
        <v>774</v>
      </c>
      <c r="G8615" t="s">
        <v>161</v>
      </c>
      <c r="H8615" t="s">
        <v>433</v>
      </c>
      <c r="I8615" s="173" t="s">
        <v>1026</v>
      </c>
      <c r="J8615" s="23"/>
      <c r="K8615" s="23"/>
      <c r="L8615" s="23"/>
      <c r="M8615" s="91"/>
    </row>
    <row r="8616" spans="1:13" hidden="1" x14ac:dyDescent="0.3">
      <c r="A8616" s="9">
        <v>6751</v>
      </c>
      <c r="B8616" t="s">
        <v>432</v>
      </c>
      <c r="C8616" s="25">
        <v>44758</v>
      </c>
      <c r="D8616" s="26">
        <v>0.51539351851851845</v>
      </c>
      <c r="E8616" t="s">
        <v>30</v>
      </c>
      <c r="F8616" t="s">
        <v>175</v>
      </c>
      <c r="G8616" t="s">
        <v>172</v>
      </c>
      <c r="H8616" t="s">
        <v>433</v>
      </c>
      <c r="I8616" s="173" t="s">
        <v>1025</v>
      </c>
      <c r="J8616" s="23"/>
      <c r="K8616" s="23"/>
      <c r="L8616" s="23"/>
      <c r="M8616" s="91"/>
    </row>
    <row r="8617" spans="1:13" hidden="1" x14ac:dyDescent="0.3">
      <c r="A8617" s="9">
        <v>6751</v>
      </c>
      <c r="B8617" t="s">
        <v>432</v>
      </c>
      <c r="C8617" s="25">
        <v>44759</v>
      </c>
      <c r="D8617" s="26">
        <v>0.16458333333333333</v>
      </c>
      <c r="E8617" t="s">
        <v>30</v>
      </c>
      <c r="F8617" t="s">
        <v>774</v>
      </c>
      <c r="G8617" t="s">
        <v>161</v>
      </c>
      <c r="H8617" t="s">
        <v>433</v>
      </c>
      <c r="I8617" s="173" t="s">
        <v>1024</v>
      </c>
      <c r="J8617" s="231">
        <f>301+312+411</f>
        <v>1024</v>
      </c>
      <c r="K8617" s="151"/>
      <c r="L8617" s="151">
        <v>2641</v>
      </c>
      <c r="M8617" s="150">
        <f>+J8617/L8617*100</f>
        <v>38.7731919727376</v>
      </c>
    </row>
    <row r="8618" spans="1:13" hidden="1" x14ac:dyDescent="0.3">
      <c r="B8618" t="s">
        <v>432</v>
      </c>
      <c r="C8618" s="25">
        <v>44760</v>
      </c>
      <c r="D8618" s="26">
        <v>0.17886574074074071</v>
      </c>
      <c r="E8618" t="s">
        <v>30</v>
      </c>
      <c r="F8618" t="s">
        <v>210</v>
      </c>
      <c r="G8618" t="s">
        <v>211</v>
      </c>
      <c r="H8618" t="s">
        <v>433</v>
      </c>
      <c r="I8618" s="160">
        <v>412.82</v>
      </c>
      <c r="J8618" s="8"/>
      <c r="K8618" s="8"/>
      <c r="L8618" s="8"/>
      <c r="M8618" s="254"/>
    </row>
    <row r="8619" spans="1:13" hidden="1" x14ac:dyDescent="0.3">
      <c r="B8619" t="s">
        <v>432</v>
      </c>
      <c r="C8619" s="25">
        <v>44761</v>
      </c>
      <c r="D8619" s="26">
        <v>0.34593750000000001</v>
      </c>
      <c r="E8619" t="s">
        <v>30</v>
      </c>
      <c r="F8619" t="s">
        <v>428</v>
      </c>
      <c r="G8619" t="s">
        <v>429</v>
      </c>
      <c r="H8619" t="s">
        <v>433</v>
      </c>
      <c r="I8619" s="160">
        <v>104.04</v>
      </c>
      <c r="J8619" s="8"/>
      <c r="K8619" s="8"/>
      <c r="L8619" s="8"/>
      <c r="M8619" s="254"/>
    </row>
    <row r="8620" spans="1:13" hidden="1" x14ac:dyDescent="0.3">
      <c r="B8620" t="s">
        <v>432</v>
      </c>
      <c r="C8620" s="25">
        <v>44761</v>
      </c>
      <c r="D8620" s="26">
        <v>0.34825231481481483</v>
      </c>
      <c r="E8620" t="s">
        <v>30</v>
      </c>
      <c r="F8620" t="s">
        <v>428</v>
      </c>
      <c r="G8620" t="s">
        <v>429</v>
      </c>
      <c r="H8620" t="s">
        <v>433</v>
      </c>
      <c r="I8620" s="160">
        <v>231.62</v>
      </c>
      <c r="J8620" s="8"/>
      <c r="K8620" s="8"/>
      <c r="L8620" s="8"/>
      <c r="M8620" s="254"/>
    </row>
    <row r="8621" spans="1:13" hidden="1" x14ac:dyDescent="0.3">
      <c r="B8621" t="s">
        <v>432</v>
      </c>
      <c r="C8621" s="25">
        <v>44762</v>
      </c>
      <c r="D8621" s="26">
        <v>0.58276620370370369</v>
      </c>
      <c r="E8621" t="s">
        <v>30</v>
      </c>
      <c r="F8621" t="s">
        <v>166</v>
      </c>
      <c r="G8621" t="s">
        <v>161</v>
      </c>
      <c r="H8621" t="s">
        <v>433</v>
      </c>
      <c r="I8621" s="160">
        <v>359.41</v>
      </c>
      <c r="J8621" s="160">
        <f>413+104+232+359</f>
        <v>1108</v>
      </c>
      <c r="K8621" s="160">
        <v>304359</v>
      </c>
      <c r="L8621" s="160">
        <v>3002</v>
      </c>
      <c r="M8621" s="150">
        <f>+J8621/L8621*100</f>
        <v>36.908727514990005</v>
      </c>
    </row>
    <row r="8622" spans="1:13" hidden="1" x14ac:dyDescent="0.3">
      <c r="B8622" t="s">
        <v>432</v>
      </c>
      <c r="C8622" s="25">
        <v>44764</v>
      </c>
      <c r="D8622" s="26">
        <v>0.75738425925925934</v>
      </c>
      <c r="E8622" t="s">
        <v>30</v>
      </c>
      <c r="F8622" t="s">
        <v>210</v>
      </c>
      <c r="G8622" t="s">
        <v>211</v>
      </c>
      <c r="H8622" t="s">
        <v>433</v>
      </c>
      <c r="I8622" s="160">
        <v>135.37</v>
      </c>
      <c r="J8622" s="8"/>
      <c r="K8622" s="8">
        <v>305588</v>
      </c>
      <c r="L8622" s="8"/>
      <c r="M8622" s="254"/>
    </row>
    <row r="8623" spans="1:13" hidden="1" x14ac:dyDescent="0.3">
      <c r="B8623" t="s">
        <v>432</v>
      </c>
      <c r="C8623" s="25">
        <v>44764</v>
      </c>
      <c r="D8623" s="26">
        <v>0.76758101851851857</v>
      </c>
      <c r="E8623" t="s">
        <v>30</v>
      </c>
      <c r="F8623" t="s">
        <v>210</v>
      </c>
      <c r="G8623" t="s">
        <v>211</v>
      </c>
      <c r="H8623" t="s">
        <v>433</v>
      </c>
      <c r="I8623" s="160">
        <v>393.96</v>
      </c>
      <c r="J8623" s="160">
        <f>135+394</f>
        <v>529</v>
      </c>
      <c r="K8623" s="160">
        <v>305588</v>
      </c>
      <c r="L8623" s="160">
        <v>1205</v>
      </c>
      <c r="M8623" s="182">
        <f t="shared" ref="M8623:M8627" si="526">+J8623/L8623*100</f>
        <v>43.900414937759336</v>
      </c>
    </row>
    <row r="8624" spans="1:13" hidden="1" x14ac:dyDescent="0.3">
      <c r="B8624" t="s">
        <v>432</v>
      </c>
      <c r="C8624" s="25">
        <v>44765</v>
      </c>
      <c r="D8624" s="26">
        <v>0.37937500000000002</v>
      </c>
      <c r="E8624" t="s">
        <v>30</v>
      </c>
      <c r="F8624" t="s">
        <v>499</v>
      </c>
      <c r="G8624" t="s">
        <v>500</v>
      </c>
      <c r="H8624" t="s">
        <v>433</v>
      </c>
      <c r="I8624" s="160">
        <v>200</v>
      </c>
      <c r="J8624" s="8"/>
      <c r="K8624" s="8"/>
      <c r="L8624" s="8"/>
      <c r="M8624" s="254"/>
    </row>
    <row r="8625" spans="1:13" hidden="1" x14ac:dyDescent="0.3">
      <c r="B8625" t="s">
        <v>432</v>
      </c>
      <c r="C8625" s="25">
        <v>44766</v>
      </c>
      <c r="D8625" s="26">
        <v>0.68733796296296301</v>
      </c>
      <c r="E8625" t="s">
        <v>30</v>
      </c>
      <c r="F8625" t="s">
        <v>210</v>
      </c>
      <c r="G8625" t="s">
        <v>211</v>
      </c>
      <c r="H8625" t="s">
        <v>433</v>
      </c>
      <c r="I8625" s="160">
        <v>317.45999999999998</v>
      </c>
      <c r="J8625" s="8"/>
      <c r="K8625" s="8"/>
      <c r="L8625" s="8"/>
      <c r="M8625" s="254"/>
    </row>
    <row r="8626" spans="1:13" hidden="1" x14ac:dyDescent="0.3">
      <c r="B8626" t="s">
        <v>432</v>
      </c>
      <c r="C8626" s="25">
        <v>44766</v>
      </c>
      <c r="D8626" s="26">
        <v>0.69567129629629632</v>
      </c>
      <c r="E8626" t="s">
        <v>30</v>
      </c>
      <c r="F8626" t="s">
        <v>210</v>
      </c>
      <c r="G8626" t="s">
        <v>211</v>
      </c>
      <c r="H8626" t="s">
        <v>433</v>
      </c>
      <c r="I8626" s="160">
        <v>126.56</v>
      </c>
      <c r="J8626" s="8"/>
      <c r="K8626" s="8"/>
      <c r="L8626" s="8"/>
      <c r="M8626" s="254"/>
    </row>
    <row r="8627" spans="1:13" hidden="1" x14ac:dyDescent="0.3">
      <c r="B8627" t="s">
        <v>432</v>
      </c>
      <c r="C8627" s="25">
        <v>44768</v>
      </c>
      <c r="D8627" s="26">
        <v>9.1574074074074072E-2</v>
      </c>
      <c r="E8627" t="s">
        <v>30</v>
      </c>
      <c r="F8627" t="s">
        <v>210</v>
      </c>
      <c r="G8627" t="s">
        <v>211</v>
      </c>
      <c r="H8627" t="s">
        <v>433</v>
      </c>
      <c r="I8627" s="160">
        <v>371.53</v>
      </c>
      <c r="J8627" s="160">
        <f>200+317+126+371</f>
        <v>1014</v>
      </c>
      <c r="K8627" s="160">
        <v>308456</v>
      </c>
      <c r="L8627" s="160">
        <v>2810</v>
      </c>
      <c r="M8627" s="150">
        <f t="shared" si="526"/>
        <v>36.085409252669038</v>
      </c>
    </row>
    <row r="8628" spans="1:13" hidden="1" x14ac:dyDescent="0.3">
      <c r="B8628" t="s">
        <v>432</v>
      </c>
      <c r="C8628" s="25">
        <v>44768</v>
      </c>
      <c r="D8628" s="26">
        <v>0.76620370370370372</v>
      </c>
      <c r="E8628" t="s">
        <v>30</v>
      </c>
      <c r="F8628" t="s">
        <v>169</v>
      </c>
      <c r="G8628" t="s">
        <v>196</v>
      </c>
      <c r="H8628" t="s">
        <v>433</v>
      </c>
      <c r="I8628" s="160">
        <v>160.34</v>
      </c>
      <c r="J8628" s="8"/>
      <c r="K8628" s="8"/>
      <c r="L8628" s="8"/>
      <c r="M8628" s="254"/>
    </row>
    <row r="8629" spans="1:13" hidden="1" x14ac:dyDescent="0.3">
      <c r="B8629" t="s">
        <v>432</v>
      </c>
      <c r="C8629" s="25">
        <v>44769</v>
      </c>
      <c r="D8629" s="26">
        <v>0.5199421296296296</v>
      </c>
      <c r="E8629" t="s">
        <v>30</v>
      </c>
      <c r="F8629" t="s">
        <v>175</v>
      </c>
      <c r="G8629" t="s">
        <v>172</v>
      </c>
      <c r="H8629" t="s">
        <v>433</v>
      </c>
      <c r="I8629" s="160">
        <v>154.53</v>
      </c>
      <c r="J8629" s="8"/>
      <c r="K8629" s="8"/>
      <c r="L8629" s="8"/>
      <c r="M8629" s="254"/>
    </row>
    <row r="8630" spans="1:13" hidden="1" x14ac:dyDescent="0.3">
      <c r="A8630" s="9">
        <v>6751</v>
      </c>
      <c r="B8630" t="s">
        <v>317</v>
      </c>
      <c r="C8630" s="25">
        <v>44743</v>
      </c>
      <c r="D8630" s="26">
        <v>0.92836805555555557</v>
      </c>
      <c r="E8630" t="s">
        <v>30</v>
      </c>
      <c r="F8630" t="s">
        <v>197</v>
      </c>
      <c r="G8630" t="s">
        <v>44</v>
      </c>
      <c r="H8630" t="s">
        <v>427</v>
      </c>
      <c r="I8630" s="160">
        <v>99.36</v>
      </c>
      <c r="J8630" s="236"/>
      <c r="K8630" s="236"/>
      <c r="L8630" s="236"/>
      <c r="M8630" s="91"/>
    </row>
    <row r="8631" spans="1:13" hidden="1" x14ac:dyDescent="0.3">
      <c r="A8631" s="9">
        <v>6751</v>
      </c>
      <c r="B8631" t="s">
        <v>317</v>
      </c>
      <c r="C8631" s="25">
        <v>44744</v>
      </c>
      <c r="D8631" s="26">
        <v>0.29071759259259261</v>
      </c>
      <c r="E8631" t="s">
        <v>30</v>
      </c>
      <c r="F8631" t="s">
        <v>197</v>
      </c>
      <c r="G8631" t="s">
        <v>44</v>
      </c>
      <c r="H8631" t="s">
        <v>427</v>
      </c>
      <c r="I8631" s="160">
        <v>134.77000000000001</v>
      </c>
      <c r="J8631" s="236"/>
      <c r="K8631" s="236"/>
      <c r="L8631" s="236"/>
      <c r="M8631" s="91"/>
    </row>
    <row r="8632" spans="1:13" hidden="1" x14ac:dyDescent="0.3">
      <c r="A8632" s="9">
        <v>6751</v>
      </c>
      <c r="B8632" t="s">
        <v>317</v>
      </c>
      <c r="C8632" s="25">
        <v>44744</v>
      </c>
      <c r="D8632" s="26">
        <v>0.39118055555555559</v>
      </c>
      <c r="E8632" t="s">
        <v>30</v>
      </c>
      <c r="F8632" t="s">
        <v>311</v>
      </c>
      <c r="G8632" t="s">
        <v>303</v>
      </c>
      <c r="H8632" t="s">
        <v>427</v>
      </c>
      <c r="I8632" s="160">
        <v>123.63</v>
      </c>
      <c r="J8632" s="236"/>
      <c r="K8632" s="236"/>
      <c r="L8632" s="236"/>
      <c r="M8632" s="91"/>
    </row>
    <row r="8633" spans="1:13" hidden="1" x14ac:dyDescent="0.3">
      <c r="A8633" s="9">
        <v>6751</v>
      </c>
      <c r="B8633" t="s">
        <v>317</v>
      </c>
      <c r="C8633" s="25">
        <v>44744</v>
      </c>
      <c r="D8633" s="26">
        <v>0.69209490740740742</v>
      </c>
      <c r="E8633" t="s">
        <v>30</v>
      </c>
      <c r="F8633" t="s">
        <v>210</v>
      </c>
      <c r="G8633" t="s">
        <v>211</v>
      </c>
      <c r="H8633" t="s">
        <v>427</v>
      </c>
      <c r="I8633" s="173">
        <v>195.96</v>
      </c>
      <c r="J8633" s="236"/>
      <c r="K8633" s="236"/>
      <c r="L8633" s="236"/>
      <c r="M8633" s="91"/>
    </row>
    <row r="8634" spans="1:13" hidden="1" x14ac:dyDescent="0.3">
      <c r="A8634" s="9">
        <v>6751</v>
      </c>
      <c r="B8634" t="s">
        <v>317</v>
      </c>
      <c r="C8634" s="25">
        <v>44745</v>
      </c>
      <c r="D8634" s="26">
        <v>5.9803240740740747E-2</v>
      </c>
      <c r="E8634" t="s">
        <v>30</v>
      </c>
      <c r="F8634" t="s">
        <v>165</v>
      </c>
      <c r="G8634" t="s">
        <v>185</v>
      </c>
      <c r="H8634" t="s">
        <v>427</v>
      </c>
      <c r="I8634" s="173">
        <v>234.4</v>
      </c>
      <c r="J8634" s="173">
        <f>234+196+123+134+100+100+95+217+287</f>
        <v>1486</v>
      </c>
      <c r="K8634" s="173">
        <v>82748</v>
      </c>
      <c r="L8634" s="173">
        <v>3941</v>
      </c>
      <c r="M8634" s="149">
        <f>+J8634/L8634*100</f>
        <v>37.706165947729005</v>
      </c>
    </row>
    <row r="8635" spans="1:13" hidden="1" x14ac:dyDescent="0.3">
      <c r="A8635" s="9">
        <v>6751</v>
      </c>
      <c r="B8635" t="s">
        <v>317</v>
      </c>
      <c r="C8635" s="25">
        <v>44745</v>
      </c>
      <c r="D8635" s="26">
        <v>0.61284722222222221</v>
      </c>
      <c r="E8635" t="s">
        <v>30</v>
      </c>
      <c r="F8635" t="s">
        <v>210</v>
      </c>
      <c r="G8635" t="s">
        <v>211</v>
      </c>
      <c r="H8635" t="s">
        <v>427</v>
      </c>
      <c r="I8635" s="173">
        <v>125.34</v>
      </c>
      <c r="J8635" s="236"/>
      <c r="K8635" s="236"/>
      <c r="L8635" s="236"/>
      <c r="M8635" s="91"/>
    </row>
    <row r="8636" spans="1:13" hidden="1" x14ac:dyDescent="0.3">
      <c r="A8636" s="9">
        <v>6751</v>
      </c>
      <c r="B8636" t="s">
        <v>317</v>
      </c>
      <c r="C8636" s="25">
        <v>44745</v>
      </c>
      <c r="D8636" s="26">
        <v>0.90900462962962969</v>
      </c>
      <c r="E8636" t="s">
        <v>30</v>
      </c>
      <c r="F8636" t="s">
        <v>169</v>
      </c>
      <c r="G8636" t="s">
        <v>196</v>
      </c>
      <c r="H8636" t="s">
        <v>427</v>
      </c>
      <c r="I8636" s="173">
        <v>145.47999999999999</v>
      </c>
      <c r="J8636" s="236"/>
      <c r="K8636" s="236"/>
      <c r="L8636" s="236"/>
      <c r="M8636" s="91"/>
    </row>
    <row r="8637" spans="1:13" hidden="1" x14ac:dyDescent="0.3">
      <c r="A8637" s="9">
        <v>6751</v>
      </c>
      <c r="B8637" t="s">
        <v>317</v>
      </c>
      <c r="C8637" s="25">
        <v>44747</v>
      </c>
      <c r="D8637" s="26">
        <v>0.39858796296296295</v>
      </c>
      <c r="E8637" t="s">
        <v>30</v>
      </c>
      <c r="F8637" t="s">
        <v>175</v>
      </c>
      <c r="G8637" t="s">
        <v>172</v>
      </c>
      <c r="H8637" t="s">
        <v>427</v>
      </c>
      <c r="I8637" s="173">
        <v>211.84</v>
      </c>
      <c r="J8637" s="236"/>
      <c r="K8637" s="236"/>
      <c r="L8637" s="236"/>
      <c r="M8637" s="91"/>
    </row>
    <row r="8638" spans="1:13" hidden="1" x14ac:dyDescent="0.3">
      <c r="A8638" s="9">
        <v>6751</v>
      </c>
      <c r="B8638" t="s">
        <v>317</v>
      </c>
      <c r="C8638" s="25">
        <v>44747</v>
      </c>
      <c r="D8638" s="26">
        <v>0.87285879629629637</v>
      </c>
      <c r="E8638" t="s">
        <v>30</v>
      </c>
      <c r="F8638" t="s">
        <v>210</v>
      </c>
      <c r="G8638" t="s">
        <v>211</v>
      </c>
      <c r="H8638" t="s">
        <v>427</v>
      </c>
      <c r="I8638" s="173">
        <v>247.48</v>
      </c>
      <c r="J8638" s="236"/>
      <c r="K8638" s="236"/>
      <c r="L8638" s="236"/>
      <c r="M8638" s="91"/>
    </row>
    <row r="8639" spans="1:13" hidden="1" x14ac:dyDescent="0.3">
      <c r="A8639" s="9">
        <v>6751</v>
      </c>
      <c r="B8639" t="s">
        <v>317</v>
      </c>
      <c r="C8639" s="25">
        <v>44748</v>
      </c>
      <c r="D8639" s="26">
        <v>0.53812499999999996</v>
      </c>
      <c r="E8639" t="s">
        <v>30</v>
      </c>
      <c r="F8639" t="s">
        <v>165</v>
      </c>
      <c r="G8639" t="s">
        <v>185</v>
      </c>
      <c r="H8639" t="s">
        <v>427</v>
      </c>
      <c r="I8639" s="173">
        <v>261.02</v>
      </c>
      <c r="J8639" s="236"/>
      <c r="K8639" s="236"/>
      <c r="L8639" s="236"/>
      <c r="M8639" s="91"/>
    </row>
    <row r="8640" spans="1:13" hidden="1" x14ac:dyDescent="0.3">
      <c r="A8640" s="9">
        <v>6751</v>
      </c>
      <c r="B8640" t="s">
        <v>317</v>
      </c>
      <c r="C8640" s="25">
        <v>44748</v>
      </c>
      <c r="D8640" s="26">
        <v>0.89711805555555557</v>
      </c>
      <c r="E8640" t="s">
        <v>30</v>
      </c>
      <c r="F8640" t="s">
        <v>210</v>
      </c>
      <c r="G8640" t="s">
        <v>211</v>
      </c>
      <c r="H8640" t="s">
        <v>427</v>
      </c>
      <c r="I8640" s="173">
        <v>110.07</v>
      </c>
      <c r="J8640" s="173">
        <f>110+261+247+212+145+126</f>
        <v>1101</v>
      </c>
      <c r="K8640" s="173">
        <v>86140</v>
      </c>
      <c r="L8640" s="173">
        <v>3340</v>
      </c>
      <c r="M8640" s="149">
        <f>+J8640/L8640*100</f>
        <v>32.964071856287426</v>
      </c>
    </row>
    <row r="8641" spans="1:13" hidden="1" x14ac:dyDescent="0.3">
      <c r="A8641" s="9">
        <v>6751</v>
      </c>
      <c r="B8641" t="s">
        <v>317</v>
      </c>
      <c r="C8641" s="25">
        <v>44749</v>
      </c>
      <c r="D8641" s="26">
        <v>0.5822222222222222</v>
      </c>
      <c r="E8641" t="s">
        <v>30</v>
      </c>
      <c r="F8641" t="s">
        <v>169</v>
      </c>
      <c r="G8641" t="s">
        <v>196</v>
      </c>
      <c r="H8641" t="s">
        <v>427</v>
      </c>
      <c r="I8641" s="173" t="s">
        <v>814</v>
      </c>
      <c r="J8641" s="236"/>
      <c r="K8641" s="236"/>
      <c r="L8641" s="236"/>
      <c r="M8641" s="91"/>
    </row>
    <row r="8642" spans="1:13" hidden="1" x14ac:dyDescent="0.3">
      <c r="A8642" s="9">
        <v>6751</v>
      </c>
      <c r="B8642" t="s">
        <v>317</v>
      </c>
      <c r="C8642" s="25">
        <v>44750</v>
      </c>
      <c r="D8642" s="26">
        <v>0.73523148148148154</v>
      </c>
      <c r="E8642" t="s">
        <v>30</v>
      </c>
      <c r="F8642" t="s">
        <v>197</v>
      </c>
      <c r="G8642" t="s">
        <v>44</v>
      </c>
      <c r="H8642" t="s">
        <v>427</v>
      </c>
      <c r="I8642" s="173" t="s">
        <v>790</v>
      </c>
      <c r="J8642" s="233"/>
      <c r="K8642" s="233"/>
      <c r="L8642" s="233"/>
      <c r="M8642" s="91"/>
    </row>
    <row r="8643" spans="1:13" hidden="1" x14ac:dyDescent="0.3">
      <c r="A8643" s="9">
        <v>6751</v>
      </c>
      <c r="B8643" t="s">
        <v>317</v>
      </c>
      <c r="C8643" s="25">
        <v>44751</v>
      </c>
      <c r="D8643" s="26">
        <v>0.43231481481481482</v>
      </c>
      <c r="E8643" t="s">
        <v>30</v>
      </c>
      <c r="F8643" t="s">
        <v>210</v>
      </c>
      <c r="G8643" t="s">
        <v>211</v>
      </c>
      <c r="H8643" t="s">
        <v>427</v>
      </c>
      <c r="I8643" s="173" t="s">
        <v>813</v>
      </c>
      <c r="J8643" s="173">
        <f>299+135+147</f>
        <v>581</v>
      </c>
      <c r="K8643" s="173"/>
      <c r="L8643" s="173">
        <v>1730</v>
      </c>
      <c r="M8643" s="149">
        <f>+J8643/L8643*100</f>
        <v>33.583815028901739</v>
      </c>
    </row>
    <row r="8644" spans="1:13" hidden="1" x14ac:dyDescent="0.3">
      <c r="A8644" s="9">
        <v>6751</v>
      </c>
      <c r="B8644" t="s">
        <v>317</v>
      </c>
      <c r="C8644" s="25">
        <v>44751</v>
      </c>
      <c r="D8644" s="26">
        <v>0.81831018518518517</v>
      </c>
      <c r="E8644" t="s">
        <v>30</v>
      </c>
      <c r="F8644" t="s">
        <v>165</v>
      </c>
      <c r="G8644" t="s">
        <v>185</v>
      </c>
      <c r="H8644" t="s">
        <v>427</v>
      </c>
      <c r="I8644" s="173" t="s">
        <v>812</v>
      </c>
      <c r="J8644" s="236"/>
      <c r="K8644" s="236"/>
      <c r="L8644" s="236"/>
      <c r="M8644" s="91"/>
    </row>
    <row r="8645" spans="1:13" hidden="1" x14ac:dyDescent="0.3">
      <c r="A8645" s="9">
        <v>6751</v>
      </c>
      <c r="B8645" t="s">
        <v>317</v>
      </c>
      <c r="C8645" s="25">
        <v>44752</v>
      </c>
      <c r="D8645" s="26">
        <v>0.56976851851851851</v>
      </c>
      <c r="E8645" t="s">
        <v>30</v>
      </c>
      <c r="F8645" t="s">
        <v>202</v>
      </c>
      <c r="G8645" t="s">
        <v>203</v>
      </c>
      <c r="H8645" t="s">
        <v>427</v>
      </c>
      <c r="I8645" s="173" t="s">
        <v>811</v>
      </c>
      <c r="J8645" s="233"/>
      <c r="K8645" s="233"/>
      <c r="L8645" s="233"/>
      <c r="M8645" s="91"/>
    </row>
    <row r="8646" spans="1:13" hidden="1" x14ac:dyDescent="0.3">
      <c r="A8646" s="9">
        <v>6751</v>
      </c>
      <c r="B8646" t="s">
        <v>317</v>
      </c>
      <c r="C8646" s="25">
        <v>44753</v>
      </c>
      <c r="D8646" s="26">
        <v>0.95708333333333329</v>
      </c>
      <c r="E8646" t="s">
        <v>30</v>
      </c>
      <c r="F8646" t="s">
        <v>165</v>
      </c>
      <c r="G8646" t="s">
        <v>185</v>
      </c>
      <c r="H8646" t="s">
        <v>427</v>
      </c>
      <c r="I8646" s="173" t="s">
        <v>900</v>
      </c>
      <c r="J8646" s="233"/>
      <c r="K8646" s="233"/>
      <c r="L8646" s="233"/>
      <c r="M8646" s="91"/>
    </row>
    <row r="8647" spans="1:13" hidden="1" x14ac:dyDescent="0.3">
      <c r="A8647" s="9">
        <v>6751</v>
      </c>
      <c r="B8647" t="s">
        <v>317</v>
      </c>
      <c r="C8647" s="25">
        <v>44754</v>
      </c>
      <c r="D8647" s="26">
        <v>0.58416666666666661</v>
      </c>
      <c r="E8647" t="s">
        <v>30</v>
      </c>
      <c r="F8647" t="s">
        <v>210</v>
      </c>
      <c r="G8647" t="s">
        <v>211</v>
      </c>
      <c r="H8647" t="s">
        <v>427</v>
      </c>
      <c r="I8647" s="173" t="s">
        <v>899</v>
      </c>
      <c r="J8647" s="231">
        <f>131+390+127+218</f>
        <v>866</v>
      </c>
      <c r="K8647" s="231"/>
      <c r="L8647" s="231">
        <v>2694</v>
      </c>
      <c r="M8647" s="150">
        <f>+J8647/L8647*100</f>
        <v>32.14550853749072</v>
      </c>
    </row>
    <row r="8648" spans="1:13" hidden="1" x14ac:dyDescent="0.3">
      <c r="A8648" s="9">
        <v>6751</v>
      </c>
      <c r="B8648" t="s">
        <v>317</v>
      </c>
      <c r="C8648" s="25">
        <v>44754</v>
      </c>
      <c r="D8648" s="26">
        <v>0.86942129629629628</v>
      </c>
      <c r="E8648" t="s">
        <v>30</v>
      </c>
      <c r="F8648" t="s">
        <v>169</v>
      </c>
      <c r="G8648" t="s">
        <v>196</v>
      </c>
      <c r="H8648" t="s">
        <v>427</v>
      </c>
      <c r="I8648" s="173" t="s">
        <v>898</v>
      </c>
      <c r="J8648" s="233"/>
      <c r="K8648" s="233"/>
      <c r="L8648" s="233"/>
      <c r="M8648" s="91"/>
    </row>
    <row r="8649" spans="1:13" hidden="1" x14ac:dyDescent="0.3">
      <c r="A8649" s="9">
        <v>6751</v>
      </c>
      <c r="B8649" t="s">
        <v>317</v>
      </c>
      <c r="C8649" s="25">
        <v>44756</v>
      </c>
      <c r="D8649" s="26">
        <v>0.31472222222222224</v>
      </c>
      <c r="E8649" t="s">
        <v>30</v>
      </c>
      <c r="F8649" t="s">
        <v>772</v>
      </c>
      <c r="G8649" t="s">
        <v>44</v>
      </c>
      <c r="H8649" t="s">
        <v>427</v>
      </c>
      <c r="I8649" s="173" t="s">
        <v>789</v>
      </c>
      <c r="J8649" s="23"/>
      <c r="K8649" s="233"/>
      <c r="L8649" s="23"/>
      <c r="M8649" s="91"/>
    </row>
    <row r="8650" spans="1:13" hidden="1" x14ac:dyDescent="0.3">
      <c r="A8650" s="9">
        <v>6751</v>
      </c>
      <c r="B8650" t="s">
        <v>317</v>
      </c>
      <c r="C8650" s="25">
        <v>44756</v>
      </c>
      <c r="D8650" s="26">
        <v>0.7053356481481482</v>
      </c>
      <c r="E8650" t="s">
        <v>30</v>
      </c>
      <c r="F8650" t="s">
        <v>210</v>
      </c>
      <c r="G8650" t="s">
        <v>211</v>
      </c>
      <c r="H8650" t="s">
        <v>427</v>
      </c>
      <c r="I8650" s="173" t="s">
        <v>999</v>
      </c>
      <c r="J8650" s="231">
        <f>401+99+139</f>
        <v>639</v>
      </c>
      <c r="K8650" s="151"/>
      <c r="L8650" s="231">
        <v>1756</v>
      </c>
      <c r="M8650" s="149">
        <f>+J8650/L8650*100</f>
        <v>36.389521640091118</v>
      </c>
    </row>
    <row r="8651" spans="1:13" hidden="1" x14ac:dyDescent="0.3">
      <c r="A8651" s="9">
        <v>6751</v>
      </c>
      <c r="B8651" t="s">
        <v>317</v>
      </c>
      <c r="C8651" s="25">
        <v>44757</v>
      </c>
      <c r="D8651" s="26">
        <v>0.41241898148148143</v>
      </c>
      <c r="E8651" t="s">
        <v>30</v>
      </c>
      <c r="F8651" t="s">
        <v>165</v>
      </c>
      <c r="G8651" t="s">
        <v>185</v>
      </c>
      <c r="H8651" t="s">
        <v>427</v>
      </c>
      <c r="I8651" s="173" t="s">
        <v>998</v>
      </c>
      <c r="J8651" s="23"/>
      <c r="K8651" s="23"/>
      <c r="L8651" s="23"/>
      <c r="M8651" s="91"/>
    </row>
    <row r="8652" spans="1:13" hidden="1" x14ac:dyDescent="0.3">
      <c r="A8652" s="9">
        <v>6751</v>
      </c>
      <c r="B8652" t="s">
        <v>317</v>
      </c>
      <c r="C8652" s="25">
        <v>44757</v>
      </c>
      <c r="D8652" s="26">
        <v>0.75679398148148147</v>
      </c>
      <c r="E8652" t="s">
        <v>30</v>
      </c>
      <c r="F8652" t="s">
        <v>210</v>
      </c>
      <c r="G8652" t="s">
        <v>211</v>
      </c>
      <c r="H8652" t="s">
        <v>427</v>
      </c>
      <c r="I8652" s="173" t="s">
        <v>997</v>
      </c>
      <c r="J8652" s="231">
        <f>121+247</f>
        <v>368</v>
      </c>
      <c r="K8652" s="231"/>
      <c r="L8652" s="231">
        <v>1064</v>
      </c>
      <c r="M8652" s="149">
        <f>+J8652/L8652*100</f>
        <v>34.586466165413533</v>
      </c>
    </row>
    <row r="8653" spans="1:13" hidden="1" x14ac:dyDescent="0.3">
      <c r="A8653" s="9">
        <v>6751</v>
      </c>
      <c r="B8653" t="s">
        <v>317</v>
      </c>
      <c r="C8653" s="25">
        <v>44758</v>
      </c>
      <c r="D8653" s="26">
        <v>0.35114583333333332</v>
      </c>
      <c r="E8653" t="s">
        <v>30</v>
      </c>
      <c r="F8653" t="s">
        <v>169</v>
      </c>
      <c r="G8653" t="s">
        <v>196</v>
      </c>
      <c r="H8653" t="s">
        <v>427</v>
      </c>
      <c r="I8653" s="173" t="s">
        <v>996</v>
      </c>
      <c r="J8653" s="23"/>
      <c r="K8653" s="23"/>
      <c r="L8653" s="23"/>
      <c r="M8653" s="91"/>
    </row>
    <row r="8654" spans="1:13" hidden="1" x14ac:dyDescent="0.3">
      <c r="A8654" s="9">
        <v>6751</v>
      </c>
      <c r="B8654" t="s">
        <v>317</v>
      </c>
      <c r="C8654" s="25">
        <v>44758</v>
      </c>
      <c r="D8654" s="26">
        <v>0.6551851851851852</v>
      </c>
      <c r="E8654" t="s">
        <v>30</v>
      </c>
      <c r="F8654" t="s">
        <v>175</v>
      </c>
      <c r="G8654" t="s">
        <v>172</v>
      </c>
      <c r="H8654" t="s">
        <v>427</v>
      </c>
      <c r="I8654" s="173" t="s">
        <v>995</v>
      </c>
      <c r="J8654" s="23"/>
      <c r="K8654" s="23"/>
      <c r="L8654" s="23"/>
      <c r="M8654" s="91"/>
    </row>
    <row r="8655" spans="1:13" hidden="1" x14ac:dyDescent="0.3">
      <c r="A8655" s="9">
        <v>6751</v>
      </c>
      <c r="B8655" t="s">
        <v>317</v>
      </c>
      <c r="C8655" s="25">
        <v>44759</v>
      </c>
      <c r="D8655" s="26">
        <v>0.59578703703703706</v>
      </c>
      <c r="E8655" t="s">
        <v>30</v>
      </c>
      <c r="F8655" t="s">
        <v>210</v>
      </c>
      <c r="G8655" t="s">
        <v>211</v>
      </c>
      <c r="H8655" t="s">
        <v>427</v>
      </c>
      <c r="I8655" s="173" t="s">
        <v>994</v>
      </c>
      <c r="J8655" s="231">
        <f>352+165+155</f>
        <v>672</v>
      </c>
      <c r="K8655" s="151"/>
      <c r="L8655" s="151">
        <v>1757</v>
      </c>
      <c r="M8655" s="149">
        <f>+J8655/L8655*100</f>
        <v>38.247011952191237</v>
      </c>
    </row>
    <row r="8656" spans="1:13" hidden="1" x14ac:dyDescent="0.3">
      <c r="A8656" s="9">
        <v>6751</v>
      </c>
      <c r="B8656" t="s">
        <v>317</v>
      </c>
      <c r="C8656" s="25">
        <v>44759</v>
      </c>
      <c r="D8656" s="26">
        <v>0.9956828703703704</v>
      </c>
      <c r="E8656" t="s">
        <v>30</v>
      </c>
      <c r="F8656" t="s">
        <v>165</v>
      </c>
      <c r="G8656" t="s">
        <v>185</v>
      </c>
      <c r="H8656" t="s">
        <v>427</v>
      </c>
      <c r="I8656" s="173" t="s">
        <v>993</v>
      </c>
      <c r="J8656" s="23"/>
      <c r="K8656" s="23"/>
      <c r="L8656" s="23"/>
      <c r="M8656" s="91"/>
    </row>
    <row r="8657" spans="2:13" hidden="1" x14ac:dyDescent="0.3">
      <c r="B8657" t="s">
        <v>317</v>
      </c>
      <c r="C8657" s="25">
        <v>44760</v>
      </c>
      <c r="D8657" s="26">
        <v>0.54053240740740738</v>
      </c>
      <c r="E8657" t="s">
        <v>30</v>
      </c>
      <c r="F8657" t="s">
        <v>210</v>
      </c>
      <c r="G8657" t="s">
        <v>211</v>
      </c>
      <c r="H8657" t="s">
        <v>427</v>
      </c>
      <c r="I8657" s="160">
        <v>128.81</v>
      </c>
      <c r="J8657" s="160">
        <f>212+129</f>
        <v>341</v>
      </c>
      <c r="K8657" s="160">
        <v>1593</v>
      </c>
      <c r="L8657" s="160">
        <v>1064</v>
      </c>
      <c r="M8657" s="150">
        <f t="shared" ref="M8657:M8662" si="527">+J8657/L8657*100</f>
        <v>32.048872180451127</v>
      </c>
    </row>
    <row r="8658" spans="2:13" hidden="1" x14ac:dyDescent="0.3">
      <c r="B8658" t="s">
        <v>317</v>
      </c>
      <c r="C8658" s="25">
        <v>44761</v>
      </c>
      <c r="D8658" s="26">
        <v>0.36745370370370373</v>
      </c>
      <c r="E8658" t="s">
        <v>30</v>
      </c>
      <c r="F8658" t="s">
        <v>169</v>
      </c>
      <c r="G8658" t="s">
        <v>196</v>
      </c>
      <c r="H8658" t="s">
        <v>427</v>
      </c>
      <c r="I8658" s="160">
        <v>159.91</v>
      </c>
      <c r="J8658" s="8"/>
      <c r="K8658" s="8"/>
      <c r="L8658" s="8"/>
      <c r="M8658" s="254"/>
    </row>
    <row r="8659" spans="2:13" hidden="1" x14ac:dyDescent="0.3">
      <c r="B8659" t="s">
        <v>317</v>
      </c>
      <c r="C8659" s="25">
        <v>44761</v>
      </c>
      <c r="D8659" s="26">
        <v>0.68682870370370364</v>
      </c>
      <c r="E8659" t="s">
        <v>30</v>
      </c>
      <c r="F8659" t="s">
        <v>175</v>
      </c>
      <c r="G8659" t="s">
        <v>172</v>
      </c>
      <c r="H8659" t="s">
        <v>427</v>
      </c>
      <c r="I8659" s="160">
        <v>146.71</v>
      </c>
      <c r="J8659" s="8"/>
      <c r="K8659" s="8"/>
      <c r="L8659" s="8"/>
      <c r="M8659" s="254"/>
    </row>
    <row r="8660" spans="2:13" hidden="1" x14ac:dyDescent="0.3">
      <c r="B8660" t="s">
        <v>317</v>
      </c>
      <c r="C8660" s="25">
        <v>44762</v>
      </c>
      <c r="D8660" s="26">
        <v>0.63957175925925924</v>
      </c>
      <c r="E8660" t="s">
        <v>30</v>
      </c>
      <c r="F8660" t="s">
        <v>210</v>
      </c>
      <c r="G8660" t="s">
        <v>211</v>
      </c>
      <c r="H8660" t="s">
        <v>427</v>
      </c>
      <c r="I8660" s="160">
        <v>340.17</v>
      </c>
      <c r="J8660" s="160">
        <f>160+147+340</f>
        <v>647</v>
      </c>
      <c r="K8660" s="160">
        <v>98162</v>
      </c>
      <c r="L8660" s="160">
        <v>1759</v>
      </c>
      <c r="M8660" s="150">
        <f t="shared" si="527"/>
        <v>36.782262649232514</v>
      </c>
    </row>
    <row r="8661" spans="2:13" hidden="1" x14ac:dyDescent="0.3">
      <c r="B8661" t="s">
        <v>317</v>
      </c>
      <c r="C8661" s="25">
        <v>44763</v>
      </c>
      <c r="D8661" s="26">
        <v>4.6574074074074073E-2</v>
      </c>
      <c r="E8661" t="s">
        <v>30</v>
      </c>
      <c r="F8661" t="s">
        <v>165</v>
      </c>
      <c r="G8661" t="s">
        <v>185</v>
      </c>
      <c r="H8661" t="s">
        <v>427</v>
      </c>
      <c r="I8661" s="160">
        <v>230.06</v>
      </c>
      <c r="J8661" s="8"/>
      <c r="K8661" s="8"/>
      <c r="L8661" s="8"/>
      <c r="M8661" s="254"/>
    </row>
    <row r="8662" spans="2:13" hidden="1" x14ac:dyDescent="0.3">
      <c r="B8662" t="s">
        <v>317</v>
      </c>
      <c r="C8662" s="25">
        <v>44763</v>
      </c>
      <c r="D8662" s="26">
        <v>0.98190972222222228</v>
      </c>
      <c r="E8662" t="s">
        <v>30</v>
      </c>
      <c r="F8662" t="s">
        <v>210</v>
      </c>
      <c r="G8662" t="s">
        <v>211</v>
      </c>
      <c r="H8662" t="s">
        <v>427</v>
      </c>
      <c r="I8662" s="160">
        <v>202.33</v>
      </c>
      <c r="J8662" s="160">
        <f>230+202</f>
        <v>432</v>
      </c>
      <c r="K8662" s="160">
        <v>99305</v>
      </c>
      <c r="L8662" s="160">
        <v>1123</v>
      </c>
      <c r="M8662" s="150">
        <f t="shared" si="527"/>
        <v>38.468388245770257</v>
      </c>
    </row>
    <row r="8663" spans="2:13" hidden="1" x14ac:dyDescent="0.3">
      <c r="B8663" t="s">
        <v>317</v>
      </c>
      <c r="C8663" s="25">
        <v>44764</v>
      </c>
      <c r="D8663" s="26">
        <v>0.48560185185185184</v>
      </c>
      <c r="E8663" t="s">
        <v>30</v>
      </c>
      <c r="F8663" t="s">
        <v>169</v>
      </c>
      <c r="G8663" t="s">
        <v>196</v>
      </c>
      <c r="H8663" t="s">
        <v>427</v>
      </c>
      <c r="I8663" s="160">
        <v>167.47</v>
      </c>
      <c r="J8663" s="8"/>
      <c r="K8663" s="8"/>
      <c r="L8663" s="8"/>
      <c r="M8663" s="254"/>
    </row>
    <row r="8664" spans="2:13" hidden="1" x14ac:dyDescent="0.3">
      <c r="B8664" t="s">
        <v>215</v>
      </c>
      <c r="C8664" s="25">
        <v>44743</v>
      </c>
      <c r="D8664" s="26">
        <v>0.47752314814814811</v>
      </c>
      <c r="E8664" t="s">
        <v>30</v>
      </c>
      <c r="F8664" t="s">
        <v>210</v>
      </c>
      <c r="G8664" t="s">
        <v>211</v>
      </c>
      <c r="H8664" t="s">
        <v>540</v>
      </c>
      <c r="I8664" s="159">
        <v>184.18</v>
      </c>
      <c r="J8664"/>
      <c r="K8664"/>
      <c r="L8664"/>
      <c r="M8664" s="134"/>
    </row>
    <row r="8665" spans="2:13" hidden="1" x14ac:dyDescent="0.3">
      <c r="B8665" t="s">
        <v>215</v>
      </c>
      <c r="C8665" s="25">
        <v>44743</v>
      </c>
      <c r="D8665" s="26">
        <v>0.98453703703703699</v>
      </c>
      <c r="E8665" t="s">
        <v>30</v>
      </c>
      <c r="F8665" t="s">
        <v>165</v>
      </c>
      <c r="G8665" t="s">
        <v>185</v>
      </c>
      <c r="H8665" t="s">
        <v>540</v>
      </c>
      <c r="I8665" s="173">
        <v>276.56</v>
      </c>
      <c r="J8665" s="8"/>
      <c r="K8665" s="8"/>
      <c r="L8665" s="8"/>
      <c r="M8665" s="91"/>
    </row>
    <row r="8666" spans="2:13" hidden="1" x14ac:dyDescent="0.3">
      <c r="B8666" t="s">
        <v>215</v>
      </c>
      <c r="C8666" s="25">
        <v>44744</v>
      </c>
      <c r="D8666" s="26">
        <v>0.92133101851851851</v>
      </c>
      <c r="E8666" t="s">
        <v>30</v>
      </c>
      <c r="F8666" t="s">
        <v>210</v>
      </c>
      <c r="G8666" t="s">
        <v>211</v>
      </c>
      <c r="H8666" t="s">
        <v>540</v>
      </c>
      <c r="I8666" s="173">
        <v>222.82</v>
      </c>
      <c r="J8666" s="8"/>
      <c r="K8666" s="8"/>
      <c r="L8666" s="8"/>
      <c r="M8666" s="91"/>
    </row>
    <row r="8667" spans="2:13" hidden="1" x14ac:dyDescent="0.3">
      <c r="B8667" t="s">
        <v>215</v>
      </c>
      <c r="C8667" s="25">
        <v>44747</v>
      </c>
      <c r="D8667" s="26">
        <v>0.63831018518518523</v>
      </c>
      <c r="E8667" t="s">
        <v>30</v>
      </c>
      <c r="F8667" t="s">
        <v>311</v>
      </c>
      <c r="G8667" t="s">
        <v>303</v>
      </c>
      <c r="H8667" t="s">
        <v>540</v>
      </c>
      <c r="I8667" s="173">
        <v>477.87</v>
      </c>
      <c r="J8667" s="8"/>
      <c r="K8667" s="8"/>
      <c r="L8667" s="8"/>
      <c r="M8667" s="91"/>
    </row>
    <row r="8668" spans="2:13" hidden="1" x14ac:dyDescent="0.3">
      <c r="B8668" t="s">
        <v>215</v>
      </c>
      <c r="C8668" s="25">
        <v>44747</v>
      </c>
      <c r="D8668" s="26">
        <v>0.97013888888888899</v>
      </c>
      <c r="E8668" t="s">
        <v>30</v>
      </c>
      <c r="F8668" t="s">
        <v>210</v>
      </c>
      <c r="G8668" t="s">
        <v>211</v>
      </c>
      <c r="H8668" t="s">
        <v>540</v>
      </c>
      <c r="I8668" s="173">
        <v>157.6</v>
      </c>
      <c r="J8668" s="160">
        <f>158+478+223+277+185</f>
        <v>1321</v>
      </c>
      <c r="K8668" s="160">
        <v>8886</v>
      </c>
      <c r="L8668" s="160">
        <v>3407</v>
      </c>
      <c r="M8668" s="149">
        <f>+J8668/L8668*100</f>
        <v>38.773114176695039</v>
      </c>
    </row>
    <row r="8669" spans="2:13" hidden="1" x14ac:dyDescent="0.3">
      <c r="B8669" t="s">
        <v>215</v>
      </c>
      <c r="C8669" s="25">
        <v>44749</v>
      </c>
      <c r="D8669" s="26">
        <v>6.2488425925925926E-2</v>
      </c>
      <c r="E8669" t="s">
        <v>30</v>
      </c>
      <c r="F8669" t="s">
        <v>210</v>
      </c>
      <c r="G8669" t="s">
        <v>211</v>
      </c>
      <c r="H8669" t="s">
        <v>540</v>
      </c>
      <c r="I8669" s="173">
        <v>387.5</v>
      </c>
      <c r="J8669" s="8"/>
      <c r="K8669" s="8"/>
      <c r="L8669" s="8"/>
      <c r="M8669" s="91"/>
    </row>
    <row r="8670" spans="2:13" hidden="1" x14ac:dyDescent="0.3">
      <c r="B8670" t="s">
        <v>215</v>
      </c>
      <c r="C8670" s="25">
        <v>44750</v>
      </c>
      <c r="D8670" s="26">
        <v>0.99511574074074083</v>
      </c>
      <c r="E8670" t="s">
        <v>30</v>
      </c>
      <c r="F8670" t="s">
        <v>175</v>
      </c>
      <c r="G8670" t="s">
        <v>172</v>
      </c>
      <c r="H8670" t="s">
        <v>540</v>
      </c>
      <c r="I8670" s="173">
        <v>391.17</v>
      </c>
      <c r="J8670" s="8"/>
      <c r="K8670" s="8"/>
      <c r="L8670" s="8"/>
      <c r="M8670" s="91"/>
    </row>
    <row r="8671" spans="2:13" hidden="1" x14ac:dyDescent="0.3">
      <c r="B8671" t="s">
        <v>215</v>
      </c>
      <c r="C8671" s="25">
        <v>44751</v>
      </c>
      <c r="D8671" s="26">
        <v>0.86483796296296289</v>
      </c>
      <c r="E8671" t="s">
        <v>30</v>
      </c>
      <c r="F8671" t="s">
        <v>210</v>
      </c>
      <c r="G8671" t="s">
        <v>211</v>
      </c>
      <c r="H8671" t="s">
        <v>540</v>
      </c>
      <c r="I8671" s="173">
        <v>264.39999999999998</v>
      </c>
      <c r="J8671" s="160">
        <f>387+391+264</f>
        <v>1042</v>
      </c>
      <c r="K8671" s="160"/>
      <c r="L8671" s="160">
        <v>2767</v>
      </c>
      <c r="M8671" s="149">
        <f>+J8671/L8671*100</f>
        <v>37.658113480303577</v>
      </c>
    </row>
    <row r="8672" spans="2:13" hidden="1" x14ac:dyDescent="0.3">
      <c r="B8672" t="s">
        <v>215</v>
      </c>
      <c r="C8672" s="25">
        <v>44753</v>
      </c>
      <c r="D8672" s="26">
        <v>0.88380787037037034</v>
      </c>
      <c r="E8672" t="s">
        <v>30</v>
      </c>
      <c r="F8672" t="s">
        <v>165</v>
      </c>
      <c r="G8672" t="s">
        <v>185</v>
      </c>
      <c r="H8672" t="s">
        <v>540</v>
      </c>
      <c r="I8672" s="173">
        <v>357.58</v>
      </c>
      <c r="J8672" s="233"/>
      <c r="K8672" s="233"/>
      <c r="L8672" s="233"/>
      <c r="M8672" s="91"/>
    </row>
    <row r="8673" spans="2:13" hidden="1" x14ac:dyDescent="0.3">
      <c r="B8673" t="s">
        <v>215</v>
      </c>
      <c r="C8673" s="25">
        <v>44754</v>
      </c>
      <c r="D8673" s="26">
        <v>0.88128472222222232</v>
      </c>
      <c r="E8673" t="s">
        <v>30</v>
      </c>
      <c r="F8673" t="s">
        <v>165</v>
      </c>
      <c r="G8673" t="s">
        <v>185</v>
      </c>
      <c r="H8673" t="s">
        <v>540</v>
      </c>
      <c r="I8673" s="173">
        <v>175.11</v>
      </c>
      <c r="J8673" s="23"/>
      <c r="K8673" s="23"/>
      <c r="L8673" s="23"/>
      <c r="M8673" s="91"/>
    </row>
    <row r="8674" spans="2:13" hidden="1" x14ac:dyDescent="0.3">
      <c r="B8674" t="s">
        <v>215</v>
      </c>
      <c r="C8674" s="25">
        <v>44756</v>
      </c>
      <c r="D8674" s="26">
        <v>0.73074074074074069</v>
      </c>
      <c r="E8674" t="s">
        <v>30</v>
      </c>
      <c r="F8674" t="s">
        <v>165</v>
      </c>
      <c r="G8674" t="s">
        <v>185</v>
      </c>
      <c r="H8674" t="s">
        <v>540</v>
      </c>
      <c r="I8674" s="173">
        <v>356.74</v>
      </c>
      <c r="J8674" s="23"/>
      <c r="K8674" s="23"/>
      <c r="L8674" s="23"/>
      <c r="M8674" s="91"/>
    </row>
    <row r="8675" spans="2:13" hidden="1" x14ac:dyDescent="0.3">
      <c r="B8675" t="s">
        <v>215</v>
      </c>
      <c r="C8675" s="25">
        <v>44758</v>
      </c>
      <c r="D8675" s="26">
        <v>0.59219907407407402</v>
      </c>
      <c r="E8675" t="s">
        <v>30</v>
      </c>
      <c r="F8675" t="s">
        <v>165</v>
      </c>
      <c r="G8675" t="s">
        <v>185</v>
      </c>
      <c r="H8675" t="s">
        <v>540</v>
      </c>
      <c r="I8675" s="173">
        <v>194.9</v>
      </c>
      <c r="J8675" s="231">
        <f>195+357+175</f>
        <v>727</v>
      </c>
      <c r="K8675" s="231"/>
      <c r="L8675" s="231">
        <v>1775</v>
      </c>
      <c r="M8675" s="150">
        <f>+J8675/L8675*100</f>
        <v>40.95774647887324</v>
      </c>
    </row>
    <row r="8676" spans="2:13" hidden="1" x14ac:dyDescent="0.3">
      <c r="B8676" t="s">
        <v>215</v>
      </c>
      <c r="C8676" s="25">
        <v>44760</v>
      </c>
      <c r="D8676" s="26">
        <v>0.84657407407407403</v>
      </c>
      <c r="E8676" t="s">
        <v>30</v>
      </c>
      <c r="F8676" t="s">
        <v>278</v>
      </c>
      <c r="G8676" t="s">
        <v>279</v>
      </c>
      <c r="H8676" t="s">
        <v>540</v>
      </c>
      <c r="I8676" s="160">
        <v>482.45</v>
      </c>
      <c r="J8676" s="8"/>
      <c r="K8676" s="8"/>
      <c r="L8676" s="8"/>
      <c r="M8676" s="254"/>
    </row>
    <row r="8677" spans="2:13" hidden="1" x14ac:dyDescent="0.3">
      <c r="B8677" t="s">
        <v>215</v>
      </c>
      <c r="C8677" s="25">
        <v>44761</v>
      </c>
      <c r="D8677" s="26">
        <v>0.96421296296296299</v>
      </c>
      <c r="E8677" t="s">
        <v>30</v>
      </c>
      <c r="F8677" t="s">
        <v>210</v>
      </c>
      <c r="G8677" t="s">
        <v>211</v>
      </c>
      <c r="H8677" t="s">
        <v>540</v>
      </c>
      <c r="I8677" s="164">
        <v>319.05</v>
      </c>
      <c r="J8677" s="164">
        <f>482+319</f>
        <v>801</v>
      </c>
      <c r="K8677" s="164">
        <v>8886</v>
      </c>
      <c r="L8677" s="164">
        <v>2204</v>
      </c>
      <c r="M8677" s="198">
        <f>+J8677/L8677*100</f>
        <v>36.343012704174228</v>
      </c>
    </row>
    <row r="8678" spans="2:13" hidden="1" x14ac:dyDescent="0.3">
      <c r="B8678" t="s">
        <v>215</v>
      </c>
      <c r="C8678" s="25">
        <v>44762</v>
      </c>
      <c r="D8678" s="26">
        <v>0.68137731481481489</v>
      </c>
      <c r="E8678" t="s">
        <v>30</v>
      </c>
      <c r="F8678" t="s">
        <v>169</v>
      </c>
      <c r="G8678" t="s">
        <v>196</v>
      </c>
      <c r="H8678" t="s">
        <v>540</v>
      </c>
      <c r="I8678" s="160">
        <v>162.87</v>
      </c>
      <c r="J8678" s="8"/>
      <c r="K8678" s="8"/>
      <c r="L8678" s="8"/>
      <c r="M8678" s="254"/>
    </row>
    <row r="8679" spans="2:13" hidden="1" x14ac:dyDescent="0.3">
      <c r="B8679" t="s">
        <v>254</v>
      </c>
      <c r="C8679" s="25">
        <v>44743</v>
      </c>
      <c r="D8679" s="26">
        <v>0.59836805555555561</v>
      </c>
      <c r="E8679" t="s">
        <v>30</v>
      </c>
      <c r="F8679" t="s">
        <v>210</v>
      </c>
      <c r="G8679" t="s">
        <v>211</v>
      </c>
      <c r="H8679" t="s">
        <v>581</v>
      </c>
      <c r="I8679" s="162">
        <v>523.80999999999995</v>
      </c>
      <c r="J8679" s="8"/>
      <c r="K8679" s="8"/>
      <c r="L8679" s="8"/>
      <c r="M8679" s="91"/>
    </row>
    <row r="8680" spans="2:13" hidden="1" x14ac:dyDescent="0.3">
      <c r="B8680" t="s">
        <v>254</v>
      </c>
      <c r="C8680" s="25">
        <v>44743</v>
      </c>
      <c r="D8680" s="26">
        <v>0.6057407407407408</v>
      </c>
      <c r="E8680" t="s">
        <v>30</v>
      </c>
      <c r="F8680" t="s">
        <v>210</v>
      </c>
      <c r="G8680" t="s">
        <v>211</v>
      </c>
      <c r="H8680" t="s">
        <v>581</v>
      </c>
      <c r="I8680" s="162">
        <v>68.819999999999993</v>
      </c>
      <c r="J8680" s="8"/>
      <c r="K8680" s="8"/>
      <c r="L8680" s="8"/>
      <c r="M8680" s="91"/>
    </row>
    <row r="8681" spans="2:13" hidden="1" x14ac:dyDescent="0.3">
      <c r="B8681" t="s">
        <v>254</v>
      </c>
      <c r="C8681" s="25">
        <v>44744</v>
      </c>
      <c r="D8681" s="26">
        <v>0.79206018518518517</v>
      </c>
      <c r="E8681" t="s">
        <v>30</v>
      </c>
      <c r="F8681" t="s">
        <v>210</v>
      </c>
      <c r="G8681" t="s">
        <v>211</v>
      </c>
      <c r="H8681" t="s">
        <v>581</v>
      </c>
      <c r="I8681" s="148">
        <v>403.33</v>
      </c>
      <c r="J8681" s="8"/>
      <c r="K8681" s="8"/>
      <c r="L8681" s="8"/>
      <c r="M8681" s="91"/>
    </row>
    <row r="8682" spans="2:13" hidden="1" x14ac:dyDescent="0.3">
      <c r="B8682" t="s">
        <v>254</v>
      </c>
      <c r="C8682" s="25">
        <v>44747</v>
      </c>
      <c r="D8682" s="26">
        <v>0.63048611111111108</v>
      </c>
      <c r="E8682" t="s">
        <v>30</v>
      </c>
      <c r="F8682" t="s">
        <v>210</v>
      </c>
      <c r="G8682" t="s">
        <v>211</v>
      </c>
      <c r="H8682" t="s">
        <v>581</v>
      </c>
      <c r="I8682" s="162">
        <v>523.80999999999995</v>
      </c>
      <c r="J8682" s="8"/>
      <c r="K8682" s="8"/>
      <c r="L8682" s="8"/>
      <c r="M8682" s="91"/>
    </row>
    <row r="8683" spans="2:13" hidden="1" x14ac:dyDescent="0.3">
      <c r="B8683" t="s">
        <v>254</v>
      </c>
      <c r="C8683" s="25">
        <v>44747</v>
      </c>
      <c r="D8683" s="26">
        <v>0.63843749999999999</v>
      </c>
      <c r="E8683" t="s">
        <v>30</v>
      </c>
      <c r="F8683" t="s">
        <v>210</v>
      </c>
      <c r="G8683" t="s">
        <v>211</v>
      </c>
      <c r="H8683" t="s">
        <v>581</v>
      </c>
      <c r="I8683" s="162">
        <v>92.04</v>
      </c>
      <c r="J8683" s="8"/>
      <c r="K8683" s="8"/>
      <c r="L8683" s="8"/>
      <c r="M8683" s="91"/>
    </row>
    <row r="8684" spans="2:13" hidden="1" x14ac:dyDescent="0.3">
      <c r="B8684" t="s">
        <v>254</v>
      </c>
      <c r="C8684" s="25">
        <v>44748</v>
      </c>
      <c r="D8684" s="26">
        <v>0.88687499999999997</v>
      </c>
      <c r="E8684" t="s">
        <v>30</v>
      </c>
      <c r="F8684" t="s">
        <v>210</v>
      </c>
      <c r="G8684" t="s">
        <v>211</v>
      </c>
      <c r="H8684" t="s">
        <v>581</v>
      </c>
      <c r="I8684" s="160">
        <v>418.47</v>
      </c>
      <c r="J8684" s="160">
        <f>419+92+524+404+69+524</f>
        <v>2032</v>
      </c>
      <c r="K8684" s="160">
        <v>47492</v>
      </c>
      <c r="L8684" s="160">
        <v>5565</v>
      </c>
      <c r="M8684" s="149">
        <f>+J8684/L8684*100</f>
        <v>36.513926325247084</v>
      </c>
    </row>
    <row r="8685" spans="2:13" hidden="1" x14ac:dyDescent="0.3">
      <c r="B8685" t="s">
        <v>254</v>
      </c>
      <c r="C8685" s="25">
        <v>44751</v>
      </c>
      <c r="D8685" s="26">
        <v>0.10856481481481482</v>
      </c>
      <c r="E8685" t="s">
        <v>30</v>
      </c>
      <c r="F8685" t="s">
        <v>533</v>
      </c>
      <c r="G8685" t="s">
        <v>45</v>
      </c>
      <c r="H8685" t="s">
        <v>581</v>
      </c>
      <c r="I8685" s="173">
        <v>746.61</v>
      </c>
      <c r="J8685" s="23"/>
      <c r="K8685" s="23"/>
      <c r="L8685" s="23"/>
      <c r="M8685" s="91"/>
    </row>
    <row r="8686" spans="2:13" hidden="1" x14ac:dyDescent="0.3">
      <c r="B8686" t="s">
        <v>254</v>
      </c>
      <c r="C8686" s="25">
        <v>44751</v>
      </c>
      <c r="D8686" s="26">
        <v>0.11891203703703705</v>
      </c>
      <c r="E8686" t="s">
        <v>30</v>
      </c>
      <c r="F8686" t="s">
        <v>779</v>
      </c>
      <c r="G8686" t="s">
        <v>45</v>
      </c>
      <c r="H8686" t="s">
        <v>581</v>
      </c>
      <c r="I8686" s="159">
        <v>73.5</v>
      </c>
      <c r="J8686"/>
      <c r="K8686"/>
      <c r="L8686"/>
      <c r="M8686" s="134"/>
    </row>
    <row r="8687" spans="2:13" hidden="1" x14ac:dyDescent="0.3">
      <c r="B8687" t="s">
        <v>254</v>
      </c>
      <c r="C8687" s="25">
        <v>44754</v>
      </c>
      <c r="D8687" s="26">
        <v>0.18921296296296297</v>
      </c>
      <c r="E8687" t="s">
        <v>30</v>
      </c>
      <c r="F8687" t="s">
        <v>876</v>
      </c>
      <c r="G8687" t="s">
        <v>279</v>
      </c>
      <c r="H8687" t="s">
        <v>581</v>
      </c>
      <c r="I8687" s="173">
        <v>550</v>
      </c>
      <c r="J8687" s="23"/>
      <c r="K8687" s="23"/>
      <c r="L8687" s="23"/>
      <c r="M8687" s="91"/>
    </row>
    <row r="8688" spans="2:13" hidden="1" x14ac:dyDescent="0.3">
      <c r="B8688" t="s">
        <v>254</v>
      </c>
      <c r="C8688" s="25">
        <v>44754</v>
      </c>
      <c r="D8688" s="26">
        <v>0.2026273148148148</v>
      </c>
      <c r="E8688" t="s">
        <v>30</v>
      </c>
      <c r="F8688" t="s">
        <v>876</v>
      </c>
      <c r="G8688" t="s">
        <v>279</v>
      </c>
      <c r="H8688" t="s">
        <v>581</v>
      </c>
      <c r="I8688" s="173">
        <v>201.02</v>
      </c>
      <c r="J8688" s="23"/>
      <c r="K8688" s="23"/>
      <c r="L8688" s="23"/>
      <c r="M8688" s="91"/>
    </row>
    <row r="8689" spans="1:13" hidden="1" x14ac:dyDescent="0.3">
      <c r="B8689" t="s">
        <v>254</v>
      </c>
      <c r="C8689" s="25">
        <v>44756</v>
      </c>
      <c r="D8689" s="26">
        <v>0.65508101851851852</v>
      </c>
      <c r="E8689" t="s">
        <v>30</v>
      </c>
      <c r="F8689" t="s">
        <v>210</v>
      </c>
      <c r="G8689" t="s">
        <v>211</v>
      </c>
      <c r="H8689" t="s">
        <v>581</v>
      </c>
      <c r="I8689" s="173">
        <v>523.80999999999995</v>
      </c>
      <c r="J8689" s="23"/>
      <c r="K8689" s="23"/>
      <c r="L8689" s="23"/>
      <c r="M8689" s="91"/>
    </row>
    <row r="8690" spans="1:13" hidden="1" x14ac:dyDescent="0.3">
      <c r="B8690" t="s">
        <v>254</v>
      </c>
      <c r="C8690" s="25">
        <v>44756</v>
      </c>
      <c r="D8690" s="26">
        <v>0.6658680555555555</v>
      </c>
      <c r="E8690" t="s">
        <v>30</v>
      </c>
      <c r="F8690" t="s">
        <v>210</v>
      </c>
      <c r="G8690" t="s">
        <v>211</v>
      </c>
      <c r="H8690" t="s">
        <v>581</v>
      </c>
      <c r="I8690" s="173">
        <v>212.82</v>
      </c>
      <c r="J8690" s="231">
        <f>2095+212.82</f>
        <v>2307.8200000000002</v>
      </c>
      <c r="K8690" s="151"/>
      <c r="L8690" s="151">
        <v>6624</v>
      </c>
      <c r="M8690" s="149">
        <f>+J8690/L8690*100</f>
        <v>34.840277777777779</v>
      </c>
    </row>
    <row r="8691" spans="1:13" hidden="1" x14ac:dyDescent="0.3">
      <c r="B8691" t="s">
        <v>254</v>
      </c>
      <c r="C8691" s="25">
        <v>44757</v>
      </c>
      <c r="D8691" s="26">
        <v>0.93084490740740744</v>
      </c>
      <c r="E8691" t="s">
        <v>30</v>
      </c>
      <c r="F8691" t="s">
        <v>210</v>
      </c>
      <c r="G8691" t="s">
        <v>211</v>
      </c>
      <c r="H8691" t="s">
        <v>581</v>
      </c>
      <c r="I8691" s="173">
        <v>400.09</v>
      </c>
      <c r="J8691" s="23"/>
      <c r="K8691" s="23"/>
      <c r="L8691" s="23"/>
      <c r="M8691" s="91"/>
    </row>
    <row r="8692" spans="1:13" hidden="1" x14ac:dyDescent="0.3">
      <c r="B8692" t="s">
        <v>254</v>
      </c>
      <c r="C8692" s="25">
        <v>44759</v>
      </c>
      <c r="D8692" s="26">
        <v>0.62069444444444444</v>
      </c>
      <c r="E8692" t="s">
        <v>30</v>
      </c>
      <c r="F8692" t="s">
        <v>210</v>
      </c>
      <c r="G8692" t="s">
        <v>211</v>
      </c>
      <c r="H8692" t="s">
        <v>581</v>
      </c>
      <c r="I8692" s="173">
        <v>523.80999999999995</v>
      </c>
      <c r="J8692" s="23"/>
      <c r="K8692" s="90"/>
      <c r="L8692" s="23"/>
      <c r="M8692" s="91"/>
    </row>
    <row r="8693" spans="1:13" hidden="1" x14ac:dyDescent="0.3">
      <c r="B8693" t="s">
        <v>254</v>
      </c>
      <c r="C8693" s="25">
        <v>44759</v>
      </c>
      <c r="D8693" s="26">
        <v>0.6297800925925926</v>
      </c>
      <c r="E8693" t="s">
        <v>30</v>
      </c>
      <c r="F8693" t="s">
        <v>210</v>
      </c>
      <c r="G8693" t="s">
        <v>211</v>
      </c>
      <c r="H8693" t="s">
        <v>581</v>
      </c>
      <c r="I8693" s="247">
        <v>126.08</v>
      </c>
      <c r="J8693" s="283">
        <f>126+524</f>
        <v>650</v>
      </c>
      <c r="K8693" s="283"/>
      <c r="L8693" s="283">
        <v>1764</v>
      </c>
      <c r="M8693" s="237">
        <f t="shared" ref="M8693:M8698" si="528">+J8693/L8693*100</f>
        <v>36.848072562358276</v>
      </c>
    </row>
    <row r="8694" spans="1:13" hidden="1" x14ac:dyDescent="0.3">
      <c r="B8694" t="s">
        <v>254</v>
      </c>
      <c r="C8694" s="25">
        <v>44768</v>
      </c>
      <c r="D8694" s="26">
        <v>0.43245370370370373</v>
      </c>
      <c r="E8694" t="s">
        <v>30</v>
      </c>
      <c r="F8694" t="s">
        <v>175</v>
      </c>
      <c r="G8694" t="s">
        <v>172</v>
      </c>
      <c r="H8694" t="s">
        <v>581</v>
      </c>
      <c r="I8694" s="160">
        <v>471.81</v>
      </c>
      <c r="J8694" s="8"/>
      <c r="K8694" s="8"/>
      <c r="L8694" s="8"/>
      <c r="M8694" s="254"/>
    </row>
    <row r="8695" spans="1:13" hidden="1" x14ac:dyDescent="0.3">
      <c r="B8695" t="s">
        <v>254</v>
      </c>
      <c r="C8695" s="25">
        <v>44768</v>
      </c>
      <c r="D8695" s="26">
        <v>0.44239583333333332</v>
      </c>
      <c r="E8695" t="s">
        <v>30</v>
      </c>
      <c r="F8695" t="s">
        <v>175</v>
      </c>
      <c r="G8695" t="s">
        <v>172</v>
      </c>
      <c r="H8695" t="s">
        <v>581</v>
      </c>
      <c r="I8695" s="206">
        <v>217.4</v>
      </c>
      <c r="J8695" s="45"/>
      <c r="K8695" s="45"/>
      <c r="L8695" s="45"/>
      <c r="M8695" s="273"/>
    </row>
    <row r="8696" spans="1:13" hidden="1" x14ac:dyDescent="0.3">
      <c r="B8696" t="s">
        <v>254</v>
      </c>
      <c r="C8696" s="25">
        <v>44769</v>
      </c>
      <c r="D8696" s="26">
        <v>0.47009259259259256</v>
      </c>
      <c r="E8696" t="s">
        <v>30</v>
      </c>
      <c r="F8696" t="s">
        <v>210</v>
      </c>
      <c r="G8696" t="s">
        <v>211</v>
      </c>
      <c r="H8696" t="s">
        <v>581</v>
      </c>
      <c r="I8696" s="160">
        <v>335.92</v>
      </c>
      <c r="J8696" s="160">
        <f>472+217+336</f>
        <v>1025</v>
      </c>
      <c r="K8696" s="160">
        <v>59841</v>
      </c>
      <c r="L8696" s="160">
        <v>2842</v>
      </c>
      <c r="M8696" s="150">
        <f t="shared" si="528"/>
        <v>36.066150598170303</v>
      </c>
    </row>
    <row r="8697" spans="1:13" hidden="1" x14ac:dyDescent="0.3">
      <c r="B8697" t="s">
        <v>254</v>
      </c>
      <c r="C8697" s="25">
        <v>44772</v>
      </c>
      <c r="D8697" s="26">
        <v>0.76040509259259259</v>
      </c>
      <c r="E8697" t="s">
        <v>30</v>
      </c>
      <c r="F8697" t="s">
        <v>165</v>
      </c>
      <c r="G8697" t="s">
        <v>185</v>
      </c>
      <c r="H8697" t="s">
        <v>581</v>
      </c>
      <c r="I8697" s="160">
        <v>523.80999999999995</v>
      </c>
      <c r="J8697" s="8"/>
      <c r="K8697" s="8"/>
      <c r="L8697" s="8"/>
      <c r="M8697" s="254"/>
    </row>
    <row r="8698" spans="1:13" hidden="1" x14ac:dyDescent="0.3">
      <c r="B8698" t="s">
        <v>254</v>
      </c>
      <c r="C8698" s="25">
        <v>44772</v>
      </c>
      <c r="D8698" s="26">
        <v>0.7675347222222223</v>
      </c>
      <c r="E8698" t="s">
        <v>30</v>
      </c>
      <c r="F8698" t="s">
        <v>165</v>
      </c>
      <c r="G8698" t="s">
        <v>185</v>
      </c>
      <c r="H8698" t="s">
        <v>581</v>
      </c>
      <c r="I8698" s="160">
        <v>246.1</v>
      </c>
      <c r="J8698" s="160">
        <f>524+246</f>
        <v>770</v>
      </c>
      <c r="K8698" s="160">
        <v>61722</v>
      </c>
      <c r="L8698" s="160">
        <v>1873</v>
      </c>
      <c r="M8698" s="182">
        <f t="shared" si="528"/>
        <v>41.110517885744798</v>
      </c>
    </row>
    <row r="8699" spans="1:13" hidden="1" x14ac:dyDescent="0.3">
      <c r="A8699" s="9">
        <v>6751</v>
      </c>
      <c r="B8699" t="s">
        <v>265</v>
      </c>
      <c r="C8699" s="25">
        <v>44744</v>
      </c>
      <c r="D8699" s="26">
        <v>0.50815972222222217</v>
      </c>
      <c r="E8699" t="s">
        <v>30</v>
      </c>
      <c r="F8699" t="s">
        <v>518</v>
      </c>
      <c r="G8699" t="s">
        <v>172</v>
      </c>
      <c r="H8699" t="s">
        <v>519</v>
      </c>
      <c r="I8699" s="8">
        <v>300.02999999999997</v>
      </c>
      <c r="J8699" s="8"/>
      <c r="K8699" s="8"/>
      <c r="L8699" s="8"/>
      <c r="M8699" s="91"/>
    </row>
    <row r="8700" spans="1:13" hidden="1" x14ac:dyDescent="0.3">
      <c r="A8700" s="9">
        <v>6751</v>
      </c>
      <c r="B8700" t="s">
        <v>265</v>
      </c>
      <c r="C8700" s="25">
        <v>44745</v>
      </c>
      <c r="D8700" s="26">
        <v>0.57939814814814816</v>
      </c>
      <c r="E8700" t="s">
        <v>30</v>
      </c>
      <c r="F8700" t="s">
        <v>490</v>
      </c>
      <c r="G8700" t="s">
        <v>487</v>
      </c>
      <c r="H8700" t="s">
        <v>519</v>
      </c>
      <c r="I8700" s="160">
        <v>200</v>
      </c>
      <c r="J8700" s="8"/>
      <c r="K8700" s="8"/>
      <c r="L8700" s="8"/>
      <c r="M8700" s="91"/>
    </row>
    <row r="8701" spans="1:13" hidden="1" x14ac:dyDescent="0.3">
      <c r="A8701" s="9">
        <v>6751</v>
      </c>
      <c r="B8701" t="s">
        <v>265</v>
      </c>
      <c r="C8701" s="25">
        <v>44745</v>
      </c>
      <c r="D8701" s="26">
        <v>0.64337962962962958</v>
      </c>
      <c r="E8701" t="s">
        <v>30</v>
      </c>
      <c r="F8701" t="s">
        <v>210</v>
      </c>
      <c r="G8701" t="s">
        <v>211</v>
      </c>
      <c r="H8701" t="s">
        <v>519</v>
      </c>
      <c r="I8701" s="161">
        <v>120.47</v>
      </c>
      <c r="J8701" s="44"/>
      <c r="K8701" s="44"/>
      <c r="L8701" s="44"/>
      <c r="M8701" s="132"/>
    </row>
    <row r="8702" spans="1:13" hidden="1" x14ac:dyDescent="0.3">
      <c r="A8702" s="9">
        <v>6751</v>
      </c>
      <c r="B8702" t="s">
        <v>265</v>
      </c>
      <c r="C8702" s="25">
        <v>44746</v>
      </c>
      <c r="D8702" s="26">
        <v>4.5370370370370366E-2</v>
      </c>
      <c r="E8702" t="s">
        <v>30</v>
      </c>
      <c r="F8702" t="s">
        <v>278</v>
      </c>
      <c r="G8702" t="s">
        <v>279</v>
      </c>
      <c r="H8702" t="s">
        <v>519</v>
      </c>
      <c r="I8702" s="173">
        <v>219.2</v>
      </c>
      <c r="J8702" s="8"/>
      <c r="K8702" s="8"/>
      <c r="L8702" s="8"/>
      <c r="M8702" s="91"/>
    </row>
    <row r="8703" spans="1:13" hidden="1" x14ac:dyDescent="0.3">
      <c r="A8703" s="9">
        <v>6751</v>
      </c>
      <c r="B8703" t="s">
        <v>265</v>
      </c>
      <c r="C8703" s="25">
        <v>44746</v>
      </c>
      <c r="D8703" s="26">
        <v>0.94171296296296303</v>
      </c>
      <c r="E8703" t="s">
        <v>30</v>
      </c>
      <c r="F8703" t="s">
        <v>619</v>
      </c>
      <c r="G8703" t="s">
        <v>620</v>
      </c>
      <c r="H8703" t="s">
        <v>519</v>
      </c>
      <c r="I8703" s="173">
        <v>230.54</v>
      </c>
      <c r="J8703" s="8"/>
      <c r="K8703" s="8"/>
      <c r="L8703" s="8"/>
      <c r="M8703" s="91"/>
    </row>
    <row r="8704" spans="1:13" hidden="1" x14ac:dyDescent="0.3">
      <c r="A8704" s="9">
        <v>6751</v>
      </c>
      <c r="B8704" t="s">
        <v>265</v>
      </c>
      <c r="C8704" s="25">
        <v>44748</v>
      </c>
      <c r="D8704" s="26">
        <v>0.48108796296296297</v>
      </c>
      <c r="E8704" t="s">
        <v>30</v>
      </c>
      <c r="F8704" t="s">
        <v>197</v>
      </c>
      <c r="G8704" t="s">
        <v>44</v>
      </c>
      <c r="H8704" t="s">
        <v>519</v>
      </c>
      <c r="I8704" s="173">
        <v>222.39</v>
      </c>
      <c r="J8704" s="8"/>
      <c r="K8704" s="8"/>
      <c r="L8704" s="8"/>
      <c r="M8704" s="91"/>
    </row>
    <row r="8705" spans="1:13" hidden="1" x14ac:dyDescent="0.3">
      <c r="A8705" s="9">
        <v>6751</v>
      </c>
      <c r="B8705" t="s">
        <v>265</v>
      </c>
      <c r="C8705" s="25">
        <v>44748</v>
      </c>
      <c r="D8705" s="26">
        <v>0.95300925925925928</v>
      </c>
      <c r="E8705" t="s">
        <v>30</v>
      </c>
      <c r="F8705" t="s">
        <v>210</v>
      </c>
      <c r="G8705" t="s">
        <v>211</v>
      </c>
      <c r="H8705" t="s">
        <v>519</v>
      </c>
      <c r="I8705" s="173">
        <v>218.17</v>
      </c>
      <c r="J8705" s="160">
        <f>220+223+231+220+121+200</f>
        <v>1215</v>
      </c>
      <c r="K8705" s="160">
        <v>62115</v>
      </c>
      <c r="L8705" s="160">
        <v>3473</v>
      </c>
      <c r="M8705" s="149">
        <f>+J8705/L8705*100</f>
        <v>34.984163547365391</v>
      </c>
    </row>
    <row r="8706" spans="1:13" hidden="1" x14ac:dyDescent="0.3">
      <c r="A8706" s="9">
        <v>6751</v>
      </c>
      <c r="B8706" t="s">
        <v>265</v>
      </c>
      <c r="C8706" s="25">
        <v>44749</v>
      </c>
      <c r="D8706" s="26">
        <v>0.66999999999999993</v>
      </c>
      <c r="E8706" t="s">
        <v>30</v>
      </c>
      <c r="F8706" t="s">
        <v>165</v>
      </c>
      <c r="G8706" t="s">
        <v>185</v>
      </c>
      <c r="H8706" t="s">
        <v>519</v>
      </c>
      <c r="I8706" s="173" t="s">
        <v>818</v>
      </c>
      <c r="J8706" s="8"/>
      <c r="K8706" s="8"/>
      <c r="L8706" s="8"/>
      <c r="M8706" s="91"/>
    </row>
    <row r="8707" spans="1:13" hidden="1" x14ac:dyDescent="0.3">
      <c r="A8707" s="9">
        <v>6751</v>
      </c>
      <c r="B8707" t="s">
        <v>265</v>
      </c>
      <c r="C8707" s="25">
        <v>44750</v>
      </c>
      <c r="D8707" s="26">
        <v>9.5000000000000015E-2</v>
      </c>
      <c r="E8707" t="s">
        <v>30</v>
      </c>
      <c r="F8707" t="s">
        <v>774</v>
      </c>
      <c r="G8707" t="s">
        <v>161</v>
      </c>
      <c r="H8707" t="s">
        <v>519</v>
      </c>
      <c r="I8707" s="173" t="s">
        <v>817</v>
      </c>
      <c r="J8707" s="8"/>
      <c r="K8707" s="8"/>
      <c r="L8707" s="8"/>
      <c r="M8707" s="91"/>
    </row>
    <row r="8708" spans="1:13" hidden="1" x14ac:dyDescent="0.3">
      <c r="A8708" s="9">
        <v>6751</v>
      </c>
      <c r="B8708" t="s">
        <v>265</v>
      </c>
      <c r="C8708" s="25">
        <v>44751</v>
      </c>
      <c r="D8708" s="26">
        <v>0.44254629629629627</v>
      </c>
      <c r="E8708" t="s">
        <v>30</v>
      </c>
      <c r="F8708" t="s">
        <v>262</v>
      </c>
      <c r="G8708" t="s">
        <v>263</v>
      </c>
      <c r="H8708" t="s">
        <v>519</v>
      </c>
      <c r="I8708" s="173" t="s">
        <v>793</v>
      </c>
      <c r="J8708" s="23"/>
      <c r="K8708" s="23"/>
      <c r="L8708" s="23"/>
      <c r="M8708" s="91"/>
    </row>
    <row r="8709" spans="1:13" hidden="1" x14ac:dyDescent="0.3">
      <c r="A8709" s="9">
        <v>6751</v>
      </c>
      <c r="B8709" t="s">
        <v>265</v>
      </c>
      <c r="C8709" s="25">
        <v>44751</v>
      </c>
      <c r="D8709" s="26">
        <v>0.73524305555555547</v>
      </c>
      <c r="E8709" t="s">
        <v>30</v>
      </c>
      <c r="F8709" t="s">
        <v>197</v>
      </c>
      <c r="G8709" t="s">
        <v>44</v>
      </c>
      <c r="H8709" t="s">
        <v>519</v>
      </c>
      <c r="I8709" s="173" t="s">
        <v>790</v>
      </c>
      <c r="J8709" s="23"/>
      <c r="K8709" s="23"/>
      <c r="L8709" s="23"/>
      <c r="M8709" s="91"/>
    </row>
    <row r="8710" spans="1:13" hidden="1" x14ac:dyDescent="0.3">
      <c r="A8710" s="9">
        <v>6751</v>
      </c>
      <c r="B8710" t="s">
        <v>265</v>
      </c>
      <c r="C8710" s="25">
        <v>44752</v>
      </c>
      <c r="D8710" s="26">
        <v>0.10002314814814815</v>
      </c>
      <c r="E8710" t="s">
        <v>30</v>
      </c>
      <c r="F8710" t="s">
        <v>210</v>
      </c>
      <c r="G8710" t="s">
        <v>487</v>
      </c>
      <c r="H8710" t="s">
        <v>519</v>
      </c>
      <c r="I8710" s="173" t="s">
        <v>816</v>
      </c>
      <c r="J8710" s="8"/>
      <c r="K8710" s="8"/>
      <c r="L8710" s="8"/>
      <c r="M8710" s="91"/>
    </row>
    <row r="8711" spans="1:13" hidden="1" x14ac:dyDescent="0.3">
      <c r="A8711" s="9">
        <v>6751</v>
      </c>
      <c r="B8711" t="s">
        <v>265</v>
      </c>
      <c r="C8711" s="25">
        <v>44752</v>
      </c>
      <c r="D8711" s="26">
        <v>0.82778935185185187</v>
      </c>
      <c r="E8711" t="s">
        <v>30</v>
      </c>
      <c r="F8711" t="s">
        <v>876</v>
      </c>
      <c r="G8711" t="s">
        <v>279</v>
      </c>
      <c r="H8711" t="s">
        <v>519</v>
      </c>
      <c r="I8711" s="173" t="s">
        <v>815</v>
      </c>
      <c r="J8711" s="23"/>
      <c r="K8711" s="23"/>
      <c r="L8711" s="23"/>
      <c r="M8711" s="91"/>
    </row>
    <row r="8712" spans="1:13" hidden="1" x14ac:dyDescent="0.3">
      <c r="A8712" s="9">
        <v>6751</v>
      </c>
      <c r="B8712" t="s">
        <v>265</v>
      </c>
      <c r="C8712" s="25">
        <v>44753</v>
      </c>
      <c r="D8712" s="26">
        <v>3.3090277777777781E-2</v>
      </c>
      <c r="E8712" t="s">
        <v>30</v>
      </c>
      <c r="F8712" t="s">
        <v>210</v>
      </c>
      <c r="G8712" t="s">
        <v>211</v>
      </c>
      <c r="H8712" t="s">
        <v>519</v>
      </c>
      <c r="I8712" s="173" t="s">
        <v>892</v>
      </c>
      <c r="J8712" s="231">
        <f>95+265+232+135+200+165+255</f>
        <v>1347</v>
      </c>
      <c r="K8712" s="231"/>
      <c r="L8712" s="231">
        <v>3690</v>
      </c>
      <c r="M8712" s="149">
        <f t="shared" ref="M8712:M8726" si="529">+J8712/L8712*100</f>
        <v>36.50406504065041</v>
      </c>
    </row>
    <row r="8713" spans="1:13" hidden="1" x14ac:dyDescent="0.3">
      <c r="B8713" t="s">
        <v>265</v>
      </c>
      <c r="C8713" s="25">
        <v>44762</v>
      </c>
      <c r="D8713" s="26">
        <v>0.98694444444444451</v>
      </c>
      <c r="E8713" t="s">
        <v>30</v>
      </c>
      <c r="F8713" t="s">
        <v>518</v>
      </c>
      <c r="G8713" t="s">
        <v>172</v>
      </c>
      <c r="H8713" t="s">
        <v>519</v>
      </c>
      <c r="I8713" s="160">
        <v>375</v>
      </c>
      <c r="J8713" s="8"/>
      <c r="K8713" s="8"/>
      <c r="L8713" s="8"/>
      <c r="M8713" s="254"/>
    </row>
    <row r="8714" spans="1:13" hidden="1" x14ac:dyDescent="0.3">
      <c r="B8714" t="s">
        <v>265</v>
      </c>
      <c r="C8714" s="25">
        <v>44763</v>
      </c>
      <c r="D8714" s="26">
        <v>0.85091435185185194</v>
      </c>
      <c r="E8714" t="s">
        <v>30</v>
      </c>
      <c r="F8714" t="s">
        <v>210</v>
      </c>
      <c r="G8714" t="s">
        <v>211</v>
      </c>
      <c r="H8714" t="s">
        <v>519</v>
      </c>
      <c r="I8714" s="160">
        <v>280.18</v>
      </c>
      <c r="J8714" s="8"/>
      <c r="K8714" s="8"/>
      <c r="L8714" s="8"/>
      <c r="M8714" s="254"/>
    </row>
    <row r="8715" spans="1:13" hidden="1" x14ac:dyDescent="0.3">
      <c r="B8715" t="s">
        <v>265</v>
      </c>
      <c r="C8715" s="25">
        <v>44764</v>
      </c>
      <c r="D8715" s="26">
        <v>0.26</v>
      </c>
      <c r="E8715" t="s">
        <v>30</v>
      </c>
      <c r="F8715" t="s">
        <v>165</v>
      </c>
      <c r="G8715" t="s">
        <v>185</v>
      </c>
      <c r="H8715" t="s">
        <v>519</v>
      </c>
      <c r="I8715" s="160">
        <v>227.6</v>
      </c>
      <c r="J8715" s="8"/>
      <c r="K8715" s="8"/>
      <c r="L8715" s="8"/>
      <c r="M8715" s="254"/>
    </row>
    <row r="8716" spans="1:13" hidden="1" x14ac:dyDescent="0.3">
      <c r="B8716" t="s">
        <v>265</v>
      </c>
      <c r="C8716" s="25">
        <v>44764</v>
      </c>
      <c r="D8716" s="26">
        <v>0.82409722222222215</v>
      </c>
      <c r="E8716" t="s">
        <v>30</v>
      </c>
      <c r="F8716" t="s">
        <v>210</v>
      </c>
      <c r="G8716" t="s">
        <v>211</v>
      </c>
      <c r="H8716" t="s">
        <v>519</v>
      </c>
      <c r="I8716" s="161">
        <v>140.01</v>
      </c>
      <c r="J8716" s="161">
        <f>375+280+228+140</f>
        <v>1023</v>
      </c>
      <c r="K8716" s="161"/>
      <c r="L8716" s="161">
        <v>2851</v>
      </c>
      <c r="M8716" s="152">
        <f t="shared" si="529"/>
        <v>35.882146615222723</v>
      </c>
    </row>
    <row r="8717" spans="1:13" hidden="1" x14ac:dyDescent="0.3">
      <c r="B8717" t="s">
        <v>265</v>
      </c>
      <c r="C8717" s="25">
        <v>44765</v>
      </c>
      <c r="D8717" s="26">
        <v>0.94987268518518519</v>
      </c>
      <c r="E8717" t="s">
        <v>30</v>
      </c>
      <c r="F8717" t="s">
        <v>518</v>
      </c>
      <c r="G8717" t="s">
        <v>172</v>
      </c>
      <c r="H8717" t="s">
        <v>519</v>
      </c>
      <c r="I8717" s="160">
        <v>402.15</v>
      </c>
      <c r="J8717" s="8"/>
      <c r="K8717" s="8"/>
      <c r="L8717" s="8"/>
      <c r="M8717" s="254"/>
    </row>
    <row r="8718" spans="1:13" hidden="1" x14ac:dyDescent="0.3">
      <c r="B8718" t="s">
        <v>265</v>
      </c>
      <c r="C8718" s="25">
        <v>44766</v>
      </c>
      <c r="D8718" s="26">
        <v>0.67104166666666665</v>
      </c>
      <c r="E8718" t="s">
        <v>30</v>
      </c>
      <c r="F8718" t="s">
        <v>210</v>
      </c>
      <c r="G8718" t="s">
        <v>487</v>
      </c>
      <c r="H8718" t="s">
        <v>519</v>
      </c>
      <c r="I8718" s="160">
        <v>214.24</v>
      </c>
      <c r="J8718" s="8"/>
      <c r="K8718" s="8"/>
      <c r="L8718" s="8"/>
      <c r="M8718" s="254"/>
    </row>
    <row r="8719" spans="1:13" hidden="1" x14ac:dyDescent="0.3">
      <c r="B8719" t="s">
        <v>265</v>
      </c>
      <c r="C8719" s="25">
        <v>44767</v>
      </c>
      <c r="D8719" s="26">
        <v>0.17778935185185185</v>
      </c>
      <c r="E8719" t="s">
        <v>30</v>
      </c>
      <c r="F8719" t="s">
        <v>165</v>
      </c>
      <c r="G8719" t="s">
        <v>185</v>
      </c>
      <c r="H8719" t="s">
        <v>519</v>
      </c>
      <c r="I8719" s="160">
        <v>274.05</v>
      </c>
      <c r="J8719" s="8"/>
      <c r="K8719" s="8"/>
      <c r="L8719" s="8"/>
      <c r="M8719" s="254"/>
    </row>
    <row r="8720" spans="1:13" hidden="1" x14ac:dyDescent="0.3">
      <c r="B8720" t="s">
        <v>265</v>
      </c>
      <c r="C8720" s="25">
        <v>44768</v>
      </c>
      <c r="D8720" s="26">
        <v>0.6169675925925926</v>
      </c>
      <c r="E8720" t="s">
        <v>30</v>
      </c>
      <c r="F8720" t="s">
        <v>202</v>
      </c>
      <c r="G8720" t="s">
        <v>203</v>
      </c>
      <c r="H8720" t="s">
        <v>519</v>
      </c>
      <c r="I8720" s="160">
        <v>150</v>
      </c>
      <c r="J8720" s="8"/>
      <c r="K8720" s="8"/>
      <c r="L8720" s="8"/>
      <c r="M8720" s="254"/>
    </row>
    <row r="8721" spans="2:13" hidden="1" x14ac:dyDescent="0.3">
      <c r="B8721" t="s">
        <v>265</v>
      </c>
      <c r="C8721" s="25">
        <v>44769</v>
      </c>
      <c r="D8721" s="26">
        <v>0.14531249999999998</v>
      </c>
      <c r="E8721" t="s">
        <v>30</v>
      </c>
      <c r="F8721" t="s">
        <v>165</v>
      </c>
      <c r="G8721" t="s">
        <v>185</v>
      </c>
      <c r="H8721" t="s">
        <v>519</v>
      </c>
      <c r="I8721" s="160">
        <v>434.35</v>
      </c>
      <c r="J8721" s="8"/>
      <c r="K8721" s="8"/>
      <c r="L8721" s="8"/>
      <c r="M8721" s="254"/>
    </row>
    <row r="8722" spans="2:13" hidden="1" x14ac:dyDescent="0.3">
      <c r="B8722" t="s">
        <v>265</v>
      </c>
      <c r="C8722" s="25">
        <v>44769</v>
      </c>
      <c r="D8722" s="26">
        <v>0.78387731481481471</v>
      </c>
      <c r="E8722" t="s">
        <v>30</v>
      </c>
      <c r="F8722" t="s">
        <v>210</v>
      </c>
      <c r="G8722" t="s">
        <v>211</v>
      </c>
      <c r="H8722" t="s">
        <v>519</v>
      </c>
      <c r="I8722" s="160">
        <v>126.61</v>
      </c>
      <c r="J8722" s="160">
        <f>402+214+274+150+434+127</f>
        <v>1601</v>
      </c>
      <c r="K8722" s="160"/>
      <c r="L8722" s="160">
        <v>4573</v>
      </c>
      <c r="M8722" s="150">
        <f t="shared" si="529"/>
        <v>35.00984036737372</v>
      </c>
    </row>
    <row r="8723" spans="2:13" hidden="1" x14ac:dyDescent="0.3">
      <c r="B8723" t="s">
        <v>265</v>
      </c>
      <c r="C8723" s="25">
        <v>44770</v>
      </c>
      <c r="D8723" s="26">
        <v>0.92667824074074068</v>
      </c>
      <c r="E8723" t="s">
        <v>30</v>
      </c>
      <c r="F8723" t="s">
        <v>446</v>
      </c>
      <c r="G8723" t="s">
        <v>402</v>
      </c>
      <c r="H8723" t="s">
        <v>519</v>
      </c>
      <c r="I8723" s="160">
        <v>223.66</v>
      </c>
      <c r="J8723" s="8"/>
      <c r="K8723" s="8"/>
      <c r="L8723" s="8"/>
      <c r="M8723" s="254"/>
    </row>
    <row r="8724" spans="2:13" hidden="1" x14ac:dyDescent="0.3">
      <c r="B8724" t="s">
        <v>265</v>
      </c>
      <c r="C8724" s="25">
        <v>44771</v>
      </c>
      <c r="D8724" s="26">
        <v>0.96821759259259255</v>
      </c>
      <c r="E8724" t="s">
        <v>30</v>
      </c>
      <c r="F8724" t="s">
        <v>197</v>
      </c>
      <c r="G8724" t="s">
        <v>44</v>
      </c>
      <c r="H8724" t="s">
        <v>519</v>
      </c>
      <c r="I8724" s="160">
        <v>203.68</v>
      </c>
      <c r="J8724" s="8"/>
      <c r="K8724" s="8"/>
      <c r="L8724" s="8"/>
      <c r="M8724" s="254"/>
    </row>
    <row r="8725" spans="2:13" hidden="1" x14ac:dyDescent="0.3">
      <c r="B8725" t="s">
        <v>265</v>
      </c>
      <c r="C8725" s="25">
        <v>44772</v>
      </c>
      <c r="D8725" s="26">
        <v>0.69037037037037041</v>
      </c>
      <c r="E8725" t="s">
        <v>30</v>
      </c>
      <c r="F8725" t="s">
        <v>210</v>
      </c>
      <c r="G8725" t="s">
        <v>211</v>
      </c>
      <c r="H8725" t="s">
        <v>519</v>
      </c>
      <c r="I8725" s="160">
        <v>231.12</v>
      </c>
      <c r="J8725" s="8"/>
      <c r="K8725" s="8"/>
      <c r="L8725" s="8"/>
      <c r="M8725" s="254"/>
    </row>
    <row r="8726" spans="2:13" hidden="1" x14ac:dyDescent="0.3">
      <c r="B8726" t="s">
        <v>265</v>
      </c>
      <c r="C8726" s="25">
        <v>44773</v>
      </c>
      <c r="D8726" s="26">
        <v>0.77806712962962965</v>
      </c>
      <c r="E8726" t="s">
        <v>30</v>
      </c>
      <c r="F8726" t="s">
        <v>210</v>
      </c>
      <c r="G8726" t="s">
        <v>211</v>
      </c>
      <c r="H8726" t="s">
        <v>519</v>
      </c>
      <c r="I8726" s="160">
        <v>318.56</v>
      </c>
      <c r="J8726" s="160">
        <f>224+204+231+318</f>
        <v>977</v>
      </c>
      <c r="K8726" s="160"/>
      <c r="L8726" s="160">
        <v>2748</v>
      </c>
      <c r="M8726" s="150">
        <f t="shared" si="529"/>
        <v>35.553129548762733</v>
      </c>
    </row>
    <row r="8727" spans="2:13" hidden="1" x14ac:dyDescent="0.3">
      <c r="B8727" t="s">
        <v>271</v>
      </c>
      <c r="C8727" s="25">
        <v>44743</v>
      </c>
      <c r="D8727" s="26">
        <v>5.7152777777777775E-2</v>
      </c>
      <c r="E8727" t="s">
        <v>30</v>
      </c>
      <c r="F8727" t="s">
        <v>446</v>
      </c>
      <c r="G8727" t="s">
        <v>402</v>
      </c>
      <c r="H8727" t="s">
        <v>522</v>
      </c>
      <c r="I8727" s="173">
        <v>196.54</v>
      </c>
      <c r="J8727" s="8"/>
      <c r="K8727" s="8"/>
      <c r="L8727" s="8"/>
      <c r="M8727" s="91"/>
    </row>
    <row r="8728" spans="2:13" hidden="1" x14ac:dyDescent="0.3">
      <c r="B8728" t="s">
        <v>271</v>
      </c>
      <c r="C8728" s="25">
        <v>44743</v>
      </c>
      <c r="D8728" s="26">
        <v>0.99293981481481486</v>
      </c>
      <c r="E8728" t="s">
        <v>30</v>
      </c>
      <c r="F8728" t="s">
        <v>197</v>
      </c>
      <c r="G8728" t="s">
        <v>44</v>
      </c>
      <c r="H8728" t="s">
        <v>522</v>
      </c>
      <c r="I8728" s="173">
        <v>198.71</v>
      </c>
      <c r="J8728" s="8"/>
      <c r="K8728" s="8"/>
      <c r="L8728" s="8"/>
      <c r="M8728" s="91"/>
    </row>
    <row r="8729" spans="2:13" hidden="1" x14ac:dyDescent="0.3">
      <c r="B8729" t="s">
        <v>271</v>
      </c>
      <c r="C8729" s="25">
        <v>44744</v>
      </c>
      <c r="D8729" s="26">
        <v>0.82111111111111112</v>
      </c>
      <c r="E8729" t="s">
        <v>30</v>
      </c>
      <c r="F8729" t="s">
        <v>166</v>
      </c>
      <c r="G8729" t="s">
        <v>161</v>
      </c>
      <c r="H8729" t="s">
        <v>522</v>
      </c>
      <c r="I8729" s="173">
        <v>276.20999999999998</v>
      </c>
      <c r="J8729" s="160">
        <f>277+199+197+178+360+135+214</f>
        <v>1560</v>
      </c>
      <c r="K8729" s="160">
        <v>1345</v>
      </c>
      <c r="L8729" s="160">
        <v>4484</v>
      </c>
      <c r="M8729" s="149">
        <f>+J8729/L8729*100</f>
        <v>34.790365744870648</v>
      </c>
    </row>
    <row r="8730" spans="2:13" hidden="1" x14ac:dyDescent="0.3">
      <c r="B8730" t="s">
        <v>271</v>
      </c>
      <c r="C8730" s="25">
        <v>44745</v>
      </c>
      <c r="D8730" s="26">
        <v>0.17348379629629629</v>
      </c>
      <c r="E8730" t="s">
        <v>30</v>
      </c>
      <c r="F8730" t="s">
        <v>278</v>
      </c>
      <c r="G8730" t="s">
        <v>279</v>
      </c>
      <c r="H8730" t="s">
        <v>522</v>
      </c>
      <c r="I8730" s="173">
        <v>192.85</v>
      </c>
      <c r="J8730" s="8"/>
      <c r="K8730" s="8"/>
      <c r="L8730" s="8"/>
      <c r="M8730" s="91"/>
    </row>
    <row r="8731" spans="2:13" hidden="1" x14ac:dyDescent="0.3">
      <c r="B8731" t="s">
        <v>271</v>
      </c>
      <c r="C8731" s="25">
        <v>44746</v>
      </c>
      <c r="D8731" s="26">
        <v>0.67170138888888886</v>
      </c>
      <c r="E8731" t="s">
        <v>30</v>
      </c>
      <c r="F8731" t="s">
        <v>165</v>
      </c>
      <c r="G8731" t="s">
        <v>185</v>
      </c>
      <c r="H8731" t="s">
        <v>522</v>
      </c>
      <c r="I8731" s="173">
        <v>218.84</v>
      </c>
      <c r="J8731" s="8"/>
      <c r="K8731" s="8"/>
      <c r="L8731" s="8"/>
      <c r="M8731" s="91"/>
    </row>
    <row r="8732" spans="2:13" hidden="1" x14ac:dyDescent="0.3">
      <c r="B8732" t="s">
        <v>271</v>
      </c>
      <c r="C8732" s="25">
        <v>44747</v>
      </c>
      <c r="D8732" s="26">
        <v>0.78287037037037033</v>
      </c>
      <c r="E8732" t="s">
        <v>30</v>
      </c>
      <c r="F8732" t="s">
        <v>165</v>
      </c>
      <c r="G8732" t="s">
        <v>185</v>
      </c>
      <c r="H8732" t="s">
        <v>522</v>
      </c>
      <c r="I8732" s="173">
        <v>181.98</v>
      </c>
      <c r="J8732" s="173">
        <f>193+220+180</f>
        <v>593</v>
      </c>
      <c r="K8732" s="160">
        <v>1200</v>
      </c>
      <c r="L8732" s="173">
        <v>1352</v>
      </c>
      <c r="M8732" s="149">
        <f>+J8732/L8732*100</f>
        <v>43.860946745562131</v>
      </c>
    </row>
    <row r="8733" spans="2:13" hidden="1" x14ac:dyDescent="0.3">
      <c r="B8733" t="s">
        <v>271</v>
      </c>
      <c r="C8733" s="25">
        <v>44749</v>
      </c>
      <c r="D8733" s="26">
        <v>0.36569444444444449</v>
      </c>
      <c r="E8733" t="s">
        <v>30</v>
      </c>
      <c r="F8733" t="s">
        <v>774</v>
      </c>
      <c r="G8733" t="s">
        <v>161</v>
      </c>
      <c r="H8733" t="s">
        <v>522</v>
      </c>
      <c r="I8733" s="173">
        <v>241.08</v>
      </c>
      <c r="J8733" s="8"/>
      <c r="K8733" s="8"/>
      <c r="L8733" s="8"/>
      <c r="M8733" s="91"/>
    </row>
    <row r="8734" spans="2:13" hidden="1" x14ac:dyDescent="0.3">
      <c r="B8734" t="s">
        <v>271</v>
      </c>
      <c r="C8734" s="25">
        <v>44749</v>
      </c>
      <c r="D8734" s="26">
        <v>0.8288888888888889</v>
      </c>
      <c r="E8734" t="s">
        <v>30</v>
      </c>
      <c r="F8734" t="s">
        <v>169</v>
      </c>
      <c r="G8734" t="s">
        <v>196</v>
      </c>
      <c r="H8734" t="s">
        <v>522</v>
      </c>
      <c r="I8734" s="173">
        <v>148.05000000000001</v>
      </c>
      <c r="J8734" s="8"/>
      <c r="K8734" s="8"/>
      <c r="L8734" s="8"/>
      <c r="M8734" s="91"/>
    </row>
    <row r="8735" spans="2:13" hidden="1" x14ac:dyDescent="0.3">
      <c r="B8735" t="s">
        <v>271</v>
      </c>
      <c r="C8735" s="25">
        <v>44750</v>
      </c>
      <c r="D8735" s="26">
        <v>0.87484953703703694</v>
      </c>
      <c r="E8735" t="s">
        <v>30</v>
      </c>
      <c r="F8735" t="s">
        <v>197</v>
      </c>
      <c r="G8735" t="s">
        <v>44</v>
      </c>
      <c r="H8735" t="s">
        <v>522</v>
      </c>
      <c r="I8735" s="173">
        <v>297.13</v>
      </c>
      <c r="J8735" s="23"/>
      <c r="K8735" s="23"/>
      <c r="L8735" s="23"/>
      <c r="M8735" s="91"/>
    </row>
    <row r="8736" spans="2:13" hidden="1" x14ac:dyDescent="0.3">
      <c r="B8736" t="s">
        <v>271</v>
      </c>
      <c r="C8736" s="25">
        <v>44751</v>
      </c>
      <c r="D8736" s="26">
        <v>0.56267361111111114</v>
      </c>
      <c r="E8736" t="s">
        <v>30</v>
      </c>
      <c r="F8736" t="s">
        <v>774</v>
      </c>
      <c r="G8736" t="s">
        <v>161</v>
      </c>
      <c r="H8736" t="s">
        <v>522</v>
      </c>
      <c r="I8736" s="173">
        <v>200.7</v>
      </c>
      <c r="J8736" s="160">
        <f>200+297+148+241</f>
        <v>886</v>
      </c>
      <c r="K8736" s="160"/>
      <c r="L8736" s="160">
        <v>2411</v>
      </c>
      <c r="M8736" s="149">
        <f>+J8736/L8736*100</f>
        <v>36.748237245956034</v>
      </c>
    </row>
    <row r="8737" spans="1:13" hidden="1" x14ac:dyDescent="0.3">
      <c r="B8737" t="s">
        <v>271</v>
      </c>
      <c r="C8737" s="25">
        <v>44753</v>
      </c>
      <c r="D8737" s="26">
        <v>0.86512731481481486</v>
      </c>
      <c r="E8737" t="s">
        <v>30</v>
      </c>
      <c r="F8737" t="s">
        <v>210</v>
      </c>
      <c r="G8737" t="s">
        <v>211</v>
      </c>
      <c r="H8737" t="s">
        <v>522</v>
      </c>
      <c r="I8737" s="173">
        <v>435.32</v>
      </c>
      <c r="J8737" s="233"/>
      <c r="K8737" s="233"/>
      <c r="L8737" s="233"/>
      <c r="M8737" s="91"/>
    </row>
    <row r="8738" spans="1:13" hidden="1" x14ac:dyDescent="0.3">
      <c r="B8738" t="s">
        <v>271</v>
      </c>
      <c r="C8738" s="25">
        <v>44754</v>
      </c>
      <c r="D8738" s="26">
        <v>0.7134490740740741</v>
      </c>
      <c r="E8738" t="s">
        <v>30</v>
      </c>
      <c r="F8738" t="s">
        <v>169</v>
      </c>
      <c r="G8738" t="s">
        <v>196</v>
      </c>
      <c r="H8738" t="s">
        <v>522</v>
      </c>
      <c r="I8738" s="173">
        <v>191.27</v>
      </c>
      <c r="J8738" s="233"/>
      <c r="K8738" s="233"/>
      <c r="L8738" s="233"/>
      <c r="M8738" s="91"/>
    </row>
    <row r="8739" spans="1:13" hidden="1" x14ac:dyDescent="0.3">
      <c r="B8739" t="s">
        <v>271</v>
      </c>
      <c r="C8739" s="25">
        <v>44756</v>
      </c>
      <c r="D8739" s="26">
        <v>0.15368055555555557</v>
      </c>
      <c r="E8739" t="s">
        <v>30</v>
      </c>
      <c r="F8739" t="s">
        <v>772</v>
      </c>
      <c r="G8739" t="s">
        <v>44</v>
      </c>
      <c r="H8739" t="s">
        <v>522</v>
      </c>
      <c r="I8739" s="173">
        <v>100</v>
      </c>
      <c r="J8739" s="233"/>
      <c r="K8739" s="233"/>
      <c r="L8739" s="233"/>
      <c r="M8739" s="91"/>
    </row>
    <row r="8740" spans="1:13" hidden="1" x14ac:dyDescent="0.3">
      <c r="B8740" t="s">
        <v>271</v>
      </c>
      <c r="C8740" s="25">
        <v>44756</v>
      </c>
      <c r="D8740" s="26">
        <v>0.76469907407407411</v>
      </c>
      <c r="E8740" t="s">
        <v>30</v>
      </c>
      <c r="F8740" t="s">
        <v>774</v>
      </c>
      <c r="G8740" t="s">
        <v>161</v>
      </c>
      <c r="H8740" t="s">
        <v>522</v>
      </c>
      <c r="I8740" s="173">
        <v>389.91</v>
      </c>
      <c r="J8740" s="231">
        <f>390+100+191+435</f>
        <v>1116</v>
      </c>
      <c r="K8740" s="231"/>
      <c r="L8740" s="231">
        <v>2670</v>
      </c>
      <c r="M8740" s="149">
        <f>+J8740/L8740*100</f>
        <v>41.797752808988761</v>
      </c>
    </row>
    <row r="8741" spans="1:13" hidden="1" x14ac:dyDescent="0.3">
      <c r="B8741" t="s">
        <v>271</v>
      </c>
      <c r="C8741" s="25">
        <v>44757</v>
      </c>
      <c r="D8741" s="26">
        <v>0.51731481481481478</v>
      </c>
      <c r="E8741" t="s">
        <v>30</v>
      </c>
      <c r="F8741" t="s">
        <v>780</v>
      </c>
      <c r="G8741" t="s">
        <v>279</v>
      </c>
      <c r="H8741" t="s">
        <v>522</v>
      </c>
      <c r="I8741" s="173">
        <v>292.73</v>
      </c>
      <c r="J8741" s="233"/>
      <c r="K8741" s="233"/>
      <c r="L8741" s="233"/>
      <c r="M8741" s="91"/>
    </row>
    <row r="8742" spans="1:13" hidden="1" x14ac:dyDescent="0.3">
      <c r="B8742" t="s">
        <v>271</v>
      </c>
      <c r="C8742" s="25">
        <v>44757</v>
      </c>
      <c r="D8742" s="26">
        <v>0.81443287037037038</v>
      </c>
      <c r="E8742" t="s">
        <v>30</v>
      </c>
      <c r="F8742" t="s">
        <v>774</v>
      </c>
      <c r="G8742" t="s">
        <v>161</v>
      </c>
      <c r="H8742" t="s">
        <v>522</v>
      </c>
      <c r="I8742" s="173">
        <v>125.03</v>
      </c>
      <c r="J8742" s="231">
        <f>125+293</f>
        <v>418</v>
      </c>
      <c r="K8742" s="231"/>
      <c r="L8742" s="231">
        <v>1080</v>
      </c>
      <c r="M8742" s="149">
        <f>+J8742/L8742*100</f>
        <v>38.703703703703702</v>
      </c>
    </row>
    <row r="8743" spans="1:13" hidden="1" x14ac:dyDescent="0.3">
      <c r="B8743" t="s">
        <v>271</v>
      </c>
      <c r="C8743" s="25">
        <v>44758</v>
      </c>
      <c r="D8743" s="26">
        <v>0.27187500000000003</v>
      </c>
      <c r="E8743" t="s">
        <v>30</v>
      </c>
      <c r="F8743" t="s">
        <v>169</v>
      </c>
      <c r="G8743" t="s">
        <v>196</v>
      </c>
      <c r="H8743" t="s">
        <v>522</v>
      </c>
      <c r="I8743" s="173">
        <v>172.64</v>
      </c>
      <c r="J8743" s="233"/>
      <c r="K8743" s="233"/>
      <c r="L8743" s="233"/>
      <c r="M8743" s="91"/>
    </row>
    <row r="8744" spans="1:13" hidden="1" x14ac:dyDescent="0.3">
      <c r="B8744" t="s">
        <v>271</v>
      </c>
      <c r="C8744" s="25">
        <v>44758</v>
      </c>
      <c r="D8744" s="26">
        <v>0.62158564814814821</v>
      </c>
      <c r="E8744" t="s">
        <v>30</v>
      </c>
      <c r="F8744" t="s">
        <v>175</v>
      </c>
      <c r="G8744" t="s">
        <v>172</v>
      </c>
      <c r="H8744" t="s">
        <v>522</v>
      </c>
      <c r="I8744" s="173">
        <v>148.54</v>
      </c>
      <c r="J8744" s="233"/>
      <c r="K8744" s="233"/>
      <c r="L8744" s="233"/>
      <c r="M8744" s="91"/>
    </row>
    <row r="8745" spans="1:13" hidden="1" x14ac:dyDescent="0.3">
      <c r="B8745" t="s">
        <v>271</v>
      </c>
      <c r="C8745" s="25">
        <v>44759</v>
      </c>
      <c r="D8745" s="26">
        <v>0.73864583333333333</v>
      </c>
      <c r="E8745" t="s">
        <v>30</v>
      </c>
      <c r="F8745" t="s">
        <v>774</v>
      </c>
      <c r="G8745" t="s">
        <v>161</v>
      </c>
      <c r="H8745" t="s">
        <v>522</v>
      </c>
      <c r="I8745" s="173">
        <v>332.86</v>
      </c>
      <c r="J8745" s="231">
        <f>333+148+173</f>
        <v>654</v>
      </c>
      <c r="K8745" s="231"/>
      <c r="L8745" s="231">
        <v>1605</v>
      </c>
      <c r="M8745" s="149">
        <f>+J8745/L8745*100</f>
        <v>40.747663551401871</v>
      </c>
    </row>
    <row r="8746" spans="1:13" hidden="1" x14ac:dyDescent="0.3">
      <c r="B8746" t="s">
        <v>271</v>
      </c>
      <c r="C8746" s="25">
        <v>44760</v>
      </c>
      <c r="D8746" s="26">
        <v>0.31032407407407409</v>
      </c>
      <c r="E8746" t="s">
        <v>30</v>
      </c>
      <c r="F8746" t="s">
        <v>165</v>
      </c>
      <c r="G8746" t="s">
        <v>185</v>
      </c>
      <c r="H8746" t="s">
        <v>522</v>
      </c>
      <c r="I8746" s="160">
        <v>276.92</v>
      </c>
      <c r="J8746" s="8"/>
      <c r="K8746" s="8"/>
      <c r="L8746" s="8"/>
      <c r="M8746" s="254"/>
    </row>
    <row r="8747" spans="1:13" hidden="1" x14ac:dyDescent="0.3">
      <c r="B8747" t="s">
        <v>271</v>
      </c>
      <c r="C8747" s="25">
        <v>44761</v>
      </c>
      <c r="D8747" s="26">
        <v>0.87589120370370377</v>
      </c>
      <c r="E8747" t="s">
        <v>30</v>
      </c>
      <c r="F8747" t="s">
        <v>166</v>
      </c>
      <c r="G8747" t="s">
        <v>161</v>
      </c>
      <c r="H8747" t="s">
        <v>522</v>
      </c>
      <c r="I8747" s="160">
        <v>261.08999999999997</v>
      </c>
      <c r="J8747" s="160">
        <f>277+261</f>
        <v>538</v>
      </c>
      <c r="K8747" s="160">
        <v>1234</v>
      </c>
      <c r="L8747" s="160">
        <v>1260</v>
      </c>
      <c r="M8747" s="150">
        <f>+J8747/L8747*100</f>
        <v>42.698412698412696</v>
      </c>
    </row>
    <row r="8748" spans="1:13" hidden="1" x14ac:dyDescent="0.3">
      <c r="B8748" t="s">
        <v>271</v>
      </c>
      <c r="C8748" s="25">
        <v>44762</v>
      </c>
      <c r="D8748" s="26">
        <v>0.3790162037037037</v>
      </c>
      <c r="E8748" t="s">
        <v>30</v>
      </c>
      <c r="F8748" t="s">
        <v>169</v>
      </c>
      <c r="G8748" t="s">
        <v>196</v>
      </c>
      <c r="H8748" t="s">
        <v>522</v>
      </c>
      <c r="I8748" s="8">
        <v>160.33000000000001</v>
      </c>
      <c r="J8748" s="8"/>
      <c r="K8748" s="8"/>
      <c r="L8748" s="8"/>
      <c r="M8748" s="254"/>
    </row>
    <row r="8749" spans="1:13" hidden="1" x14ac:dyDescent="0.3">
      <c r="A8749" s="9">
        <v>6751</v>
      </c>
      <c r="B8749" t="s">
        <v>719</v>
      </c>
      <c r="C8749" s="25">
        <v>44750</v>
      </c>
      <c r="D8749" s="26">
        <v>0.73047453703703702</v>
      </c>
      <c r="E8749" t="s">
        <v>30</v>
      </c>
      <c r="F8749" t="s">
        <v>781</v>
      </c>
      <c r="G8749" t="s">
        <v>785</v>
      </c>
      <c r="H8749" t="s">
        <v>720</v>
      </c>
      <c r="I8749" s="8" t="s">
        <v>819</v>
      </c>
      <c r="J8749" s="8"/>
      <c r="K8749" s="8"/>
      <c r="L8749" s="8"/>
      <c r="M8749" s="91" t="e">
        <f>I8749/K8749*100</f>
        <v>#DIV/0!</v>
      </c>
    </row>
    <row r="8750" spans="1:13" hidden="1" x14ac:dyDescent="0.3">
      <c r="A8750" s="9">
        <v>6751</v>
      </c>
      <c r="B8750" t="s">
        <v>719</v>
      </c>
      <c r="C8750" s="25">
        <v>44750</v>
      </c>
      <c r="D8750" s="26">
        <v>0.73047453703703702</v>
      </c>
      <c r="E8750" t="s">
        <v>30</v>
      </c>
      <c r="F8750" t="s">
        <v>875</v>
      </c>
      <c r="G8750" t="s">
        <v>785</v>
      </c>
      <c r="H8750" t="s">
        <v>720</v>
      </c>
      <c r="I8750" s="8" t="s">
        <v>819</v>
      </c>
      <c r="J8750" s="23"/>
      <c r="K8750" s="90"/>
      <c r="L8750" s="23"/>
      <c r="M8750" s="19"/>
    </row>
    <row r="8751" spans="1:13" hidden="1" x14ac:dyDescent="0.3">
      <c r="B8751" t="s">
        <v>719</v>
      </c>
      <c r="C8751" s="25">
        <v>44772</v>
      </c>
      <c r="D8751" s="26">
        <v>0.81240740740740736</v>
      </c>
      <c r="E8751" t="s">
        <v>30</v>
      </c>
      <c r="F8751" t="s">
        <v>385</v>
      </c>
      <c r="G8751" t="s">
        <v>386</v>
      </c>
      <c r="H8751" t="s">
        <v>720</v>
      </c>
      <c r="I8751" s="8">
        <v>58.22</v>
      </c>
      <c r="J8751" s="8"/>
      <c r="K8751" s="8">
        <v>542132</v>
      </c>
      <c r="L8751" s="8">
        <f t="shared" ref="L8751" si="530">+K8751-J8751</f>
        <v>542132</v>
      </c>
      <c r="M8751" s="254">
        <f>+J8751/L8751*100</f>
        <v>0</v>
      </c>
    </row>
    <row r="8752" spans="1:13" hidden="1" x14ac:dyDescent="0.3">
      <c r="B8752" t="s">
        <v>359</v>
      </c>
      <c r="C8752" s="25">
        <v>44744</v>
      </c>
      <c r="D8752" s="26">
        <v>0.47288194444444448</v>
      </c>
      <c r="E8752" t="s">
        <v>30</v>
      </c>
      <c r="F8752" t="s">
        <v>175</v>
      </c>
      <c r="G8752" t="s">
        <v>172</v>
      </c>
      <c r="H8752" t="s">
        <v>768</v>
      </c>
      <c r="I8752" s="173">
        <v>266.83999999999997</v>
      </c>
      <c r="J8752" s="8"/>
      <c r="K8752" s="8"/>
      <c r="L8752" s="8"/>
      <c r="M8752" s="91"/>
    </row>
    <row r="8753" spans="2:13" hidden="1" x14ac:dyDescent="0.3">
      <c r="B8753" t="s">
        <v>359</v>
      </c>
      <c r="C8753" s="25">
        <v>44745</v>
      </c>
      <c r="D8753" s="26">
        <v>0.4246180555555556</v>
      </c>
      <c r="E8753" t="s">
        <v>30</v>
      </c>
      <c r="F8753" t="s">
        <v>488</v>
      </c>
      <c r="G8753" t="s">
        <v>489</v>
      </c>
      <c r="H8753" t="s">
        <v>768</v>
      </c>
      <c r="I8753" s="173">
        <v>260.93</v>
      </c>
      <c r="J8753" s="8"/>
      <c r="K8753" s="8"/>
      <c r="L8753" s="8"/>
      <c r="M8753" s="91"/>
    </row>
    <row r="8754" spans="2:13" hidden="1" x14ac:dyDescent="0.3">
      <c r="B8754" t="s">
        <v>359</v>
      </c>
      <c r="C8754" s="25">
        <v>44745</v>
      </c>
      <c r="D8754" s="26">
        <v>0.60358796296296291</v>
      </c>
      <c r="E8754" t="s">
        <v>30</v>
      </c>
      <c r="F8754" t="s">
        <v>210</v>
      </c>
      <c r="G8754" t="s">
        <v>211</v>
      </c>
      <c r="H8754" t="s">
        <v>768</v>
      </c>
      <c r="I8754" s="173">
        <v>112.48</v>
      </c>
      <c r="J8754" s="8"/>
      <c r="K8754" s="8"/>
      <c r="L8754" s="8"/>
      <c r="M8754" s="91"/>
    </row>
    <row r="8755" spans="2:13" hidden="1" x14ac:dyDescent="0.3">
      <c r="B8755" t="s">
        <v>359</v>
      </c>
      <c r="C8755" s="25">
        <v>44746</v>
      </c>
      <c r="D8755" s="26">
        <v>0.75877314814814811</v>
      </c>
      <c r="E8755" t="s">
        <v>30</v>
      </c>
      <c r="F8755" t="s">
        <v>165</v>
      </c>
      <c r="G8755" t="s">
        <v>185</v>
      </c>
      <c r="H8755" t="s">
        <v>768</v>
      </c>
      <c r="I8755" s="173">
        <v>270.64999999999998</v>
      </c>
      <c r="J8755" s="8"/>
      <c r="K8755" s="8"/>
      <c r="L8755" s="8"/>
      <c r="M8755" s="91"/>
    </row>
    <row r="8756" spans="2:13" hidden="1" x14ac:dyDescent="0.3">
      <c r="B8756" t="s">
        <v>359</v>
      </c>
      <c r="C8756" s="25">
        <v>44747</v>
      </c>
      <c r="D8756" s="26">
        <v>0.52153935185185185</v>
      </c>
      <c r="E8756" t="s">
        <v>30</v>
      </c>
      <c r="F8756" t="s">
        <v>335</v>
      </c>
      <c r="G8756" t="s">
        <v>336</v>
      </c>
      <c r="H8756" t="s">
        <v>768</v>
      </c>
      <c r="I8756" s="173">
        <v>171.12</v>
      </c>
      <c r="J8756" s="8"/>
      <c r="K8756" s="8"/>
      <c r="L8756" s="8"/>
      <c r="M8756" s="91"/>
    </row>
    <row r="8757" spans="2:13" hidden="1" x14ac:dyDescent="0.3">
      <c r="B8757" t="s">
        <v>359</v>
      </c>
      <c r="C8757" s="25">
        <v>44747</v>
      </c>
      <c r="D8757" s="26">
        <v>0.87730324074074073</v>
      </c>
      <c r="E8757" t="s">
        <v>30</v>
      </c>
      <c r="F8757" t="s">
        <v>335</v>
      </c>
      <c r="G8757" t="s">
        <v>336</v>
      </c>
      <c r="H8757" t="s">
        <v>768</v>
      </c>
      <c r="I8757" s="173">
        <v>150.44</v>
      </c>
      <c r="J8757" s="8"/>
      <c r="K8757" s="8"/>
      <c r="L8757" s="8"/>
      <c r="M8757" s="91"/>
    </row>
    <row r="8758" spans="2:13" hidden="1" x14ac:dyDescent="0.3">
      <c r="B8758" t="s">
        <v>359</v>
      </c>
      <c r="C8758" s="25">
        <v>44748</v>
      </c>
      <c r="D8758" s="26">
        <v>0.65248842592592593</v>
      </c>
      <c r="E8758" t="s">
        <v>30</v>
      </c>
      <c r="F8758" t="s">
        <v>165</v>
      </c>
      <c r="G8758" t="s">
        <v>185</v>
      </c>
      <c r="H8758" t="s">
        <v>768</v>
      </c>
      <c r="I8758" s="173">
        <v>290</v>
      </c>
      <c r="J8758" s="173">
        <f>261+113+270+171+151+290</f>
        <v>1256</v>
      </c>
      <c r="K8758" s="160">
        <v>4449</v>
      </c>
      <c r="L8758" s="173">
        <v>3028</v>
      </c>
      <c r="M8758" s="149">
        <f>+J8758/L8758*100</f>
        <v>41.479524438573314</v>
      </c>
    </row>
    <row r="8759" spans="2:13" hidden="1" x14ac:dyDescent="0.3">
      <c r="B8759" t="s">
        <v>359</v>
      </c>
      <c r="C8759" s="25">
        <v>44749</v>
      </c>
      <c r="D8759" s="26">
        <v>0.77660879629629631</v>
      </c>
      <c r="E8759" t="s">
        <v>30</v>
      </c>
      <c r="F8759" t="s">
        <v>210</v>
      </c>
      <c r="G8759" t="s">
        <v>211</v>
      </c>
      <c r="H8759" t="s">
        <v>768</v>
      </c>
      <c r="I8759" s="173">
        <v>180.06</v>
      </c>
      <c r="J8759" s="8"/>
      <c r="K8759" s="8"/>
      <c r="L8759" s="8"/>
      <c r="M8759" s="91"/>
    </row>
    <row r="8760" spans="2:13" hidden="1" x14ac:dyDescent="0.3">
      <c r="B8760" t="s">
        <v>359</v>
      </c>
      <c r="C8760" s="25">
        <v>44750</v>
      </c>
      <c r="D8760" s="26">
        <v>0.56891203703703697</v>
      </c>
      <c r="E8760" t="s">
        <v>30</v>
      </c>
      <c r="F8760" t="s">
        <v>169</v>
      </c>
      <c r="G8760" t="s">
        <v>196</v>
      </c>
      <c r="H8760" t="s">
        <v>768</v>
      </c>
      <c r="I8760" s="173">
        <v>175.13</v>
      </c>
      <c r="J8760" s="8"/>
      <c r="K8760" s="8"/>
      <c r="L8760" s="8"/>
      <c r="M8760" s="91"/>
    </row>
    <row r="8761" spans="2:13" hidden="1" x14ac:dyDescent="0.3">
      <c r="B8761" t="s">
        <v>359</v>
      </c>
      <c r="C8761" s="25">
        <v>44758</v>
      </c>
      <c r="D8761" s="26">
        <v>0.29726851851851849</v>
      </c>
      <c r="E8761" t="s">
        <v>30</v>
      </c>
      <c r="F8761" t="s">
        <v>175</v>
      </c>
      <c r="G8761" t="s">
        <v>172</v>
      </c>
      <c r="H8761" t="s">
        <v>768</v>
      </c>
      <c r="I8761" s="173">
        <v>223.15</v>
      </c>
      <c r="J8761" s="23"/>
      <c r="K8761" s="90"/>
      <c r="L8761" s="23"/>
      <c r="M8761" s="91"/>
    </row>
    <row r="8762" spans="2:13" hidden="1" x14ac:dyDescent="0.3">
      <c r="B8762" t="s">
        <v>359</v>
      </c>
      <c r="C8762" s="25">
        <v>44758</v>
      </c>
      <c r="D8762" s="26">
        <v>0.74511574074074083</v>
      </c>
      <c r="E8762" t="s">
        <v>30</v>
      </c>
      <c r="F8762" t="s">
        <v>456</v>
      </c>
      <c r="G8762" t="s">
        <v>457</v>
      </c>
      <c r="H8762" t="s">
        <v>768</v>
      </c>
      <c r="I8762" s="173">
        <v>101.89</v>
      </c>
      <c r="J8762" s="23"/>
      <c r="K8762" s="90"/>
      <c r="L8762" s="23"/>
      <c r="M8762" s="91"/>
    </row>
    <row r="8763" spans="2:13" hidden="1" x14ac:dyDescent="0.3">
      <c r="B8763" t="s">
        <v>359</v>
      </c>
      <c r="C8763" s="25">
        <v>44758</v>
      </c>
      <c r="D8763" s="26">
        <v>0.91304398148148147</v>
      </c>
      <c r="E8763" t="s">
        <v>30</v>
      </c>
      <c r="F8763" t="s">
        <v>774</v>
      </c>
      <c r="G8763" t="s">
        <v>161</v>
      </c>
      <c r="H8763" t="s">
        <v>768</v>
      </c>
      <c r="I8763" s="173">
        <v>258.77999999999997</v>
      </c>
      <c r="J8763" s="231">
        <f>259+102+223+175+180</f>
        <v>939</v>
      </c>
      <c r="K8763" s="151"/>
      <c r="L8763" s="231">
        <v>2259</v>
      </c>
      <c r="M8763" s="149">
        <f>+J8763/L8763*100</f>
        <v>41.567065073041171</v>
      </c>
    </row>
    <row r="8764" spans="2:13" hidden="1" x14ac:dyDescent="0.3">
      <c r="B8764" t="s">
        <v>359</v>
      </c>
      <c r="C8764" s="25">
        <v>44759</v>
      </c>
      <c r="D8764" s="26">
        <v>0.70988425925925924</v>
      </c>
      <c r="E8764" t="s">
        <v>30</v>
      </c>
      <c r="F8764" t="s">
        <v>165</v>
      </c>
      <c r="G8764" t="s">
        <v>185</v>
      </c>
      <c r="H8764" t="s">
        <v>768</v>
      </c>
      <c r="I8764" s="173">
        <v>296</v>
      </c>
      <c r="J8764" s="23"/>
      <c r="K8764" s="90"/>
      <c r="L8764" s="23"/>
      <c r="M8764" s="91"/>
    </row>
    <row r="8765" spans="2:13" hidden="1" x14ac:dyDescent="0.3">
      <c r="B8765" t="s">
        <v>359</v>
      </c>
      <c r="C8765" s="25">
        <v>44760</v>
      </c>
      <c r="D8765" s="26">
        <v>0.6852893518518518</v>
      </c>
      <c r="E8765" t="s">
        <v>30</v>
      </c>
      <c r="F8765" t="s">
        <v>1076</v>
      </c>
      <c r="G8765" t="s">
        <v>1077</v>
      </c>
      <c r="H8765" t="s">
        <v>768</v>
      </c>
      <c r="I8765" s="160">
        <v>100.44</v>
      </c>
      <c r="J8765" s="8"/>
      <c r="K8765" s="8"/>
      <c r="L8765" s="8"/>
      <c r="M8765" s="254"/>
    </row>
    <row r="8766" spans="2:13" hidden="1" x14ac:dyDescent="0.3">
      <c r="B8766" t="s">
        <v>359</v>
      </c>
      <c r="C8766" s="25">
        <v>44760</v>
      </c>
      <c r="D8766" s="26">
        <v>0.91484953703703698</v>
      </c>
      <c r="E8766" t="s">
        <v>30</v>
      </c>
      <c r="F8766" t="s">
        <v>169</v>
      </c>
      <c r="G8766" t="s">
        <v>196</v>
      </c>
      <c r="H8766" t="s">
        <v>768</v>
      </c>
      <c r="I8766" s="160">
        <v>214.01</v>
      </c>
      <c r="J8766" s="8"/>
      <c r="K8766" s="8"/>
      <c r="L8766" s="8"/>
      <c r="M8766" s="254"/>
    </row>
    <row r="8767" spans="2:13" hidden="1" x14ac:dyDescent="0.3">
      <c r="B8767" t="s">
        <v>359</v>
      </c>
      <c r="C8767" s="25">
        <v>44761</v>
      </c>
      <c r="D8767" s="26">
        <v>0.71895833333333325</v>
      </c>
      <c r="E8767" t="s">
        <v>30</v>
      </c>
      <c r="F8767" t="s">
        <v>428</v>
      </c>
      <c r="G8767" t="s">
        <v>429</v>
      </c>
      <c r="H8767" t="s">
        <v>768</v>
      </c>
      <c r="I8767" s="160">
        <v>101.34</v>
      </c>
      <c r="J8767" s="8"/>
      <c r="K8767" s="8"/>
      <c r="L8767" s="8"/>
      <c r="M8767" s="254"/>
    </row>
    <row r="8768" spans="2:13" hidden="1" x14ac:dyDescent="0.3">
      <c r="B8768" t="s">
        <v>359</v>
      </c>
      <c r="C8768" s="25">
        <v>44761</v>
      </c>
      <c r="D8768" s="26">
        <v>0.7209606481481482</v>
      </c>
      <c r="E8768" t="s">
        <v>30</v>
      </c>
      <c r="F8768" t="s">
        <v>428</v>
      </c>
      <c r="G8768" t="s">
        <v>429</v>
      </c>
      <c r="H8768" t="s">
        <v>768</v>
      </c>
      <c r="I8768" s="160">
        <v>107.14</v>
      </c>
      <c r="J8768" s="8"/>
      <c r="K8768" s="8"/>
      <c r="L8768" s="8"/>
      <c r="M8768" s="254"/>
    </row>
    <row r="8769" spans="2:13" hidden="1" x14ac:dyDescent="0.3">
      <c r="B8769" t="s">
        <v>359</v>
      </c>
      <c r="C8769" s="25">
        <v>44762</v>
      </c>
      <c r="D8769" s="26">
        <v>0.40789351851851857</v>
      </c>
      <c r="E8769" t="s">
        <v>30</v>
      </c>
      <c r="F8769" t="s">
        <v>343</v>
      </c>
      <c r="G8769" t="s">
        <v>344</v>
      </c>
      <c r="H8769" t="s">
        <v>768</v>
      </c>
      <c r="I8769" s="160">
        <v>185.53</v>
      </c>
      <c r="J8769" s="8"/>
      <c r="K8769" s="8"/>
      <c r="L8769" s="8"/>
      <c r="M8769" s="254"/>
    </row>
    <row r="8770" spans="2:13" hidden="1" x14ac:dyDescent="0.3">
      <c r="B8770" t="s">
        <v>359</v>
      </c>
      <c r="C8770" s="25">
        <v>44762</v>
      </c>
      <c r="D8770" s="26">
        <v>0.78415509259259253</v>
      </c>
      <c r="E8770" t="s">
        <v>30</v>
      </c>
      <c r="F8770" t="s">
        <v>210</v>
      </c>
      <c r="G8770" t="s">
        <v>211</v>
      </c>
      <c r="H8770" t="s">
        <v>768</v>
      </c>
      <c r="I8770" s="160">
        <v>240.95</v>
      </c>
      <c r="J8770" s="160">
        <f>296+100+214+107+185+241</f>
        <v>1143</v>
      </c>
      <c r="K8770" s="160">
        <v>9870</v>
      </c>
      <c r="L8770" s="160">
        <v>3081</v>
      </c>
      <c r="M8770" s="150">
        <f t="shared" ref="M8770:M8789" si="531">+J8770/L8770*100</f>
        <v>37.098344693281405</v>
      </c>
    </row>
    <row r="8771" spans="2:13" hidden="1" x14ac:dyDescent="0.3">
      <c r="B8771" t="s">
        <v>359</v>
      </c>
      <c r="C8771" s="25">
        <v>44763</v>
      </c>
      <c r="D8771" s="26">
        <v>1.4456018518518519E-2</v>
      </c>
      <c r="E8771" t="s">
        <v>30</v>
      </c>
      <c r="F8771" t="s">
        <v>396</v>
      </c>
      <c r="G8771" t="s">
        <v>397</v>
      </c>
      <c r="H8771" t="s">
        <v>768</v>
      </c>
      <c r="I8771" s="160">
        <v>152.01</v>
      </c>
      <c r="J8771" s="8"/>
      <c r="K8771" s="8"/>
      <c r="L8771" s="8"/>
      <c r="M8771" s="254"/>
    </row>
    <row r="8772" spans="2:13" hidden="1" x14ac:dyDescent="0.3">
      <c r="B8772" t="s">
        <v>359</v>
      </c>
      <c r="C8772" s="25">
        <v>44763</v>
      </c>
      <c r="D8772" s="26">
        <v>0.48403935185185182</v>
      </c>
      <c r="E8772" t="s">
        <v>30</v>
      </c>
      <c r="F8772" t="s">
        <v>165</v>
      </c>
      <c r="G8772" t="s">
        <v>185</v>
      </c>
      <c r="H8772" t="s">
        <v>768</v>
      </c>
      <c r="I8772" s="160">
        <v>116.6</v>
      </c>
      <c r="J8772" s="8"/>
      <c r="K8772" s="8"/>
      <c r="L8772" s="8"/>
      <c r="M8772" s="254"/>
    </row>
    <row r="8773" spans="2:13" hidden="1" x14ac:dyDescent="0.3">
      <c r="B8773" t="s">
        <v>359</v>
      </c>
      <c r="C8773" s="25">
        <v>44763</v>
      </c>
      <c r="D8773" s="26">
        <v>0.93104166666666666</v>
      </c>
      <c r="E8773" t="s">
        <v>30</v>
      </c>
      <c r="F8773" t="s">
        <v>166</v>
      </c>
      <c r="G8773" t="s">
        <v>161</v>
      </c>
      <c r="H8773" t="s">
        <v>768</v>
      </c>
      <c r="I8773" s="160">
        <v>182.83</v>
      </c>
      <c r="J8773" s="160">
        <f>152+117+183</f>
        <v>452</v>
      </c>
      <c r="K8773" s="160">
        <v>11025</v>
      </c>
      <c r="L8773" s="160">
        <v>1139</v>
      </c>
      <c r="M8773" s="150">
        <f t="shared" si="531"/>
        <v>39.683933274802456</v>
      </c>
    </row>
    <row r="8774" spans="2:13" hidden="1" x14ac:dyDescent="0.3">
      <c r="B8774" t="s">
        <v>359</v>
      </c>
      <c r="C8774" s="25">
        <v>44764</v>
      </c>
      <c r="D8774" s="26">
        <v>0.44269675925925928</v>
      </c>
      <c r="E8774" t="s">
        <v>30</v>
      </c>
      <c r="F8774" t="s">
        <v>169</v>
      </c>
      <c r="G8774" t="s">
        <v>196</v>
      </c>
      <c r="H8774" t="s">
        <v>768</v>
      </c>
      <c r="I8774" s="160">
        <v>146.16999999999999</v>
      </c>
      <c r="J8774" s="8"/>
      <c r="K8774" s="8"/>
      <c r="L8774" s="8"/>
      <c r="M8774" s="254"/>
    </row>
    <row r="8775" spans="2:13" hidden="1" x14ac:dyDescent="0.3">
      <c r="B8775" t="s">
        <v>359</v>
      </c>
      <c r="C8775" s="25">
        <v>44764</v>
      </c>
      <c r="D8775" s="26">
        <v>0.79358796296296286</v>
      </c>
      <c r="E8775" t="s">
        <v>30</v>
      </c>
      <c r="F8775" t="s">
        <v>534</v>
      </c>
      <c r="G8775" t="s">
        <v>535</v>
      </c>
      <c r="H8775" t="s">
        <v>768</v>
      </c>
      <c r="I8775" s="160">
        <v>194.34</v>
      </c>
      <c r="J8775" s="8"/>
      <c r="K8775" s="8"/>
      <c r="L8775" s="8"/>
      <c r="M8775" s="254"/>
    </row>
    <row r="8776" spans="2:13" hidden="1" x14ac:dyDescent="0.3">
      <c r="B8776" t="s">
        <v>359</v>
      </c>
      <c r="C8776" s="25">
        <v>44765</v>
      </c>
      <c r="D8776" s="26">
        <v>0.18835648148148146</v>
      </c>
      <c r="E8776" t="s">
        <v>30</v>
      </c>
      <c r="F8776" t="s">
        <v>343</v>
      </c>
      <c r="G8776" t="s">
        <v>344</v>
      </c>
      <c r="H8776" t="s">
        <v>768</v>
      </c>
      <c r="I8776" s="160">
        <v>145.62</v>
      </c>
      <c r="J8776" s="8"/>
      <c r="K8776" s="8"/>
      <c r="L8776" s="8"/>
      <c r="M8776" s="254"/>
    </row>
    <row r="8777" spans="2:13" hidden="1" x14ac:dyDescent="0.3">
      <c r="B8777" t="s">
        <v>359</v>
      </c>
      <c r="C8777" s="25">
        <v>44765</v>
      </c>
      <c r="D8777" s="26">
        <v>0.7368055555555556</v>
      </c>
      <c r="E8777" t="s">
        <v>30</v>
      </c>
      <c r="F8777" t="s">
        <v>210</v>
      </c>
      <c r="G8777" t="s">
        <v>211</v>
      </c>
      <c r="H8777" t="s">
        <v>768</v>
      </c>
      <c r="I8777" s="160">
        <v>224.31</v>
      </c>
      <c r="J8777" s="160">
        <f>146+194+146+224</f>
        <v>710</v>
      </c>
      <c r="K8777" s="160">
        <v>12770</v>
      </c>
      <c r="L8777" s="160">
        <v>1719</v>
      </c>
      <c r="M8777" s="150">
        <f t="shared" si="531"/>
        <v>41.303083187899944</v>
      </c>
    </row>
    <row r="8778" spans="2:13" hidden="1" x14ac:dyDescent="0.3">
      <c r="B8778" t="s">
        <v>359</v>
      </c>
      <c r="C8778" s="25">
        <v>44766</v>
      </c>
      <c r="D8778" s="26">
        <v>0.43140046296296292</v>
      </c>
      <c r="E8778" t="s">
        <v>30</v>
      </c>
      <c r="F8778" t="s">
        <v>165</v>
      </c>
      <c r="G8778" t="s">
        <v>185</v>
      </c>
      <c r="H8778" t="s">
        <v>768</v>
      </c>
      <c r="I8778" s="160">
        <v>253.98</v>
      </c>
      <c r="J8778" s="8"/>
      <c r="K8778" s="8"/>
      <c r="L8778" s="8"/>
      <c r="M8778" s="254"/>
    </row>
    <row r="8779" spans="2:13" hidden="1" x14ac:dyDescent="0.3">
      <c r="B8779" t="s">
        <v>359</v>
      </c>
      <c r="C8779" s="25">
        <v>44766</v>
      </c>
      <c r="D8779" s="26">
        <v>0.77945601851851853</v>
      </c>
      <c r="E8779" t="s">
        <v>30</v>
      </c>
      <c r="F8779" t="s">
        <v>210</v>
      </c>
      <c r="G8779" t="s">
        <v>211</v>
      </c>
      <c r="H8779" t="s">
        <v>768</v>
      </c>
      <c r="I8779" s="160">
        <v>159.87</v>
      </c>
      <c r="J8779" s="160">
        <f>254+160</f>
        <v>414</v>
      </c>
      <c r="K8779" s="160">
        <v>13848</v>
      </c>
      <c r="L8779" s="160">
        <v>1063</v>
      </c>
      <c r="M8779" s="150">
        <f t="shared" si="531"/>
        <v>38.946378174976481</v>
      </c>
    </row>
    <row r="8780" spans="2:13" hidden="1" x14ac:dyDescent="0.3">
      <c r="B8780" t="s">
        <v>359</v>
      </c>
      <c r="C8780" s="25">
        <v>44767</v>
      </c>
      <c r="D8780" s="26">
        <v>0.36056712962962961</v>
      </c>
      <c r="E8780" t="s">
        <v>30</v>
      </c>
      <c r="F8780" t="s">
        <v>169</v>
      </c>
      <c r="G8780" t="s">
        <v>196</v>
      </c>
      <c r="H8780" t="s">
        <v>768</v>
      </c>
      <c r="I8780" s="160">
        <v>174.17</v>
      </c>
      <c r="J8780" s="8"/>
      <c r="K8780" s="8"/>
      <c r="L8780" s="8"/>
      <c r="M8780" s="254"/>
    </row>
    <row r="8781" spans="2:13" hidden="1" x14ac:dyDescent="0.3">
      <c r="B8781" t="s">
        <v>359</v>
      </c>
      <c r="C8781" s="25">
        <v>44767</v>
      </c>
      <c r="D8781" s="26">
        <v>0.83306712962962959</v>
      </c>
      <c r="E8781" t="s">
        <v>30</v>
      </c>
      <c r="F8781" t="s">
        <v>391</v>
      </c>
      <c r="G8781" t="s">
        <v>392</v>
      </c>
      <c r="H8781" t="s">
        <v>768</v>
      </c>
      <c r="I8781" s="160">
        <v>209.69</v>
      </c>
      <c r="J8781" s="8"/>
      <c r="K8781" s="8"/>
      <c r="L8781" s="8"/>
      <c r="M8781" s="254"/>
    </row>
    <row r="8782" spans="2:13" hidden="1" x14ac:dyDescent="0.3">
      <c r="B8782" t="s">
        <v>359</v>
      </c>
      <c r="C8782" s="25">
        <v>44768</v>
      </c>
      <c r="D8782" s="26">
        <v>0.41086805555555556</v>
      </c>
      <c r="E8782" t="s">
        <v>30</v>
      </c>
      <c r="F8782" t="s">
        <v>343</v>
      </c>
      <c r="G8782" t="s">
        <v>344</v>
      </c>
      <c r="H8782" t="s">
        <v>768</v>
      </c>
      <c r="I8782" s="160">
        <v>137.91999999999999</v>
      </c>
      <c r="J8782" s="8"/>
      <c r="K8782" s="8"/>
      <c r="L8782" s="8"/>
      <c r="M8782" s="254"/>
    </row>
    <row r="8783" spans="2:13" hidden="1" x14ac:dyDescent="0.3">
      <c r="B8783" t="s">
        <v>359</v>
      </c>
      <c r="C8783" s="25">
        <v>44768</v>
      </c>
      <c r="D8783" s="26">
        <v>0.79050925925925919</v>
      </c>
      <c r="E8783" t="s">
        <v>30</v>
      </c>
      <c r="F8783" t="s">
        <v>210</v>
      </c>
      <c r="G8783" t="s">
        <v>211</v>
      </c>
      <c r="H8783" t="s">
        <v>768</v>
      </c>
      <c r="I8783" s="160">
        <v>224.97</v>
      </c>
      <c r="J8783" s="160">
        <f>174+210+138+225</f>
        <v>747</v>
      </c>
      <c r="K8783" s="160">
        <v>15651</v>
      </c>
      <c r="L8783" s="160">
        <v>1780</v>
      </c>
      <c r="M8783" s="150">
        <f t="shared" si="531"/>
        <v>41.966292134831463</v>
      </c>
    </row>
    <row r="8784" spans="2:13" hidden="1" x14ac:dyDescent="0.3">
      <c r="B8784" t="s">
        <v>359</v>
      </c>
      <c r="C8784" s="25">
        <v>44769</v>
      </c>
      <c r="D8784" s="26">
        <v>0.16604166666666667</v>
      </c>
      <c r="E8784" t="s">
        <v>30</v>
      </c>
      <c r="F8784" t="s">
        <v>165</v>
      </c>
      <c r="G8784" t="s">
        <v>185</v>
      </c>
      <c r="H8784" t="s">
        <v>768</v>
      </c>
      <c r="I8784" s="160">
        <v>256.02999999999997</v>
      </c>
      <c r="J8784" s="8"/>
      <c r="K8784" s="8"/>
      <c r="L8784" s="8"/>
      <c r="M8784" s="254"/>
    </row>
    <row r="8785" spans="1:13" hidden="1" x14ac:dyDescent="0.3">
      <c r="B8785" t="s">
        <v>359</v>
      </c>
      <c r="C8785" s="25">
        <v>44770</v>
      </c>
      <c r="D8785" s="26">
        <v>0.36018518518518516</v>
      </c>
      <c r="E8785" t="s">
        <v>30</v>
      </c>
      <c r="F8785" t="s">
        <v>166</v>
      </c>
      <c r="G8785" t="s">
        <v>161</v>
      </c>
      <c r="H8785" t="s">
        <v>768</v>
      </c>
      <c r="I8785" s="160">
        <v>204.77</v>
      </c>
      <c r="J8785" s="160">
        <f>256+205</f>
        <v>461</v>
      </c>
      <c r="K8785" s="160">
        <v>170000</v>
      </c>
      <c r="L8785" s="160">
        <v>1198</v>
      </c>
      <c r="M8785" s="150">
        <f t="shared" si="531"/>
        <v>38.480801335559264</v>
      </c>
    </row>
    <row r="8786" spans="1:13" hidden="1" x14ac:dyDescent="0.3">
      <c r="B8786" t="s">
        <v>359</v>
      </c>
      <c r="C8786" s="25">
        <v>44770</v>
      </c>
      <c r="D8786" s="26">
        <v>0.76167824074074064</v>
      </c>
      <c r="E8786" t="s">
        <v>30</v>
      </c>
      <c r="F8786" t="s">
        <v>169</v>
      </c>
      <c r="G8786" t="s">
        <v>196</v>
      </c>
      <c r="H8786" t="s">
        <v>768</v>
      </c>
      <c r="I8786" s="160">
        <v>102.24</v>
      </c>
      <c r="J8786" s="8"/>
      <c r="K8786" s="8"/>
      <c r="L8786" s="8"/>
      <c r="M8786" s="254"/>
    </row>
    <row r="8787" spans="1:13" hidden="1" x14ac:dyDescent="0.3">
      <c r="B8787" t="s">
        <v>359</v>
      </c>
      <c r="C8787" s="25">
        <v>44771</v>
      </c>
      <c r="D8787" s="26">
        <v>0.63875000000000004</v>
      </c>
      <c r="E8787" t="s">
        <v>30</v>
      </c>
      <c r="F8787" t="s">
        <v>175</v>
      </c>
      <c r="G8787" t="s">
        <v>172</v>
      </c>
      <c r="H8787" t="s">
        <v>768</v>
      </c>
      <c r="I8787" s="160">
        <v>202.1</v>
      </c>
      <c r="J8787" s="8"/>
      <c r="K8787" s="8"/>
      <c r="L8787" s="8"/>
      <c r="M8787" s="254"/>
    </row>
    <row r="8788" spans="1:13" hidden="1" x14ac:dyDescent="0.3">
      <c r="B8788" t="s">
        <v>359</v>
      </c>
      <c r="C8788" s="25">
        <v>44772</v>
      </c>
      <c r="D8788" s="26">
        <v>0.63591435185185186</v>
      </c>
      <c r="E8788" t="s">
        <v>30</v>
      </c>
      <c r="F8788" t="s">
        <v>343</v>
      </c>
      <c r="G8788" t="s">
        <v>344</v>
      </c>
      <c r="H8788" t="s">
        <v>768</v>
      </c>
      <c r="I8788" s="160">
        <v>50</v>
      </c>
      <c r="J8788" s="8"/>
      <c r="K8788" s="8"/>
      <c r="L8788" s="8"/>
      <c r="M8788" s="254"/>
    </row>
    <row r="8789" spans="1:13" hidden="1" x14ac:dyDescent="0.3">
      <c r="B8789" t="s">
        <v>359</v>
      </c>
      <c r="C8789" s="25">
        <v>44773</v>
      </c>
      <c r="D8789" s="26">
        <v>5.2395833333333336E-2</v>
      </c>
      <c r="E8789" t="s">
        <v>30</v>
      </c>
      <c r="F8789" t="s">
        <v>210</v>
      </c>
      <c r="G8789" t="s">
        <v>211</v>
      </c>
      <c r="H8789" t="s">
        <v>768</v>
      </c>
      <c r="I8789" s="160">
        <v>302.92</v>
      </c>
      <c r="J8789" s="160">
        <f>102+202+50+303</f>
        <v>657</v>
      </c>
      <c r="K8789" s="160">
        <v>18677</v>
      </c>
      <c r="L8789" s="160">
        <v>1776</v>
      </c>
      <c r="M8789" s="150">
        <f t="shared" si="531"/>
        <v>36.993243243243242</v>
      </c>
    </row>
    <row r="8790" spans="1:13" hidden="1" x14ac:dyDescent="0.3">
      <c r="B8790" t="s">
        <v>359</v>
      </c>
      <c r="C8790" s="25">
        <v>44773</v>
      </c>
      <c r="D8790" s="26">
        <v>0.64925925925925931</v>
      </c>
      <c r="E8790" t="s">
        <v>30</v>
      </c>
      <c r="F8790" t="s">
        <v>1081</v>
      </c>
      <c r="G8790" t="s">
        <v>666</v>
      </c>
      <c r="H8790" t="s">
        <v>768</v>
      </c>
      <c r="I8790" s="160">
        <v>222.08</v>
      </c>
      <c r="J8790" s="8"/>
      <c r="K8790" s="8"/>
      <c r="L8790" s="8"/>
      <c r="M8790" s="254"/>
    </row>
    <row r="8791" spans="1:13" hidden="1" x14ac:dyDescent="0.3">
      <c r="B8791" t="s">
        <v>256</v>
      </c>
      <c r="C8791" s="25">
        <v>44744</v>
      </c>
      <c r="D8791" s="26">
        <v>0.37664351851851857</v>
      </c>
      <c r="E8791" t="s">
        <v>30</v>
      </c>
      <c r="F8791" t="s">
        <v>311</v>
      </c>
      <c r="G8791" t="s">
        <v>303</v>
      </c>
      <c r="H8791" t="s">
        <v>748</v>
      </c>
      <c r="I8791" s="160">
        <v>483.63</v>
      </c>
      <c r="J8791" s="8"/>
      <c r="K8791" s="8"/>
      <c r="L8791" s="8"/>
      <c r="M8791" s="91"/>
    </row>
    <row r="8792" spans="1:13" hidden="1" x14ac:dyDescent="0.3">
      <c r="B8792" t="s">
        <v>256</v>
      </c>
      <c r="C8792" s="25">
        <v>44744</v>
      </c>
      <c r="D8792" s="26">
        <v>0.39012731481481483</v>
      </c>
      <c r="E8792" t="s">
        <v>30</v>
      </c>
      <c r="F8792" t="s">
        <v>311</v>
      </c>
      <c r="G8792" t="s">
        <v>303</v>
      </c>
      <c r="H8792" t="s">
        <v>748</v>
      </c>
      <c r="I8792" s="173">
        <v>143.76</v>
      </c>
      <c r="J8792" s="160">
        <f>143+484+658+413+609</f>
        <v>2307</v>
      </c>
      <c r="K8792" s="160">
        <v>5760</v>
      </c>
      <c r="L8792" s="160">
        <v>5084</v>
      </c>
      <c r="M8792" s="149">
        <f>+J8792/L8792*100</f>
        <v>45.377655389457125</v>
      </c>
    </row>
    <row r="8793" spans="1:13" hidden="1" x14ac:dyDescent="0.3">
      <c r="B8793" t="s">
        <v>256</v>
      </c>
      <c r="C8793" s="25">
        <v>44745</v>
      </c>
      <c r="D8793" s="26">
        <v>0.74607638888888894</v>
      </c>
      <c r="E8793" t="s">
        <v>30</v>
      </c>
      <c r="F8793" t="s">
        <v>210</v>
      </c>
      <c r="G8793" t="s">
        <v>211</v>
      </c>
      <c r="H8793" t="s">
        <v>748</v>
      </c>
      <c r="I8793" s="173">
        <v>523.41</v>
      </c>
      <c r="J8793" s="8"/>
      <c r="K8793" s="8"/>
      <c r="L8793" s="8"/>
      <c r="M8793" s="91"/>
    </row>
    <row r="8794" spans="1:13" hidden="1" x14ac:dyDescent="0.3">
      <c r="B8794" t="s">
        <v>256</v>
      </c>
      <c r="C8794" s="25">
        <v>44745</v>
      </c>
      <c r="D8794" s="26">
        <v>0.75328703703703714</v>
      </c>
      <c r="E8794" t="s">
        <v>30</v>
      </c>
      <c r="F8794" t="s">
        <v>210</v>
      </c>
      <c r="G8794" t="s">
        <v>211</v>
      </c>
      <c r="H8794" t="s">
        <v>748</v>
      </c>
      <c r="I8794" s="173">
        <v>54.83</v>
      </c>
      <c r="J8794" s="8"/>
      <c r="K8794" s="8"/>
      <c r="L8794" s="8"/>
      <c r="M8794" s="91"/>
    </row>
    <row r="8795" spans="1:13" hidden="1" x14ac:dyDescent="0.3">
      <c r="B8795" t="s">
        <v>256</v>
      </c>
      <c r="C8795" s="25">
        <v>44747</v>
      </c>
      <c r="D8795" s="26">
        <v>0.61171296296296296</v>
      </c>
      <c r="E8795" t="s">
        <v>30</v>
      </c>
      <c r="F8795" t="s">
        <v>488</v>
      </c>
      <c r="G8795" t="s">
        <v>489</v>
      </c>
      <c r="H8795" t="s">
        <v>748</v>
      </c>
      <c r="I8795" s="173">
        <v>483.64</v>
      </c>
      <c r="J8795" s="8"/>
      <c r="K8795" s="8"/>
      <c r="L8795" s="8"/>
      <c r="M8795" s="91"/>
    </row>
    <row r="8796" spans="1:13" hidden="1" x14ac:dyDescent="0.3">
      <c r="A8796" s="9">
        <v>6839</v>
      </c>
      <c r="B8796" t="s">
        <v>256</v>
      </c>
      <c r="C8796" s="25">
        <v>44748</v>
      </c>
      <c r="D8796" s="26">
        <v>0.89420138888888889</v>
      </c>
      <c r="E8796" t="s">
        <v>30</v>
      </c>
      <c r="F8796" t="s">
        <v>210</v>
      </c>
      <c r="G8796" t="s">
        <v>211</v>
      </c>
      <c r="H8796" t="s">
        <v>748</v>
      </c>
      <c r="I8796" s="173">
        <v>506.33</v>
      </c>
      <c r="J8796" s="160">
        <f>507+483+55+523</f>
        <v>1568</v>
      </c>
      <c r="K8796" s="160">
        <v>10010</v>
      </c>
      <c r="L8796" s="160">
        <v>4187</v>
      </c>
      <c r="M8796" s="149">
        <f>+J8796/L8796*100</f>
        <v>37.449247671363743</v>
      </c>
    </row>
    <row r="8797" spans="1:13" hidden="1" x14ac:dyDescent="0.3">
      <c r="B8797" t="s">
        <v>256</v>
      </c>
      <c r="C8797" s="25">
        <v>44751</v>
      </c>
      <c r="D8797" s="26">
        <v>0.10780092592592593</v>
      </c>
      <c r="E8797" t="s">
        <v>30</v>
      </c>
      <c r="F8797" t="s">
        <v>533</v>
      </c>
      <c r="G8797" t="s">
        <v>45</v>
      </c>
      <c r="H8797" t="s">
        <v>748</v>
      </c>
      <c r="I8797" s="173">
        <v>746.61</v>
      </c>
      <c r="J8797" s="23"/>
      <c r="K8797" s="23"/>
      <c r="L8797" s="23"/>
      <c r="M8797" s="91"/>
    </row>
    <row r="8798" spans="1:13" hidden="1" x14ac:dyDescent="0.3">
      <c r="A8798" s="9">
        <v>6834</v>
      </c>
      <c r="B8798" t="s">
        <v>256</v>
      </c>
      <c r="C8798" s="25">
        <v>44751</v>
      </c>
      <c r="D8798" s="26">
        <v>0.11798611111111111</v>
      </c>
      <c r="E8798" t="s">
        <v>30</v>
      </c>
      <c r="F8798" t="s">
        <v>779</v>
      </c>
      <c r="G8798" t="s">
        <v>45</v>
      </c>
      <c r="H8798" t="s">
        <v>748</v>
      </c>
      <c r="I8798" s="173">
        <v>25.47</v>
      </c>
      <c r="J8798" s="8"/>
      <c r="K8798" s="8"/>
      <c r="L8798" s="8"/>
      <c r="M8798" s="91"/>
    </row>
    <row r="8799" spans="1:13" hidden="1" x14ac:dyDescent="0.3">
      <c r="B8799" t="s">
        <v>256</v>
      </c>
      <c r="C8799" s="25">
        <v>44754</v>
      </c>
      <c r="D8799" s="26">
        <v>0.18998842592592591</v>
      </c>
      <c r="E8799" t="s">
        <v>30</v>
      </c>
      <c r="F8799" t="s">
        <v>876</v>
      </c>
      <c r="G8799" t="s">
        <v>279</v>
      </c>
      <c r="H8799" t="s">
        <v>748</v>
      </c>
      <c r="I8799" s="173">
        <v>550</v>
      </c>
      <c r="J8799" s="23"/>
      <c r="K8799" s="23"/>
      <c r="L8799" s="23"/>
      <c r="M8799" s="91"/>
    </row>
    <row r="8800" spans="1:13" hidden="1" x14ac:dyDescent="0.3">
      <c r="B8800" t="s">
        <v>256</v>
      </c>
      <c r="C8800" s="25">
        <v>44754</v>
      </c>
      <c r="D8800" s="26">
        <v>0.20152777777777778</v>
      </c>
      <c r="E8800" t="s">
        <v>30</v>
      </c>
      <c r="F8800" t="s">
        <v>876</v>
      </c>
      <c r="G8800" t="s">
        <v>279</v>
      </c>
      <c r="H8800" t="s">
        <v>748</v>
      </c>
      <c r="I8800" s="173">
        <v>197.85</v>
      </c>
      <c r="J8800" s="23"/>
      <c r="K8800" s="23"/>
      <c r="L8800" s="23"/>
      <c r="M8800" s="91"/>
    </row>
    <row r="8801" spans="1:13" hidden="1" x14ac:dyDescent="0.3">
      <c r="A8801" s="9">
        <v>6842</v>
      </c>
      <c r="B8801" t="s">
        <v>256</v>
      </c>
      <c r="C8801" s="25">
        <v>44754</v>
      </c>
      <c r="D8801" s="26">
        <v>0.88828703703703704</v>
      </c>
      <c r="E8801" t="s">
        <v>30</v>
      </c>
      <c r="F8801" t="s">
        <v>169</v>
      </c>
      <c r="G8801" t="s">
        <v>196</v>
      </c>
      <c r="H8801" t="s">
        <v>748</v>
      </c>
      <c r="I8801" s="173">
        <v>242.22</v>
      </c>
      <c r="J8801" s="23"/>
      <c r="K8801" s="23"/>
      <c r="L8801" s="23"/>
      <c r="M8801" s="91"/>
    </row>
    <row r="8802" spans="1:13" hidden="1" x14ac:dyDescent="0.3">
      <c r="B8802" t="s">
        <v>256</v>
      </c>
      <c r="C8802" s="25">
        <v>44756</v>
      </c>
      <c r="D8802" s="26">
        <v>0.63569444444444445</v>
      </c>
      <c r="E8802" t="s">
        <v>30</v>
      </c>
      <c r="F8802" t="s">
        <v>488</v>
      </c>
      <c r="G8802" t="s">
        <v>489</v>
      </c>
      <c r="H8802" t="s">
        <v>748</v>
      </c>
      <c r="I8802" s="173">
        <v>453.04</v>
      </c>
      <c r="J8802" s="23"/>
      <c r="K8802" s="23"/>
      <c r="L8802" s="23"/>
      <c r="M8802" s="91"/>
    </row>
    <row r="8803" spans="1:13" hidden="1" x14ac:dyDescent="0.3">
      <c r="B8803" t="s">
        <v>256</v>
      </c>
      <c r="C8803" s="25">
        <v>44757</v>
      </c>
      <c r="D8803" s="26">
        <v>0.93228009259259259</v>
      </c>
      <c r="E8803" t="s">
        <v>30</v>
      </c>
      <c r="F8803" t="s">
        <v>210</v>
      </c>
      <c r="G8803" t="s">
        <v>211</v>
      </c>
      <c r="H8803" t="s">
        <v>748</v>
      </c>
      <c r="I8803" s="173">
        <v>504.22</v>
      </c>
      <c r="J8803" s="231">
        <f>504+453+242+198+550+25+747</f>
        <v>2719</v>
      </c>
      <c r="K8803" s="151"/>
      <c r="L8803" s="151">
        <v>7760</v>
      </c>
      <c r="M8803" s="149">
        <f>+J8803/L8803*100</f>
        <v>35.038659793814432</v>
      </c>
    </row>
    <row r="8804" spans="1:13" hidden="1" x14ac:dyDescent="0.3">
      <c r="B8804" t="s">
        <v>256</v>
      </c>
      <c r="C8804" s="25">
        <v>44769</v>
      </c>
      <c r="D8804" s="26">
        <v>0.44716435185185183</v>
      </c>
      <c r="E8804" t="s">
        <v>30</v>
      </c>
      <c r="F8804" t="s">
        <v>488</v>
      </c>
      <c r="G8804" t="s">
        <v>489</v>
      </c>
      <c r="H8804" t="s">
        <v>748</v>
      </c>
      <c r="I8804" s="160">
        <v>483.64</v>
      </c>
      <c r="J8804" s="8"/>
      <c r="K8804" s="8"/>
      <c r="L8804" s="8"/>
      <c r="M8804" s="254"/>
    </row>
    <row r="8805" spans="1:13" hidden="1" x14ac:dyDescent="0.3">
      <c r="B8805" t="s">
        <v>256</v>
      </c>
      <c r="C8805" s="25">
        <v>44769</v>
      </c>
      <c r="D8805" s="26">
        <v>0.45750000000000002</v>
      </c>
      <c r="E8805" t="s">
        <v>30</v>
      </c>
      <c r="F8805" t="s">
        <v>488</v>
      </c>
      <c r="G8805" t="s">
        <v>489</v>
      </c>
      <c r="H8805" t="s">
        <v>748</v>
      </c>
      <c r="I8805" s="160">
        <v>184.55</v>
      </c>
      <c r="J8805" s="8"/>
      <c r="K8805" s="8"/>
      <c r="L8805" s="8"/>
      <c r="M8805" s="254"/>
    </row>
    <row r="8806" spans="1:13" hidden="1" x14ac:dyDescent="0.3">
      <c r="B8806" t="s">
        <v>256</v>
      </c>
      <c r="C8806" s="25">
        <v>44770</v>
      </c>
      <c r="D8806" s="26">
        <v>0.14502314814814815</v>
      </c>
      <c r="E8806" t="s">
        <v>30</v>
      </c>
      <c r="F8806" t="s">
        <v>165</v>
      </c>
      <c r="G8806" t="s">
        <v>185</v>
      </c>
      <c r="H8806" t="s">
        <v>748</v>
      </c>
      <c r="I8806" s="160">
        <v>386</v>
      </c>
      <c r="J8806" s="8"/>
      <c r="K8806" s="8"/>
      <c r="L8806" s="8"/>
      <c r="M8806" s="254"/>
    </row>
    <row r="8807" spans="1:13" hidden="1" x14ac:dyDescent="0.3">
      <c r="B8807" t="s">
        <v>256</v>
      </c>
      <c r="C8807" s="25">
        <v>44772</v>
      </c>
      <c r="D8807" s="26">
        <v>0.76337962962962969</v>
      </c>
      <c r="E8807" t="s">
        <v>30</v>
      </c>
      <c r="F8807" t="s">
        <v>165</v>
      </c>
      <c r="G8807" t="s">
        <v>185</v>
      </c>
      <c r="H8807" t="s">
        <v>748</v>
      </c>
      <c r="I8807" s="160">
        <v>484.34</v>
      </c>
      <c r="J8807" s="8"/>
      <c r="K8807" s="8"/>
      <c r="L8807" s="8"/>
      <c r="M8807" s="254"/>
    </row>
    <row r="8808" spans="1:13" hidden="1" x14ac:dyDescent="0.3">
      <c r="B8808" t="s">
        <v>208</v>
      </c>
      <c r="C8808" s="25">
        <v>44743</v>
      </c>
      <c r="D8808" s="26">
        <v>0.29131944444444446</v>
      </c>
      <c r="E8808" t="s">
        <v>30</v>
      </c>
      <c r="F8808" t="s">
        <v>169</v>
      </c>
      <c r="G8808" t="s">
        <v>196</v>
      </c>
      <c r="H8808" t="s">
        <v>754</v>
      </c>
      <c r="I8808" s="160">
        <v>175.35</v>
      </c>
      <c r="J8808" s="8"/>
      <c r="K8808" s="8"/>
      <c r="L8808" s="8"/>
      <c r="M8808" s="91"/>
    </row>
    <row r="8809" spans="1:13" hidden="1" x14ac:dyDescent="0.3">
      <c r="A8809" s="9">
        <v>6832</v>
      </c>
      <c r="B8809" t="s">
        <v>208</v>
      </c>
      <c r="C8809" s="25">
        <v>44744</v>
      </c>
      <c r="D8809" s="26">
        <v>0.32380787037037034</v>
      </c>
      <c r="E8809" t="s">
        <v>30</v>
      </c>
      <c r="F8809" t="s">
        <v>197</v>
      </c>
      <c r="G8809" t="s">
        <v>44</v>
      </c>
      <c r="H8809" t="s">
        <v>754</v>
      </c>
      <c r="I8809" s="160">
        <v>99.36</v>
      </c>
      <c r="J8809" s="8"/>
      <c r="K8809" s="8"/>
      <c r="L8809" s="8"/>
      <c r="M8809" s="91"/>
    </row>
    <row r="8810" spans="1:13" hidden="1" x14ac:dyDescent="0.3">
      <c r="B8810" t="s">
        <v>208</v>
      </c>
      <c r="C8810" s="25">
        <v>44744</v>
      </c>
      <c r="D8810" s="26">
        <v>0.68817129629629636</v>
      </c>
      <c r="E8810" t="s">
        <v>30</v>
      </c>
      <c r="F8810" t="s">
        <v>166</v>
      </c>
      <c r="G8810" t="s">
        <v>161</v>
      </c>
      <c r="H8810" t="s">
        <v>754</v>
      </c>
      <c r="I8810" s="160">
        <v>409.68</v>
      </c>
      <c r="J8810" s="160">
        <f>410+99+176+450+353</f>
        <v>1488</v>
      </c>
      <c r="K8810" s="160">
        <v>9234</v>
      </c>
      <c r="L8810" s="160">
        <v>2716</v>
      </c>
      <c r="M8810" s="149">
        <f>+J8810/L8810*100</f>
        <v>54.786450662739327</v>
      </c>
    </row>
    <row r="8811" spans="1:13" hidden="1" x14ac:dyDescent="0.3">
      <c r="B8811" t="s">
        <v>208</v>
      </c>
      <c r="C8811" s="25">
        <v>44745</v>
      </c>
      <c r="D8811" s="26">
        <v>0.91695601851851849</v>
      </c>
      <c r="E8811" t="s">
        <v>30</v>
      </c>
      <c r="F8811" t="s">
        <v>210</v>
      </c>
      <c r="G8811" t="s">
        <v>211</v>
      </c>
      <c r="H8811" t="s">
        <v>754</v>
      </c>
      <c r="I8811" s="160">
        <v>387.67</v>
      </c>
      <c r="J8811" s="8"/>
      <c r="K8811" s="8"/>
      <c r="L8811" s="8"/>
      <c r="M8811" s="91"/>
    </row>
    <row r="8812" spans="1:13" hidden="1" x14ac:dyDescent="0.3">
      <c r="A8812" s="9">
        <v>6824</v>
      </c>
      <c r="B8812" t="s">
        <v>208</v>
      </c>
      <c r="C8812" s="25">
        <v>44746</v>
      </c>
      <c r="D8812" s="26">
        <v>0.55465277777777777</v>
      </c>
      <c r="E8812" t="s">
        <v>30</v>
      </c>
      <c r="F8812" t="s">
        <v>169</v>
      </c>
      <c r="G8812" t="s">
        <v>196</v>
      </c>
      <c r="H8812" t="s">
        <v>754</v>
      </c>
      <c r="I8812" s="160">
        <v>133.22</v>
      </c>
      <c r="J8812" s="8"/>
      <c r="K8812" s="8"/>
      <c r="L8812" s="8"/>
      <c r="M8812" s="91"/>
    </row>
    <row r="8813" spans="1:13" hidden="1" x14ac:dyDescent="0.3">
      <c r="B8813" t="s">
        <v>208</v>
      </c>
      <c r="C8813" s="25">
        <v>44747</v>
      </c>
      <c r="D8813" s="26">
        <v>0.81687500000000002</v>
      </c>
      <c r="E8813" t="s">
        <v>30</v>
      </c>
      <c r="F8813" t="s">
        <v>197</v>
      </c>
      <c r="G8813" t="s">
        <v>44</v>
      </c>
      <c r="H8813" t="s">
        <v>754</v>
      </c>
      <c r="I8813" s="160">
        <v>124.2</v>
      </c>
      <c r="J8813" s="8"/>
      <c r="K8813" s="8"/>
      <c r="L8813" s="8"/>
      <c r="M8813" s="91"/>
    </row>
    <row r="8814" spans="1:13" hidden="1" x14ac:dyDescent="0.3">
      <c r="B8814" t="s">
        <v>208</v>
      </c>
      <c r="C8814" s="25">
        <v>44747</v>
      </c>
      <c r="D8814" s="26">
        <v>0.81968750000000001</v>
      </c>
      <c r="E8814" t="s">
        <v>30</v>
      </c>
      <c r="F8814" t="s">
        <v>197</v>
      </c>
      <c r="G8814" t="s">
        <v>44</v>
      </c>
      <c r="H8814" t="s">
        <v>754</v>
      </c>
      <c r="I8814" s="160">
        <v>104.33</v>
      </c>
      <c r="J8814" s="8"/>
      <c r="K8814" s="8"/>
      <c r="L8814" s="8"/>
      <c r="M8814" s="91"/>
    </row>
    <row r="8815" spans="1:13" hidden="1" x14ac:dyDescent="0.3">
      <c r="B8815" t="s">
        <v>208</v>
      </c>
      <c r="C8815" s="25">
        <v>44748</v>
      </c>
      <c r="D8815" s="26">
        <v>0.50680555555555562</v>
      </c>
      <c r="E8815" t="s">
        <v>30</v>
      </c>
      <c r="F8815" t="s">
        <v>166</v>
      </c>
      <c r="G8815" t="s">
        <v>161</v>
      </c>
      <c r="H8815" t="s">
        <v>754</v>
      </c>
      <c r="I8815" s="160">
        <v>218.96</v>
      </c>
      <c r="J8815" s="160">
        <f>218+104+125+134+388</f>
        <v>969</v>
      </c>
      <c r="K8815" s="160">
        <v>11890</v>
      </c>
      <c r="L8815" s="160">
        <v>2623</v>
      </c>
      <c r="M8815" s="149">
        <f>+J8815/L8815*100</f>
        <v>36.942432329393824</v>
      </c>
    </row>
    <row r="8816" spans="1:13" hidden="1" x14ac:dyDescent="0.3">
      <c r="B8816" t="s">
        <v>208</v>
      </c>
      <c r="C8816" s="25">
        <v>44749</v>
      </c>
      <c r="D8816" s="26">
        <v>0.5877430555555555</v>
      </c>
      <c r="E8816" t="s">
        <v>30</v>
      </c>
      <c r="F8816" t="s">
        <v>210</v>
      </c>
      <c r="G8816" t="s">
        <v>211</v>
      </c>
      <c r="H8816" t="s">
        <v>754</v>
      </c>
      <c r="I8816" s="173">
        <v>400.14</v>
      </c>
      <c r="J8816" s="8"/>
      <c r="K8816" s="8"/>
      <c r="L8816" s="8"/>
      <c r="M8816" s="91"/>
    </row>
    <row r="8817" spans="1:13" hidden="1" x14ac:dyDescent="0.3">
      <c r="B8817" t="s">
        <v>208</v>
      </c>
      <c r="C8817" s="25">
        <v>44749</v>
      </c>
      <c r="D8817" s="26">
        <v>0.88855324074074071</v>
      </c>
      <c r="E8817" t="s">
        <v>30</v>
      </c>
      <c r="F8817" t="s">
        <v>169</v>
      </c>
      <c r="G8817" t="s">
        <v>196</v>
      </c>
      <c r="H8817" t="s">
        <v>754</v>
      </c>
      <c r="I8817" s="173">
        <v>139.28</v>
      </c>
      <c r="J8817" s="8"/>
      <c r="K8817" s="8"/>
      <c r="L8817" s="8"/>
      <c r="M8817" s="91"/>
    </row>
    <row r="8818" spans="1:13" hidden="1" x14ac:dyDescent="0.3">
      <c r="B8818" t="s">
        <v>208</v>
      </c>
      <c r="C8818" s="25">
        <v>44757</v>
      </c>
      <c r="D8818" s="26">
        <v>0.82817129629629627</v>
      </c>
      <c r="E8818" t="s">
        <v>30</v>
      </c>
      <c r="F8818" t="s">
        <v>772</v>
      </c>
      <c r="G8818" t="s">
        <v>44</v>
      </c>
      <c r="H8818" t="s">
        <v>754</v>
      </c>
      <c r="I8818" s="173">
        <v>245.91</v>
      </c>
      <c r="J8818" s="23"/>
      <c r="K8818" s="23"/>
      <c r="L8818" s="23"/>
      <c r="M8818" s="91"/>
    </row>
    <row r="8819" spans="1:13" hidden="1" x14ac:dyDescent="0.3">
      <c r="B8819" t="s">
        <v>208</v>
      </c>
      <c r="C8819" s="25">
        <v>44758</v>
      </c>
      <c r="D8819" s="26">
        <v>0.34290509259259255</v>
      </c>
      <c r="E8819" t="s">
        <v>30</v>
      </c>
      <c r="F8819" t="s">
        <v>774</v>
      </c>
      <c r="G8819" t="s">
        <v>161</v>
      </c>
      <c r="H8819" t="s">
        <v>754</v>
      </c>
      <c r="I8819" s="173">
        <v>251.87</v>
      </c>
      <c r="J8819" s="231">
        <f>252+246+139+400</f>
        <v>1037</v>
      </c>
      <c r="K8819" s="151"/>
      <c r="L8819" s="151">
        <v>2623</v>
      </c>
      <c r="M8819" s="150">
        <f>+J8819/L8819*100</f>
        <v>39.534883720930232</v>
      </c>
    </row>
    <row r="8820" spans="1:13" hidden="1" x14ac:dyDescent="0.3">
      <c r="B8820" t="s">
        <v>208</v>
      </c>
      <c r="C8820" s="25">
        <v>44759</v>
      </c>
      <c r="D8820" s="26">
        <v>0.58942129629629625</v>
      </c>
      <c r="E8820" t="s">
        <v>30</v>
      </c>
      <c r="F8820" t="s">
        <v>210</v>
      </c>
      <c r="G8820" t="s">
        <v>211</v>
      </c>
      <c r="H8820" t="s">
        <v>754</v>
      </c>
      <c r="I8820" s="173">
        <v>456.03</v>
      </c>
      <c r="J8820" s="23"/>
      <c r="K8820" s="23"/>
      <c r="L8820" s="23"/>
      <c r="M8820" s="91"/>
    </row>
    <row r="8821" spans="1:13" hidden="1" x14ac:dyDescent="0.3">
      <c r="B8821" t="s">
        <v>208</v>
      </c>
      <c r="C8821" s="25">
        <v>44759</v>
      </c>
      <c r="D8821" s="26">
        <v>0.89900462962962957</v>
      </c>
      <c r="E8821" t="s">
        <v>30</v>
      </c>
      <c r="F8821" t="s">
        <v>169</v>
      </c>
      <c r="G8821" t="s">
        <v>196</v>
      </c>
      <c r="H8821" t="s">
        <v>754</v>
      </c>
      <c r="I8821" s="173">
        <v>149.68</v>
      </c>
      <c r="J8821" s="231">
        <f>150+456</f>
        <v>606</v>
      </c>
      <c r="K8821" s="151"/>
      <c r="L8821" s="151">
        <v>1606</v>
      </c>
      <c r="M8821" s="149">
        <f t="shared" ref="M8821:M8830" si="532">+J8821/L8821*100</f>
        <v>37.733499377334994</v>
      </c>
    </row>
    <row r="8822" spans="1:13" hidden="1" x14ac:dyDescent="0.3">
      <c r="B8822" t="s">
        <v>208</v>
      </c>
      <c r="C8822" s="25">
        <v>44761</v>
      </c>
      <c r="D8822" s="26">
        <v>0.3342013888888889</v>
      </c>
      <c r="E8822" t="s">
        <v>30</v>
      </c>
      <c r="F8822" t="s">
        <v>428</v>
      </c>
      <c r="G8822" t="s">
        <v>429</v>
      </c>
      <c r="H8822" t="s">
        <v>754</v>
      </c>
      <c r="I8822" s="160">
        <v>210.42</v>
      </c>
      <c r="J8822" s="8"/>
      <c r="K8822" s="8"/>
      <c r="L8822" s="8"/>
      <c r="M8822" s="254"/>
    </row>
    <row r="8823" spans="1:13" hidden="1" x14ac:dyDescent="0.3">
      <c r="B8823" t="s">
        <v>208</v>
      </c>
      <c r="C8823" s="25">
        <v>44762</v>
      </c>
      <c r="D8823" s="26">
        <v>0.57056712962962963</v>
      </c>
      <c r="E8823" t="s">
        <v>30</v>
      </c>
      <c r="F8823" t="s">
        <v>166</v>
      </c>
      <c r="G8823" t="s">
        <v>161</v>
      </c>
      <c r="H8823" t="s">
        <v>754</v>
      </c>
      <c r="I8823" s="160">
        <v>344.55</v>
      </c>
      <c r="J8823" s="8"/>
      <c r="K8823" s="8"/>
      <c r="L8823" s="8"/>
      <c r="M8823" s="254"/>
    </row>
    <row r="8824" spans="1:13" hidden="1" x14ac:dyDescent="0.3">
      <c r="B8824" t="s">
        <v>208</v>
      </c>
      <c r="C8824" s="25">
        <v>44764</v>
      </c>
      <c r="D8824" s="26">
        <v>8.5763888888888876E-2</v>
      </c>
      <c r="E8824" t="s">
        <v>30</v>
      </c>
      <c r="F8824" t="s">
        <v>166</v>
      </c>
      <c r="G8824" t="s">
        <v>161</v>
      </c>
      <c r="H8824" t="s">
        <v>754</v>
      </c>
      <c r="I8824" s="160">
        <v>492.31</v>
      </c>
      <c r="J8824" s="160">
        <f>210+344+492</f>
        <v>1046</v>
      </c>
      <c r="K8824" s="160">
        <v>18820</v>
      </c>
      <c r="L8824" s="160">
        <v>2613</v>
      </c>
      <c r="M8824" s="150">
        <f t="shared" si="532"/>
        <v>40.030616150019135</v>
      </c>
    </row>
    <row r="8825" spans="1:13" hidden="1" x14ac:dyDescent="0.3">
      <c r="B8825" t="s">
        <v>208</v>
      </c>
      <c r="C8825" s="25">
        <v>44764</v>
      </c>
      <c r="D8825" s="26">
        <v>0.69716435185185188</v>
      </c>
      <c r="E8825" t="s">
        <v>30</v>
      </c>
      <c r="F8825" t="s">
        <v>169</v>
      </c>
      <c r="G8825" t="s">
        <v>196</v>
      </c>
      <c r="H8825" t="s">
        <v>754</v>
      </c>
      <c r="I8825" s="160">
        <v>130.01</v>
      </c>
      <c r="J8825" s="8"/>
      <c r="K8825" s="8"/>
      <c r="L8825" s="8"/>
      <c r="M8825" s="254"/>
    </row>
    <row r="8826" spans="1:13" hidden="1" x14ac:dyDescent="0.3">
      <c r="B8826" t="s">
        <v>208</v>
      </c>
      <c r="C8826" s="25">
        <v>44766</v>
      </c>
      <c r="D8826" s="26">
        <v>0.68451388888888898</v>
      </c>
      <c r="E8826" t="s">
        <v>30</v>
      </c>
      <c r="F8826" t="s">
        <v>210</v>
      </c>
      <c r="G8826" t="s">
        <v>211</v>
      </c>
      <c r="H8826" t="s">
        <v>754</v>
      </c>
      <c r="I8826" s="160">
        <v>523.80999999999995</v>
      </c>
      <c r="J8826" s="8"/>
      <c r="K8826" s="8"/>
      <c r="L8826" s="8"/>
      <c r="M8826" s="254"/>
    </row>
    <row r="8827" spans="1:13" hidden="1" x14ac:dyDescent="0.3">
      <c r="B8827" t="s">
        <v>208</v>
      </c>
      <c r="C8827" s="25">
        <v>44769</v>
      </c>
      <c r="D8827" s="26">
        <v>1.5995370370370372E-2</v>
      </c>
      <c r="E8827" t="s">
        <v>30</v>
      </c>
      <c r="F8827" t="s">
        <v>210</v>
      </c>
      <c r="G8827" t="s">
        <v>211</v>
      </c>
      <c r="H8827" t="s">
        <v>754</v>
      </c>
      <c r="I8827" s="160">
        <v>420.01</v>
      </c>
      <c r="J8827" s="160">
        <f>130+524+420</f>
        <v>1074</v>
      </c>
      <c r="K8827" s="160">
        <v>21700</v>
      </c>
      <c r="L8827" s="160">
        <v>2843</v>
      </c>
      <c r="M8827" s="150">
        <f t="shared" si="532"/>
        <v>37.776996130847692</v>
      </c>
    </row>
    <row r="8828" spans="1:13" hidden="1" x14ac:dyDescent="0.3">
      <c r="B8828" t="s">
        <v>208</v>
      </c>
      <c r="C8828" s="25">
        <v>44769</v>
      </c>
      <c r="D8828" s="26">
        <v>0.82553240740740741</v>
      </c>
      <c r="E8828" t="s">
        <v>30</v>
      </c>
      <c r="F8828" t="s">
        <v>169</v>
      </c>
      <c r="G8828" t="s">
        <v>196</v>
      </c>
      <c r="H8828" t="s">
        <v>754</v>
      </c>
      <c r="I8828" s="160">
        <v>148.56</v>
      </c>
      <c r="J8828" s="8"/>
      <c r="K8828" s="8"/>
      <c r="L8828" s="8"/>
      <c r="M8828" s="254"/>
    </row>
    <row r="8829" spans="1:13" hidden="1" x14ac:dyDescent="0.3">
      <c r="B8829" t="s">
        <v>208</v>
      </c>
      <c r="C8829" s="25">
        <v>44771</v>
      </c>
      <c r="D8829" s="26">
        <v>0.81556712962962974</v>
      </c>
      <c r="E8829" t="s">
        <v>30</v>
      </c>
      <c r="F8829" t="s">
        <v>166</v>
      </c>
      <c r="G8829" t="s">
        <v>161</v>
      </c>
      <c r="H8829" t="s">
        <v>754</v>
      </c>
      <c r="I8829" s="160">
        <v>493.95</v>
      </c>
      <c r="J8829" s="8"/>
      <c r="K8829" s="8"/>
      <c r="L8829" s="8"/>
      <c r="M8829" s="254"/>
    </row>
    <row r="8830" spans="1:13" hidden="1" x14ac:dyDescent="0.3">
      <c r="B8830" t="s">
        <v>208</v>
      </c>
      <c r="C8830" s="25">
        <v>44773</v>
      </c>
      <c r="D8830" s="26">
        <v>2.4108796296296298E-2</v>
      </c>
      <c r="E8830" t="s">
        <v>30</v>
      </c>
      <c r="F8830" t="s">
        <v>210</v>
      </c>
      <c r="G8830" t="s">
        <v>211</v>
      </c>
      <c r="H8830" t="s">
        <v>754</v>
      </c>
      <c r="I8830" s="160">
        <v>422.71</v>
      </c>
      <c r="J8830" s="160">
        <f>148+494+423</f>
        <v>1065</v>
      </c>
      <c r="K8830" s="160">
        <v>24668</v>
      </c>
      <c r="L8830" s="160">
        <v>2928</v>
      </c>
      <c r="M8830" s="150">
        <f t="shared" si="532"/>
        <v>36.372950819672127</v>
      </c>
    </row>
    <row r="8831" spans="1:13" hidden="1" x14ac:dyDescent="0.3">
      <c r="B8831" t="s">
        <v>208</v>
      </c>
      <c r="C8831" s="25">
        <v>44773</v>
      </c>
      <c r="D8831" s="26">
        <v>0.72601851851851851</v>
      </c>
      <c r="E8831" t="s">
        <v>30</v>
      </c>
      <c r="F8831" t="s">
        <v>169</v>
      </c>
      <c r="G8831" t="s">
        <v>196</v>
      </c>
      <c r="H8831" t="s">
        <v>754</v>
      </c>
      <c r="I8831" s="160">
        <v>144.02000000000001</v>
      </c>
      <c r="J8831" s="8"/>
      <c r="K8831" s="8"/>
      <c r="L8831" s="8"/>
      <c r="M8831" s="254"/>
    </row>
    <row r="8832" spans="1:13" hidden="1" x14ac:dyDescent="0.3">
      <c r="A8832" s="9">
        <v>6751</v>
      </c>
      <c r="B8832" t="s">
        <v>315</v>
      </c>
      <c r="C8832" s="25">
        <v>44756</v>
      </c>
      <c r="D8832" s="26">
        <v>0.85351851851851857</v>
      </c>
      <c r="E8832" t="s">
        <v>30</v>
      </c>
      <c r="F8832" t="s">
        <v>226</v>
      </c>
      <c r="G8832" t="s">
        <v>227</v>
      </c>
      <c r="H8832" t="s">
        <v>224</v>
      </c>
      <c r="I8832" s="8" t="s">
        <v>793</v>
      </c>
      <c r="J8832" s="23"/>
      <c r="K8832" s="90"/>
      <c r="L8832" s="23"/>
      <c r="M8832" s="19"/>
    </row>
    <row r="8833" spans="1:13" hidden="1" x14ac:dyDescent="0.3">
      <c r="A8833" s="9">
        <v>6783</v>
      </c>
      <c r="B8833" t="s">
        <v>681</v>
      </c>
      <c r="C8833" s="25">
        <v>44756</v>
      </c>
      <c r="D8833" s="26">
        <v>0.40952546296296299</v>
      </c>
      <c r="E8833" t="s">
        <v>30</v>
      </c>
      <c r="F8833" t="s">
        <v>387</v>
      </c>
      <c r="G8833" t="s">
        <v>388</v>
      </c>
      <c r="H8833" t="s">
        <v>750</v>
      </c>
      <c r="I8833" s="8" t="s">
        <v>1050</v>
      </c>
      <c r="J8833" s="23"/>
      <c r="K8833" s="90"/>
      <c r="L8833" s="23"/>
      <c r="M8833" s="19"/>
    </row>
    <row r="8834" spans="1:13" hidden="1" x14ac:dyDescent="0.3">
      <c r="B8834" t="s">
        <v>455</v>
      </c>
      <c r="C8834" s="25">
        <v>44749</v>
      </c>
      <c r="D8834" s="26">
        <v>0.9453125</v>
      </c>
      <c r="E8834" t="s">
        <v>30</v>
      </c>
      <c r="F8834" t="s">
        <v>492</v>
      </c>
      <c r="G8834" t="s">
        <v>44</v>
      </c>
      <c r="H8834" t="s">
        <v>130</v>
      </c>
      <c r="I8834" s="247" t="s">
        <v>824</v>
      </c>
      <c r="J8834" s="54"/>
      <c r="K8834" s="54"/>
      <c r="L8834" s="54"/>
      <c r="M8834" s="91"/>
    </row>
    <row r="8835" spans="1:13" hidden="1" x14ac:dyDescent="0.3">
      <c r="B8835" t="s">
        <v>455</v>
      </c>
      <c r="C8835" s="25">
        <v>44749</v>
      </c>
      <c r="D8835" s="26">
        <v>0.95012731481481483</v>
      </c>
      <c r="E8835" t="s">
        <v>30</v>
      </c>
      <c r="F8835" t="s">
        <v>492</v>
      </c>
      <c r="G8835" t="s">
        <v>44</v>
      </c>
      <c r="H8835" t="s">
        <v>130</v>
      </c>
      <c r="I8835" s="173" t="s">
        <v>823</v>
      </c>
      <c r="J8835" s="8"/>
      <c r="K8835" s="8"/>
      <c r="L8835" s="8"/>
      <c r="M8835" s="91"/>
    </row>
    <row r="8836" spans="1:13" hidden="1" x14ac:dyDescent="0.3">
      <c r="B8836" t="s">
        <v>455</v>
      </c>
      <c r="C8836" s="25">
        <v>44749</v>
      </c>
      <c r="D8836" s="26">
        <v>0.97454861111111113</v>
      </c>
      <c r="E8836" t="s">
        <v>30</v>
      </c>
      <c r="F8836" t="s">
        <v>492</v>
      </c>
      <c r="G8836" t="s">
        <v>44</v>
      </c>
      <c r="H8836" t="s">
        <v>130</v>
      </c>
      <c r="I8836" s="173" t="s">
        <v>822</v>
      </c>
      <c r="J8836" s="8"/>
      <c r="K8836" s="8"/>
      <c r="L8836" s="8"/>
      <c r="M8836" s="91"/>
    </row>
    <row r="8837" spans="1:13" hidden="1" x14ac:dyDescent="0.3">
      <c r="A8837" s="9">
        <v>6821</v>
      </c>
      <c r="B8837" t="s">
        <v>455</v>
      </c>
      <c r="C8837" s="25">
        <v>44750</v>
      </c>
      <c r="D8837" s="26">
        <v>0.68451388888888898</v>
      </c>
      <c r="E8837" t="s">
        <v>30</v>
      </c>
      <c r="F8837" t="s">
        <v>774</v>
      </c>
      <c r="G8837" t="s">
        <v>161</v>
      </c>
      <c r="H8837" t="s">
        <v>130</v>
      </c>
      <c r="I8837" s="173" t="s">
        <v>821</v>
      </c>
      <c r="J8837" s="8"/>
      <c r="K8837" s="8"/>
      <c r="L8837" s="8"/>
      <c r="M8837" s="91"/>
    </row>
    <row r="8838" spans="1:13" hidden="1" x14ac:dyDescent="0.3">
      <c r="A8838" s="9">
        <v>6819</v>
      </c>
      <c r="B8838" t="s">
        <v>455</v>
      </c>
      <c r="C8838" s="25">
        <v>44751</v>
      </c>
      <c r="D8838" s="26">
        <v>0.94630787037037034</v>
      </c>
      <c r="E8838" t="s">
        <v>30</v>
      </c>
      <c r="F8838" t="s">
        <v>210</v>
      </c>
      <c r="G8838" t="s">
        <v>211</v>
      </c>
      <c r="H8838" t="s">
        <v>130</v>
      </c>
      <c r="I8838" s="173" t="s">
        <v>820</v>
      </c>
      <c r="J8838" s="160">
        <f>65+240+106+233+532</f>
        <v>1176</v>
      </c>
      <c r="K8838" s="160"/>
      <c r="L8838" s="160">
        <v>2836</v>
      </c>
      <c r="M8838" s="149">
        <f>+J8838/L8838*100</f>
        <v>41.46685472496474</v>
      </c>
    </row>
    <row r="8839" spans="1:13" hidden="1" x14ac:dyDescent="0.3">
      <c r="B8839" t="s">
        <v>455</v>
      </c>
      <c r="C8839" s="25">
        <v>44753</v>
      </c>
      <c r="D8839" s="26">
        <v>0.44071759259259258</v>
      </c>
      <c r="E8839" t="s">
        <v>30</v>
      </c>
      <c r="F8839" t="s">
        <v>880</v>
      </c>
      <c r="G8839" t="s">
        <v>277</v>
      </c>
      <c r="H8839" t="s">
        <v>130</v>
      </c>
      <c r="I8839" s="173" t="s">
        <v>929</v>
      </c>
      <c r="J8839" s="23"/>
      <c r="K8839" s="23"/>
      <c r="L8839" s="23"/>
      <c r="M8839" s="91"/>
    </row>
    <row r="8840" spans="1:13" hidden="1" x14ac:dyDescent="0.3">
      <c r="B8840" t="s">
        <v>455</v>
      </c>
      <c r="C8840" s="25">
        <v>44753</v>
      </c>
      <c r="D8840" s="26">
        <v>0.44765046296296296</v>
      </c>
      <c r="E8840" t="s">
        <v>30</v>
      </c>
      <c r="F8840" t="s">
        <v>880</v>
      </c>
      <c r="G8840" t="s">
        <v>277</v>
      </c>
      <c r="H8840" t="s">
        <v>130</v>
      </c>
      <c r="I8840" s="173" t="s">
        <v>928</v>
      </c>
      <c r="J8840" s="23"/>
      <c r="K8840" s="23"/>
      <c r="L8840" s="23"/>
      <c r="M8840" s="91"/>
    </row>
    <row r="8841" spans="1:13" hidden="1" x14ac:dyDescent="0.3">
      <c r="B8841" t="s">
        <v>455</v>
      </c>
      <c r="C8841" s="25">
        <v>44755</v>
      </c>
      <c r="D8841" s="26">
        <v>0.78737268518518511</v>
      </c>
      <c r="E8841" t="s">
        <v>30</v>
      </c>
      <c r="F8841" t="s">
        <v>210</v>
      </c>
      <c r="G8841" t="s">
        <v>211</v>
      </c>
      <c r="H8841" t="s">
        <v>130</v>
      </c>
      <c r="I8841" s="173" t="s">
        <v>1065</v>
      </c>
      <c r="J8841" s="23"/>
      <c r="K8841" s="23"/>
      <c r="L8841" s="23"/>
      <c r="M8841" s="91"/>
    </row>
    <row r="8842" spans="1:13" hidden="1" x14ac:dyDescent="0.3">
      <c r="A8842" s="9">
        <v>6838</v>
      </c>
      <c r="B8842" t="s">
        <v>455</v>
      </c>
      <c r="C8842" s="25">
        <v>44756</v>
      </c>
      <c r="D8842" s="26">
        <v>0.80902777777777779</v>
      </c>
      <c r="E8842" t="s">
        <v>30</v>
      </c>
      <c r="F8842" t="s">
        <v>210</v>
      </c>
      <c r="G8842" t="s">
        <v>211</v>
      </c>
      <c r="H8842" t="s">
        <v>130</v>
      </c>
      <c r="I8842" s="173" t="s">
        <v>1064</v>
      </c>
      <c r="J8842" s="231">
        <f>411+435+131+145</f>
        <v>1122</v>
      </c>
      <c r="K8842" s="151"/>
      <c r="L8842" s="151">
        <v>2821</v>
      </c>
      <c r="M8842" s="150">
        <f>+J8842/L8842*100</f>
        <v>39.773130095710741</v>
      </c>
    </row>
    <row r="8843" spans="1:13" hidden="1" x14ac:dyDescent="0.3">
      <c r="B8843" t="s">
        <v>455</v>
      </c>
      <c r="C8843" s="25">
        <v>44757</v>
      </c>
      <c r="D8843" s="26">
        <v>0.31351851851851853</v>
      </c>
      <c r="E8843" t="s">
        <v>30</v>
      </c>
      <c r="F8843" t="s">
        <v>169</v>
      </c>
      <c r="G8843" t="s">
        <v>196</v>
      </c>
      <c r="H8843" t="s">
        <v>130</v>
      </c>
      <c r="I8843" s="173" t="s">
        <v>1063</v>
      </c>
      <c r="J8843" s="23"/>
      <c r="K8843" s="23"/>
      <c r="L8843" s="23"/>
      <c r="M8843" s="91"/>
    </row>
    <row r="8844" spans="1:13" hidden="1" x14ac:dyDescent="0.3">
      <c r="A8844" s="9">
        <v>6837</v>
      </c>
      <c r="B8844" t="s">
        <v>455</v>
      </c>
      <c r="C8844" s="25">
        <v>44758</v>
      </c>
      <c r="D8844" s="26">
        <v>0.54804398148148148</v>
      </c>
      <c r="E8844" t="s">
        <v>30</v>
      </c>
      <c r="F8844" t="s">
        <v>175</v>
      </c>
      <c r="G8844" t="s">
        <v>172</v>
      </c>
      <c r="H8844" t="s">
        <v>130</v>
      </c>
      <c r="I8844" s="173" t="s">
        <v>1062</v>
      </c>
      <c r="J8844" s="23"/>
      <c r="K8844" s="23"/>
      <c r="L8844" s="23"/>
      <c r="M8844" s="91"/>
    </row>
    <row r="8845" spans="1:13" hidden="1" x14ac:dyDescent="0.3">
      <c r="A8845" s="9">
        <v>6845</v>
      </c>
      <c r="B8845" t="s">
        <v>455</v>
      </c>
      <c r="C8845" s="25">
        <v>44758</v>
      </c>
      <c r="D8845" s="26">
        <v>0.99652777777777779</v>
      </c>
      <c r="E8845" t="s">
        <v>30</v>
      </c>
      <c r="F8845" t="s">
        <v>774</v>
      </c>
      <c r="G8845" t="s">
        <v>161</v>
      </c>
      <c r="H8845" t="s">
        <v>130</v>
      </c>
      <c r="I8845" s="173" t="s">
        <v>1061</v>
      </c>
      <c r="J8845" s="231">
        <f>287+262+146</f>
        <v>695</v>
      </c>
      <c r="K8845" s="151"/>
      <c r="L8845" s="151">
        <v>1662</v>
      </c>
      <c r="M8845" s="150">
        <f>+J8845/L8845*100</f>
        <v>41.817087845968715</v>
      </c>
    </row>
    <row r="8846" spans="1:13" hidden="1" x14ac:dyDescent="0.3">
      <c r="B8846" t="s">
        <v>455</v>
      </c>
      <c r="C8846" s="25">
        <v>44759</v>
      </c>
      <c r="D8846" s="26">
        <v>0.71878472222222223</v>
      </c>
      <c r="E8846" t="s">
        <v>30</v>
      </c>
      <c r="F8846" t="s">
        <v>165</v>
      </c>
      <c r="G8846" t="s">
        <v>185</v>
      </c>
      <c r="H8846" t="s">
        <v>130</v>
      </c>
      <c r="I8846" s="173" t="s">
        <v>1060</v>
      </c>
      <c r="J8846" s="23"/>
      <c r="K8846" s="23"/>
      <c r="L8846" s="23"/>
      <c r="M8846" s="91"/>
    </row>
    <row r="8847" spans="1:13" hidden="1" x14ac:dyDescent="0.3">
      <c r="B8847" t="s">
        <v>455</v>
      </c>
      <c r="C8847" s="25">
        <v>44760</v>
      </c>
      <c r="D8847" s="26">
        <v>0.44435185185185189</v>
      </c>
      <c r="E8847" t="s">
        <v>30</v>
      </c>
      <c r="F8847" t="s">
        <v>210</v>
      </c>
      <c r="G8847" t="s">
        <v>211</v>
      </c>
      <c r="H8847" t="s">
        <v>130</v>
      </c>
      <c r="I8847" s="160">
        <v>173.54</v>
      </c>
      <c r="J8847" s="160">
        <f>288+173</f>
        <v>461</v>
      </c>
      <c r="K8847" s="160">
        <v>4623</v>
      </c>
      <c r="L8847" s="160">
        <v>1138</v>
      </c>
      <c r="M8847" s="150">
        <f>+J8847/L8847*100</f>
        <v>40.509666080843587</v>
      </c>
    </row>
    <row r="8848" spans="1:13" hidden="1" x14ac:dyDescent="0.3">
      <c r="B8848" t="s">
        <v>455</v>
      </c>
      <c r="C8848" s="25">
        <v>44760</v>
      </c>
      <c r="D8848" s="26">
        <v>0.81665509259259261</v>
      </c>
      <c r="E8848" t="s">
        <v>30</v>
      </c>
      <c r="F8848" t="s">
        <v>169</v>
      </c>
      <c r="G8848" t="s">
        <v>196</v>
      </c>
      <c r="H8848" t="s">
        <v>130</v>
      </c>
      <c r="I8848" s="160">
        <v>155.58000000000001</v>
      </c>
      <c r="J8848" s="8"/>
      <c r="K8848" s="8"/>
      <c r="L8848" s="8"/>
      <c r="M8848" s="254"/>
    </row>
    <row r="8849" spans="2:13" hidden="1" x14ac:dyDescent="0.3">
      <c r="B8849" t="s">
        <v>356</v>
      </c>
      <c r="C8849" s="25">
        <v>44763</v>
      </c>
      <c r="D8849" s="26">
        <v>0.59854166666666664</v>
      </c>
      <c r="E8849" t="s">
        <v>580</v>
      </c>
      <c r="F8849" t="s">
        <v>210</v>
      </c>
      <c r="G8849" t="s">
        <v>211</v>
      </c>
      <c r="H8849" t="s">
        <v>178</v>
      </c>
      <c r="I8849" s="160">
        <v>255.85</v>
      </c>
      <c r="J8849" s="160">
        <f>256+270+50+212</f>
        <v>788</v>
      </c>
      <c r="K8849" s="160">
        <v>755235</v>
      </c>
      <c r="L8849" s="160">
        <v>1740</v>
      </c>
      <c r="M8849" s="254">
        <f>+J8849/L8849*100</f>
        <v>45.287356321839077</v>
      </c>
    </row>
    <row r="8850" spans="2:13" hidden="1" x14ac:dyDescent="0.3">
      <c r="B8850" t="s">
        <v>356</v>
      </c>
      <c r="C8850" s="25">
        <v>44764</v>
      </c>
      <c r="D8850" s="26">
        <v>0.38692129629629629</v>
      </c>
      <c r="E8850" t="s">
        <v>580</v>
      </c>
      <c r="F8850" t="s">
        <v>278</v>
      </c>
      <c r="G8850" t="s">
        <v>279</v>
      </c>
      <c r="H8850" t="s">
        <v>178</v>
      </c>
      <c r="I8850" s="164">
        <v>319.33</v>
      </c>
      <c r="J8850" s="8"/>
      <c r="K8850" s="8">
        <v>755968</v>
      </c>
      <c r="L8850" s="8">
        <f>+K8850-J8850</f>
        <v>755968</v>
      </c>
      <c r="M8850" s="254">
        <f>+J8850/L8850*100</f>
        <v>0</v>
      </c>
    </row>
    <row r="8851" spans="2:13" hidden="1" x14ac:dyDescent="0.3">
      <c r="B8851" t="s">
        <v>455</v>
      </c>
      <c r="C8851" s="25">
        <v>44762</v>
      </c>
      <c r="D8851" s="26">
        <v>0.45388888888888884</v>
      </c>
      <c r="E8851" t="s">
        <v>30</v>
      </c>
      <c r="F8851" t="s">
        <v>492</v>
      </c>
      <c r="G8851" t="s">
        <v>44</v>
      </c>
      <c r="H8851" t="s">
        <v>130</v>
      </c>
      <c r="I8851" s="160">
        <v>298.82</v>
      </c>
      <c r="J8851" s="8"/>
      <c r="K8851" s="8"/>
      <c r="L8851" s="8"/>
      <c r="M8851" s="254"/>
    </row>
    <row r="8852" spans="2:13" hidden="1" x14ac:dyDescent="0.3">
      <c r="B8852" t="s">
        <v>356</v>
      </c>
      <c r="C8852" s="25">
        <v>44765</v>
      </c>
      <c r="D8852" s="26">
        <v>0.30358796296296298</v>
      </c>
      <c r="E8852" t="s">
        <v>580</v>
      </c>
      <c r="F8852" t="s">
        <v>169</v>
      </c>
      <c r="G8852" t="s">
        <v>196</v>
      </c>
      <c r="H8852" t="s">
        <v>178</v>
      </c>
      <c r="I8852" s="160">
        <v>175.79</v>
      </c>
      <c r="J8852" s="82"/>
      <c r="K8852" s="8">
        <v>98568</v>
      </c>
      <c r="L8852" s="8">
        <f>+K8852-J8852</f>
        <v>98568</v>
      </c>
      <c r="M8852" s="254" t="s">
        <v>706</v>
      </c>
    </row>
    <row r="8853" spans="2:13" hidden="1" x14ac:dyDescent="0.3">
      <c r="B8853" t="s">
        <v>455</v>
      </c>
      <c r="C8853" s="25">
        <v>44762</v>
      </c>
      <c r="D8853" s="26">
        <v>0.90221064814814811</v>
      </c>
      <c r="E8853" t="s">
        <v>30</v>
      </c>
      <c r="F8853" t="s">
        <v>210</v>
      </c>
      <c r="G8853" t="s">
        <v>211</v>
      </c>
      <c r="H8853" t="s">
        <v>130</v>
      </c>
      <c r="I8853" s="160">
        <v>257.05</v>
      </c>
      <c r="J8853" s="8"/>
      <c r="K8853" s="8"/>
      <c r="L8853" s="8"/>
      <c r="M8853" s="254"/>
    </row>
    <row r="8854" spans="2:13" hidden="1" x14ac:dyDescent="0.3">
      <c r="B8854" t="s">
        <v>455</v>
      </c>
      <c r="C8854" s="25">
        <v>44763</v>
      </c>
      <c r="D8854" s="26">
        <v>0.88032407407407398</v>
      </c>
      <c r="E8854" t="s">
        <v>30</v>
      </c>
      <c r="F8854" t="s">
        <v>210</v>
      </c>
      <c r="G8854" t="s">
        <v>211</v>
      </c>
      <c r="H8854" t="s">
        <v>130</v>
      </c>
      <c r="I8854" s="160">
        <v>420.51</v>
      </c>
      <c r="J8854" s="160">
        <f>155+299+257+420</f>
        <v>1131</v>
      </c>
      <c r="K8854" s="160">
        <v>4623</v>
      </c>
      <c r="L8854" s="160">
        <v>2696</v>
      </c>
      <c r="M8854" s="150">
        <f t="shared" ref="M8854:M8868" si="533">+J8854/L8854*100</f>
        <v>41.951038575667653</v>
      </c>
    </row>
    <row r="8855" spans="2:13" hidden="1" x14ac:dyDescent="0.3">
      <c r="B8855" t="s">
        <v>455</v>
      </c>
      <c r="C8855" s="25">
        <v>44764</v>
      </c>
      <c r="D8855" s="26">
        <v>0.37417824074074074</v>
      </c>
      <c r="E8855" t="s">
        <v>30</v>
      </c>
      <c r="F8855" t="s">
        <v>169</v>
      </c>
      <c r="G8855" t="s">
        <v>196</v>
      </c>
      <c r="H8855" t="s">
        <v>130</v>
      </c>
      <c r="I8855" s="160">
        <v>152.44</v>
      </c>
      <c r="J8855" s="8"/>
      <c r="K8855" s="8"/>
      <c r="L8855" s="8"/>
      <c r="M8855" s="254"/>
    </row>
    <row r="8856" spans="2:13" hidden="1" x14ac:dyDescent="0.3">
      <c r="B8856" t="s">
        <v>356</v>
      </c>
      <c r="C8856" s="25">
        <v>44767</v>
      </c>
      <c r="D8856" s="26">
        <v>3.6724537037037035E-2</v>
      </c>
      <c r="E8856" t="s">
        <v>580</v>
      </c>
      <c r="F8856" t="s">
        <v>165</v>
      </c>
      <c r="G8856" t="s">
        <v>185</v>
      </c>
      <c r="H8856" t="s">
        <v>178</v>
      </c>
      <c r="I8856" s="160">
        <v>281.25</v>
      </c>
      <c r="J8856" s="82"/>
      <c r="K8856" s="8">
        <v>758726</v>
      </c>
      <c r="L8856" s="8">
        <f>+K8856-J8856</f>
        <v>758726</v>
      </c>
      <c r="M8856" s="254">
        <f t="shared" si="533"/>
        <v>0</v>
      </c>
    </row>
    <row r="8857" spans="2:13" hidden="1" x14ac:dyDescent="0.3">
      <c r="B8857" t="s">
        <v>455</v>
      </c>
      <c r="C8857" s="25">
        <v>44765</v>
      </c>
      <c r="D8857" s="26">
        <v>0.47513888888888883</v>
      </c>
      <c r="E8857" t="s">
        <v>30</v>
      </c>
      <c r="F8857" t="s">
        <v>175</v>
      </c>
      <c r="G8857" t="s">
        <v>172</v>
      </c>
      <c r="H8857" t="s">
        <v>130</v>
      </c>
      <c r="I8857" s="160">
        <v>190.83</v>
      </c>
      <c r="J8857" s="8"/>
      <c r="K8857" s="8"/>
      <c r="L8857" s="8"/>
      <c r="M8857" s="254"/>
    </row>
    <row r="8858" spans="2:13" hidden="1" x14ac:dyDescent="0.3">
      <c r="B8858" t="s">
        <v>455</v>
      </c>
      <c r="C8858" s="25">
        <v>44766</v>
      </c>
      <c r="D8858" s="26">
        <v>0.36454861111111114</v>
      </c>
      <c r="E8858" t="s">
        <v>30</v>
      </c>
      <c r="F8858" t="s">
        <v>210</v>
      </c>
      <c r="G8858" t="s">
        <v>211</v>
      </c>
      <c r="H8858" t="s">
        <v>130</v>
      </c>
      <c r="I8858" s="160">
        <v>332.02</v>
      </c>
      <c r="J8858" s="8"/>
      <c r="K8858" s="8"/>
      <c r="L8858" s="8"/>
      <c r="M8858" s="254"/>
    </row>
    <row r="8859" spans="2:13" hidden="1" x14ac:dyDescent="0.3">
      <c r="B8859" t="s">
        <v>455</v>
      </c>
      <c r="C8859" s="25">
        <v>44767</v>
      </c>
      <c r="D8859" s="26">
        <v>0.41225694444444444</v>
      </c>
      <c r="E8859" t="s">
        <v>30</v>
      </c>
      <c r="F8859" t="s">
        <v>210</v>
      </c>
      <c r="G8859" t="s">
        <v>211</v>
      </c>
      <c r="H8859" t="s">
        <v>130</v>
      </c>
      <c r="I8859" s="160">
        <v>415.04</v>
      </c>
      <c r="J8859" s="160">
        <f>152+191+332+415</f>
        <v>1090</v>
      </c>
      <c r="K8859" s="160">
        <v>4623</v>
      </c>
      <c r="L8859" s="160">
        <v>2474</v>
      </c>
      <c r="M8859" s="150">
        <f t="shared" si="533"/>
        <v>44.058205335489085</v>
      </c>
    </row>
    <row r="8860" spans="2:13" hidden="1" x14ac:dyDescent="0.3">
      <c r="B8860" t="s">
        <v>455</v>
      </c>
      <c r="C8860" s="25">
        <v>44767</v>
      </c>
      <c r="D8860" s="26">
        <v>0.77288194444444447</v>
      </c>
      <c r="E8860" t="s">
        <v>30</v>
      </c>
      <c r="F8860" t="s">
        <v>169</v>
      </c>
      <c r="G8860" t="s">
        <v>196</v>
      </c>
      <c r="H8860" t="s">
        <v>130</v>
      </c>
      <c r="I8860" s="160">
        <v>171.25</v>
      </c>
      <c r="J8860" s="8"/>
      <c r="K8860" s="8"/>
      <c r="L8860" s="8"/>
      <c r="M8860" s="254"/>
    </row>
    <row r="8861" spans="2:13" hidden="1" x14ac:dyDescent="0.3">
      <c r="B8861" t="s">
        <v>455</v>
      </c>
      <c r="C8861" s="25">
        <v>44768</v>
      </c>
      <c r="D8861" s="26">
        <v>0.5143402777777778</v>
      </c>
      <c r="E8861" t="s">
        <v>30</v>
      </c>
      <c r="F8861" t="s">
        <v>428</v>
      </c>
      <c r="G8861" t="s">
        <v>429</v>
      </c>
      <c r="H8861" t="s">
        <v>130</v>
      </c>
      <c r="I8861" s="160">
        <v>100.45</v>
      </c>
      <c r="J8861" s="8"/>
      <c r="K8861" s="8"/>
      <c r="L8861" s="8"/>
      <c r="M8861" s="254"/>
    </row>
    <row r="8862" spans="2:13" hidden="1" x14ac:dyDescent="0.3">
      <c r="B8862" t="s">
        <v>455</v>
      </c>
      <c r="C8862" s="25">
        <v>44769</v>
      </c>
      <c r="D8862" s="26">
        <v>0.70001157407407411</v>
      </c>
      <c r="E8862" t="s">
        <v>30</v>
      </c>
      <c r="F8862" t="s">
        <v>166</v>
      </c>
      <c r="G8862" t="s">
        <v>161</v>
      </c>
      <c r="H8862" t="s">
        <v>130</v>
      </c>
      <c r="I8862" s="160">
        <v>102.57</v>
      </c>
      <c r="J8862" s="8"/>
      <c r="K8862" s="8"/>
      <c r="L8862" s="8"/>
      <c r="M8862" s="254"/>
    </row>
    <row r="8863" spans="2:13" hidden="1" x14ac:dyDescent="0.3">
      <c r="B8863" t="s">
        <v>455</v>
      </c>
      <c r="C8863" s="25">
        <v>44769</v>
      </c>
      <c r="D8863" s="26">
        <v>0.72335648148148157</v>
      </c>
      <c r="E8863" t="s">
        <v>30</v>
      </c>
      <c r="F8863" t="s">
        <v>166</v>
      </c>
      <c r="G8863" t="s">
        <v>161</v>
      </c>
      <c r="H8863" t="s">
        <v>130</v>
      </c>
      <c r="I8863" s="160">
        <v>357.96</v>
      </c>
      <c r="J8863" s="160">
        <f>171+100+102+358</f>
        <v>731</v>
      </c>
      <c r="K8863" s="160">
        <v>1234</v>
      </c>
      <c r="L8863" s="160">
        <v>1626</v>
      </c>
      <c r="M8863" s="150">
        <f t="shared" si="533"/>
        <v>44.956949569495698</v>
      </c>
    </row>
    <row r="8864" spans="2:13" hidden="1" x14ac:dyDescent="0.3">
      <c r="B8864" t="s">
        <v>455</v>
      </c>
      <c r="C8864" s="25">
        <v>44771</v>
      </c>
      <c r="D8864" s="26">
        <v>0.37541666666666668</v>
      </c>
      <c r="E8864" t="s">
        <v>30</v>
      </c>
      <c r="F8864" t="s">
        <v>210</v>
      </c>
      <c r="G8864" t="s">
        <v>211</v>
      </c>
      <c r="H8864" t="s">
        <v>130</v>
      </c>
      <c r="I8864" s="160">
        <v>523.54</v>
      </c>
      <c r="J8864" s="8"/>
      <c r="K8864" s="8"/>
      <c r="L8864" s="8"/>
      <c r="M8864" s="254"/>
    </row>
    <row r="8865" spans="1:13" hidden="1" x14ac:dyDescent="0.3">
      <c r="B8865" t="s">
        <v>455</v>
      </c>
      <c r="C8865" s="25">
        <v>44771</v>
      </c>
      <c r="D8865" s="26">
        <v>0.74380787037037033</v>
      </c>
      <c r="E8865" t="s">
        <v>30</v>
      </c>
      <c r="F8865" t="s">
        <v>169</v>
      </c>
      <c r="G8865" t="s">
        <v>196</v>
      </c>
      <c r="H8865" t="s">
        <v>130</v>
      </c>
      <c r="I8865" s="160">
        <v>137.11000000000001</v>
      </c>
      <c r="J8865" s="8"/>
      <c r="K8865" s="8"/>
      <c r="L8865" s="8"/>
      <c r="M8865" s="254"/>
    </row>
    <row r="8866" spans="1:13" hidden="1" x14ac:dyDescent="0.3">
      <c r="B8866" t="s">
        <v>455</v>
      </c>
      <c r="C8866" s="25">
        <v>44772</v>
      </c>
      <c r="D8866" s="26">
        <v>8.7650462962962972E-2</v>
      </c>
      <c r="E8866" t="s">
        <v>30</v>
      </c>
      <c r="F8866" t="s">
        <v>428</v>
      </c>
      <c r="G8866" t="s">
        <v>429</v>
      </c>
      <c r="H8866" t="s">
        <v>130</v>
      </c>
      <c r="I8866" s="160">
        <v>100.58</v>
      </c>
      <c r="J8866" s="8"/>
      <c r="K8866" s="8"/>
      <c r="L8866" s="8"/>
      <c r="M8866" s="254"/>
    </row>
    <row r="8867" spans="1:13" hidden="1" x14ac:dyDescent="0.3">
      <c r="B8867" t="s">
        <v>455</v>
      </c>
      <c r="C8867" s="25">
        <v>44772</v>
      </c>
      <c r="D8867" s="26">
        <v>9.0925925925925924E-2</v>
      </c>
      <c r="E8867" t="s">
        <v>30</v>
      </c>
      <c r="F8867" t="s">
        <v>428</v>
      </c>
      <c r="G8867" t="s">
        <v>429</v>
      </c>
      <c r="H8867" t="s">
        <v>130</v>
      </c>
      <c r="I8867" s="160">
        <v>65.930000000000007</v>
      </c>
      <c r="J8867" s="8"/>
      <c r="K8867" s="8"/>
      <c r="L8867" s="8"/>
      <c r="M8867" s="254"/>
    </row>
    <row r="8868" spans="1:13" hidden="1" x14ac:dyDescent="0.3">
      <c r="B8868" t="s">
        <v>455</v>
      </c>
      <c r="C8868" s="25">
        <v>44773</v>
      </c>
      <c r="D8868" s="26">
        <v>0.61671296296296296</v>
      </c>
      <c r="E8868" t="s">
        <v>30</v>
      </c>
      <c r="F8868" t="s">
        <v>210</v>
      </c>
      <c r="G8868" t="s">
        <v>211</v>
      </c>
      <c r="H8868" t="s">
        <v>130</v>
      </c>
      <c r="I8868" s="160">
        <v>381.35</v>
      </c>
      <c r="J8868" s="160">
        <f>523+137+100+66+381</f>
        <v>1207</v>
      </c>
      <c r="K8868" s="160">
        <v>462311</v>
      </c>
      <c r="L8868" s="160">
        <v>2788</v>
      </c>
      <c r="M8868" s="150">
        <f t="shared" si="533"/>
        <v>43.292682926829265</v>
      </c>
    </row>
    <row r="8869" spans="1:13" hidden="1" x14ac:dyDescent="0.3">
      <c r="A8869" s="9">
        <v>6751</v>
      </c>
      <c r="B8869" t="s">
        <v>405</v>
      </c>
      <c r="C8869" s="25">
        <v>44753</v>
      </c>
      <c r="D8869" s="26">
        <v>0.80158564814814814</v>
      </c>
      <c r="E8869" t="s">
        <v>30</v>
      </c>
      <c r="F8869" t="s">
        <v>268</v>
      </c>
      <c r="G8869" t="s">
        <v>269</v>
      </c>
      <c r="H8869" t="s">
        <v>233</v>
      </c>
      <c r="I8869" s="54" t="s">
        <v>897</v>
      </c>
      <c r="J8869" s="66"/>
      <c r="K8869" s="99"/>
      <c r="L8869" s="66"/>
      <c r="M8869" s="19"/>
    </row>
    <row r="8870" spans="1:13" hidden="1" x14ac:dyDescent="0.3">
      <c r="A8870" s="9">
        <v>6751</v>
      </c>
      <c r="B8870" t="s">
        <v>405</v>
      </c>
      <c r="C8870" s="25">
        <v>44754</v>
      </c>
      <c r="D8870" s="26">
        <v>0.50798611111111114</v>
      </c>
      <c r="E8870" t="s">
        <v>30</v>
      </c>
      <c r="F8870" t="s">
        <v>262</v>
      </c>
      <c r="G8870" t="s">
        <v>263</v>
      </c>
      <c r="H8870" t="s">
        <v>233</v>
      </c>
      <c r="I8870" s="8" t="s">
        <v>896</v>
      </c>
      <c r="J8870" s="23"/>
      <c r="K8870" s="90"/>
      <c r="L8870" s="23"/>
      <c r="M8870" s="19"/>
    </row>
    <row r="8871" spans="1:13" hidden="1" x14ac:dyDescent="0.3">
      <c r="A8871" s="9">
        <v>6751</v>
      </c>
      <c r="B8871" t="s">
        <v>405</v>
      </c>
      <c r="C8871" s="25">
        <v>44754</v>
      </c>
      <c r="D8871" s="26">
        <v>0.79961805555555554</v>
      </c>
      <c r="E8871" t="s">
        <v>30</v>
      </c>
      <c r="F8871" t="s">
        <v>268</v>
      </c>
      <c r="G8871" t="s">
        <v>269</v>
      </c>
      <c r="H8871" t="s">
        <v>233</v>
      </c>
      <c r="I8871" s="8" t="s">
        <v>895</v>
      </c>
      <c r="J8871" s="23"/>
      <c r="K8871" s="90"/>
      <c r="L8871" s="23"/>
      <c r="M8871" s="19"/>
    </row>
    <row r="8872" spans="1:13" hidden="1" x14ac:dyDescent="0.3">
      <c r="A8872" s="9">
        <v>6751</v>
      </c>
      <c r="B8872" t="s">
        <v>405</v>
      </c>
      <c r="C8872" s="25">
        <v>44759</v>
      </c>
      <c r="D8872" s="26">
        <v>0.41157407407407409</v>
      </c>
      <c r="E8872" t="s">
        <v>30</v>
      </c>
      <c r="F8872" t="s">
        <v>936</v>
      </c>
      <c r="G8872" t="s">
        <v>569</v>
      </c>
      <c r="H8872" t="s">
        <v>233</v>
      </c>
      <c r="I8872" s="8" t="s">
        <v>992</v>
      </c>
      <c r="J8872" s="23"/>
      <c r="K8872" s="90"/>
      <c r="L8872" s="23"/>
      <c r="M8872" s="19"/>
    </row>
    <row r="8873" spans="1:13" hidden="1" x14ac:dyDescent="0.3">
      <c r="B8873" t="s">
        <v>405</v>
      </c>
      <c r="C8873" s="25">
        <v>44760</v>
      </c>
      <c r="D8873" s="26">
        <v>0.79353009259259266</v>
      </c>
      <c r="E8873" t="s">
        <v>30</v>
      </c>
      <c r="F8873" t="s">
        <v>368</v>
      </c>
      <c r="G8873" t="s">
        <v>369</v>
      </c>
      <c r="H8873" t="s">
        <v>233</v>
      </c>
      <c r="I8873" s="8">
        <v>150</v>
      </c>
      <c r="J8873" s="8"/>
      <c r="K8873" s="8">
        <v>3556</v>
      </c>
      <c r="L8873" s="8">
        <f t="shared" ref="L8873:L8881" si="534">+K8873-J8873</f>
        <v>3556</v>
      </c>
      <c r="M8873" s="254">
        <f t="shared" ref="M8873:M8881" si="535">+J8873/L8873*100</f>
        <v>0</v>
      </c>
    </row>
    <row r="8874" spans="1:13" hidden="1" x14ac:dyDescent="0.3">
      <c r="B8874" t="s">
        <v>405</v>
      </c>
      <c r="C8874" s="25">
        <v>44760</v>
      </c>
      <c r="D8874" s="26">
        <v>0.93428240740740742</v>
      </c>
      <c r="E8874" t="s">
        <v>30</v>
      </c>
      <c r="F8874" t="s">
        <v>268</v>
      </c>
      <c r="G8874" t="s">
        <v>269</v>
      </c>
      <c r="H8874" t="s">
        <v>233</v>
      </c>
      <c r="I8874" s="8">
        <v>91.1</v>
      </c>
      <c r="J8874" s="8"/>
      <c r="K8874" s="8">
        <v>12345</v>
      </c>
      <c r="L8874" s="8">
        <f t="shared" si="534"/>
        <v>12345</v>
      </c>
      <c r="M8874" s="254">
        <f t="shared" si="535"/>
        <v>0</v>
      </c>
    </row>
    <row r="8875" spans="1:13" hidden="1" x14ac:dyDescent="0.3">
      <c r="B8875" t="s">
        <v>405</v>
      </c>
      <c r="C8875" s="25">
        <v>44761</v>
      </c>
      <c r="D8875" s="26">
        <v>0.89726851851851863</v>
      </c>
      <c r="E8875" t="s">
        <v>30</v>
      </c>
      <c r="F8875" t="s">
        <v>319</v>
      </c>
      <c r="G8875" t="s">
        <v>320</v>
      </c>
      <c r="H8875" t="s">
        <v>233</v>
      </c>
      <c r="I8875" s="8">
        <v>203.95</v>
      </c>
      <c r="J8875" s="8"/>
      <c r="K8875" s="8">
        <v>100000</v>
      </c>
      <c r="L8875" s="8">
        <f t="shared" si="534"/>
        <v>100000</v>
      </c>
      <c r="M8875" s="254">
        <f t="shared" si="535"/>
        <v>0</v>
      </c>
    </row>
    <row r="8876" spans="1:13" hidden="1" x14ac:dyDescent="0.3">
      <c r="B8876" t="s">
        <v>405</v>
      </c>
      <c r="C8876" s="25">
        <v>44762</v>
      </c>
      <c r="D8876" s="26">
        <v>4.4560185185185189E-3</v>
      </c>
      <c r="E8876" t="s">
        <v>30</v>
      </c>
      <c r="F8876" t="s">
        <v>441</v>
      </c>
      <c r="G8876" t="s">
        <v>442</v>
      </c>
      <c r="H8876" t="s">
        <v>233</v>
      </c>
      <c r="I8876" s="8">
        <v>100.03</v>
      </c>
      <c r="J8876" s="8"/>
      <c r="K8876" s="8">
        <v>355600</v>
      </c>
      <c r="L8876" s="8">
        <f t="shared" si="534"/>
        <v>355600</v>
      </c>
      <c r="M8876" s="254">
        <f t="shared" si="535"/>
        <v>0</v>
      </c>
    </row>
    <row r="8877" spans="1:13" hidden="1" x14ac:dyDescent="0.3">
      <c r="B8877" t="s">
        <v>405</v>
      </c>
      <c r="C8877" s="25">
        <v>44762</v>
      </c>
      <c r="D8877" s="26">
        <v>0.68817129629629636</v>
      </c>
      <c r="E8877" t="s">
        <v>30</v>
      </c>
      <c r="F8877" t="s">
        <v>342</v>
      </c>
      <c r="G8877" t="s">
        <v>491</v>
      </c>
      <c r="H8877" t="s">
        <v>233</v>
      </c>
      <c r="I8877" s="8">
        <v>118.7</v>
      </c>
      <c r="J8877" s="8"/>
      <c r="K8877" s="8">
        <v>1112</v>
      </c>
      <c r="L8877" s="8">
        <f t="shared" si="534"/>
        <v>1112</v>
      </c>
      <c r="M8877" s="254">
        <f t="shared" si="535"/>
        <v>0</v>
      </c>
    </row>
    <row r="8878" spans="1:13" hidden="1" x14ac:dyDescent="0.3">
      <c r="B8878" t="s">
        <v>405</v>
      </c>
      <c r="C8878" s="25">
        <v>44763</v>
      </c>
      <c r="D8878" s="26">
        <v>0.51987268518518526</v>
      </c>
      <c r="E8878" t="s">
        <v>30</v>
      </c>
      <c r="F8878" t="s">
        <v>1078</v>
      </c>
      <c r="G8878" t="s">
        <v>1079</v>
      </c>
      <c r="H8878" t="s">
        <v>233</v>
      </c>
      <c r="I8878" s="44">
        <v>340</v>
      </c>
      <c r="J8878" s="44"/>
      <c r="K8878" s="44">
        <v>123123</v>
      </c>
      <c r="L8878" s="44">
        <f t="shared" si="534"/>
        <v>123123</v>
      </c>
      <c r="M8878" s="254">
        <f t="shared" si="535"/>
        <v>0</v>
      </c>
    </row>
    <row r="8879" spans="1:13" hidden="1" x14ac:dyDescent="0.3">
      <c r="B8879" t="s">
        <v>405</v>
      </c>
      <c r="C8879" s="25">
        <v>44763</v>
      </c>
      <c r="D8879" s="26">
        <v>0.92550925925925931</v>
      </c>
      <c r="E8879" t="s">
        <v>30</v>
      </c>
      <c r="F8879" t="s">
        <v>441</v>
      </c>
      <c r="G8879" t="s">
        <v>442</v>
      </c>
      <c r="H8879" t="s">
        <v>233</v>
      </c>
      <c r="I8879" s="8">
        <v>117.24</v>
      </c>
      <c r="J8879" s="8"/>
      <c r="K8879" s="8">
        <v>355600</v>
      </c>
      <c r="L8879" s="8">
        <f t="shared" si="534"/>
        <v>355600</v>
      </c>
      <c r="M8879" s="254">
        <f t="shared" si="535"/>
        <v>0</v>
      </c>
    </row>
    <row r="8880" spans="1:13" hidden="1" x14ac:dyDescent="0.3">
      <c r="B8880" t="s">
        <v>405</v>
      </c>
      <c r="C8880" s="25">
        <v>44765</v>
      </c>
      <c r="D8880" s="26">
        <v>3.6435185185185189E-2</v>
      </c>
      <c r="E8880" t="s">
        <v>30</v>
      </c>
      <c r="F8880" t="s">
        <v>443</v>
      </c>
      <c r="G8880" t="s">
        <v>444</v>
      </c>
      <c r="H8880" t="s">
        <v>233</v>
      </c>
      <c r="I8880" s="8">
        <v>300</v>
      </c>
      <c r="J8880" s="8"/>
      <c r="K8880" s="8">
        <v>132465</v>
      </c>
      <c r="L8880" s="8">
        <f t="shared" si="534"/>
        <v>132465</v>
      </c>
      <c r="M8880" s="254">
        <f t="shared" si="535"/>
        <v>0</v>
      </c>
    </row>
    <row r="8881" spans="1:13" hidden="1" x14ac:dyDescent="0.3">
      <c r="B8881" t="s">
        <v>393</v>
      </c>
      <c r="C8881" s="25">
        <v>44767</v>
      </c>
      <c r="D8881" s="26">
        <v>0.81201388888888892</v>
      </c>
      <c r="E8881" t="s">
        <v>30</v>
      </c>
      <c r="F8881" t="s">
        <v>241</v>
      </c>
      <c r="G8881" t="s">
        <v>242</v>
      </c>
      <c r="H8881" t="s">
        <v>233</v>
      </c>
      <c r="I8881" s="8">
        <v>161.63999999999999</v>
      </c>
      <c r="J8881" s="8"/>
      <c r="K8881" s="8">
        <v>4969</v>
      </c>
      <c r="L8881" s="8">
        <f t="shared" si="534"/>
        <v>4969</v>
      </c>
      <c r="M8881" s="254">
        <f t="shared" si="535"/>
        <v>0</v>
      </c>
    </row>
    <row r="8882" spans="1:13" hidden="1" x14ac:dyDescent="0.3">
      <c r="A8882" s="9">
        <v>6751</v>
      </c>
      <c r="B8882" t="s">
        <v>373</v>
      </c>
      <c r="C8882" s="25">
        <v>44750</v>
      </c>
      <c r="D8882" s="26">
        <v>0.56657407407407401</v>
      </c>
      <c r="E8882" t="s">
        <v>30</v>
      </c>
      <c r="F8882" t="s">
        <v>262</v>
      </c>
      <c r="G8882" t="s">
        <v>263</v>
      </c>
      <c r="H8882" t="s">
        <v>239</v>
      </c>
      <c r="I8882" s="173" t="s">
        <v>793</v>
      </c>
      <c r="J8882" s="23"/>
      <c r="K8882" s="90"/>
      <c r="L8882" s="23"/>
      <c r="M8882" s="19"/>
    </row>
    <row r="8883" spans="1:13" hidden="1" x14ac:dyDescent="0.3">
      <c r="A8883" s="9">
        <v>6751</v>
      </c>
      <c r="B8883" t="s">
        <v>373</v>
      </c>
      <c r="C8883" s="25">
        <v>44750</v>
      </c>
      <c r="D8883" s="26">
        <v>0.87440972222222213</v>
      </c>
      <c r="E8883" t="s">
        <v>30</v>
      </c>
      <c r="F8883" t="s">
        <v>419</v>
      </c>
      <c r="G8883" t="s">
        <v>238</v>
      </c>
      <c r="H8883" t="s">
        <v>239</v>
      </c>
      <c r="I8883" s="159" t="s">
        <v>911</v>
      </c>
      <c r="K8883" s="97"/>
      <c r="L8883" s="3"/>
      <c r="M8883" s="19"/>
    </row>
    <row r="8884" spans="1:13" hidden="1" x14ac:dyDescent="0.3">
      <c r="A8884" s="9">
        <v>6751</v>
      </c>
      <c r="B8884" t="s">
        <v>373</v>
      </c>
      <c r="C8884" s="25">
        <v>44753</v>
      </c>
      <c r="D8884" s="26">
        <v>0.79458333333333331</v>
      </c>
      <c r="E8884" t="s">
        <v>30</v>
      </c>
      <c r="F8884" t="s">
        <v>241</v>
      </c>
      <c r="G8884" t="s">
        <v>242</v>
      </c>
      <c r="H8884" t="s">
        <v>239</v>
      </c>
      <c r="I8884" s="159" t="s">
        <v>910</v>
      </c>
      <c r="K8884" s="90"/>
      <c r="L8884" s="3"/>
      <c r="M8884" s="19"/>
    </row>
    <row r="8885" spans="1:13" hidden="1" x14ac:dyDescent="0.3">
      <c r="B8885" t="s">
        <v>373</v>
      </c>
      <c r="C8885" s="25">
        <v>44766</v>
      </c>
      <c r="D8885" s="26">
        <v>0.60435185185185192</v>
      </c>
      <c r="E8885" t="s">
        <v>30</v>
      </c>
      <c r="F8885" t="s">
        <v>268</v>
      </c>
      <c r="G8885" t="s">
        <v>269</v>
      </c>
      <c r="H8885" t="s">
        <v>239</v>
      </c>
      <c r="I8885" s="148">
        <v>197</v>
      </c>
      <c r="J8885"/>
      <c r="K8885" s="8">
        <v>8800</v>
      </c>
      <c r="L8885">
        <f>+K8885-J8885</f>
        <v>8800</v>
      </c>
      <c r="M8885" s="254">
        <f>+J8885/L8885*100</f>
        <v>0</v>
      </c>
    </row>
    <row r="8886" spans="1:13" hidden="1" x14ac:dyDescent="0.3">
      <c r="B8886" t="s">
        <v>373</v>
      </c>
      <c r="C8886" s="25">
        <v>44766</v>
      </c>
      <c r="D8886" s="26">
        <v>0.9744328703703703</v>
      </c>
      <c r="E8886" t="s">
        <v>30</v>
      </c>
      <c r="F8886" t="s">
        <v>262</v>
      </c>
      <c r="G8886" t="s">
        <v>263</v>
      </c>
      <c r="H8886" t="s">
        <v>239</v>
      </c>
      <c r="I8886" s="148">
        <v>115.43</v>
      </c>
      <c r="J8886"/>
      <c r="K8886" s="8">
        <v>12345</v>
      </c>
      <c r="L8886">
        <f>+K8886-J8886</f>
        <v>12345</v>
      </c>
      <c r="M8886" s="254">
        <f>+J8886/L8886*100</f>
        <v>0</v>
      </c>
    </row>
    <row r="8887" spans="1:13" hidden="1" x14ac:dyDescent="0.3">
      <c r="B8887" t="s">
        <v>646</v>
      </c>
      <c r="C8887" s="25">
        <v>44758</v>
      </c>
      <c r="D8887" s="26">
        <v>0.69459490740740737</v>
      </c>
      <c r="E8887" t="s">
        <v>30</v>
      </c>
      <c r="F8887" t="s">
        <v>950</v>
      </c>
      <c r="G8887" t="s">
        <v>388</v>
      </c>
      <c r="H8887" t="s">
        <v>648</v>
      </c>
      <c r="I8887">
        <v>33.92</v>
      </c>
      <c r="K8887" s="90"/>
      <c r="L8887" s="3"/>
      <c r="M8887" s="19"/>
    </row>
    <row r="8888" spans="1:13" hidden="1" x14ac:dyDescent="0.3">
      <c r="B8888" t="s">
        <v>646</v>
      </c>
      <c r="C8888" s="25">
        <v>44755</v>
      </c>
      <c r="D8888" s="26">
        <v>0.4934837962962963</v>
      </c>
      <c r="E8888" t="s">
        <v>30</v>
      </c>
      <c r="F8888" t="s">
        <v>338</v>
      </c>
      <c r="G8888" t="s">
        <v>388</v>
      </c>
      <c r="H8888" t="s">
        <v>648</v>
      </c>
      <c r="I8888">
        <v>38.700000000000003</v>
      </c>
      <c r="K8888" s="90"/>
      <c r="L8888" s="3"/>
      <c r="M8888" s="19"/>
    </row>
    <row r="8889" spans="1:13" hidden="1" x14ac:dyDescent="0.3">
      <c r="A8889" s="9">
        <v>6751</v>
      </c>
      <c r="B8889" t="s">
        <v>236</v>
      </c>
      <c r="C8889" s="25">
        <v>44750</v>
      </c>
      <c r="D8889" s="26">
        <v>0.35734953703703703</v>
      </c>
      <c r="E8889" t="s">
        <v>30</v>
      </c>
      <c r="F8889" t="s">
        <v>385</v>
      </c>
      <c r="G8889" t="s">
        <v>386</v>
      </c>
      <c r="H8889" t="s">
        <v>243</v>
      </c>
      <c r="I8889" s="159" t="s">
        <v>851</v>
      </c>
      <c r="K8889" s="99"/>
      <c r="L8889" s="3"/>
      <c r="M8889" s="19"/>
    </row>
    <row r="8890" spans="1:13" hidden="1" x14ac:dyDescent="0.3">
      <c r="A8890" s="9">
        <v>6751</v>
      </c>
      <c r="B8890" t="s">
        <v>236</v>
      </c>
      <c r="C8890" s="25">
        <v>44757</v>
      </c>
      <c r="D8890" s="26">
        <v>3.9467592592592592E-3</v>
      </c>
      <c r="E8890" t="s">
        <v>30</v>
      </c>
      <c r="F8890" t="s">
        <v>940</v>
      </c>
      <c r="G8890" t="s">
        <v>431</v>
      </c>
      <c r="H8890" t="s">
        <v>243</v>
      </c>
      <c r="I8890" s="173" t="s">
        <v>1016</v>
      </c>
      <c r="J8890" s="23"/>
      <c r="K8890" s="90"/>
      <c r="L8890" s="23"/>
      <c r="M8890" s="19"/>
    </row>
    <row r="8891" spans="1:13" hidden="1" x14ac:dyDescent="0.3">
      <c r="A8891" s="9">
        <v>6751</v>
      </c>
      <c r="B8891" t="s">
        <v>236</v>
      </c>
      <c r="C8891" s="25">
        <v>44757</v>
      </c>
      <c r="D8891" s="26">
        <v>0.66541666666666666</v>
      </c>
      <c r="E8891" t="s">
        <v>30</v>
      </c>
      <c r="F8891" t="s">
        <v>939</v>
      </c>
      <c r="G8891" t="s">
        <v>292</v>
      </c>
      <c r="H8891" t="s">
        <v>243</v>
      </c>
      <c r="I8891" s="173" t="s">
        <v>1015</v>
      </c>
      <c r="J8891" s="23"/>
      <c r="K8891" s="90"/>
      <c r="L8891" s="23"/>
      <c r="M8891" s="19"/>
    </row>
    <row r="8892" spans="1:13" hidden="1" x14ac:dyDescent="0.3">
      <c r="A8892" s="9">
        <v>6751</v>
      </c>
      <c r="B8892" t="s">
        <v>236</v>
      </c>
      <c r="C8892" s="25">
        <v>44757</v>
      </c>
      <c r="D8892" s="26">
        <v>0.98651620370370363</v>
      </c>
      <c r="E8892" t="s">
        <v>30</v>
      </c>
      <c r="F8892" t="s">
        <v>938</v>
      </c>
      <c r="G8892" t="s">
        <v>954</v>
      </c>
      <c r="H8892" t="s">
        <v>243</v>
      </c>
      <c r="I8892" s="173" t="s">
        <v>1014</v>
      </c>
      <c r="J8892" s="23"/>
      <c r="K8892" s="90"/>
      <c r="L8892" s="23"/>
      <c r="M8892" s="19"/>
    </row>
    <row r="8893" spans="1:13" hidden="1" x14ac:dyDescent="0.3">
      <c r="A8893" s="9">
        <v>6751</v>
      </c>
      <c r="B8893" t="s">
        <v>236</v>
      </c>
      <c r="C8893" s="25">
        <v>44758</v>
      </c>
      <c r="D8893" s="26">
        <v>0.59662037037037041</v>
      </c>
      <c r="E8893" t="s">
        <v>30</v>
      </c>
      <c r="F8893" t="s">
        <v>582</v>
      </c>
      <c r="G8893" t="s">
        <v>347</v>
      </c>
      <c r="H8893" t="s">
        <v>243</v>
      </c>
      <c r="I8893" s="173" t="s">
        <v>1013</v>
      </c>
      <c r="J8893" s="231">
        <f>149+68+100+210+150</f>
        <v>677</v>
      </c>
      <c r="K8893" s="151"/>
      <c r="L8893" s="151">
        <v>1438</v>
      </c>
      <c r="M8893" s="150">
        <f t="shared" ref="M8893:M8898" si="536">+J8893/L8893*100</f>
        <v>47.07927677329625</v>
      </c>
    </row>
    <row r="8894" spans="1:13" hidden="1" x14ac:dyDescent="0.3">
      <c r="B8894" t="s">
        <v>236</v>
      </c>
      <c r="C8894" s="25">
        <v>44762</v>
      </c>
      <c r="D8894" s="26">
        <v>0.67032407407407402</v>
      </c>
      <c r="E8894" t="s">
        <v>30</v>
      </c>
      <c r="F8894" t="s">
        <v>291</v>
      </c>
      <c r="G8894" t="s">
        <v>445</v>
      </c>
      <c r="H8894" t="s">
        <v>243</v>
      </c>
      <c r="I8894" s="8">
        <v>119.67</v>
      </c>
      <c r="J8894" s="8"/>
      <c r="K8894" s="8">
        <v>569874</v>
      </c>
      <c r="L8894" s="8">
        <f>+K8894-J8894</f>
        <v>569874</v>
      </c>
      <c r="M8894" s="254">
        <f t="shared" si="536"/>
        <v>0</v>
      </c>
    </row>
    <row r="8895" spans="1:13" hidden="1" x14ac:dyDescent="0.3">
      <c r="B8895" t="s">
        <v>236</v>
      </c>
      <c r="C8895" s="25">
        <v>44764</v>
      </c>
      <c r="D8895" s="26">
        <v>4.6759259259259263E-3</v>
      </c>
      <c r="E8895" t="s">
        <v>30</v>
      </c>
      <c r="F8895" t="s">
        <v>1078</v>
      </c>
      <c r="G8895" t="s">
        <v>1079</v>
      </c>
      <c r="H8895" t="s">
        <v>243</v>
      </c>
      <c r="I8895" s="8">
        <v>298.23</v>
      </c>
      <c r="J8895" s="8"/>
      <c r="K8895" s="8">
        <v>123123</v>
      </c>
      <c r="L8895" s="8">
        <f>+K8895-J8895</f>
        <v>123123</v>
      </c>
      <c r="M8895" s="254">
        <f t="shared" si="536"/>
        <v>0</v>
      </c>
    </row>
    <row r="8896" spans="1:13" hidden="1" x14ac:dyDescent="0.3">
      <c r="B8896" t="s">
        <v>236</v>
      </c>
      <c r="C8896" s="25">
        <v>44764</v>
      </c>
      <c r="D8896" s="26">
        <v>0.49746527777777777</v>
      </c>
      <c r="E8896" t="s">
        <v>30</v>
      </c>
      <c r="F8896" t="s">
        <v>598</v>
      </c>
      <c r="G8896" t="s">
        <v>599</v>
      </c>
      <c r="H8896" t="s">
        <v>243</v>
      </c>
      <c r="I8896" s="8">
        <v>88.68</v>
      </c>
      <c r="J8896" s="8"/>
      <c r="K8896" s="8">
        <v>100000</v>
      </c>
      <c r="L8896" s="8">
        <f>+K8896-J8896</f>
        <v>100000</v>
      </c>
      <c r="M8896" s="254">
        <f t="shared" si="536"/>
        <v>0</v>
      </c>
    </row>
    <row r="8897" spans="2:13" hidden="1" x14ac:dyDescent="0.3">
      <c r="B8897" t="s">
        <v>236</v>
      </c>
      <c r="C8897" s="25">
        <v>44765</v>
      </c>
      <c r="D8897" s="26">
        <v>0.50747685185185187</v>
      </c>
      <c r="E8897" t="s">
        <v>30</v>
      </c>
      <c r="F8897" t="s">
        <v>319</v>
      </c>
      <c r="G8897" t="s">
        <v>320</v>
      </c>
      <c r="H8897" t="s">
        <v>243</v>
      </c>
      <c r="I8897" s="8">
        <v>300.02999999999997</v>
      </c>
      <c r="J8897" s="8"/>
      <c r="K8897" s="8">
        <v>100000</v>
      </c>
      <c r="L8897" s="8">
        <f>+K8897-J8897</f>
        <v>100000</v>
      </c>
      <c r="M8897" s="254">
        <f t="shared" si="536"/>
        <v>0</v>
      </c>
    </row>
    <row r="8898" spans="2:13" hidden="1" x14ac:dyDescent="0.3">
      <c r="B8898" t="s">
        <v>617</v>
      </c>
      <c r="C8898" s="25">
        <v>44760</v>
      </c>
      <c r="D8898" s="26">
        <v>0.63381944444444438</v>
      </c>
      <c r="E8898" t="s">
        <v>30</v>
      </c>
      <c r="F8898" t="s">
        <v>338</v>
      </c>
      <c r="G8898" t="s">
        <v>388</v>
      </c>
      <c r="H8898" t="s">
        <v>618</v>
      </c>
      <c r="I8898" s="8">
        <v>25.03</v>
      </c>
      <c r="J8898" s="8"/>
      <c r="K8898" s="8">
        <v>152000</v>
      </c>
      <c r="L8898" s="8">
        <f>+K8898-J8898</f>
        <v>152000</v>
      </c>
      <c r="M8898" s="254">
        <f t="shared" si="536"/>
        <v>0</v>
      </c>
    </row>
    <row r="8899" spans="2:13" hidden="1" x14ac:dyDescent="0.3">
      <c r="B8899" t="s">
        <v>244</v>
      </c>
      <c r="C8899" s="25">
        <v>44750</v>
      </c>
      <c r="D8899" s="26">
        <v>5.2928240740740741E-2</v>
      </c>
      <c r="E8899" t="s">
        <v>30</v>
      </c>
      <c r="F8899" t="s">
        <v>883</v>
      </c>
      <c r="G8899" t="s">
        <v>320</v>
      </c>
      <c r="H8899" t="s">
        <v>247</v>
      </c>
      <c r="I8899" s="247">
        <v>123.34</v>
      </c>
      <c r="J8899" s="277"/>
      <c r="K8899" s="99"/>
      <c r="L8899" s="66"/>
      <c r="M8899" s="19"/>
    </row>
    <row r="8900" spans="2:13" hidden="1" x14ac:dyDescent="0.3">
      <c r="B8900" t="s">
        <v>244</v>
      </c>
      <c r="C8900" s="25">
        <v>44750</v>
      </c>
      <c r="D8900" s="26">
        <v>0.56015046296296289</v>
      </c>
      <c r="E8900" t="s">
        <v>30</v>
      </c>
      <c r="F8900" t="s">
        <v>291</v>
      </c>
      <c r="G8900" t="s">
        <v>445</v>
      </c>
      <c r="H8900" t="s">
        <v>247</v>
      </c>
      <c r="I8900" s="173">
        <v>258.10000000000002</v>
      </c>
      <c r="J8900" s="233"/>
      <c r="K8900" s="90"/>
      <c r="L8900" s="23"/>
      <c r="M8900" s="19"/>
    </row>
    <row r="8901" spans="2:13" hidden="1" x14ac:dyDescent="0.3">
      <c r="B8901" t="s">
        <v>244</v>
      </c>
      <c r="C8901" s="25">
        <v>44751</v>
      </c>
      <c r="D8901" s="26">
        <v>0.64842592592592596</v>
      </c>
      <c r="E8901" t="s">
        <v>30</v>
      </c>
      <c r="F8901" t="s">
        <v>443</v>
      </c>
      <c r="G8901" t="s">
        <v>444</v>
      </c>
      <c r="H8901" t="s">
        <v>247</v>
      </c>
      <c r="I8901" s="173">
        <v>250</v>
      </c>
      <c r="J8901" s="233"/>
      <c r="K8901" s="90"/>
      <c r="L8901" s="23"/>
      <c r="M8901" s="19"/>
    </row>
    <row r="8902" spans="2:13" hidden="1" x14ac:dyDescent="0.3">
      <c r="B8902" t="s">
        <v>244</v>
      </c>
      <c r="C8902" s="25">
        <v>44751</v>
      </c>
      <c r="D8902" s="26">
        <v>0.77902777777777776</v>
      </c>
      <c r="E8902" t="s">
        <v>30</v>
      </c>
      <c r="F8902" t="s">
        <v>234</v>
      </c>
      <c r="G8902" t="s">
        <v>235</v>
      </c>
      <c r="H8902" t="s">
        <v>247</v>
      </c>
      <c r="I8902" s="173">
        <v>115.16</v>
      </c>
      <c r="J8902" s="233"/>
      <c r="K8902" s="90"/>
      <c r="L8902" s="23"/>
      <c r="M8902" s="19"/>
    </row>
    <row r="8903" spans="2:13" hidden="1" x14ac:dyDescent="0.3">
      <c r="B8903" t="s">
        <v>244</v>
      </c>
      <c r="C8903" s="25">
        <v>44752</v>
      </c>
      <c r="D8903" s="26">
        <v>0.25870370370370371</v>
      </c>
      <c r="E8903" t="s">
        <v>30</v>
      </c>
      <c r="F8903" t="s">
        <v>298</v>
      </c>
      <c r="G8903" t="s">
        <v>299</v>
      </c>
      <c r="H8903" t="s">
        <v>247</v>
      </c>
      <c r="I8903" s="173">
        <v>275.16000000000003</v>
      </c>
      <c r="J8903" s="233"/>
      <c r="K8903" s="90"/>
      <c r="L8903" s="23"/>
      <c r="M8903" s="19"/>
    </row>
    <row r="8904" spans="2:13" hidden="1" x14ac:dyDescent="0.3">
      <c r="B8904" t="s">
        <v>244</v>
      </c>
      <c r="C8904" s="25">
        <v>44753</v>
      </c>
      <c r="D8904" s="26">
        <v>0.85553240740740744</v>
      </c>
      <c r="E8904" t="s">
        <v>30</v>
      </c>
      <c r="F8904" t="s">
        <v>472</v>
      </c>
      <c r="G8904" t="s">
        <v>473</v>
      </c>
      <c r="H8904" t="s">
        <v>247</v>
      </c>
      <c r="I8904" s="173">
        <v>105.05</v>
      </c>
      <c r="J8904" s="233"/>
      <c r="K8904" s="90"/>
      <c r="L8904" s="23"/>
      <c r="M8904" s="19"/>
    </row>
    <row r="8905" spans="2:13" hidden="1" x14ac:dyDescent="0.3">
      <c r="B8905" t="s">
        <v>244</v>
      </c>
      <c r="C8905" s="25">
        <v>44754</v>
      </c>
      <c r="D8905" s="26">
        <v>0.86949074074074073</v>
      </c>
      <c r="E8905" t="s">
        <v>30</v>
      </c>
      <c r="F8905" t="s">
        <v>882</v>
      </c>
      <c r="G8905" t="s">
        <v>578</v>
      </c>
      <c r="H8905" t="s">
        <v>247</v>
      </c>
      <c r="I8905" s="173">
        <v>287.64999999999998</v>
      </c>
      <c r="J8905" s="261">
        <f>288+105+275+115+250+258+123</f>
        <v>1414</v>
      </c>
      <c r="K8905" s="261"/>
      <c r="L8905" s="231">
        <v>3174</v>
      </c>
      <c r="M8905" s="150">
        <f t="shared" ref="M8905:M8913" si="537">+J8905/L8905*100</f>
        <v>44.549464398235664</v>
      </c>
    </row>
    <row r="8906" spans="2:13" hidden="1" x14ac:dyDescent="0.3">
      <c r="B8906" t="s">
        <v>373</v>
      </c>
      <c r="C8906" s="25">
        <v>44760</v>
      </c>
      <c r="D8906" s="26">
        <v>0.44027777777777777</v>
      </c>
      <c r="E8906" t="s">
        <v>30</v>
      </c>
      <c r="F8906" t="s">
        <v>319</v>
      </c>
      <c r="G8906" t="s">
        <v>320</v>
      </c>
      <c r="H8906" t="s">
        <v>247</v>
      </c>
      <c r="I8906" s="44">
        <v>200</v>
      </c>
      <c r="J8906" s="44"/>
      <c r="K8906" s="44">
        <v>1234</v>
      </c>
      <c r="L8906" s="44">
        <f t="shared" ref="L8906:L8913" si="538">+K8906-J8906</f>
        <v>1234</v>
      </c>
      <c r="M8906" s="254">
        <f t="shared" si="537"/>
        <v>0</v>
      </c>
    </row>
    <row r="8907" spans="2:13" hidden="1" x14ac:dyDescent="0.3">
      <c r="B8907" t="s">
        <v>373</v>
      </c>
      <c r="C8907" s="25">
        <v>44760</v>
      </c>
      <c r="D8907" s="26">
        <v>0.47144675925925927</v>
      </c>
      <c r="E8907" t="s">
        <v>30</v>
      </c>
      <c r="F8907" t="s">
        <v>319</v>
      </c>
      <c r="G8907" t="s">
        <v>320</v>
      </c>
      <c r="H8907" t="s">
        <v>247</v>
      </c>
      <c r="I8907" s="8">
        <v>207</v>
      </c>
      <c r="J8907" s="8"/>
      <c r="K8907" s="8">
        <v>1234</v>
      </c>
      <c r="L8907" s="8">
        <f t="shared" si="538"/>
        <v>1234</v>
      </c>
      <c r="M8907" s="254">
        <f t="shared" si="537"/>
        <v>0</v>
      </c>
    </row>
    <row r="8908" spans="2:13" hidden="1" x14ac:dyDescent="0.3">
      <c r="B8908" t="s">
        <v>373</v>
      </c>
      <c r="C8908" s="25">
        <v>44761</v>
      </c>
      <c r="D8908" s="26">
        <v>4.8136574074074075E-2</v>
      </c>
      <c r="E8908" t="s">
        <v>30</v>
      </c>
      <c r="F8908" t="s">
        <v>555</v>
      </c>
      <c r="G8908" t="s">
        <v>556</v>
      </c>
      <c r="H8908" t="s">
        <v>247</v>
      </c>
      <c r="I8908" s="8">
        <v>100</v>
      </c>
      <c r="J8908" s="8"/>
      <c r="K8908" s="8">
        <v>1234</v>
      </c>
      <c r="L8908" s="8">
        <f t="shared" si="538"/>
        <v>1234</v>
      </c>
      <c r="M8908" s="254">
        <f t="shared" si="537"/>
        <v>0</v>
      </c>
    </row>
    <row r="8909" spans="2:13" hidden="1" x14ac:dyDescent="0.3">
      <c r="B8909" t="s">
        <v>373</v>
      </c>
      <c r="C8909" s="25">
        <v>44762</v>
      </c>
      <c r="D8909" s="26">
        <v>0.43837962962962962</v>
      </c>
      <c r="E8909" t="s">
        <v>30</v>
      </c>
      <c r="F8909" t="s">
        <v>342</v>
      </c>
      <c r="G8909" t="s">
        <v>491</v>
      </c>
      <c r="H8909" t="s">
        <v>247</v>
      </c>
      <c r="I8909" s="8">
        <v>100.01</v>
      </c>
      <c r="J8909" s="8"/>
      <c r="K8909" s="8">
        <v>122452</v>
      </c>
      <c r="L8909" s="8">
        <f t="shared" si="538"/>
        <v>122452</v>
      </c>
      <c r="M8909" s="254">
        <f t="shared" si="537"/>
        <v>0</v>
      </c>
    </row>
    <row r="8910" spans="2:13" hidden="1" x14ac:dyDescent="0.3">
      <c r="B8910" t="s">
        <v>373</v>
      </c>
      <c r="C8910" s="25">
        <v>44762</v>
      </c>
      <c r="D8910" s="26">
        <v>0.930150462962963</v>
      </c>
      <c r="E8910" t="s">
        <v>30</v>
      </c>
      <c r="F8910" t="s">
        <v>319</v>
      </c>
      <c r="G8910" t="s">
        <v>320</v>
      </c>
      <c r="H8910" t="s">
        <v>247</v>
      </c>
      <c r="I8910" s="8">
        <v>200</v>
      </c>
      <c r="J8910" s="8"/>
      <c r="K8910" s="8">
        <v>1234</v>
      </c>
      <c r="L8910" s="8">
        <f t="shared" si="538"/>
        <v>1234</v>
      </c>
      <c r="M8910" s="254">
        <f t="shared" si="537"/>
        <v>0</v>
      </c>
    </row>
    <row r="8911" spans="2:13" hidden="1" x14ac:dyDescent="0.3">
      <c r="B8911" t="s">
        <v>244</v>
      </c>
      <c r="C8911" s="25">
        <v>44766</v>
      </c>
      <c r="D8911" s="26">
        <v>0.80115740740740737</v>
      </c>
      <c r="E8911" t="s">
        <v>30</v>
      </c>
      <c r="F8911" t="s">
        <v>523</v>
      </c>
      <c r="G8911" t="s">
        <v>388</v>
      </c>
      <c r="H8911" t="s">
        <v>247</v>
      </c>
      <c r="I8911" s="8">
        <v>253.58</v>
      </c>
      <c r="J8911" s="8"/>
      <c r="K8911" s="8">
        <v>100000</v>
      </c>
      <c r="L8911" s="8">
        <f t="shared" si="538"/>
        <v>100000</v>
      </c>
      <c r="M8911" s="254">
        <f t="shared" si="537"/>
        <v>0</v>
      </c>
    </row>
    <row r="8912" spans="2:13" hidden="1" x14ac:dyDescent="0.3">
      <c r="B8912" t="s">
        <v>244</v>
      </c>
      <c r="C8912" s="25">
        <v>44767</v>
      </c>
      <c r="D8912" s="26">
        <v>0.76556712962962958</v>
      </c>
      <c r="E8912" t="s">
        <v>30</v>
      </c>
      <c r="F8912" t="s">
        <v>419</v>
      </c>
      <c r="G8912" t="s">
        <v>238</v>
      </c>
      <c r="H8912" t="s">
        <v>247</v>
      </c>
      <c r="I8912" s="8">
        <v>282.39999999999998</v>
      </c>
      <c r="J8912" s="8"/>
      <c r="K8912" s="8">
        <v>800000</v>
      </c>
      <c r="L8912" s="8">
        <f t="shared" si="538"/>
        <v>800000</v>
      </c>
      <c r="M8912" s="254">
        <f t="shared" si="537"/>
        <v>0</v>
      </c>
    </row>
    <row r="8913" spans="1:13" hidden="1" x14ac:dyDescent="0.3">
      <c r="B8913" t="s">
        <v>244</v>
      </c>
      <c r="C8913" s="25">
        <v>44767</v>
      </c>
      <c r="D8913" s="26">
        <v>0.85371527777777778</v>
      </c>
      <c r="E8913" t="s">
        <v>30</v>
      </c>
      <c r="F8913" t="s">
        <v>241</v>
      </c>
      <c r="G8913" t="s">
        <v>242</v>
      </c>
      <c r="H8913" t="s">
        <v>247</v>
      </c>
      <c r="I8913" s="8">
        <v>65</v>
      </c>
      <c r="J8913" s="8"/>
      <c r="K8913" s="8">
        <v>78963</v>
      </c>
      <c r="L8913" s="8">
        <f t="shared" si="538"/>
        <v>78963</v>
      </c>
      <c r="M8913" s="254">
        <f t="shared" si="537"/>
        <v>0</v>
      </c>
    </row>
    <row r="8914" spans="1:13" hidden="1" x14ac:dyDescent="0.3">
      <c r="B8914" t="s">
        <v>186</v>
      </c>
      <c r="C8914" s="25">
        <v>44749</v>
      </c>
      <c r="D8914" s="26">
        <v>0.33482638888888888</v>
      </c>
      <c r="E8914" t="s">
        <v>30</v>
      </c>
      <c r="F8914" t="s">
        <v>175</v>
      </c>
      <c r="G8914" t="s">
        <v>172</v>
      </c>
      <c r="H8914" t="s">
        <v>113</v>
      </c>
      <c r="I8914" s="236">
        <v>389.78</v>
      </c>
      <c r="J8914" s="8"/>
      <c r="K8914" s="8"/>
      <c r="L8914" s="8"/>
      <c r="M8914" s="91"/>
    </row>
    <row r="8915" spans="1:13" hidden="1" x14ac:dyDescent="0.3">
      <c r="B8915" t="s">
        <v>186</v>
      </c>
      <c r="C8915" s="25">
        <v>44750</v>
      </c>
      <c r="D8915" s="26">
        <v>0.83556712962962953</v>
      </c>
      <c r="E8915" t="s">
        <v>30</v>
      </c>
      <c r="F8915" t="s">
        <v>774</v>
      </c>
      <c r="G8915" t="s">
        <v>161</v>
      </c>
      <c r="H8915" t="s">
        <v>113</v>
      </c>
      <c r="I8915" s="236">
        <v>319.38</v>
      </c>
      <c r="J8915" s="8"/>
      <c r="K8915" s="8"/>
      <c r="L8915" s="8"/>
      <c r="M8915" s="91"/>
    </row>
    <row r="8916" spans="1:13" hidden="1" x14ac:dyDescent="0.3">
      <c r="B8916" t="s">
        <v>288</v>
      </c>
      <c r="C8916" s="25">
        <v>44754</v>
      </c>
      <c r="D8916" s="26">
        <v>0.71113425925925933</v>
      </c>
      <c r="E8916" t="s">
        <v>30</v>
      </c>
      <c r="F8916" t="s">
        <v>210</v>
      </c>
      <c r="G8916" t="s">
        <v>211</v>
      </c>
      <c r="H8916" t="s">
        <v>113</v>
      </c>
      <c r="I8916" s="173">
        <v>434.7</v>
      </c>
      <c r="J8916" s="23"/>
      <c r="K8916" s="23"/>
      <c r="L8916" s="23"/>
      <c r="M8916" s="91"/>
    </row>
    <row r="8917" spans="1:13" hidden="1" x14ac:dyDescent="0.3">
      <c r="B8917" t="s">
        <v>365</v>
      </c>
      <c r="C8917" s="25">
        <v>44762</v>
      </c>
      <c r="D8917" s="26">
        <v>0.7063194444444445</v>
      </c>
      <c r="E8917" t="s">
        <v>30</v>
      </c>
      <c r="F8917" t="s">
        <v>339</v>
      </c>
      <c r="G8917" t="s">
        <v>392</v>
      </c>
      <c r="H8917" t="s">
        <v>113</v>
      </c>
      <c r="I8917" s="160">
        <v>444.74</v>
      </c>
      <c r="J8917" s="8"/>
      <c r="K8917" s="8"/>
      <c r="L8917" s="8"/>
      <c r="M8917" s="254"/>
    </row>
    <row r="8918" spans="1:13" hidden="1" x14ac:dyDescent="0.3">
      <c r="B8918" t="s">
        <v>365</v>
      </c>
      <c r="C8918" s="25">
        <v>44762</v>
      </c>
      <c r="D8918" s="26">
        <v>0.79894675925925929</v>
      </c>
      <c r="E8918" t="s">
        <v>30</v>
      </c>
      <c r="F8918" t="s">
        <v>197</v>
      </c>
      <c r="G8918" t="s">
        <v>44</v>
      </c>
      <c r="H8918" t="s">
        <v>113</v>
      </c>
      <c r="I8918" s="161">
        <v>80.540000000000006</v>
      </c>
      <c r="J8918" s="44"/>
      <c r="K8918" s="44"/>
      <c r="L8918" s="44"/>
      <c r="M8918" s="254"/>
    </row>
    <row r="8919" spans="1:13" hidden="1" x14ac:dyDescent="0.3">
      <c r="B8919" t="s">
        <v>365</v>
      </c>
      <c r="C8919" s="25">
        <v>44763</v>
      </c>
      <c r="D8919" s="26">
        <v>0.56224537037037037</v>
      </c>
      <c r="E8919" t="s">
        <v>30</v>
      </c>
      <c r="F8919" t="s">
        <v>210</v>
      </c>
      <c r="G8919" t="s">
        <v>211</v>
      </c>
      <c r="H8919" t="s">
        <v>113</v>
      </c>
      <c r="I8919" s="160">
        <v>249.9</v>
      </c>
      <c r="J8919" s="160">
        <f>445+81+250+435</f>
        <v>1211</v>
      </c>
      <c r="K8919" s="160"/>
      <c r="L8919" s="160">
        <v>3016</v>
      </c>
      <c r="M8919" s="150">
        <f>+J8919/L8919*100</f>
        <v>40.152519893899203</v>
      </c>
    </row>
    <row r="8920" spans="1:13" hidden="1" x14ac:dyDescent="0.3">
      <c r="B8920" t="s">
        <v>365</v>
      </c>
      <c r="C8920" s="25">
        <v>44764</v>
      </c>
      <c r="D8920" s="26">
        <v>0.9628472222222223</v>
      </c>
      <c r="E8920" t="s">
        <v>30</v>
      </c>
      <c r="F8920" t="s">
        <v>210</v>
      </c>
      <c r="G8920" t="s">
        <v>211</v>
      </c>
      <c r="H8920" t="s">
        <v>113</v>
      </c>
      <c r="I8920" s="160">
        <v>383.35</v>
      </c>
      <c r="J8920" s="8"/>
      <c r="K8920" s="8"/>
      <c r="L8920" s="8"/>
      <c r="M8920" s="254"/>
    </row>
    <row r="8921" spans="1:13" hidden="1" x14ac:dyDescent="0.3">
      <c r="B8921" t="s">
        <v>365</v>
      </c>
      <c r="C8921" s="25">
        <v>44765</v>
      </c>
      <c r="D8921" s="26">
        <v>0.65930555555555559</v>
      </c>
      <c r="E8921" t="s">
        <v>30</v>
      </c>
      <c r="F8921" t="s">
        <v>169</v>
      </c>
      <c r="G8921" t="s">
        <v>196</v>
      </c>
      <c r="H8921" t="s">
        <v>113</v>
      </c>
      <c r="I8921" s="160">
        <v>163.98</v>
      </c>
      <c r="J8921" s="160">
        <f>384+164</f>
        <v>548</v>
      </c>
      <c r="K8921" s="160"/>
      <c r="L8921" s="160">
        <v>1735</v>
      </c>
      <c r="M8921" s="150">
        <f>+J8921/L8921*100</f>
        <v>31.585014409221902</v>
      </c>
    </row>
    <row r="8922" spans="1:13" hidden="1" x14ac:dyDescent="0.3">
      <c r="B8922" t="s">
        <v>1082</v>
      </c>
      <c r="C8922" s="25">
        <v>44768</v>
      </c>
      <c r="D8922" s="26">
        <v>0.55395833333333333</v>
      </c>
      <c r="E8922" t="s">
        <v>30</v>
      </c>
      <c r="F8922" t="s">
        <v>175</v>
      </c>
      <c r="G8922" t="s">
        <v>172</v>
      </c>
      <c r="H8922" t="s">
        <v>113</v>
      </c>
      <c r="I8922" s="160">
        <v>113.47</v>
      </c>
      <c r="J8922" s="8"/>
      <c r="K8922" s="8"/>
      <c r="L8922" s="8"/>
      <c r="M8922" s="254"/>
    </row>
    <row r="8923" spans="1:13" hidden="1" x14ac:dyDescent="0.3">
      <c r="B8923" t="s">
        <v>1082</v>
      </c>
      <c r="C8923" s="25">
        <v>44768</v>
      </c>
      <c r="D8923" s="26">
        <v>0.56505787037037036</v>
      </c>
      <c r="E8923" t="s">
        <v>30</v>
      </c>
      <c r="F8923" t="s">
        <v>175</v>
      </c>
      <c r="G8923" t="s">
        <v>172</v>
      </c>
      <c r="H8923" t="s">
        <v>113</v>
      </c>
      <c r="I8923" s="160">
        <v>66.94</v>
      </c>
      <c r="J8923" s="8"/>
      <c r="K8923" s="8"/>
      <c r="L8923" s="8"/>
      <c r="M8923" s="254"/>
    </row>
    <row r="8924" spans="1:13" hidden="1" x14ac:dyDescent="0.3">
      <c r="B8924" t="s">
        <v>1082</v>
      </c>
      <c r="C8924" s="25">
        <v>44771</v>
      </c>
      <c r="D8924" s="26">
        <v>0.61037037037037034</v>
      </c>
      <c r="E8924" t="s">
        <v>30</v>
      </c>
      <c r="F8924" t="s">
        <v>210</v>
      </c>
      <c r="G8924" t="s">
        <v>211</v>
      </c>
      <c r="H8924" t="s">
        <v>113</v>
      </c>
      <c r="I8924" s="160">
        <v>363.75</v>
      </c>
      <c r="J8924" s="160">
        <f>114+67+364</f>
        <v>545</v>
      </c>
      <c r="K8924" s="160"/>
      <c r="L8924" s="160">
        <v>1366</v>
      </c>
      <c r="M8924" s="150">
        <f>+J8924/L8924*100</f>
        <v>39.897510980966331</v>
      </c>
    </row>
    <row r="8925" spans="1:13" hidden="1" x14ac:dyDescent="0.3">
      <c r="A8925" s="9">
        <v>6751</v>
      </c>
      <c r="B8925" t="s">
        <v>248</v>
      </c>
      <c r="C8925" s="25">
        <v>44743</v>
      </c>
      <c r="D8925" s="26">
        <v>0.41268518518518515</v>
      </c>
      <c r="E8925" t="s">
        <v>30</v>
      </c>
      <c r="F8925" t="s">
        <v>210</v>
      </c>
      <c r="G8925" t="s">
        <v>211</v>
      </c>
      <c r="H8925" t="s">
        <v>109</v>
      </c>
      <c r="I8925" s="173">
        <v>139.44999999999999</v>
      </c>
      <c r="J8925" s="8"/>
      <c r="K8925" s="8"/>
      <c r="L8925" s="8"/>
      <c r="M8925" s="91"/>
    </row>
    <row r="8926" spans="1:13" hidden="1" x14ac:dyDescent="0.3">
      <c r="A8926" s="9">
        <v>6751</v>
      </c>
      <c r="B8926" t="s">
        <v>248</v>
      </c>
      <c r="C8926" s="25">
        <v>44755</v>
      </c>
      <c r="D8926" s="26">
        <v>0.39163194444444444</v>
      </c>
      <c r="E8926" t="s">
        <v>30</v>
      </c>
      <c r="F8926" t="s">
        <v>772</v>
      </c>
      <c r="G8926" t="s">
        <v>44</v>
      </c>
      <c r="H8926" t="s">
        <v>109</v>
      </c>
      <c r="I8926" s="173" t="s">
        <v>790</v>
      </c>
      <c r="J8926" s="23"/>
      <c r="K8926" s="90"/>
      <c r="L8926" s="23"/>
      <c r="M8926" s="254"/>
    </row>
    <row r="8927" spans="1:13" hidden="1" x14ac:dyDescent="0.3">
      <c r="A8927" s="9">
        <v>6751</v>
      </c>
      <c r="B8927" t="s">
        <v>248</v>
      </c>
      <c r="C8927" s="25">
        <v>44755</v>
      </c>
      <c r="D8927" s="26">
        <v>0.39518518518518514</v>
      </c>
      <c r="E8927" t="s">
        <v>30</v>
      </c>
      <c r="F8927" t="s">
        <v>772</v>
      </c>
      <c r="G8927" t="s">
        <v>44</v>
      </c>
      <c r="H8927" t="s">
        <v>109</v>
      </c>
      <c r="I8927" s="244" t="s">
        <v>986</v>
      </c>
      <c r="J8927" s="49"/>
      <c r="K8927" s="97"/>
      <c r="L8927" s="49"/>
      <c r="M8927" s="254"/>
    </row>
    <row r="8928" spans="1:13" hidden="1" x14ac:dyDescent="0.3">
      <c r="A8928" s="9">
        <v>6751</v>
      </c>
      <c r="B8928" t="s">
        <v>248</v>
      </c>
      <c r="C8928" s="25">
        <v>44755</v>
      </c>
      <c r="D8928" s="26">
        <v>0.75270833333333342</v>
      </c>
      <c r="E8928" t="s">
        <v>30</v>
      </c>
      <c r="F8928" t="s">
        <v>210</v>
      </c>
      <c r="G8928" t="s">
        <v>211</v>
      </c>
      <c r="H8928" t="s">
        <v>109</v>
      </c>
      <c r="I8928" s="173" t="s">
        <v>985</v>
      </c>
      <c r="J8928" s="231">
        <f>401+100+135+139</f>
        <v>775</v>
      </c>
      <c r="K8928" s="231"/>
      <c r="L8928" s="231">
        <v>1888</v>
      </c>
      <c r="M8928" s="150">
        <f>+J8928/L8928*100</f>
        <v>41.048728813559322</v>
      </c>
    </row>
    <row r="8929" spans="1:13" hidden="1" x14ac:dyDescent="0.3">
      <c r="A8929" s="9">
        <v>6751</v>
      </c>
      <c r="B8929" t="s">
        <v>248</v>
      </c>
      <c r="C8929" s="25">
        <v>44756</v>
      </c>
      <c r="D8929" s="26">
        <v>0.58604166666666668</v>
      </c>
      <c r="E8929" t="s">
        <v>30</v>
      </c>
      <c r="F8929" t="s">
        <v>165</v>
      </c>
      <c r="G8929" t="s">
        <v>185</v>
      </c>
      <c r="H8929" t="s">
        <v>109</v>
      </c>
      <c r="I8929" s="173" t="s">
        <v>984</v>
      </c>
      <c r="J8929" s="23"/>
      <c r="K8929" s="90"/>
      <c r="L8929" s="23"/>
      <c r="M8929" s="254"/>
    </row>
    <row r="8930" spans="1:13" hidden="1" x14ac:dyDescent="0.3">
      <c r="A8930" s="9">
        <v>6751</v>
      </c>
      <c r="B8930" t="s">
        <v>248</v>
      </c>
      <c r="C8930" s="25">
        <v>44756</v>
      </c>
      <c r="D8930" s="26">
        <v>0.88482638888888887</v>
      </c>
      <c r="E8930" t="s">
        <v>30</v>
      </c>
      <c r="F8930" t="s">
        <v>210</v>
      </c>
      <c r="G8930" t="s">
        <v>211</v>
      </c>
      <c r="H8930" t="s">
        <v>109</v>
      </c>
      <c r="I8930" s="173" t="s">
        <v>983</v>
      </c>
      <c r="J8930" s="231">
        <f>135+465</f>
        <v>600</v>
      </c>
      <c r="K8930" s="151"/>
      <c r="L8930" s="231">
        <v>1062</v>
      </c>
      <c r="M8930" s="150">
        <f t="shared" ref="M8930:M8941" si="539">+J8930/L8930*100</f>
        <v>56.497175141242941</v>
      </c>
    </row>
    <row r="8931" spans="1:13" hidden="1" x14ac:dyDescent="0.3">
      <c r="B8931" t="s">
        <v>248</v>
      </c>
      <c r="C8931" s="25">
        <v>44764</v>
      </c>
      <c r="D8931" s="26">
        <v>0.65966435185185179</v>
      </c>
      <c r="E8931" t="s">
        <v>30</v>
      </c>
      <c r="F8931" t="s">
        <v>175</v>
      </c>
      <c r="G8931" t="s">
        <v>172</v>
      </c>
      <c r="H8931" t="s">
        <v>109</v>
      </c>
      <c r="I8931" s="164">
        <v>372.21</v>
      </c>
      <c r="J8931" s="54"/>
      <c r="K8931" s="54"/>
      <c r="L8931" s="54"/>
      <c r="M8931" s="254"/>
    </row>
    <row r="8932" spans="1:13" hidden="1" x14ac:dyDescent="0.3">
      <c r="B8932" t="s">
        <v>248</v>
      </c>
      <c r="C8932" s="25">
        <v>44765</v>
      </c>
      <c r="D8932" s="26">
        <v>0.61731481481481476</v>
      </c>
      <c r="E8932" t="s">
        <v>30</v>
      </c>
      <c r="F8932" t="s">
        <v>210</v>
      </c>
      <c r="G8932" t="s">
        <v>211</v>
      </c>
      <c r="H8932" t="s">
        <v>109</v>
      </c>
      <c r="I8932" s="160">
        <v>347.17</v>
      </c>
      <c r="J8932" s="8"/>
      <c r="K8932" s="8"/>
      <c r="L8932" s="8"/>
      <c r="M8932" s="254"/>
    </row>
    <row r="8933" spans="1:13" hidden="1" x14ac:dyDescent="0.3">
      <c r="B8933" t="s">
        <v>248</v>
      </c>
      <c r="C8933" s="25">
        <v>44766</v>
      </c>
      <c r="D8933" s="26">
        <v>0.71515046296296303</v>
      </c>
      <c r="E8933" t="s">
        <v>30</v>
      </c>
      <c r="F8933" t="s">
        <v>210</v>
      </c>
      <c r="G8933" t="s">
        <v>211</v>
      </c>
      <c r="H8933" t="s">
        <v>109</v>
      </c>
      <c r="I8933" s="160">
        <v>397.46</v>
      </c>
      <c r="J8933" s="8"/>
      <c r="K8933" s="8"/>
      <c r="L8933" s="8"/>
      <c r="M8933" s="254"/>
    </row>
    <row r="8934" spans="1:13" hidden="1" x14ac:dyDescent="0.3">
      <c r="B8934" t="s">
        <v>248</v>
      </c>
      <c r="C8934" s="25">
        <v>44768</v>
      </c>
      <c r="D8934" s="26">
        <v>0.37071759259259257</v>
      </c>
      <c r="E8934" t="s">
        <v>30</v>
      </c>
      <c r="F8934" t="s">
        <v>197</v>
      </c>
      <c r="G8934" t="s">
        <v>44</v>
      </c>
      <c r="H8934" t="s">
        <v>109</v>
      </c>
      <c r="I8934" s="160">
        <v>201.21</v>
      </c>
      <c r="J8934" s="160">
        <f>372+347+397+201</f>
        <v>1317</v>
      </c>
      <c r="K8934" s="160">
        <v>369852</v>
      </c>
      <c r="L8934" s="160">
        <v>4019</v>
      </c>
      <c r="M8934" s="150">
        <f t="shared" si="539"/>
        <v>32.76934560836029</v>
      </c>
    </row>
    <row r="8935" spans="1:13" hidden="1" x14ac:dyDescent="0.3">
      <c r="B8935" t="s">
        <v>248</v>
      </c>
      <c r="C8935" s="25">
        <v>44768</v>
      </c>
      <c r="D8935" s="26">
        <v>0.79766203703703698</v>
      </c>
      <c r="E8935" t="s">
        <v>30</v>
      </c>
      <c r="F8935" t="s">
        <v>210</v>
      </c>
      <c r="G8935" t="s">
        <v>211</v>
      </c>
      <c r="H8935" t="s">
        <v>109</v>
      </c>
      <c r="I8935" s="160">
        <v>504.23</v>
      </c>
      <c r="J8935" s="8"/>
      <c r="K8935" s="8"/>
      <c r="L8935" s="8"/>
      <c r="M8935" s="254"/>
    </row>
    <row r="8936" spans="1:13" hidden="1" x14ac:dyDescent="0.3">
      <c r="B8936" t="s">
        <v>248</v>
      </c>
      <c r="C8936" s="25">
        <v>44769</v>
      </c>
      <c r="D8936" s="26">
        <v>0.87726851851851861</v>
      </c>
      <c r="E8936" t="s">
        <v>30</v>
      </c>
      <c r="F8936" t="s">
        <v>210</v>
      </c>
      <c r="G8936" t="s">
        <v>211</v>
      </c>
      <c r="H8936" t="s">
        <v>109</v>
      </c>
      <c r="I8936" s="160">
        <v>421.43</v>
      </c>
      <c r="J8936" s="160">
        <f>504+421</f>
        <v>925</v>
      </c>
      <c r="K8936" s="160">
        <v>7241</v>
      </c>
      <c r="L8936" s="160">
        <v>1691</v>
      </c>
      <c r="M8936" s="150">
        <f t="shared" si="539"/>
        <v>54.701360141927857</v>
      </c>
    </row>
    <row r="8937" spans="1:13" hidden="1" x14ac:dyDescent="0.3">
      <c r="B8937" t="s">
        <v>248</v>
      </c>
      <c r="C8937" s="25">
        <v>44770</v>
      </c>
      <c r="D8937" s="26">
        <v>0.95956018518518515</v>
      </c>
      <c r="E8937" t="s">
        <v>30</v>
      </c>
      <c r="F8937" t="s">
        <v>428</v>
      </c>
      <c r="G8937" t="s">
        <v>429</v>
      </c>
      <c r="H8937" t="s">
        <v>109</v>
      </c>
      <c r="I8937" s="160">
        <v>100.28</v>
      </c>
      <c r="J8937" s="8"/>
      <c r="K8937" s="8"/>
      <c r="L8937" s="8"/>
      <c r="M8937" s="254"/>
    </row>
    <row r="8938" spans="1:13" hidden="1" x14ac:dyDescent="0.3">
      <c r="B8938" t="s">
        <v>248</v>
      </c>
      <c r="C8938" s="25">
        <v>44770</v>
      </c>
      <c r="D8938" s="26">
        <v>0.96223379629629635</v>
      </c>
      <c r="E8938" t="s">
        <v>30</v>
      </c>
      <c r="F8938" t="s">
        <v>428</v>
      </c>
      <c r="G8938" t="s">
        <v>429</v>
      </c>
      <c r="H8938" t="s">
        <v>109</v>
      </c>
      <c r="I8938" s="160">
        <v>200.05</v>
      </c>
      <c r="J8938" s="8"/>
      <c r="K8938" s="8"/>
      <c r="L8938" s="8"/>
      <c r="M8938" s="254"/>
    </row>
    <row r="8939" spans="1:13" hidden="1" x14ac:dyDescent="0.3">
      <c r="B8939" t="s">
        <v>248</v>
      </c>
      <c r="C8939" s="25">
        <v>44771</v>
      </c>
      <c r="D8939" s="26">
        <v>0.36715277777777783</v>
      </c>
      <c r="E8939" t="s">
        <v>30</v>
      </c>
      <c r="F8939" t="s">
        <v>428</v>
      </c>
      <c r="G8939" t="s">
        <v>429</v>
      </c>
      <c r="H8939" t="s">
        <v>109</v>
      </c>
      <c r="I8939" s="160">
        <v>46.52</v>
      </c>
      <c r="J8939" s="8"/>
      <c r="K8939" s="8"/>
      <c r="L8939" s="8"/>
      <c r="M8939" s="254"/>
    </row>
    <row r="8940" spans="1:13" hidden="1" x14ac:dyDescent="0.3">
      <c r="B8940" t="s">
        <v>248</v>
      </c>
      <c r="C8940" s="25">
        <v>44772</v>
      </c>
      <c r="D8940" s="26">
        <v>0.53783564814814822</v>
      </c>
      <c r="E8940" t="s">
        <v>30</v>
      </c>
      <c r="F8940" t="s">
        <v>166</v>
      </c>
      <c r="G8940" t="s">
        <v>161</v>
      </c>
      <c r="H8940" t="s">
        <v>109</v>
      </c>
      <c r="I8940" s="160">
        <v>367.34</v>
      </c>
      <c r="J8940" s="8"/>
      <c r="K8940" s="8"/>
      <c r="L8940" s="8"/>
      <c r="M8940" s="254"/>
    </row>
    <row r="8941" spans="1:13" hidden="1" x14ac:dyDescent="0.3">
      <c r="B8941" t="s">
        <v>248</v>
      </c>
      <c r="C8941" s="25">
        <v>44773</v>
      </c>
      <c r="D8941" s="26">
        <v>0.67598379629629635</v>
      </c>
      <c r="E8941" t="s">
        <v>30</v>
      </c>
      <c r="F8941" t="s">
        <v>210</v>
      </c>
      <c r="G8941" t="s">
        <v>211</v>
      </c>
      <c r="H8941" t="s">
        <v>109</v>
      </c>
      <c r="I8941" s="160">
        <v>360.25</v>
      </c>
      <c r="J8941" s="160">
        <f>100+200+46+367+360</f>
        <v>1073</v>
      </c>
      <c r="K8941" s="160">
        <v>7241</v>
      </c>
      <c r="L8941" s="160">
        <v>2836</v>
      </c>
      <c r="M8941" s="150">
        <f t="shared" si="539"/>
        <v>37.834978843441469</v>
      </c>
    </row>
    <row r="8942" spans="1:13" hidden="1" x14ac:dyDescent="0.3">
      <c r="A8942" s="9">
        <v>6751</v>
      </c>
      <c r="B8942" t="s">
        <v>614</v>
      </c>
      <c r="C8942" s="25">
        <v>44743</v>
      </c>
      <c r="D8942" s="26">
        <v>0.85954861111111114</v>
      </c>
      <c r="E8942" t="s">
        <v>30</v>
      </c>
      <c r="F8942" t="s">
        <v>492</v>
      </c>
      <c r="G8942" t="s">
        <v>44</v>
      </c>
      <c r="H8942" t="s">
        <v>137</v>
      </c>
      <c r="I8942" s="160">
        <v>335.5</v>
      </c>
      <c r="J8942" s="8"/>
      <c r="K8942" s="8"/>
      <c r="L8942" s="8"/>
      <c r="M8942" s="91"/>
    </row>
    <row r="8943" spans="1:13" hidden="1" x14ac:dyDescent="0.3">
      <c r="A8943" s="9">
        <v>6751</v>
      </c>
      <c r="B8943" t="s">
        <v>614</v>
      </c>
      <c r="C8943" s="25">
        <v>44744</v>
      </c>
      <c r="D8943" s="26">
        <v>0.86978009259259259</v>
      </c>
      <c r="E8943" t="s">
        <v>30</v>
      </c>
      <c r="F8943" t="s">
        <v>278</v>
      </c>
      <c r="G8943" t="s">
        <v>279</v>
      </c>
      <c r="H8943" t="s">
        <v>137</v>
      </c>
      <c r="I8943" s="160">
        <v>404.78</v>
      </c>
      <c r="J8943" s="8"/>
      <c r="K8943" s="8"/>
      <c r="L8943" s="8"/>
      <c r="M8943" s="91"/>
    </row>
    <row r="8944" spans="1:13" hidden="1" x14ac:dyDescent="0.3">
      <c r="A8944" s="9">
        <v>6751</v>
      </c>
      <c r="B8944" t="s">
        <v>614</v>
      </c>
      <c r="C8944" s="25">
        <v>44746</v>
      </c>
      <c r="D8944" s="26">
        <v>0.85755787037037035</v>
      </c>
      <c r="E8944" t="s">
        <v>30</v>
      </c>
      <c r="F8944" t="s">
        <v>210</v>
      </c>
      <c r="G8944" t="s">
        <v>211</v>
      </c>
      <c r="H8944" t="s">
        <v>137</v>
      </c>
      <c r="I8944" s="160">
        <v>371.29</v>
      </c>
      <c r="J8944" s="160">
        <f>335+405+371</f>
        <v>1111</v>
      </c>
      <c r="K8944" s="160">
        <v>1912</v>
      </c>
      <c r="L8944" s="160">
        <v>2684</v>
      </c>
      <c r="M8944" s="308">
        <f>+J8944/L8944*100</f>
        <v>41.393442622950822</v>
      </c>
    </row>
    <row r="8945" spans="1:13" hidden="1" x14ac:dyDescent="0.3">
      <c r="A8945" s="9">
        <v>6751</v>
      </c>
      <c r="B8945" t="s">
        <v>614</v>
      </c>
      <c r="C8945" s="25">
        <v>44747</v>
      </c>
      <c r="D8945" s="26">
        <v>0.66707175925925932</v>
      </c>
      <c r="E8945" t="s">
        <v>30</v>
      </c>
      <c r="F8945" t="s">
        <v>274</v>
      </c>
      <c r="G8945" t="s">
        <v>495</v>
      </c>
      <c r="H8945" t="s">
        <v>137</v>
      </c>
      <c r="I8945" s="173">
        <v>50.03</v>
      </c>
      <c r="J8945" s="8"/>
      <c r="K8945" s="8"/>
      <c r="L8945" s="8"/>
      <c r="M8945" s="91"/>
    </row>
    <row r="8946" spans="1:13" hidden="1" x14ac:dyDescent="0.3">
      <c r="A8946" s="9">
        <v>6751</v>
      </c>
      <c r="B8946" t="s">
        <v>614</v>
      </c>
      <c r="C8946" s="25">
        <v>44747</v>
      </c>
      <c r="D8946" s="26">
        <v>0.73893518518518519</v>
      </c>
      <c r="E8946" t="s">
        <v>30</v>
      </c>
      <c r="F8946" t="s">
        <v>446</v>
      </c>
      <c r="G8946" t="s">
        <v>402</v>
      </c>
      <c r="H8946" t="s">
        <v>137</v>
      </c>
      <c r="I8946" s="173">
        <v>200.48</v>
      </c>
      <c r="J8946" s="8"/>
      <c r="K8946" s="8"/>
      <c r="L8946" s="8"/>
      <c r="M8946" s="91"/>
    </row>
    <row r="8947" spans="1:13" hidden="1" x14ac:dyDescent="0.3">
      <c r="A8947" s="9">
        <v>6751</v>
      </c>
      <c r="B8947" t="s">
        <v>614</v>
      </c>
      <c r="C8947" s="25">
        <v>44749</v>
      </c>
      <c r="D8947" s="26">
        <v>0.35371527777777773</v>
      </c>
      <c r="E8947" t="s">
        <v>30</v>
      </c>
      <c r="F8947" t="s">
        <v>772</v>
      </c>
      <c r="G8947" t="s">
        <v>44</v>
      </c>
      <c r="H8947" t="s">
        <v>137</v>
      </c>
      <c r="I8947" s="173" t="s">
        <v>790</v>
      </c>
      <c r="J8947" s="8"/>
      <c r="K8947" s="8"/>
      <c r="L8947" s="8"/>
      <c r="M8947" s="91"/>
    </row>
    <row r="8948" spans="1:13" hidden="1" x14ac:dyDescent="0.3">
      <c r="A8948" s="9">
        <v>6751</v>
      </c>
      <c r="B8948" t="s">
        <v>614</v>
      </c>
      <c r="C8948" s="25">
        <v>44749</v>
      </c>
      <c r="D8948" s="26">
        <v>0.76531249999999995</v>
      </c>
      <c r="E8948" t="s">
        <v>30</v>
      </c>
      <c r="F8948" t="s">
        <v>774</v>
      </c>
      <c r="G8948" t="s">
        <v>161</v>
      </c>
      <c r="H8948" t="s">
        <v>137</v>
      </c>
      <c r="I8948" s="173" t="s">
        <v>827</v>
      </c>
      <c r="J8948" s="8"/>
      <c r="K8948" s="8"/>
      <c r="L8948" s="8"/>
      <c r="M8948" s="91"/>
    </row>
    <row r="8949" spans="1:13" hidden="1" x14ac:dyDescent="0.3">
      <c r="A8949" s="9">
        <v>6751</v>
      </c>
      <c r="B8949" t="s">
        <v>614</v>
      </c>
      <c r="C8949" s="25">
        <v>44751</v>
      </c>
      <c r="D8949" s="26">
        <v>0.81944444444444453</v>
      </c>
      <c r="E8949" t="s">
        <v>30</v>
      </c>
      <c r="F8949" t="s">
        <v>210</v>
      </c>
      <c r="G8949" t="s">
        <v>211</v>
      </c>
      <c r="H8949" t="s">
        <v>137</v>
      </c>
      <c r="I8949" s="173" t="s">
        <v>826</v>
      </c>
      <c r="J8949" s="160">
        <f>50+200+135+330+460</f>
        <v>1175</v>
      </c>
      <c r="K8949" s="160"/>
      <c r="L8949" s="160">
        <v>2755</v>
      </c>
      <c r="M8949" s="308">
        <f>+J8949/L8949*100</f>
        <v>42.649727767695097</v>
      </c>
    </row>
    <row r="8950" spans="1:13" hidden="1" x14ac:dyDescent="0.3">
      <c r="A8950" s="9">
        <v>6751</v>
      </c>
      <c r="B8950" t="s">
        <v>614</v>
      </c>
      <c r="C8950" s="25">
        <v>44752</v>
      </c>
      <c r="D8950" s="26">
        <v>0.61241898148148144</v>
      </c>
      <c r="E8950" t="s">
        <v>30</v>
      </c>
      <c r="F8950" t="s">
        <v>169</v>
      </c>
      <c r="G8950" t="s">
        <v>196</v>
      </c>
      <c r="H8950" t="s">
        <v>137</v>
      </c>
      <c r="I8950" s="173" t="s">
        <v>800</v>
      </c>
      <c r="J8950" s="23"/>
      <c r="K8950" s="23"/>
      <c r="L8950" s="23"/>
      <c r="M8950" s="254"/>
    </row>
    <row r="8951" spans="1:13" hidden="1" x14ac:dyDescent="0.3">
      <c r="A8951" s="9">
        <v>6751</v>
      </c>
      <c r="B8951" t="s">
        <v>614</v>
      </c>
      <c r="C8951" s="25">
        <v>44752</v>
      </c>
      <c r="D8951" s="26">
        <v>0.61597222222222225</v>
      </c>
      <c r="E8951" t="s">
        <v>30</v>
      </c>
      <c r="F8951" t="s">
        <v>169</v>
      </c>
      <c r="G8951" t="s">
        <v>196</v>
      </c>
      <c r="H8951" t="s">
        <v>137</v>
      </c>
      <c r="I8951" s="173" t="s">
        <v>825</v>
      </c>
      <c r="J8951" s="165"/>
      <c r="K8951" s="151"/>
      <c r="L8951" s="151"/>
      <c r="M8951" s="150"/>
    </row>
    <row r="8952" spans="1:13" hidden="1" x14ac:dyDescent="0.3">
      <c r="A8952" s="9">
        <v>6751</v>
      </c>
      <c r="B8952" t="s">
        <v>434</v>
      </c>
      <c r="C8952" s="25">
        <v>44754</v>
      </c>
      <c r="D8952" s="26">
        <v>0.70807870370370374</v>
      </c>
      <c r="E8952" t="s">
        <v>30</v>
      </c>
      <c r="F8952" t="s">
        <v>175</v>
      </c>
      <c r="G8952" t="s">
        <v>172</v>
      </c>
      <c r="H8952" t="s">
        <v>137</v>
      </c>
      <c r="I8952" s="173" t="s">
        <v>889</v>
      </c>
      <c r="J8952" s="23"/>
      <c r="K8952" s="23"/>
      <c r="L8952" s="23"/>
      <c r="M8952" s="254"/>
    </row>
    <row r="8953" spans="1:13" hidden="1" x14ac:dyDescent="0.3">
      <c r="A8953" s="9">
        <v>6751</v>
      </c>
      <c r="B8953" t="s">
        <v>434</v>
      </c>
      <c r="C8953" s="25">
        <v>44755</v>
      </c>
      <c r="D8953" s="26">
        <v>0.66737268518518522</v>
      </c>
      <c r="E8953" t="s">
        <v>30</v>
      </c>
      <c r="F8953" t="s">
        <v>210</v>
      </c>
      <c r="G8953" t="s">
        <v>211</v>
      </c>
      <c r="H8953" t="s">
        <v>137</v>
      </c>
      <c r="I8953" s="173" t="s">
        <v>974</v>
      </c>
      <c r="J8953" s="23"/>
      <c r="K8953" s="23"/>
      <c r="L8953" s="23"/>
      <c r="M8953" s="254"/>
    </row>
    <row r="8954" spans="1:13" hidden="1" x14ac:dyDescent="0.3">
      <c r="A8954" s="9">
        <v>6751</v>
      </c>
      <c r="B8954" t="s">
        <v>434</v>
      </c>
      <c r="C8954" s="25">
        <v>44756</v>
      </c>
      <c r="D8954" s="26">
        <v>0.44620370370370371</v>
      </c>
      <c r="E8954" t="s">
        <v>30</v>
      </c>
      <c r="F8954" t="s">
        <v>210</v>
      </c>
      <c r="G8954" t="s">
        <v>211</v>
      </c>
      <c r="H8954" t="s">
        <v>137</v>
      </c>
      <c r="I8954" s="173" t="s">
        <v>973</v>
      </c>
      <c r="J8954" s="231">
        <f>392+351+374</f>
        <v>1117</v>
      </c>
      <c r="K8954" s="151"/>
      <c r="L8954" s="151">
        <v>2217</v>
      </c>
      <c r="M8954" s="182">
        <f>+J8954/L8954*100</f>
        <v>50.383400992331985</v>
      </c>
    </row>
    <row r="8955" spans="1:13" hidden="1" x14ac:dyDescent="0.3">
      <c r="A8955" s="9">
        <v>6751</v>
      </c>
      <c r="B8955" t="s">
        <v>434</v>
      </c>
      <c r="C8955" s="25">
        <v>44757</v>
      </c>
      <c r="D8955" s="26">
        <v>0.58394675925925921</v>
      </c>
      <c r="E8955" t="s">
        <v>30</v>
      </c>
      <c r="F8955" t="s">
        <v>428</v>
      </c>
      <c r="G8955" t="s">
        <v>429</v>
      </c>
      <c r="H8955" t="s">
        <v>137</v>
      </c>
      <c r="I8955" s="173" t="s">
        <v>972</v>
      </c>
      <c r="J8955" s="23"/>
      <c r="K8955" s="23"/>
      <c r="L8955" s="23"/>
      <c r="M8955" s="254"/>
    </row>
    <row r="8956" spans="1:13" hidden="1" x14ac:dyDescent="0.3">
      <c r="A8956" s="9">
        <v>6751</v>
      </c>
      <c r="B8956" t="s">
        <v>434</v>
      </c>
      <c r="C8956" s="25">
        <v>44758</v>
      </c>
      <c r="D8956" s="26">
        <v>0.45513888888888893</v>
      </c>
      <c r="E8956" t="s">
        <v>30</v>
      </c>
      <c r="F8956" t="s">
        <v>772</v>
      </c>
      <c r="G8956" t="s">
        <v>44</v>
      </c>
      <c r="H8956" t="s">
        <v>137</v>
      </c>
      <c r="I8956" s="173" t="s">
        <v>790</v>
      </c>
      <c r="J8956" s="23"/>
      <c r="K8956" s="23"/>
      <c r="L8956" s="23"/>
      <c r="M8956" s="254"/>
    </row>
    <row r="8957" spans="1:13" hidden="1" x14ac:dyDescent="0.3">
      <c r="A8957" s="9">
        <v>6751</v>
      </c>
      <c r="B8957" t="s">
        <v>434</v>
      </c>
      <c r="C8957" s="25">
        <v>44758</v>
      </c>
      <c r="D8957" s="26">
        <v>0.88907407407407402</v>
      </c>
      <c r="E8957" t="s">
        <v>30</v>
      </c>
      <c r="F8957" t="s">
        <v>210</v>
      </c>
      <c r="G8957" t="s">
        <v>211</v>
      </c>
      <c r="H8957" t="s">
        <v>137</v>
      </c>
      <c r="I8957" s="173" t="s">
        <v>971</v>
      </c>
      <c r="J8957" s="231">
        <f>550+135+100+392</f>
        <v>1177</v>
      </c>
      <c r="K8957" s="151"/>
      <c r="L8957" s="151">
        <v>2777</v>
      </c>
      <c r="M8957" s="182">
        <f t="shared" ref="M8957:M8962" si="540">+J8957/L8957*100</f>
        <v>42.383867482895212</v>
      </c>
    </row>
    <row r="8958" spans="1:13" hidden="1" x14ac:dyDescent="0.3">
      <c r="B8958" t="s">
        <v>434</v>
      </c>
      <c r="C8958" s="25">
        <v>44763</v>
      </c>
      <c r="D8958" s="26">
        <v>0.75822916666666673</v>
      </c>
      <c r="E8958" t="s">
        <v>30</v>
      </c>
      <c r="F8958" t="s">
        <v>165</v>
      </c>
      <c r="G8958" t="s">
        <v>185</v>
      </c>
      <c r="H8958" t="s">
        <v>137</v>
      </c>
      <c r="I8958" s="160">
        <v>449.07</v>
      </c>
      <c r="J8958" s="8"/>
      <c r="K8958" s="8"/>
      <c r="L8958" s="8"/>
      <c r="M8958" s="254"/>
    </row>
    <row r="8959" spans="1:13" hidden="1" x14ac:dyDescent="0.3">
      <c r="B8959" t="s">
        <v>434</v>
      </c>
      <c r="C8959" s="25">
        <v>44768</v>
      </c>
      <c r="D8959" s="26">
        <v>4.2662037037037033E-2</v>
      </c>
      <c r="E8959" t="s">
        <v>30</v>
      </c>
      <c r="F8959" t="s">
        <v>210</v>
      </c>
      <c r="G8959" t="s">
        <v>211</v>
      </c>
      <c r="H8959" t="s">
        <v>137</v>
      </c>
      <c r="I8959" s="160">
        <v>394.64</v>
      </c>
      <c r="J8959" s="160">
        <f>449+394</f>
        <v>843</v>
      </c>
      <c r="K8959" s="160">
        <v>133414</v>
      </c>
      <c r="L8959" s="160">
        <v>1985</v>
      </c>
      <c r="M8959" s="182">
        <f t="shared" si="540"/>
        <v>42.468513853904284</v>
      </c>
    </row>
    <row r="8960" spans="1:13" hidden="1" x14ac:dyDescent="0.3">
      <c r="B8960" t="s">
        <v>434</v>
      </c>
      <c r="C8960" s="25">
        <v>44771</v>
      </c>
      <c r="D8960" s="26">
        <v>0.72821759259259267</v>
      </c>
      <c r="E8960" t="s">
        <v>30</v>
      </c>
      <c r="F8960" t="s">
        <v>541</v>
      </c>
      <c r="G8960" t="s">
        <v>542</v>
      </c>
      <c r="H8960" t="s">
        <v>137</v>
      </c>
      <c r="I8960" s="160">
        <v>100</v>
      </c>
      <c r="J8960" s="8"/>
      <c r="K8960" s="8"/>
      <c r="L8960" s="8"/>
      <c r="M8960" s="254"/>
    </row>
    <row r="8961" spans="2:13" hidden="1" x14ac:dyDescent="0.3">
      <c r="B8961" t="s">
        <v>434</v>
      </c>
      <c r="C8961" s="25">
        <v>44772</v>
      </c>
      <c r="D8961" s="26">
        <v>0.33542824074074074</v>
      </c>
      <c r="E8961" t="s">
        <v>30</v>
      </c>
      <c r="F8961" t="s">
        <v>166</v>
      </c>
      <c r="G8961" t="s">
        <v>161</v>
      </c>
      <c r="H8961" t="s">
        <v>137</v>
      </c>
      <c r="I8961" s="160">
        <v>592.57000000000005</v>
      </c>
      <c r="J8961" s="8"/>
      <c r="K8961" s="8"/>
      <c r="L8961" s="8"/>
      <c r="M8961" s="254"/>
    </row>
    <row r="8962" spans="2:13" hidden="1" x14ac:dyDescent="0.3">
      <c r="B8962" t="s">
        <v>434</v>
      </c>
      <c r="C8962" s="25">
        <v>44772</v>
      </c>
      <c r="D8962" s="26">
        <v>0.34712962962962962</v>
      </c>
      <c r="E8962" t="s">
        <v>30</v>
      </c>
      <c r="F8962" t="s">
        <v>166</v>
      </c>
      <c r="G8962" t="s">
        <v>161</v>
      </c>
      <c r="H8962" t="s">
        <v>137</v>
      </c>
      <c r="I8962" s="160">
        <v>88</v>
      </c>
      <c r="J8962" s="160">
        <f>100+592+88</f>
        <v>780</v>
      </c>
      <c r="K8962" s="160">
        <v>133602</v>
      </c>
      <c r="L8962" s="160">
        <v>1846</v>
      </c>
      <c r="M8962" s="182">
        <f t="shared" si="540"/>
        <v>42.25352112676056</v>
      </c>
    </row>
    <row r="8963" spans="2:13" hidden="1" x14ac:dyDescent="0.3">
      <c r="B8963" t="s">
        <v>570</v>
      </c>
      <c r="C8963" s="25">
        <v>44743</v>
      </c>
      <c r="D8963" s="26">
        <v>0.70047453703703699</v>
      </c>
      <c r="E8963" t="s">
        <v>30</v>
      </c>
      <c r="F8963" t="s">
        <v>197</v>
      </c>
      <c r="G8963" t="s">
        <v>44</v>
      </c>
      <c r="H8963" t="s">
        <v>250</v>
      </c>
      <c r="I8963" s="160">
        <v>175.21</v>
      </c>
      <c r="J8963" s="8"/>
      <c r="K8963" s="8">
        <v>369852</v>
      </c>
      <c r="L8963" s="8">
        <f>+K8963-J8963</f>
        <v>369852</v>
      </c>
      <c r="M8963" s="91">
        <f>I8963/L8963*100</f>
        <v>4.7373003255356198E-2</v>
      </c>
    </row>
    <row r="8964" spans="2:13" hidden="1" x14ac:dyDescent="0.3">
      <c r="B8964" t="s">
        <v>570</v>
      </c>
      <c r="C8964" s="25">
        <v>44744</v>
      </c>
      <c r="D8964" s="26">
        <v>0.34866898148148145</v>
      </c>
      <c r="E8964" t="s">
        <v>30</v>
      </c>
      <c r="F8964" t="s">
        <v>488</v>
      </c>
      <c r="G8964" t="s">
        <v>489</v>
      </c>
      <c r="H8964" t="s">
        <v>250</v>
      </c>
      <c r="I8964" s="173">
        <v>412.8</v>
      </c>
      <c r="J8964" s="173">
        <f>413+175+427+369+387+485+395</f>
        <v>2651</v>
      </c>
      <c r="K8964" s="173">
        <v>14236</v>
      </c>
      <c r="L8964" s="173">
        <v>6296</v>
      </c>
      <c r="M8964" s="149">
        <f>+J8964/L8964*100</f>
        <v>42.106099110546381</v>
      </c>
    </row>
    <row r="8965" spans="2:13" hidden="1" x14ac:dyDescent="0.3">
      <c r="B8965" t="s">
        <v>570</v>
      </c>
      <c r="C8965" s="25">
        <v>44744</v>
      </c>
      <c r="D8965" s="26">
        <v>0.51795138888888892</v>
      </c>
      <c r="E8965" t="s">
        <v>30</v>
      </c>
      <c r="F8965" t="s">
        <v>210</v>
      </c>
      <c r="G8965" t="s">
        <v>211</v>
      </c>
      <c r="H8965" t="s">
        <v>250</v>
      </c>
      <c r="I8965" s="173">
        <v>230.01</v>
      </c>
      <c r="J8965" s="236"/>
      <c r="K8965" s="236">
        <v>9787</v>
      </c>
      <c r="L8965" s="236">
        <f>+K8965-J8965</f>
        <v>9787</v>
      </c>
      <c r="M8965" s="91">
        <f>I8965/L8965*100</f>
        <v>2.3501583733524058</v>
      </c>
    </row>
    <row r="8966" spans="2:13" hidden="1" x14ac:dyDescent="0.3">
      <c r="B8966" t="s">
        <v>570</v>
      </c>
      <c r="C8966" s="25">
        <v>44745</v>
      </c>
      <c r="D8966" s="26">
        <v>0.873113425925926</v>
      </c>
      <c r="E8966" t="s">
        <v>30</v>
      </c>
      <c r="F8966" t="s">
        <v>210</v>
      </c>
      <c r="G8966" t="s">
        <v>211</v>
      </c>
      <c r="H8966" t="s">
        <v>250</v>
      </c>
      <c r="I8966" s="173">
        <v>434.01</v>
      </c>
      <c r="J8966" s="236"/>
      <c r="K8966" s="236">
        <v>9787</v>
      </c>
      <c r="L8966" s="236">
        <f>+K8966-J8966</f>
        <v>9787</v>
      </c>
      <c r="M8966" s="91">
        <f>I8966/L8966*100</f>
        <v>4.4345560437314804</v>
      </c>
    </row>
    <row r="8967" spans="2:13" hidden="1" x14ac:dyDescent="0.3">
      <c r="B8967" t="s">
        <v>570</v>
      </c>
      <c r="C8967" s="25">
        <v>44746</v>
      </c>
      <c r="D8967" s="26">
        <v>0.56594907407407413</v>
      </c>
      <c r="E8967" t="s">
        <v>30</v>
      </c>
      <c r="F8967" t="s">
        <v>274</v>
      </c>
      <c r="G8967" t="s">
        <v>495</v>
      </c>
      <c r="H8967" t="s">
        <v>250</v>
      </c>
      <c r="I8967" s="173">
        <v>50.06</v>
      </c>
      <c r="J8967" s="236"/>
      <c r="K8967" s="236">
        <v>12345</v>
      </c>
      <c r="L8967" s="236">
        <f>+K8967-J8967</f>
        <v>12345</v>
      </c>
      <c r="M8967" s="91">
        <f>I8967/L8967*100</f>
        <v>0.40550830295666263</v>
      </c>
    </row>
    <row r="8968" spans="2:13" hidden="1" x14ac:dyDescent="0.3">
      <c r="B8968" t="s">
        <v>570</v>
      </c>
      <c r="C8968" s="25">
        <v>44746</v>
      </c>
      <c r="D8968" s="26">
        <v>0.62851851851851859</v>
      </c>
      <c r="E8968" t="s">
        <v>30</v>
      </c>
      <c r="F8968" t="s">
        <v>446</v>
      </c>
      <c r="G8968" t="s">
        <v>402</v>
      </c>
      <c r="H8968" t="s">
        <v>250</v>
      </c>
      <c r="I8968" s="173">
        <v>219.89</v>
      </c>
      <c r="J8968" s="236"/>
      <c r="K8968" s="236">
        <v>1234</v>
      </c>
      <c r="L8968" s="236">
        <f>+K8968-J8968</f>
        <v>1234</v>
      </c>
      <c r="M8968" s="91">
        <f>I8968/L8968*100</f>
        <v>17.819286871961101</v>
      </c>
    </row>
    <row r="8969" spans="2:13" hidden="1" x14ac:dyDescent="0.3">
      <c r="B8969" t="s">
        <v>570</v>
      </c>
      <c r="C8969" s="25">
        <v>44748</v>
      </c>
      <c r="D8969" s="26">
        <v>0.86052083333333329</v>
      </c>
      <c r="E8969" t="s">
        <v>30</v>
      </c>
      <c r="F8969" t="s">
        <v>210</v>
      </c>
      <c r="G8969" t="s">
        <v>211</v>
      </c>
      <c r="H8969" t="s">
        <v>250</v>
      </c>
      <c r="I8969" s="173">
        <f>56.37+447.09</f>
        <v>503.46</v>
      </c>
      <c r="J8969" s="173">
        <f>504+220+50+434+230</f>
        <v>1438</v>
      </c>
      <c r="K8969" s="173">
        <v>9787</v>
      </c>
      <c r="L8969" s="173">
        <v>3022</v>
      </c>
      <c r="M8969" s="149">
        <f>+J8969/L8969*100</f>
        <v>47.584381204500332</v>
      </c>
    </row>
    <row r="8970" spans="2:13" hidden="1" x14ac:dyDescent="0.3">
      <c r="B8970" t="s">
        <v>570</v>
      </c>
      <c r="C8970" s="25">
        <v>44750</v>
      </c>
      <c r="D8970" s="26">
        <v>4.0486111111111105E-2</v>
      </c>
      <c r="E8970" t="s">
        <v>30</v>
      </c>
      <c r="F8970" t="s">
        <v>210</v>
      </c>
      <c r="G8970" t="s">
        <v>211</v>
      </c>
      <c r="H8970" t="s">
        <v>250</v>
      </c>
      <c r="I8970" s="173">
        <v>447.09</v>
      </c>
      <c r="J8970" s="236"/>
      <c r="K8970" s="236"/>
      <c r="L8970" s="236"/>
      <c r="M8970" s="91" t="e">
        <f>I8970/K8970*100</f>
        <v>#DIV/0!</v>
      </c>
    </row>
    <row r="8971" spans="2:13" hidden="1" x14ac:dyDescent="0.3">
      <c r="B8971" t="s">
        <v>570</v>
      </c>
      <c r="C8971" s="25">
        <v>44751</v>
      </c>
      <c r="D8971" s="26">
        <v>0.26295138888888886</v>
      </c>
      <c r="E8971" t="s">
        <v>30</v>
      </c>
      <c r="F8971" t="s">
        <v>446</v>
      </c>
      <c r="G8971" t="s">
        <v>402</v>
      </c>
      <c r="H8971" t="s">
        <v>250</v>
      </c>
      <c r="I8971" s="173">
        <v>301.38</v>
      </c>
      <c r="J8971" s="236"/>
      <c r="K8971" s="236"/>
      <c r="L8971" s="236"/>
      <c r="M8971" s="91" t="e">
        <f>I8971/K8971*100</f>
        <v>#DIV/0!</v>
      </c>
    </row>
    <row r="8972" spans="2:13" hidden="1" x14ac:dyDescent="0.3">
      <c r="B8972" t="s">
        <v>570</v>
      </c>
      <c r="C8972" s="25">
        <v>44752</v>
      </c>
      <c r="D8972" s="26">
        <v>0.58394675925925921</v>
      </c>
      <c r="E8972" t="s">
        <v>30</v>
      </c>
      <c r="F8972" t="s">
        <v>210</v>
      </c>
      <c r="G8972" t="s">
        <v>211</v>
      </c>
      <c r="H8972" t="s">
        <v>250</v>
      </c>
      <c r="I8972" s="173">
        <v>488.4</v>
      </c>
      <c r="J8972" s="173">
        <f>447+301+488</f>
        <v>1236</v>
      </c>
      <c r="K8972" s="173"/>
      <c r="L8972" s="173">
        <v>2829</v>
      </c>
      <c r="M8972" s="308">
        <f>+J8972/L8972*100</f>
        <v>43.690349946977733</v>
      </c>
    </row>
    <row r="8973" spans="2:13" hidden="1" x14ac:dyDescent="0.3">
      <c r="B8973" t="s">
        <v>570</v>
      </c>
      <c r="C8973" s="25">
        <v>44754</v>
      </c>
      <c r="D8973" s="26">
        <v>0.44957175925925924</v>
      </c>
      <c r="E8973" t="s">
        <v>30</v>
      </c>
      <c r="F8973" t="s">
        <v>210</v>
      </c>
      <c r="G8973" t="s">
        <v>211</v>
      </c>
      <c r="H8973" t="s">
        <v>250</v>
      </c>
      <c r="I8973" s="173">
        <v>470.01</v>
      </c>
      <c r="J8973" s="233"/>
      <c r="K8973" s="233"/>
      <c r="L8973" s="233"/>
      <c r="M8973" s="254"/>
    </row>
    <row r="8974" spans="2:13" hidden="1" x14ac:dyDescent="0.3">
      <c r="B8974" t="s">
        <v>570</v>
      </c>
      <c r="C8974" s="25">
        <v>44755</v>
      </c>
      <c r="D8974" s="26">
        <v>0.51718750000000002</v>
      </c>
      <c r="E8974" t="s">
        <v>30</v>
      </c>
      <c r="F8974" t="s">
        <v>446</v>
      </c>
      <c r="G8974" t="s">
        <v>402</v>
      </c>
      <c r="H8974" t="s">
        <v>250</v>
      </c>
      <c r="I8974" s="173">
        <v>258.01</v>
      </c>
      <c r="J8974" s="233"/>
      <c r="K8974" s="233"/>
      <c r="L8974" s="233"/>
      <c r="M8974" s="254"/>
    </row>
    <row r="8975" spans="2:13" hidden="1" x14ac:dyDescent="0.3">
      <c r="B8975" t="s">
        <v>570</v>
      </c>
      <c r="C8975" s="25">
        <v>44763</v>
      </c>
      <c r="D8975" s="26">
        <v>0.90422453703703709</v>
      </c>
      <c r="E8975" t="s">
        <v>30</v>
      </c>
      <c r="F8975" t="s">
        <v>166</v>
      </c>
      <c r="G8975" t="s">
        <v>161</v>
      </c>
      <c r="H8975" t="s">
        <v>250</v>
      </c>
      <c r="I8975" s="160">
        <v>488.19</v>
      </c>
      <c r="J8975" s="160">
        <f>470+258+488</f>
        <v>1216</v>
      </c>
      <c r="K8975" s="160">
        <v>1234</v>
      </c>
      <c r="L8975" s="160">
        <v>2727</v>
      </c>
      <c r="M8975" s="182">
        <f t="shared" ref="M8975:M8983" si="541">+J8975/L8975*100</f>
        <v>44.591125779244592</v>
      </c>
    </row>
    <row r="8976" spans="2:13" hidden="1" x14ac:dyDescent="0.3">
      <c r="B8976" t="s">
        <v>570</v>
      </c>
      <c r="C8976" s="25">
        <v>44765</v>
      </c>
      <c r="D8976" s="26">
        <v>0.78625</v>
      </c>
      <c r="E8976" t="s">
        <v>30</v>
      </c>
      <c r="F8976" t="s">
        <v>165</v>
      </c>
      <c r="G8976" t="s">
        <v>185</v>
      </c>
      <c r="H8976" t="s">
        <v>250</v>
      </c>
      <c r="I8976" s="160">
        <v>507.19</v>
      </c>
      <c r="J8976" s="8"/>
      <c r="K8976" s="8"/>
      <c r="L8976" s="8"/>
      <c r="M8976" s="254"/>
    </row>
    <row r="8977" spans="2:13" hidden="1" x14ac:dyDescent="0.3">
      <c r="B8977" t="s">
        <v>570</v>
      </c>
      <c r="C8977" s="25">
        <v>44766</v>
      </c>
      <c r="D8977" s="26">
        <v>0.43605324074074076</v>
      </c>
      <c r="E8977" t="s">
        <v>30</v>
      </c>
      <c r="F8977" t="s">
        <v>210</v>
      </c>
      <c r="G8977" t="s">
        <v>211</v>
      </c>
      <c r="H8977" t="s">
        <v>250</v>
      </c>
      <c r="I8977" s="160">
        <v>155.01</v>
      </c>
      <c r="J8977" s="160">
        <f>507+155</f>
        <v>662</v>
      </c>
      <c r="K8977" s="160">
        <v>978708</v>
      </c>
      <c r="L8977" s="160">
        <v>1583</v>
      </c>
      <c r="M8977" s="150">
        <f t="shared" si="541"/>
        <v>41.81933038534428</v>
      </c>
    </row>
    <row r="8978" spans="2:13" hidden="1" x14ac:dyDescent="0.3">
      <c r="B8978" t="s">
        <v>570</v>
      </c>
      <c r="C8978" s="25">
        <v>44767</v>
      </c>
      <c r="D8978" s="26">
        <v>0.72829861111111116</v>
      </c>
      <c r="E8978" t="s">
        <v>30</v>
      </c>
      <c r="F8978" t="s">
        <v>534</v>
      </c>
      <c r="G8978" t="s">
        <v>535</v>
      </c>
      <c r="H8978" t="s">
        <v>250</v>
      </c>
      <c r="I8978" s="160">
        <v>376.22</v>
      </c>
      <c r="J8978" s="8"/>
      <c r="K8978" s="8"/>
      <c r="L8978" s="8"/>
      <c r="M8978" s="254"/>
    </row>
    <row r="8979" spans="2:13" hidden="1" x14ac:dyDescent="0.3">
      <c r="B8979" t="s">
        <v>570</v>
      </c>
      <c r="C8979" s="25">
        <v>44769</v>
      </c>
      <c r="D8979" s="26">
        <v>0.80586805555555552</v>
      </c>
      <c r="E8979" t="s">
        <v>30</v>
      </c>
      <c r="F8979" t="s">
        <v>210</v>
      </c>
      <c r="G8979" t="s">
        <v>211</v>
      </c>
      <c r="H8979" t="s">
        <v>250</v>
      </c>
      <c r="I8979" s="160">
        <v>424.88</v>
      </c>
      <c r="J8979" s="8"/>
      <c r="K8979" s="8"/>
      <c r="L8979" s="8"/>
      <c r="M8979" s="254"/>
    </row>
    <row r="8980" spans="2:13" hidden="1" x14ac:dyDescent="0.3">
      <c r="B8980" t="s">
        <v>570</v>
      </c>
      <c r="C8980" s="25">
        <v>44771</v>
      </c>
      <c r="D8980" s="26">
        <v>0.37420138888888888</v>
      </c>
      <c r="E8980" t="s">
        <v>30</v>
      </c>
      <c r="F8980" t="s">
        <v>210</v>
      </c>
      <c r="G8980" t="s">
        <v>211</v>
      </c>
      <c r="H8980" t="s">
        <v>250</v>
      </c>
      <c r="I8980" s="160">
        <v>143.38</v>
      </c>
      <c r="J8980" s="8"/>
      <c r="K8980" s="8"/>
      <c r="L8980" s="8"/>
      <c r="M8980" s="254"/>
    </row>
    <row r="8981" spans="2:13" hidden="1" x14ac:dyDescent="0.3">
      <c r="B8981" t="s">
        <v>570</v>
      </c>
      <c r="C8981" s="25">
        <v>44771</v>
      </c>
      <c r="D8981" s="26">
        <v>0.40206018518518521</v>
      </c>
      <c r="E8981" t="s">
        <v>30</v>
      </c>
      <c r="F8981" t="s">
        <v>210</v>
      </c>
      <c r="G8981" t="s">
        <v>211</v>
      </c>
      <c r="H8981" t="s">
        <v>250</v>
      </c>
      <c r="I8981" s="160">
        <v>367.06</v>
      </c>
      <c r="J8981" s="160">
        <f>376+425+143+367</f>
        <v>1311</v>
      </c>
      <c r="K8981" s="160">
        <v>9787</v>
      </c>
      <c r="L8981" s="160">
        <v>2898</v>
      </c>
      <c r="M8981" s="182">
        <f t="shared" si="541"/>
        <v>45.238095238095241</v>
      </c>
    </row>
    <row r="8982" spans="2:13" hidden="1" x14ac:dyDescent="0.3">
      <c r="B8982" t="s">
        <v>570</v>
      </c>
      <c r="C8982" s="25">
        <v>44772</v>
      </c>
      <c r="D8982" s="26">
        <v>0.4980324074074074</v>
      </c>
      <c r="E8982" t="s">
        <v>30</v>
      </c>
      <c r="F8982" t="s">
        <v>534</v>
      </c>
      <c r="G8982" t="s">
        <v>535</v>
      </c>
      <c r="H8982" t="s">
        <v>250</v>
      </c>
      <c r="I8982" s="160">
        <v>320.05</v>
      </c>
      <c r="J8982" s="8"/>
      <c r="K8982" s="8"/>
      <c r="L8982" s="8"/>
      <c r="M8982" s="254"/>
    </row>
    <row r="8983" spans="2:13" hidden="1" x14ac:dyDescent="0.3">
      <c r="B8983" t="s">
        <v>570</v>
      </c>
      <c r="C8983" s="25">
        <v>44773</v>
      </c>
      <c r="D8983" s="26">
        <v>0.66653935185185187</v>
      </c>
      <c r="E8983" t="s">
        <v>30</v>
      </c>
      <c r="F8983" t="s">
        <v>166</v>
      </c>
      <c r="G8983" t="s">
        <v>161</v>
      </c>
      <c r="H8983" t="s">
        <v>250</v>
      </c>
      <c r="I8983" s="160">
        <v>317.01</v>
      </c>
      <c r="J8983" s="160">
        <f>320+317</f>
        <v>637</v>
      </c>
      <c r="K8983" s="160">
        <v>1234</v>
      </c>
      <c r="L8983" s="160">
        <v>1711</v>
      </c>
      <c r="M8983" s="150">
        <f t="shared" si="541"/>
        <v>37.229690239625953</v>
      </c>
    </row>
    <row r="8984" spans="2:13" hidden="1" x14ac:dyDescent="0.3">
      <c r="B8984" t="s">
        <v>934</v>
      </c>
      <c r="C8984" s="25">
        <v>44756</v>
      </c>
      <c r="D8984" s="26">
        <v>0.69082175925925926</v>
      </c>
      <c r="E8984" t="s">
        <v>30</v>
      </c>
      <c r="F8984" t="s">
        <v>175</v>
      </c>
      <c r="G8984" t="s">
        <v>172</v>
      </c>
      <c r="H8984" t="s">
        <v>251</v>
      </c>
      <c r="I8984" s="173">
        <v>418.03</v>
      </c>
      <c r="J8984" s="23"/>
      <c r="K8984" s="23"/>
      <c r="L8984" s="23"/>
      <c r="M8984" s="254"/>
    </row>
    <row r="8985" spans="2:13" hidden="1" x14ac:dyDescent="0.3">
      <c r="B8985" t="s">
        <v>934</v>
      </c>
      <c r="C8985" s="25">
        <v>44757</v>
      </c>
      <c r="D8985" s="26">
        <v>0.86797453703703698</v>
      </c>
      <c r="E8985" t="s">
        <v>30</v>
      </c>
      <c r="F8985" t="s">
        <v>774</v>
      </c>
      <c r="G8985" t="s">
        <v>161</v>
      </c>
      <c r="H8985" t="s">
        <v>251</v>
      </c>
      <c r="I8985" s="173">
        <v>370.46</v>
      </c>
      <c r="J8985" s="23"/>
      <c r="K8985" s="23"/>
      <c r="L8985" s="23"/>
      <c r="M8985" s="254"/>
    </row>
    <row r="8986" spans="2:13" hidden="1" x14ac:dyDescent="0.3">
      <c r="B8986" t="s">
        <v>934</v>
      </c>
      <c r="C8986" s="25">
        <v>44760</v>
      </c>
      <c r="D8986" s="26">
        <v>0.8820486111111111</v>
      </c>
      <c r="E8986" t="s">
        <v>30</v>
      </c>
      <c r="F8986" t="s">
        <v>210</v>
      </c>
      <c r="G8986" t="s">
        <v>211</v>
      </c>
      <c r="H8986" t="s">
        <v>251</v>
      </c>
      <c r="I8986" s="173">
        <v>471.7</v>
      </c>
      <c r="J8986" s="8"/>
      <c r="K8986" s="8"/>
      <c r="L8986" s="8"/>
      <c r="M8986" s="254"/>
    </row>
    <row r="8987" spans="2:13" hidden="1" x14ac:dyDescent="0.3">
      <c r="B8987" t="s">
        <v>934</v>
      </c>
      <c r="C8987" s="25">
        <v>44760</v>
      </c>
      <c r="D8987" s="26">
        <v>0.8922337962962964</v>
      </c>
      <c r="E8987" t="s">
        <v>30</v>
      </c>
      <c r="F8987" t="s">
        <v>210</v>
      </c>
      <c r="G8987" t="s">
        <v>211</v>
      </c>
      <c r="H8987" t="s">
        <v>251</v>
      </c>
      <c r="I8987" s="173">
        <v>22.03</v>
      </c>
      <c r="J8987" s="160">
        <v>864.19</v>
      </c>
      <c r="K8987" s="160">
        <v>998336</v>
      </c>
      <c r="L8987" s="160">
        <v>1792</v>
      </c>
      <c r="M8987" s="149">
        <f t="shared" ref="M8987:M8997" si="542">+J8987/L8987*100</f>
        <v>48.224888392857146</v>
      </c>
    </row>
    <row r="8988" spans="2:13" hidden="1" x14ac:dyDescent="0.3">
      <c r="B8988" t="s">
        <v>934</v>
      </c>
      <c r="C8988" s="25">
        <v>44762</v>
      </c>
      <c r="D8988" s="26">
        <v>0.60642361111111109</v>
      </c>
      <c r="E8988" t="s">
        <v>30</v>
      </c>
      <c r="F8988" t="s">
        <v>205</v>
      </c>
      <c r="G8988" t="s">
        <v>206</v>
      </c>
      <c r="H8988" t="s">
        <v>251</v>
      </c>
      <c r="I8988" s="173">
        <v>100</v>
      </c>
      <c r="J8988" s="8"/>
      <c r="K8988" s="8"/>
      <c r="L8988" s="8"/>
      <c r="M8988" s="254"/>
    </row>
    <row r="8989" spans="2:13" hidden="1" x14ac:dyDescent="0.3">
      <c r="B8989" t="s">
        <v>934</v>
      </c>
      <c r="C8989" s="25">
        <v>44764</v>
      </c>
      <c r="D8989" s="26">
        <v>3.577546296296296E-2</v>
      </c>
      <c r="E8989" t="s">
        <v>30</v>
      </c>
      <c r="F8989" t="s">
        <v>197</v>
      </c>
      <c r="G8989" t="s">
        <v>44</v>
      </c>
      <c r="H8989" t="s">
        <v>251</v>
      </c>
      <c r="I8989" s="173">
        <v>99.36</v>
      </c>
      <c r="J8989" s="8"/>
      <c r="K8989" s="8"/>
      <c r="L8989" s="8"/>
      <c r="M8989" s="254"/>
    </row>
    <row r="8990" spans="2:13" hidden="1" x14ac:dyDescent="0.3">
      <c r="B8990" t="s">
        <v>934</v>
      </c>
      <c r="C8990" s="25">
        <v>44764</v>
      </c>
      <c r="D8990" s="26">
        <v>0.32171296296296298</v>
      </c>
      <c r="E8990" t="s">
        <v>30</v>
      </c>
      <c r="F8990" t="s">
        <v>197</v>
      </c>
      <c r="G8990" t="s">
        <v>44</v>
      </c>
      <c r="H8990" t="s">
        <v>251</v>
      </c>
      <c r="I8990" s="173">
        <v>134.77000000000001</v>
      </c>
      <c r="J8990" s="8"/>
      <c r="K8990" s="8"/>
      <c r="L8990" s="8"/>
      <c r="M8990" s="254"/>
    </row>
    <row r="8991" spans="2:13" hidden="1" x14ac:dyDescent="0.3">
      <c r="B8991" t="s">
        <v>934</v>
      </c>
      <c r="C8991" s="25">
        <v>44764</v>
      </c>
      <c r="D8991" s="26">
        <v>0.72261574074074064</v>
      </c>
      <c r="E8991" t="s">
        <v>30</v>
      </c>
      <c r="F8991" t="s">
        <v>166</v>
      </c>
      <c r="G8991" t="s">
        <v>161</v>
      </c>
      <c r="H8991" t="s">
        <v>251</v>
      </c>
      <c r="I8991" s="173">
        <v>454.18</v>
      </c>
      <c r="J8991" s="8"/>
      <c r="K8991" s="8"/>
      <c r="L8991" s="8"/>
      <c r="M8991" s="254"/>
    </row>
    <row r="8992" spans="2:13" hidden="1" x14ac:dyDescent="0.3">
      <c r="B8992" t="s">
        <v>934</v>
      </c>
      <c r="C8992" s="25">
        <v>44764</v>
      </c>
      <c r="D8992" s="26">
        <v>0.73119212962962965</v>
      </c>
      <c r="E8992" t="s">
        <v>30</v>
      </c>
      <c r="F8992" t="s">
        <v>166</v>
      </c>
      <c r="G8992" t="s">
        <v>161</v>
      </c>
      <c r="H8992" t="s">
        <v>251</v>
      </c>
      <c r="I8992" s="173">
        <v>23.62</v>
      </c>
      <c r="J8992" s="160">
        <f>100+99+135+454+24</f>
        <v>812</v>
      </c>
      <c r="K8992" s="160">
        <v>341</v>
      </c>
      <c r="L8992" s="160">
        <v>1988</v>
      </c>
      <c r="M8992" s="150">
        <f t="shared" si="542"/>
        <v>40.845070422535215</v>
      </c>
    </row>
    <row r="8993" spans="1:13" hidden="1" x14ac:dyDescent="0.3">
      <c r="B8993" t="s">
        <v>934</v>
      </c>
      <c r="C8993" s="25">
        <v>44765</v>
      </c>
      <c r="D8993" s="26">
        <v>0.8241087962962963</v>
      </c>
      <c r="E8993" t="s">
        <v>30</v>
      </c>
      <c r="F8993" t="s">
        <v>165</v>
      </c>
      <c r="G8993" t="s">
        <v>185</v>
      </c>
      <c r="H8993" t="s">
        <v>251</v>
      </c>
      <c r="I8993" s="173">
        <v>317.07</v>
      </c>
      <c r="J8993" s="8"/>
      <c r="K8993" s="8"/>
      <c r="L8993" s="8"/>
      <c r="M8993" s="254"/>
    </row>
    <row r="8994" spans="1:13" hidden="1" x14ac:dyDescent="0.3">
      <c r="B8994" t="s">
        <v>934</v>
      </c>
      <c r="C8994" s="25">
        <v>44766</v>
      </c>
      <c r="D8994" s="26">
        <v>0.78302083333333339</v>
      </c>
      <c r="E8994" t="s">
        <v>30</v>
      </c>
      <c r="F8994" t="s">
        <v>210</v>
      </c>
      <c r="G8994" t="s">
        <v>211</v>
      </c>
      <c r="H8994" t="s">
        <v>251</v>
      </c>
      <c r="I8994" s="173">
        <v>158.72999999999999</v>
      </c>
      <c r="J8994" s="160">
        <f>317+159</f>
        <v>476</v>
      </c>
      <c r="K8994" s="160">
        <v>1771</v>
      </c>
      <c r="L8994" s="160">
        <v>1141</v>
      </c>
      <c r="M8994" s="150">
        <f t="shared" si="542"/>
        <v>41.717791411042946</v>
      </c>
    </row>
    <row r="8995" spans="1:13" hidden="1" x14ac:dyDescent="0.3">
      <c r="B8995" t="s">
        <v>934</v>
      </c>
      <c r="C8995" s="25">
        <v>44771</v>
      </c>
      <c r="D8995" s="26">
        <v>0.90055555555555555</v>
      </c>
      <c r="E8995" t="s">
        <v>30</v>
      </c>
      <c r="F8995" t="s">
        <v>197</v>
      </c>
      <c r="G8995" t="s">
        <v>44</v>
      </c>
      <c r="H8995" t="s">
        <v>251</v>
      </c>
      <c r="I8995" s="173">
        <v>200</v>
      </c>
      <c r="J8995" s="8"/>
      <c r="K8995" s="8"/>
      <c r="L8995" s="8"/>
      <c r="M8995" s="254"/>
    </row>
    <row r="8996" spans="1:13" hidden="1" x14ac:dyDescent="0.3">
      <c r="B8996" t="s">
        <v>934</v>
      </c>
      <c r="C8996" s="25">
        <v>44772</v>
      </c>
      <c r="D8996" s="26">
        <v>0.38724537037037038</v>
      </c>
      <c r="E8996" t="s">
        <v>30</v>
      </c>
      <c r="F8996" t="s">
        <v>456</v>
      </c>
      <c r="G8996" t="s">
        <v>457</v>
      </c>
      <c r="H8996" t="s">
        <v>251</v>
      </c>
      <c r="I8996" s="173">
        <v>100.01</v>
      </c>
      <c r="J8996" s="8"/>
      <c r="K8996" s="8"/>
      <c r="L8996" s="8"/>
      <c r="M8996" s="254"/>
    </row>
    <row r="8997" spans="1:13" hidden="1" x14ac:dyDescent="0.3">
      <c r="B8997" t="s">
        <v>934</v>
      </c>
      <c r="C8997" s="25">
        <v>44772</v>
      </c>
      <c r="D8997" s="26">
        <v>0.64099537037037035</v>
      </c>
      <c r="E8997" t="s">
        <v>30</v>
      </c>
      <c r="F8997" t="s">
        <v>210</v>
      </c>
      <c r="G8997" t="s">
        <v>211</v>
      </c>
      <c r="H8997" t="s">
        <v>251</v>
      </c>
      <c r="I8997" s="173">
        <v>460.3</v>
      </c>
      <c r="J8997" s="160">
        <f>200+100+460</f>
        <v>760</v>
      </c>
      <c r="K8997" s="160">
        <v>3280</v>
      </c>
      <c r="L8997" s="160">
        <v>1772</v>
      </c>
      <c r="M8997" s="150">
        <f t="shared" si="542"/>
        <v>42.889390519187359</v>
      </c>
    </row>
    <row r="8998" spans="1:13" hidden="1" x14ac:dyDescent="0.3">
      <c r="A8998" s="9">
        <v>6751</v>
      </c>
      <c r="B8998" t="s">
        <v>751</v>
      </c>
      <c r="C8998" s="25">
        <v>44750</v>
      </c>
      <c r="D8998" s="26">
        <v>0.97893518518518519</v>
      </c>
      <c r="E8998" t="s">
        <v>30</v>
      </c>
      <c r="F8998" t="s">
        <v>210</v>
      </c>
      <c r="G8998" t="s">
        <v>211</v>
      </c>
      <c r="H8998" t="s">
        <v>121</v>
      </c>
      <c r="I8998" s="173" t="s">
        <v>828</v>
      </c>
      <c r="J8998" s="8"/>
      <c r="K8998" s="8"/>
      <c r="L8998" s="8"/>
      <c r="M8998" s="91"/>
    </row>
    <row r="8999" spans="1:13" hidden="1" x14ac:dyDescent="0.3">
      <c r="A8999" s="9">
        <v>6751</v>
      </c>
      <c r="B8999" t="s">
        <v>751</v>
      </c>
      <c r="C8999" s="25">
        <v>44755</v>
      </c>
      <c r="D8999" s="26">
        <v>0.7440972222222223</v>
      </c>
      <c r="E8999" t="s">
        <v>30</v>
      </c>
      <c r="F8999" t="s">
        <v>512</v>
      </c>
      <c r="G8999" t="s">
        <v>513</v>
      </c>
      <c r="H8999" t="s">
        <v>121</v>
      </c>
      <c r="I8999" s="173" t="s">
        <v>810</v>
      </c>
      <c r="J8999" s="231">
        <f>421+150</f>
        <v>571</v>
      </c>
      <c r="K8999" s="231"/>
      <c r="L8999" s="231">
        <v>1860</v>
      </c>
      <c r="M8999" s="149">
        <f>+J8999/L8999*100</f>
        <v>30.698924731182796</v>
      </c>
    </row>
    <row r="9000" spans="1:13" hidden="1" x14ac:dyDescent="0.3">
      <c r="A9000" s="9">
        <v>6751</v>
      </c>
      <c r="B9000" t="s">
        <v>614</v>
      </c>
      <c r="C9000" s="25">
        <v>44757</v>
      </c>
      <c r="D9000" s="26">
        <v>0.63533564814814814</v>
      </c>
      <c r="E9000" t="s">
        <v>30</v>
      </c>
      <c r="F9000" t="s">
        <v>518</v>
      </c>
      <c r="G9000" t="s">
        <v>172</v>
      </c>
      <c r="H9000" t="s">
        <v>121</v>
      </c>
      <c r="I9000" s="173" t="s">
        <v>1012</v>
      </c>
      <c r="J9000" s="23"/>
      <c r="K9000" s="23"/>
      <c r="L9000" s="23"/>
      <c r="M9000" s="91"/>
    </row>
    <row r="9001" spans="1:13" hidden="1" x14ac:dyDescent="0.3">
      <c r="A9001" s="9">
        <v>6751</v>
      </c>
      <c r="B9001" t="s">
        <v>614</v>
      </c>
      <c r="C9001" s="25">
        <v>44758</v>
      </c>
      <c r="D9001" s="26">
        <v>0.65681712962962957</v>
      </c>
      <c r="E9001" t="s">
        <v>30</v>
      </c>
      <c r="F9001" t="s">
        <v>774</v>
      </c>
      <c r="G9001" t="s">
        <v>161</v>
      </c>
      <c r="H9001" t="s">
        <v>121</v>
      </c>
      <c r="I9001" s="173" t="s">
        <v>865</v>
      </c>
      <c r="J9001" s="231">
        <f>333+328</f>
        <v>661</v>
      </c>
      <c r="K9001" s="151"/>
      <c r="L9001" s="231">
        <v>1719</v>
      </c>
      <c r="M9001" s="149">
        <f>+J9001/L9001*100</f>
        <v>38.452588714368815</v>
      </c>
    </row>
    <row r="9002" spans="1:13" hidden="1" x14ac:dyDescent="0.3">
      <c r="A9002" s="9">
        <v>6751</v>
      </c>
      <c r="B9002" t="s">
        <v>614</v>
      </c>
      <c r="C9002" s="25">
        <v>44759</v>
      </c>
      <c r="D9002" s="26">
        <v>0.14622685185185186</v>
      </c>
      <c r="E9002" t="s">
        <v>30</v>
      </c>
      <c r="F9002" t="s">
        <v>165</v>
      </c>
      <c r="G9002" t="s">
        <v>185</v>
      </c>
      <c r="H9002" t="s">
        <v>121</v>
      </c>
      <c r="I9002" s="173" t="s">
        <v>1011</v>
      </c>
      <c r="J9002" s="23"/>
      <c r="K9002" s="23"/>
      <c r="L9002" s="23"/>
      <c r="M9002" s="91"/>
    </row>
    <row r="9003" spans="1:13" hidden="1" x14ac:dyDescent="0.3">
      <c r="A9003" s="9">
        <v>6751</v>
      </c>
      <c r="B9003" t="s">
        <v>614</v>
      </c>
      <c r="C9003" s="25">
        <v>44759</v>
      </c>
      <c r="D9003" s="26">
        <v>0.74964120370370368</v>
      </c>
      <c r="E9003" t="s">
        <v>30</v>
      </c>
      <c r="F9003" t="s">
        <v>210</v>
      </c>
      <c r="G9003" t="s">
        <v>211</v>
      </c>
      <c r="H9003" t="s">
        <v>121</v>
      </c>
      <c r="I9003" s="173" t="s">
        <v>1010</v>
      </c>
      <c r="J9003" s="231">
        <f>148+368</f>
        <v>516</v>
      </c>
      <c r="K9003" s="151"/>
      <c r="L9003" s="231">
        <v>1146</v>
      </c>
      <c r="M9003" s="149">
        <f t="shared" ref="M9003:M9015" si="543">+J9003/L9003*100</f>
        <v>45.026178010471199</v>
      </c>
    </row>
    <row r="9004" spans="1:13" hidden="1" x14ac:dyDescent="0.3">
      <c r="B9004" t="s">
        <v>614</v>
      </c>
      <c r="C9004" s="25">
        <v>44760</v>
      </c>
      <c r="D9004" s="26">
        <v>0.75194444444444442</v>
      </c>
      <c r="E9004" t="s">
        <v>30</v>
      </c>
      <c r="F9004" t="s">
        <v>274</v>
      </c>
      <c r="G9004" t="s">
        <v>495</v>
      </c>
      <c r="H9004" t="s">
        <v>121</v>
      </c>
      <c r="I9004" s="160">
        <v>50.14</v>
      </c>
      <c r="J9004" s="8"/>
      <c r="K9004" s="8"/>
      <c r="L9004" s="8"/>
      <c r="M9004" s="254"/>
    </row>
    <row r="9005" spans="1:13" hidden="1" x14ac:dyDescent="0.3">
      <c r="B9005" t="s">
        <v>614</v>
      </c>
      <c r="C9005" s="25">
        <v>44761</v>
      </c>
      <c r="D9005" s="26">
        <v>0.42554398148148148</v>
      </c>
      <c r="E9005" t="s">
        <v>30</v>
      </c>
      <c r="F9005" t="s">
        <v>534</v>
      </c>
      <c r="G9005" t="s">
        <v>535</v>
      </c>
      <c r="H9005" t="s">
        <v>121</v>
      </c>
      <c r="I9005" s="160">
        <v>259.89</v>
      </c>
      <c r="J9005" s="8"/>
      <c r="K9005" s="8"/>
      <c r="L9005" s="8"/>
      <c r="M9005" s="254"/>
    </row>
    <row r="9006" spans="1:13" hidden="1" x14ac:dyDescent="0.3">
      <c r="B9006" t="s">
        <v>614</v>
      </c>
      <c r="C9006" s="25">
        <v>44762</v>
      </c>
      <c r="D9006" s="26">
        <v>0.89086805555555559</v>
      </c>
      <c r="E9006" t="s">
        <v>30</v>
      </c>
      <c r="F9006" t="s">
        <v>210</v>
      </c>
      <c r="G9006" t="s">
        <v>211</v>
      </c>
      <c r="H9006" t="s">
        <v>121</v>
      </c>
      <c r="I9006" s="160">
        <v>415.25</v>
      </c>
      <c r="J9006" s="160">
        <f>50+260+415</f>
        <v>725</v>
      </c>
      <c r="K9006" s="160">
        <v>191205</v>
      </c>
      <c r="L9006" s="160">
        <v>1793</v>
      </c>
      <c r="M9006" s="150">
        <f t="shared" si="543"/>
        <v>40.435025097601788</v>
      </c>
    </row>
    <row r="9007" spans="1:13" hidden="1" x14ac:dyDescent="0.3">
      <c r="B9007" t="s">
        <v>614</v>
      </c>
      <c r="C9007" s="25">
        <v>44763</v>
      </c>
      <c r="D9007" s="26">
        <v>0.62138888888888888</v>
      </c>
      <c r="E9007" t="s">
        <v>30</v>
      </c>
      <c r="F9007" t="s">
        <v>165</v>
      </c>
      <c r="G9007" t="s">
        <v>185</v>
      </c>
      <c r="H9007" t="s">
        <v>121</v>
      </c>
      <c r="I9007" s="160">
        <v>281.93</v>
      </c>
      <c r="J9007" s="8"/>
      <c r="K9007" s="8"/>
      <c r="L9007" s="8"/>
      <c r="M9007" s="254"/>
    </row>
    <row r="9008" spans="1:13" hidden="1" x14ac:dyDescent="0.3">
      <c r="B9008" t="s">
        <v>614</v>
      </c>
      <c r="C9008" s="25">
        <v>44764</v>
      </c>
      <c r="D9008" s="26">
        <v>0.41834490740740743</v>
      </c>
      <c r="E9008" t="s">
        <v>30</v>
      </c>
      <c r="F9008" t="s">
        <v>210</v>
      </c>
      <c r="G9008" t="s">
        <v>211</v>
      </c>
      <c r="H9008" t="s">
        <v>121</v>
      </c>
      <c r="I9008" s="160">
        <v>160.49</v>
      </c>
      <c r="J9008" s="160">
        <f>282+160</f>
        <v>442</v>
      </c>
      <c r="K9008" s="160">
        <v>1912</v>
      </c>
      <c r="L9008" s="160">
        <v>1064</v>
      </c>
      <c r="M9008" s="150">
        <f t="shared" si="543"/>
        <v>41.541353383458649</v>
      </c>
    </row>
    <row r="9009" spans="1:13" hidden="1" x14ac:dyDescent="0.3">
      <c r="B9009" t="s">
        <v>614</v>
      </c>
      <c r="C9009" s="25">
        <v>44765</v>
      </c>
      <c r="D9009" s="26">
        <v>0.45471064814814816</v>
      </c>
      <c r="E9009" t="s">
        <v>30</v>
      </c>
      <c r="F9009" t="s">
        <v>171</v>
      </c>
      <c r="G9009" t="s">
        <v>172</v>
      </c>
      <c r="H9009" t="s">
        <v>121</v>
      </c>
      <c r="I9009" s="160">
        <v>363.96</v>
      </c>
      <c r="J9009" s="8"/>
      <c r="K9009" s="8"/>
      <c r="L9009" s="8"/>
      <c r="M9009" s="254"/>
    </row>
    <row r="9010" spans="1:13" hidden="1" x14ac:dyDescent="0.3">
      <c r="B9010" t="s">
        <v>614</v>
      </c>
      <c r="C9010" s="25">
        <v>44766</v>
      </c>
      <c r="D9010" s="26">
        <v>0.45068287037037041</v>
      </c>
      <c r="E9010" t="s">
        <v>30</v>
      </c>
      <c r="F9010" t="s">
        <v>210</v>
      </c>
      <c r="G9010" t="s">
        <v>211</v>
      </c>
      <c r="H9010" t="s">
        <v>121</v>
      </c>
      <c r="I9010" s="160">
        <v>379.36</v>
      </c>
      <c r="J9010" s="160">
        <f>364+379</f>
        <v>743</v>
      </c>
      <c r="K9010" s="160">
        <v>13652</v>
      </c>
      <c r="L9010" s="160">
        <v>1751</v>
      </c>
      <c r="M9010" s="150">
        <f t="shared" si="543"/>
        <v>42.432895488292402</v>
      </c>
    </row>
    <row r="9011" spans="1:13" hidden="1" x14ac:dyDescent="0.3">
      <c r="B9011" t="s">
        <v>614</v>
      </c>
      <c r="C9011" s="25">
        <v>44766</v>
      </c>
      <c r="D9011" s="26">
        <v>0.86987268518518512</v>
      </c>
      <c r="E9011" t="s">
        <v>30</v>
      </c>
      <c r="F9011" t="s">
        <v>165</v>
      </c>
      <c r="G9011" t="s">
        <v>185</v>
      </c>
      <c r="H9011" t="s">
        <v>121</v>
      </c>
      <c r="I9011" s="160">
        <v>237.64</v>
      </c>
      <c r="J9011" s="8"/>
      <c r="K9011" s="8"/>
      <c r="L9011" s="8"/>
      <c r="M9011" s="254"/>
    </row>
    <row r="9012" spans="1:13" hidden="1" x14ac:dyDescent="0.3">
      <c r="B9012" t="s">
        <v>614</v>
      </c>
      <c r="C9012" s="25">
        <v>44767</v>
      </c>
      <c r="D9012" s="26">
        <v>0.45459490740740738</v>
      </c>
      <c r="E9012" t="s">
        <v>30</v>
      </c>
      <c r="F9012" t="s">
        <v>210</v>
      </c>
      <c r="G9012" t="s">
        <v>211</v>
      </c>
      <c r="H9012" t="s">
        <v>121</v>
      </c>
      <c r="I9012" s="160">
        <v>177.65</v>
      </c>
      <c r="J9012" s="160">
        <f>238+178</f>
        <v>416</v>
      </c>
      <c r="K9012" s="160">
        <v>1912</v>
      </c>
      <c r="L9012" s="160">
        <v>1064</v>
      </c>
      <c r="M9012" s="150">
        <f t="shared" si="543"/>
        <v>39.097744360902254</v>
      </c>
    </row>
    <row r="9013" spans="1:13" hidden="1" x14ac:dyDescent="0.3">
      <c r="B9013" t="s">
        <v>614</v>
      </c>
      <c r="C9013" s="25">
        <v>44767</v>
      </c>
      <c r="D9013" s="26">
        <v>0.86990740740740735</v>
      </c>
      <c r="E9013" t="s">
        <v>30</v>
      </c>
      <c r="F9013" t="s">
        <v>169</v>
      </c>
      <c r="G9013" t="s">
        <v>196</v>
      </c>
      <c r="H9013" t="s">
        <v>121</v>
      </c>
      <c r="I9013" s="160">
        <v>191.45</v>
      </c>
      <c r="J9013" s="8"/>
      <c r="K9013" s="8"/>
      <c r="L9013" s="8"/>
      <c r="M9013" s="254"/>
    </row>
    <row r="9014" spans="1:13" hidden="1" x14ac:dyDescent="0.3">
      <c r="B9014" t="s">
        <v>614</v>
      </c>
      <c r="C9014" s="25">
        <v>44768</v>
      </c>
      <c r="D9014" s="26">
        <v>0.60015046296296293</v>
      </c>
      <c r="E9014" t="s">
        <v>30</v>
      </c>
      <c r="F9014" t="s">
        <v>1083</v>
      </c>
      <c r="G9014" t="s">
        <v>1084</v>
      </c>
      <c r="H9014" t="s">
        <v>121</v>
      </c>
      <c r="I9014" s="160">
        <v>192.77</v>
      </c>
      <c r="J9014" s="8"/>
      <c r="K9014" s="8"/>
      <c r="L9014" s="8"/>
      <c r="M9014" s="254"/>
    </row>
    <row r="9015" spans="1:13" hidden="1" x14ac:dyDescent="0.3">
      <c r="B9015" t="s">
        <v>614</v>
      </c>
      <c r="C9015" s="25">
        <v>44773</v>
      </c>
      <c r="D9015" s="26">
        <v>0.33452546296296298</v>
      </c>
      <c r="E9015" t="s">
        <v>30</v>
      </c>
      <c r="F9015" t="s">
        <v>166</v>
      </c>
      <c r="G9015" t="s">
        <v>161</v>
      </c>
      <c r="H9015" t="s">
        <v>121</v>
      </c>
      <c r="I9015" s="160">
        <v>333.33</v>
      </c>
      <c r="J9015" s="160">
        <f>191+193+333</f>
        <v>717</v>
      </c>
      <c r="K9015" s="160">
        <v>1234</v>
      </c>
      <c r="L9015" s="160">
        <v>1786</v>
      </c>
      <c r="M9015" s="150">
        <f t="shared" si="543"/>
        <v>40.145576707726768</v>
      </c>
    </row>
    <row r="9016" spans="1:13" hidden="1" x14ac:dyDescent="0.3">
      <c r="B9016" t="s">
        <v>614</v>
      </c>
      <c r="C9016" s="25">
        <v>44773</v>
      </c>
      <c r="D9016" s="26">
        <v>0.91681712962962969</v>
      </c>
      <c r="E9016" t="s">
        <v>30</v>
      </c>
      <c r="F9016" t="s">
        <v>165</v>
      </c>
      <c r="G9016" t="s">
        <v>185</v>
      </c>
      <c r="H9016" t="s">
        <v>121</v>
      </c>
      <c r="I9016" s="160">
        <v>320.62</v>
      </c>
      <c r="J9016" s="8"/>
      <c r="K9016" s="8"/>
      <c r="L9016" s="8"/>
      <c r="M9016" s="254"/>
    </row>
    <row r="9017" spans="1:13" hidden="1" x14ac:dyDescent="0.3">
      <c r="A9017" s="9">
        <v>6751</v>
      </c>
      <c r="B9017" t="s">
        <v>551</v>
      </c>
      <c r="C9017" s="25">
        <v>44744</v>
      </c>
      <c r="D9017" s="26">
        <v>4.9351851851851848E-2</v>
      </c>
      <c r="E9017" t="s">
        <v>30</v>
      </c>
      <c r="F9017" t="s">
        <v>165</v>
      </c>
      <c r="G9017" t="s">
        <v>185</v>
      </c>
      <c r="H9017" t="s">
        <v>140</v>
      </c>
      <c r="I9017" s="164">
        <v>241.11</v>
      </c>
      <c r="J9017" s="54"/>
      <c r="K9017" s="54"/>
      <c r="L9017" s="54"/>
      <c r="M9017" s="91"/>
    </row>
    <row r="9018" spans="1:13" hidden="1" x14ac:dyDescent="0.3">
      <c r="A9018" s="9">
        <v>6751</v>
      </c>
      <c r="B9018" t="s">
        <v>551</v>
      </c>
      <c r="C9018" s="25">
        <v>44744</v>
      </c>
      <c r="D9018" s="26">
        <v>0.90209490740740739</v>
      </c>
      <c r="E9018" t="s">
        <v>30</v>
      </c>
      <c r="F9018" t="s">
        <v>210</v>
      </c>
      <c r="G9018" t="s">
        <v>322</v>
      </c>
      <c r="H9018" t="s">
        <v>140</v>
      </c>
      <c r="I9018" s="160">
        <v>125.33</v>
      </c>
      <c r="J9018" s="8"/>
      <c r="K9018" s="8"/>
      <c r="L9018" s="8"/>
      <c r="M9018" s="91"/>
    </row>
    <row r="9019" spans="1:13" hidden="1" x14ac:dyDescent="0.3">
      <c r="A9019" s="9">
        <v>6751</v>
      </c>
      <c r="B9019" t="s">
        <v>551</v>
      </c>
      <c r="C9019" s="25">
        <v>44744</v>
      </c>
      <c r="D9019" s="26">
        <v>0.90870370370370368</v>
      </c>
      <c r="E9019" t="s">
        <v>30</v>
      </c>
      <c r="F9019" t="s">
        <v>210</v>
      </c>
      <c r="G9019" t="s">
        <v>322</v>
      </c>
      <c r="H9019" t="s">
        <v>140</v>
      </c>
      <c r="I9019" s="160">
        <v>142.55000000000001</v>
      </c>
      <c r="J9019" s="8"/>
      <c r="K9019" s="8"/>
      <c r="L9019" s="8"/>
      <c r="M9019" s="91"/>
    </row>
    <row r="9020" spans="1:13" hidden="1" x14ac:dyDescent="0.3">
      <c r="A9020" s="9">
        <v>6751</v>
      </c>
      <c r="B9020" t="s">
        <v>551</v>
      </c>
      <c r="C9020" s="25">
        <v>44745</v>
      </c>
      <c r="D9020" s="26">
        <v>0.62059027777777775</v>
      </c>
      <c r="E9020" t="s">
        <v>30</v>
      </c>
      <c r="F9020" t="s">
        <v>346</v>
      </c>
      <c r="G9020" t="s">
        <v>203</v>
      </c>
      <c r="H9020" t="s">
        <v>140</v>
      </c>
      <c r="I9020" s="160">
        <v>148.1</v>
      </c>
      <c r="J9020" s="8"/>
      <c r="K9020" s="8"/>
      <c r="L9020" s="8"/>
      <c r="M9020" s="91"/>
    </row>
    <row r="9021" spans="1:13" hidden="1" x14ac:dyDescent="0.3">
      <c r="A9021" s="9">
        <v>6751</v>
      </c>
      <c r="B9021" t="s">
        <v>551</v>
      </c>
      <c r="C9021" s="25">
        <v>44746</v>
      </c>
      <c r="D9021" s="26">
        <v>0.6539814814814815</v>
      </c>
      <c r="E9021" t="s">
        <v>30</v>
      </c>
      <c r="F9021" t="s">
        <v>346</v>
      </c>
      <c r="G9021" t="s">
        <v>203</v>
      </c>
      <c r="H9021" t="s">
        <v>140</v>
      </c>
      <c r="I9021" s="160">
        <v>196.19</v>
      </c>
      <c r="J9021" s="8"/>
      <c r="K9021" s="8"/>
      <c r="L9021" s="8"/>
      <c r="M9021" s="91"/>
    </row>
    <row r="9022" spans="1:13" hidden="1" x14ac:dyDescent="0.3">
      <c r="A9022" s="9">
        <v>6751</v>
      </c>
      <c r="B9022" t="s">
        <v>551</v>
      </c>
      <c r="C9022" s="25">
        <v>44747</v>
      </c>
      <c r="D9022" s="26">
        <v>0.54002314814814811</v>
      </c>
      <c r="E9022" t="s">
        <v>30</v>
      </c>
      <c r="F9022" t="s">
        <v>165</v>
      </c>
      <c r="G9022" t="s">
        <v>185</v>
      </c>
      <c r="H9022" t="s">
        <v>140</v>
      </c>
      <c r="I9022" s="160">
        <v>264.70999999999998</v>
      </c>
      <c r="J9022" s="8"/>
      <c r="K9022" s="8"/>
      <c r="L9022" s="8"/>
      <c r="M9022" s="91"/>
    </row>
    <row r="9023" spans="1:13" hidden="1" x14ac:dyDescent="0.3">
      <c r="A9023" s="9">
        <v>6751</v>
      </c>
      <c r="B9023" t="s">
        <v>551</v>
      </c>
      <c r="C9023" s="25">
        <v>44747</v>
      </c>
      <c r="D9023" s="26">
        <v>0.8821296296296296</v>
      </c>
      <c r="E9023" t="s">
        <v>30</v>
      </c>
      <c r="F9023" t="s">
        <v>210</v>
      </c>
      <c r="G9023" t="s">
        <v>211</v>
      </c>
      <c r="H9023" t="s">
        <v>140</v>
      </c>
      <c r="I9023" s="160">
        <v>160.94999999999999</v>
      </c>
      <c r="J9023" s="160">
        <f>359+110+241+125+142+150+196+264+160</f>
        <v>1747</v>
      </c>
      <c r="K9023" s="160">
        <v>7238</v>
      </c>
      <c r="L9023" s="160">
        <v>4167</v>
      </c>
      <c r="M9023" s="149">
        <f>+J9023/L9023*100</f>
        <v>41.924646028317738</v>
      </c>
    </row>
    <row r="9024" spans="1:13" hidden="1" x14ac:dyDescent="0.3">
      <c r="A9024" s="9">
        <v>6751</v>
      </c>
      <c r="B9024" t="s">
        <v>551</v>
      </c>
      <c r="C9024" s="25">
        <v>44749</v>
      </c>
      <c r="D9024" s="26">
        <v>0.62311342592592589</v>
      </c>
      <c r="E9024" t="s">
        <v>30</v>
      </c>
      <c r="F9024" t="s">
        <v>401</v>
      </c>
      <c r="G9024" t="s">
        <v>402</v>
      </c>
      <c r="H9024" t="s">
        <v>140</v>
      </c>
      <c r="I9024" s="173" t="s">
        <v>829</v>
      </c>
      <c r="J9024" s="8"/>
      <c r="K9024" s="8"/>
      <c r="L9024" s="8"/>
      <c r="M9024" s="91"/>
    </row>
    <row r="9025" spans="1:13" hidden="1" x14ac:dyDescent="0.3">
      <c r="A9025" s="9">
        <v>6751</v>
      </c>
      <c r="B9025" t="s">
        <v>551</v>
      </c>
      <c r="C9025" s="25">
        <v>44749</v>
      </c>
      <c r="D9025" s="26">
        <v>0.82517361111111109</v>
      </c>
      <c r="E9025" t="s">
        <v>30</v>
      </c>
      <c r="F9025" t="s">
        <v>775</v>
      </c>
      <c r="G9025" t="s">
        <v>263</v>
      </c>
      <c r="H9025" t="s">
        <v>140</v>
      </c>
      <c r="I9025" s="173" t="s">
        <v>793</v>
      </c>
      <c r="J9025" s="8"/>
      <c r="K9025" s="8"/>
      <c r="L9025" s="8"/>
      <c r="M9025" s="91"/>
    </row>
    <row r="9026" spans="1:13" hidden="1" x14ac:dyDescent="0.3">
      <c r="B9026" t="s">
        <v>469</v>
      </c>
      <c r="C9026" s="25">
        <v>44761</v>
      </c>
      <c r="D9026" s="26">
        <v>0.66557870370370364</v>
      </c>
      <c r="E9026" t="s">
        <v>30</v>
      </c>
      <c r="F9026" t="s">
        <v>262</v>
      </c>
      <c r="G9026" t="s">
        <v>263</v>
      </c>
      <c r="H9026" t="s">
        <v>140</v>
      </c>
      <c r="I9026" s="173">
        <v>200</v>
      </c>
      <c r="J9026" s="8"/>
      <c r="K9026" s="8"/>
      <c r="L9026" s="8"/>
      <c r="M9026" s="254"/>
    </row>
    <row r="9027" spans="1:13" hidden="1" x14ac:dyDescent="0.3">
      <c r="B9027" t="s">
        <v>469</v>
      </c>
      <c r="C9027" s="25">
        <v>44761</v>
      </c>
      <c r="D9027" s="26">
        <v>0.6696875000000001</v>
      </c>
      <c r="E9027" t="s">
        <v>30</v>
      </c>
      <c r="F9027" t="s">
        <v>262</v>
      </c>
      <c r="G9027" t="s">
        <v>263</v>
      </c>
      <c r="H9027" t="s">
        <v>140</v>
      </c>
      <c r="I9027" s="173">
        <v>81.94</v>
      </c>
      <c r="J9027" s="8"/>
      <c r="K9027" s="8"/>
      <c r="L9027" s="8"/>
      <c r="M9027" s="254"/>
    </row>
    <row r="9028" spans="1:13" hidden="1" x14ac:dyDescent="0.3">
      <c r="B9028" t="s">
        <v>469</v>
      </c>
      <c r="C9028" s="25">
        <v>44762</v>
      </c>
      <c r="D9028" s="26">
        <v>0.51263888888888887</v>
      </c>
      <c r="E9028" t="s">
        <v>30</v>
      </c>
      <c r="F9028" t="s">
        <v>210</v>
      </c>
      <c r="G9028" t="s">
        <v>211</v>
      </c>
      <c r="H9028" t="s">
        <v>140</v>
      </c>
      <c r="I9028" s="173">
        <v>315.54000000000002</v>
      </c>
      <c r="J9028" s="160">
        <f>315+82+400+30</f>
        <v>827</v>
      </c>
      <c r="K9028" s="160">
        <v>6718</v>
      </c>
      <c r="L9028" s="160">
        <v>1760</v>
      </c>
      <c r="M9028" s="150">
        <f t="shared" ref="M9028:M9035" si="544">+J9028/L9028*100</f>
        <v>46.988636363636367</v>
      </c>
    </row>
    <row r="9029" spans="1:13" hidden="1" x14ac:dyDescent="0.3">
      <c r="B9029" t="s">
        <v>469</v>
      </c>
      <c r="C9029" s="25">
        <v>44763</v>
      </c>
      <c r="D9029" s="26">
        <v>0.1567476851851852</v>
      </c>
      <c r="E9029" t="s">
        <v>30</v>
      </c>
      <c r="F9029" t="s">
        <v>165</v>
      </c>
      <c r="G9029" t="s">
        <v>185</v>
      </c>
      <c r="H9029" t="s">
        <v>140</v>
      </c>
      <c r="I9029" s="173">
        <v>263.20999999999998</v>
      </c>
      <c r="J9029" s="8"/>
      <c r="K9029" s="8"/>
      <c r="L9029" s="8"/>
      <c r="M9029" s="254"/>
    </row>
    <row r="9030" spans="1:13" hidden="1" x14ac:dyDescent="0.3">
      <c r="B9030" t="s">
        <v>469</v>
      </c>
      <c r="C9030" s="25">
        <v>44764</v>
      </c>
      <c r="D9030" s="26">
        <v>0.92927083333333327</v>
      </c>
      <c r="E9030" t="s">
        <v>30</v>
      </c>
      <c r="F9030" t="s">
        <v>210</v>
      </c>
      <c r="G9030" t="s">
        <v>211</v>
      </c>
      <c r="H9030" t="s">
        <v>140</v>
      </c>
      <c r="I9030" s="173">
        <v>303.93</v>
      </c>
      <c r="J9030" s="160">
        <f>263+304</f>
        <v>567</v>
      </c>
      <c r="K9030" s="160">
        <v>6718</v>
      </c>
      <c r="L9030" s="160">
        <v>1148</v>
      </c>
      <c r="M9030" s="150">
        <f t="shared" si="544"/>
        <v>49.390243902439025</v>
      </c>
    </row>
    <row r="9031" spans="1:13" hidden="1" x14ac:dyDescent="0.3">
      <c r="B9031" t="s">
        <v>469</v>
      </c>
      <c r="C9031" s="25">
        <v>44765</v>
      </c>
      <c r="D9031" s="26">
        <v>0.34162037037037035</v>
      </c>
      <c r="E9031" t="s">
        <v>30</v>
      </c>
      <c r="F9031" t="s">
        <v>169</v>
      </c>
      <c r="G9031" t="s">
        <v>196</v>
      </c>
      <c r="H9031" t="s">
        <v>140</v>
      </c>
      <c r="I9031" s="173">
        <v>167.03</v>
      </c>
      <c r="J9031" s="8"/>
      <c r="K9031" s="8"/>
      <c r="L9031" s="8"/>
      <c r="M9031" s="254"/>
    </row>
    <row r="9032" spans="1:13" hidden="1" x14ac:dyDescent="0.3">
      <c r="B9032" t="s">
        <v>469</v>
      </c>
      <c r="C9032" s="25">
        <v>44768</v>
      </c>
      <c r="D9032" s="26">
        <v>0.42295138888888889</v>
      </c>
      <c r="E9032" t="s">
        <v>30</v>
      </c>
      <c r="F9032" t="s">
        <v>391</v>
      </c>
      <c r="G9032" t="s">
        <v>392</v>
      </c>
      <c r="H9032" t="s">
        <v>140</v>
      </c>
      <c r="I9032" s="173">
        <v>235.31</v>
      </c>
      <c r="J9032" s="8"/>
      <c r="K9032" s="8"/>
      <c r="L9032" s="8"/>
      <c r="M9032" s="254"/>
    </row>
    <row r="9033" spans="1:13" hidden="1" x14ac:dyDescent="0.3">
      <c r="B9033" t="s">
        <v>469</v>
      </c>
      <c r="C9033" s="25">
        <v>44769</v>
      </c>
      <c r="D9033" s="26">
        <v>0.51041666666666663</v>
      </c>
      <c r="E9033" t="s">
        <v>30</v>
      </c>
      <c r="F9033" t="s">
        <v>166</v>
      </c>
      <c r="G9033" t="s">
        <v>161</v>
      </c>
      <c r="H9033" t="s">
        <v>140</v>
      </c>
      <c r="I9033" s="173">
        <v>366.69</v>
      </c>
      <c r="J9033" s="160">
        <f>167+235+367</f>
        <v>769</v>
      </c>
      <c r="K9033" s="160">
        <v>1234</v>
      </c>
      <c r="L9033" s="160">
        <v>1746</v>
      </c>
      <c r="M9033" s="150">
        <f t="shared" si="544"/>
        <v>44.043528064146621</v>
      </c>
    </row>
    <row r="9034" spans="1:13" hidden="1" x14ac:dyDescent="0.3">
      <c r="B9034" t="s">
        <v>469</v>
      </c>
      <c r="C9034" s="25">
        <v>44769</v>
      </c>
      <c r="D9034" s="26">
        <v>0.97637731481481482</v>
      </c>
      <c r="E9034" t="s">
        <v>30</v>
      </c>
      <c r="F9034" t="s">
        <v>165</v>
      </c>
      <c r="G9034" t="s">
        <v>185</v>
      </c>
      <c r="H9034" t="s">
        <v>140</v>
      </c>
      <c r="I9034" s="173">
        <v>347.57</v>
      </c>
      <c r="J9034" s="8"/>
      <c r="K9034" s="8"/>
      <c r="L9034" s="8"/>
      <c r="M9034" s="254"/>
    </row>
    <row r="9035" spans="1:13" hidden="1" x14ac:dyDescent="0.3">
      <c r="B9035" t="s">
        <v>469</v>
      </c>
      <c r="C9035" s="25">
        <v>44770</v>
      </c>
      <c r="D9035" s="26">
        <v>0.90394675925925927</v>
      </c>
      <c r="E9035" t="s">
        <v>30</v>
      </c>
      <c r="F9035" t="s">
        <v>210</v>
      </c>
      <c r="G9035" t="s">
        <v>211</v>
      </c>
      <c r="H9035" t="s">
        <v>140</v>
      </c>
      <c r="I9035" s="173">
        <v>255.11</v>
      </c>
      <c r="J9035" s="160">
        <f>255+347</f>
        <v>602</v>
      </c>
      <c r="K9035" s="160">
        <v>6718</v>
      </c>
      <c r="L9035" s="160">
        <v>1196</v>
      </c>
      <c r="M9035" s="150">
        <f t="shared" si="544"/>
        <v>50.334448160535118</v>
      </c>
    </row>
    <row r="9036" spans="1:13" hidden="1" x14ac:dyDescent="0.3">
      <c r="B9036" t="s">
        <v>469</v>
      </c>
      <c r="C9036" s="25">
        <v>44771</v>
      </c>
      <c r="D9036" s="26">
        <v>0.63561342592592596</v>
      </c>
      <c r="E9036" t="s">
        <v>30</v>
      </c>
      <c r="F9036" t="s">
        <v>169</v>
      </c>
      <c r="G9036" t="s">
        <v>196</v>
      </c>
      <c r="H9036" t="s">
        <v>140</v>
      </c>
      <c r="I9036" s="173">
        <v>180.31</v>
      </c>
      <c r="J9036" s="8"/>
      <c r="K9036" s="8"/>
      <c r="L9036" s="8"/>
      <c r="M9036" s="254"/>
    </row>
    <row r="9037" spans="1:13" hidden="1" x14ac:dyDescent="0.3">
      <c r="B9037" t="s">
        <v>469</v>
      </c>
      <c r="C9037" s="25">
        <v>44771</v>
      </c>
      <c r="D9037" s="26">
        <v>0.9503935185185185</v>
      </c>
      <c r="E9037" t="s">
        <v>30</v>
      </c>
      <c r="F9037" t="s">
        <v>428</v>
      </c>
      <c r="G9037" t="s">
        <v>429</v>
      </c>
      <c r="H9037" t="s">
        <v>140</v>
      </c>
      <c r="I9037" s="173">
        <v>100.24</v>
      </c>
      <c r="J9037" s="8"/>
      <c r="K9037" s="8"/>
      <c r="L9037" s="8"/>
      <c r="M9037" s="254"/>
    </row>
    <row r="9038" spans="1:13" hidden="1" x14ac:dyDescent="0.3">
      <c r="B9038" t="s">
        <v>469</v>
      </c>
      <c r="C9038" s="25">
        <v>44771</v>
      </c>
      <c r="D9038" s="26">
        <v>0.95245370370370364</v>
      </c>
      <c r="E9038" t="s">
        <v>30</v>
      </c>
      <c r="F9038" t="s">
        <v>428</v>
      </c>
      <c r="G9038" t="s">
        <v>429</v>
      </c>
      <c r="H9038" t="s">
        <v>140</v>
      </c>
      <c r="I9038" s="173">
        <v>73.78</v>
      </c>
      <c r="J9038" s="8"/>
      <c r="K9038" s="8"/>
      <c r="L9038" s="8"/>
      <c r="M9038" s="254"/>
    </row>
    <row r="9039" spans="1:13" hidden="1" x14ac:dyDescent="0.3">
      <c r="A9039" s="9">
        <v>6751</v>
      </c>
      <c r="B9039" t="s">
        <v>469</v>
      </c>
      <c r="C9039" s="25">
        <v>44743</v>
      </c>
      <c r="D9039" s="26">
        <v>0.6799074074074074</v>
      </c>
      <c r="E9039" t="s">
        <v>30</v>
      </c>
      <c r="F9039" t="s">
        <v>210</v>
      </c>
      <c r="G9039" t="s">
        <v>211</v>
      </c>
      <c r="H9039" t="s">
        <v>255</v>
      </c>
      <c r="I9039" s="160">
        <v>259.83999999999997</v>
      </c>
      <c r="J9039" s="8"/>
      <c r="K9039" s="8"/>
      <c r="L9039" s="8"/>
      <c r="M9039" s="132"/>
    </row>
    <row r="9040" spans="1:13" hidden="1" x14ac:dyDescent="0.3">
      <c r="A9040" s="9">
        <v>6751</v>
      </c>
      <c r="B9040" t="s">
        <v>469</v>
      </c>
      <c r="C9040" s="25">
        <v>44747</v>
      </c>
      <c r="D9040" s="26">
        <v>0.23680555555555557</v>
      </c>
      <c r="E9040" t="s">
        <v>30</v>
      </c>
      <c r="F9040" t="s">
        <v>262</v>
      </c>
      <c r="G9040" t="s">
        <v>263</v>
      </c>
      <c r="H9040" t="s">
        <v>255</v>
      </c>
      <c r="I9040" s="160">
        <v>201.15</v>
      </c>
      <c r="J9040" s="8"/>
      <c r="K9040" s="8"/>
      <c r="L9040" s="8"/>
      <c r="M9040" s="91"/>
    </row>
    <row r="9041" spans="1:13" hidden="1" x14ac:dyDescent="0.3">
      <c r="A9041" s="9">
        <v>6751</v>
      </c>
      <c r="B9041" t="s">
        <v>469</v>
      </c>
      <c r="C9041" s="25">
        <v>44747</v>
      </c>
      <c r="D9041" s="26">
        <v>0.99359953703703707</v>
      </c>
      <c r="E9041" t="s">
        <v>30</v>
      </c>
      <c r="F9041" t="s">
        <v>492</v>
      </c>
      <c r="G9041" t="s">
        <v>44</v>
      </c>
      <c r="H9041" t="s">
        <v>255</v>
      </c>
      <c r="I9041" s="160">
        <v>309.98</v>
      </c>
      <c r="J9041" s="8"/>
      <c r="K9041" s="8"/>
      <c r="L9041" s="8"/>
      <c r="M9041" s="91"/>
    </row>
    <row r="9042" spans="1:13" hidden="1" x14ac:dyDescent="0.3">
      <c r="A9042" s="9">
        <v>6751</v>
      </c>
      <c r="B9042" t="s">
        <v>469</v>
      </c>
      <c r="C9042" s="25">
        <v>44748</v>
      </c>
      <c r="D9042" s="26">
        <v>0.55553240740740739</v>
      </c>
      <c r="E9042" t="s">
        <v>30</v>
      </c>
      <c r="F9042" t="s">
        <v>210</v>
      </c>
      <c r="G9042" t="s">
        <v>211</v>
      </c>
      <c r="H9042" t="s">
        <v>255</v>
      </c>
      <c r="I9042" s="160">
        <v>298.52999999999997</v>
      </c>
      <c r="J9042" s="160">
        <f>305+157+256+295+253+328+260+201+310+298</f>
        <v>2663</v>
      </c>
      <c r="K9042" s="160">
        <v>671805</v>
      </c>
      <c r="L9042" s="160">
        <v>5748</v>
      </c>
      <c r="M9042" s="308">
        <f>+J9042/L9042*100</f>
        <v>46.329157967988863</v>
      </c>
    </row>
    <row r="9043" spans="1:13" hidden="1" x14ac:dyDescent="0.3">
      <c r="A9043" s="9">
        <v>6751</v>
      </c>
      <c r="B9043" t="s">
        <v>469</v>
      </c>
      <c r="C9043" s="25">
        <v>44748</v>
      </c>
      <c r="D9043" s="26">
        <v>0.79440972222222228</v>
      </c>
      <c r="E9043" t="s">
        <v>30</v>
      </c>
      <c r="F9043" t="s">
        <v>278</v>
      </c>
      <c r="G9043" t="s">
        <v>279</v>
      </c>
      <c r="H9043" t="s">
        <v>255</v>
      </c>
      <c r="I9043" s="173">
        <v>211.51</v>
      </c>
      <c r="J9043" s="8"/>
      <c r="K9043" s="8"/>
      <c r="L9043" s="8"/>
      <c r="M9043" s="91"/>
    </row>
    <row r="9044" spans="1:13" hidden="1" x14ac:dyDescent="0.3">
      <c r="A9044" s="9">
        <v>6751</v>
      </c>
      <c r="B9044" t="s">
        <v>469</v>
      </c>
      <c r="C9044" s="25">
        <v>44749</v>
      </c>
      <c r="D9044" s="26">
        <v>0.51105324074074077</v>
      </c>
      <c r="E9044" t="s">
        <v>30</v>
      </c>
      <c r="F9044" t="s">
        <v>210</v>
      </c>
      <c r="G9044" t="s">
        <v>211</v>
      </c>
      <c r="H9044" t="s">
        <v>255</v>
      </c>
      <c r="I9044" s="173" t="s">
        <v>834</v>
      </c>
      <c r="J9044" s="8"/>
      <c r="K9044" s="8"/>
      <c r="L9044" s="8"/>
      <c r="M9044" s="91"/>
    </row>
    <row r="9045" spans="1:13" hidden="1" x14ac:dyDescent="0.3">
      <c r="A9045" s="9">
        <v>6751</v>
      </c>
      <c r="B9045" t="s">
        <v>469</v>
      </c>
      <c r="C9045" s="25">
        <v>44750</v>
      </c>
      <c r="D9045" s="26">
        <v>0.46598379629629627</v>
      </c>
      <c r="E9045" t="s">
        <v>30</v>
      </c>
      <c r="F9045" t="s">
        <v>782</v>
      </c>
      <c r="G9045" t="s">
        <v>277</v>
      </c>
      <c r="H9045" t="s">
        <v>255</v>
      </c>
      <c r="I9045" s="173" t="s">
        <v>833</v>
      </c>
      <c r="J9045" s="8"/>
      <c r="K9045" s="8"/>
      <c r="L9045" s="8"/>
      <c r="M9045" s="91"/>
    </row>
    <row r="9046" spans="1:13" hidden="1" x14ac:dyDescent="0.3">
      <c r="A9046" s="9">
        <v>6751</v>
      </c>
      <c r="B9046" t="s">
        <v>469</v>
      </c>
      <c r="C9046" s="25">
        <v>44750</v>
      </c>
      <c r="D9046" s="26">
        <v>0.9026967592592593</v>
      </c>
      <c r="E9046" t="s">
        <v>30</v>
      </c>
      <c r="F9046" t="s">
        <v>772</v>
      </c>
      <c r="G9046" t="s">
        <v>44</v>
      </c>
      <c r="H9046" t="s">
        <v>255</v>
      </c>
      <c r="I9046" s="173" t="s">
        <v>790</v>
      </c>
      <c r="J9046" s="8"/>
      <c r="K9046" s="8"/>
      <c r="L9046" s="8"/>
      <c r="M9046" s="91"/>
    </row>
    <row r="9047" spans="1:13" hidden="1" x14ac:dyDescent="0.3">
      <c r="A9047" s="9">
        <v>6751</v>
      </c>
      <c r="B9047" t="s">
        <v>469</v>
      </c>
      <c r="C9047" s="25">
        <v>44751</v>
      </c>
      <c r="D9047" s="26">
        <v>0.7917939814814815</v>
      </c>
      <c r="E9047" t="s">
        <v>30</v>
      </c>
      <c r="F9047" t="s">
        <v>210</v>
      </c>
      <c r="G9047" t="s">
        <v>211</v>
      </c>
      <c r="H9047" t="s">
        <v>255</v>
      </c>
      <c r="I9047" s="173" t="s">
        <v>832</v>
      </c>
      <c r="J9047" s="160">
        <f>211+217+328+135+291</f>
        <v>1182</v>
      </c>
      <c r="K9047" s="160"/>
      <c r="L9047" s="160">
        <v>2646</v>
      </c>
      <c r="M9047" s="308">
        <f>+J9047/L9047*100</f>
        <v>44.671201814058961</v>
      </c>
    </row>
    <row r="9048" spans="1:13" hidden="1" x14ac:dyDescent="0.3">
      <c r="A9048" s="9">
        <v>6751</v>
      </c>
      <c r="B9048" t="s">
        <v>469</v>
      </c>
      <c r="C9048" s="25">
        <v>44752</v>
      </c>
      <c r="D9048" s="26">
        <v>0.21203703703703702</v>
      </c>
      <c r="E9048" t="s">
        <v>30</v>
      </c>
      <c r="F9048" t="s">
        <v>780</v>
      </c>
      <c r="G9048" t="s">
        <v>279</v>
      </c>
      <c r="H9048" t="s">
        <v>255</v>
      </c>
      <c r="I9048" s="173" t="s">
        <v>831</v>
      </c>
      <c r="J9048" s="8"/>
      <c r="K9048" s="8"/>
      <c r="L9048" s="8"/>
      <c r="M9048" s="91"/>
    </row>
    <row r="9049" spans="1:13" hidden="1" x14ac:dyDescent="0.3">
      <c r="A9049" s="9">
        <v>6752</v>
      </c>
      <c r="B9049" t="s">
        <v>469</v>
      </c>
      <c r="C9049" s="25">
        <v>44752</v>
      </c>
      <c r="D9049" s="26">
        <v>0.72182870370370367</v>
      </c>
      <c r="E9049" t="s">
        <v>30</v>
      </c>
      <c r="F9049" t="s">
        <v>210</v>
      </c>
      <c r="G9049" t="s">
        <v>211</v>
      </c>
      <c r="H9049" t="s">
        <v>255</v>
      </c>
      <c r="I9049" s="173" t="s">
        <v>830</v>
      </c>
      <c r="J9049" s="160">
        <f>188+273</f>
        <v>461</v>
      </c>
      <c r="K9049" s="160"/>
      <c r="L9049" s="160">
        <v>1062</v>
      </c>
      <c r="M9049" s="308">
        <f>+J9049/L9049*100</f>
        <v>43.408662900188318</v>
      </c>
    </row>
    <row r="9050" spans="1:13" hidden="1" x14ac:dyDescent="0.3">
      <c r="A9050" s="9">
        <v>6777</v>
      </c>
      <c r="B9050" t="s">
        <v>469</v>
      </c>
      <c r="C9050" s="25">
        <v>44753</v>
      </c>
      <c r="D9050" s="26">
        <v>0.52171296296296299</v>
      </c>
      <c r="E9050" t="s">
        <v>30</v>
      </c>
      <c r="F9050" t="s">
        <v>169</v>
      </c>
      <c r="G9050" t="s">
        <v>196</v>
      </c>
      <c r="H9050" t="s">
        <v>255</v>
      </c>
      <c r="I9050" s="173" t="s">
        <v>922</v>
      </c>
      <c r="J9050" s="23"/>
      <c r="K9050" s="23"/>
      <c r="L9050" s="23"/>
      <c r="M9050" s="254"/>
    </row>
    <row r="9051" spans="1:13" hidden="1" x14ac:dyDescent="0.3">
      <c r="A9051" s="9">
        <v>6818</v>
      </c>
      <c r="B9051" t="s">
        <v>469</v>
      </c>
      <c r="C9051" s="25">
        <v>44753</v>
      </c>
      <c r="D9051" s="26">
        <v>0.92427083333333337</v>
      </c>
      <c r="E9051" t="s">
        <v>30</v>
      </c>
      <c r="F9051" t="s">
        <v>534</v>
      </c>
      <c r="G9051" t="s">
        <v>535</v>
      </c>
      <c r="H9051" t="s">
        <v>255</v>
      </c>
      <c r="I9051" s="173" t="s">
        <v>921</v>
      </c>
      <c r="J9051" s="23"/>
      <c r="K9051" s="23"/>
      <c r="L9051" s="23"/>
      <c r="M9051" s="254"/>
    </row>
    <row r="9052" spans="1:13" hidden="1" x14ac:dyDescent="0.3">
      <c r="A9052" s="9">
        <v>6775</v>
      </c>
      <c r="B9052" t="s">
        <v>469</v>
      </c>
      <c r="C9052" s="25">
        <v>44754</v>
      </c>
      <c r="D9052" s="26">
        <v>0.45673611111111106</v>
      </c>
      <c r="E9052" t="s">
        <v>30</v>
      </c>
      <c r="F9052" t="s">
        <v>197</v>
      </c>
      <c r="G9052" t="s">
        <v>44</v>
      </c>
      <c r="H9052" t="s">
        <v>255</v>
      </c>
      <c r="I9052" s="173" t="s">
        <v>920</v>
      </c>
      <c r="J9052" s="23"/>
      <c r="K9052" s="23"/>
      <c r="L9052" s="23"/>
      <c r="M9052" s="254"/>
    </row>
    <row r="9053" spans="1:13" hidden="1" x14ac:dyDescent="0.3">
      <c r="A9053" s="9">
        <v>6790</v>
      </c>
      <c r="B9053" t="s">
        <v>469</v>
      </c>
      <c r="C9053" s="25">
        <v>44754</v>
      </c>
      <c r="D9053" s="26">
        <v>0.85003472222222232</v>
      </c>
      <c r="E9053" t="s">
        <v>30</v>
      </c>
      <c r="F9053" t="s">
        <v>210</v>
      </c>
      <c r="G9053" t="s">
        <v>211</v>
      </c>
      <c r="H9053" t="s">
        <v>255</v>
      </c>
      <c r="I9053" s="173" t="s">
        <v>919</v>
      </c>
      <c r="J9053" s="231">
        <f>217+195+120+312</f>
        <v>844</v>
      </c>
      <c r="K9053" s="151"/>
      <c r="L9053" s="151">
        <v>1790</v>
      </c>
      <c r="M9053" s="182">
        <f>+J9053/L9053*100</f>
        <v>47.150837988826815</v>
      </c>
    </row>
    <row r="9054" spans="1:13" hidden="1" x14ac:dyDescent="0.3">
      <c r="A9054" s="9">
        <v>6807</v>
      </c>
      <c r="B9054" t="s">
        <v>469</v>
      </c>
      <c r="C9054" s="25">
        <v>44755</v>
      </c>
      <c r="D9054" s="26">
        <v>0.86833333333333329</v>
      </c>
      <c r="E9054" t="s">
        <v>30</v>
      </c>
      <c r="F9054" t="s">
        <v>210</v>
      </c>
      <c r="G9054" t="s">
        <v>211</v>
      </c>
      <c r="H9054" t="s">
        <v>255</v>
      </c>
      <c r="I9054" s="173" t="s">
        <v>1042</v>
      </c>
      <c r="J9054" s="23"/>
      <c r="K9054" s="23"/>
      <c r="L9054" s="23"/>
      <c r="M9054" s="254"/>
    </row>
    <row r="9055" spans="1:13" hidden="1" x14ac:dyDescent="0.3">
      <c r="A9055" s="9">
        <v>6806</v>
      </c>
      <c r="B9055" t="s">
        <v>469</v>
      </c>
      <c r="C9055" s="25">
        <v>44756</v>
      </c>
      <c r="D9055" s="26">
        <v>0.38200231481481484</v>
      </c>
      <c r="E9055" t="s">
        <v>30</v>
      </c>
      <c r="F9055" t="s">
        <v>169</v>
      </c>
      <c r="G9055" t="s">
        <v>196</v>
      </c>
      <c r="H9055" t="s">
        <v>255</v>
      </c>
      <c r="I9055" s="173" t="s">
        <v>1041</v>
      </c>
      <c r="J9055" s="23"/>
      <c r="K9055" s="23"/>
      <c r="L9055" s="23"/>
      <c r="M9055" s="267"/>
    </row>
    <row r="9056" spans="1:13" hidden="1" x14ac:dyDescent="0.3">
      <c r="A9056" s="9">
        <v>6771</v>
      </c>
      <c r="B9056" t="s">
        <v>469</v>
      </c>
      <c r="C9056" s="25">
        <v>44756</v>
      </c>
      <c r="D9056" s="26">
        <v>0.88420138888888899</v>
      </c>
      <c r="E9056" t="s">
        <v>30</v>
      </c>
      <c r="F9056" t="s">
        <v>428</v>
      </c>
      <c r="G9056" t="s">
        <v>429</v>
      </c>
      <c r="H9056" t="s">
        <v>255</v>
      </c>
      <c r="I9056" s="173" t="s">
        <v>1040</v>
      </c>
      <c r="J9056" s="23"/>
      <c r="K9056" s="23"/>
      <c r="L9056" s="23"/>
      <c r="M9056" s="254"/>
    </row>
    <row r="9057" spans="1:13" hidden="1" x14ac:dyDescent="0.3">
      <c r="A9057" s="9">
        <v>6789</v>
      </c>
      <c r="B9057" t="s">
        <v>469</v>
      </c>
      <c r="C9057" s="25">
        <v>44756</v>
      </c>
      <c r="D9057" s="26">
        <v>0.8863657407407407</v>
      </c>
      <c r="E9057" t="s">
        <v>30</v>
      </c>
      <c r="F9057" t="s">
        <v>428</v>
      </c>
      <c r="G9057" t="s">
        <v>429</v>
      </c>
      <c r="H9057" t="s">
        <v>255</v>
      </c>
      <c r="I9057" s="173" t="s">
        <v>1039</v>
      </c>
      <c r="J9057" s="151">
        <f>419+185+188</f>
        <v>792</v>
      </c>
      <c r="K9057" s="151"/>
      <c r="L9057" s="151">
        <v>1822</v>
      </c>
      <c r="M9057" s="182">
        <f>+J9057/L9057*100</f>
        <v>43.468715697036224</v>
      </c>
    </row>
    <row r="9058" spans="1:13" hidden="1" x14ac:dyDescent="0.3">
      <c r="A9058" s="9">
        <v>6751</v>
      </c>
      <c r="B9058" t="s">
        <v>349</v>
      </c>
      <c r="C9058" s="25">
        <v>44747</v>
      </c>
      <c r="D9058" s="26">
        <v>8.9583333333333338E-3</v>
      </c>
      <c r="E9058" t="s">
        <v>30</v>
      </c>
      <c r="F9058" t="s">
        <v>197</v>
      </c>
      <c r="G9058" t="s">
        <v>44</v>
      </c>
      <c r="H9058" t="s">
        <v>128</v>
      </c>
      <c r="I9058" s="160">
        <v>99.36</v>
      </c>
      <c r="J9058" s="8"/>
      <c r="K9058" s="8"/>
      <c r="L9058" s="8"/>
      <c r="M9058" s="91"/>
    </row>
    <row r="9059" spans="1:13" hidden="1" x14ac:dyDescent="0.3">
      <c r="A9059" s="9">
        <v>6751</v>
      </c>
      <c r="B9059" t="s">
        <v>349</v>
      </c>
      <c r="C9059" s="25">
        <v>44747</v>
      </c>
      <c r="D9059" s="26">
        <v>0.58509259259259261</v>
      </c>
      <c r="E9059" t="s">
        <v>30</v>
      </c>
      <c r="F9059" t="s">
        <v>210</v>
      </c>
      <c r="G9059" t="s">
        <v>211</v>
      </c>
      <c r="H9059" t="s">
        <v>128</v>
      </c>
      <c r="I9059" s="160">
        <v>536.77</v>
      </c>
      <c r="J9059" s="8"/>
      <c r="K9059" s="8"/>
      <c r="L9059" s="8"/>
      <c r="M9059" s="91"/>
    </row>
    <row r="9060" spans="1:13" hidden="1" x14ac:dyDescent="0.3">
      <c r="A9060" s="9">
        <v>6751</v>
      </c>
      <c r="B9060" t="s">
        <v>349</v>
      </c>
      <c r="C9060" s="25">
        <v>44748</v>
      </c>
      <c r="D9060" s="26">
        <v>0.73868055555555545</v>
      </c>
      <c r="E9060" t="s">
        <v>30</v>
      </c>
      <c r="F9060" t="s">
        <v>210</v>
      </c>
      <c r="G9060" t="s">
        <v>211</v>
      </c>
      <c r="H9060" t="s">
        <v>128</v>
      </c>
      <c r="I9060" s="160">
        <v>376.25</v>
      </c>
      <c r="J9060" s="160">
        <f>200+537+376</f>
        <v>1113</v>
      </c>
      <c r="K9060" s="160">
        <v>1194</v>
      </c>
      <c r="L9060" s="160">
        <v>3657</v>
      </c>
      <c r="M9060" s="149">
        <f>+J9060/L9060*100</f>
        <v>30.434782608695656</v>
      </c>
    </row>
    <row r="9061" spans="1:13" hidden="1" x14ac:dyDescent="0.3">
      <c r="A9061" s="9">
        <v>6751</v>
      </c>
      <c r="B9061" t="s">
        <v>349</v>
      </c>
      <c r="C9061" s="25">
        <v>44749</v>
      </c>
      <c r="D9061" s="26">
        <v>0.49104166666666665</v>
      </c>
      <c r="E9061" t="s">
        <v>30</v>
      </c>
      <c r="F9061" t="s">
        <v>782</v>
      </c>
      <c r="G9061" t="s">
        <v>277</v>
      </c>
      <c r="H9061" t="s">
        <v>128</v>
      </c>
      <c r="I9061" s="173" t="s">
        <v>837</v>
      </c>
      <c r="J9061" s="8"/>
      <c r="K9061" s="8"/>
      <c r="L9061" s="8"/>
      <c r="M9061" s="91"/>
    </row>
    <row r="9062" spans="1:13" hidden="1" x14ac:dyDescent="0.3">
      <c r="A9062" s="9">
        <v>6751</v>
      </c>
      <c r="B9062" t="s">
        <v>349</v>
      </c>
      <c r="C9062" s="25">
        <v>44750</v>
      </c>
      <c r="D9062" s="26">
        <v>0.58431712962962956</v>
      </c>
      <c r="E9062" t="s">
        <v>30</v>
      </c>
      <c r="F9062" t="s">
        <v>210</v>
      </c>
      <c r="G9062" t="s">
        <v>211</v>
      </c>
      <c r="H9062" t="s">
        <v>128</v>
      </c>
      <c r="I9062" s="173" t="s">
        <v>836</v>
      </c>
      <c r="J9062" s="8"/>
      <c r="K9062" s="8"/>
      <c r="L9062" s="8"/>
      <c r="M9062" s="91"/>
    </row>
    <row r="9063" spans="1:13" hidden="1" x14ac:dyDescent="0.3">
      <c r="A9063" s="9">
        <v>6751</v>
      </c>
      <c r="B9063" t="s">
        <v>349</v>
      </c>
      <c r="C9063" s="25">
        <v>44751</v>
      </c>
      <c r="D9063" s="26">
        <v>0.79564814814814822</v>
      </c>
      <c r="E9063" t="s">
        <v>30</v>
      </c>
      <c r="F9063" t="s">
        <v>210</v>
      </c>
      <c r="G9063" t="s">
        <v>211</v>
      </c>
      <c r="H9063" t="s">
        <v>128</v>
      </c>
      <c r="I9063" s="173" t="s">
        <v>835</v>
      </c>
      <c r="J9063" s="160">
        <f>258+354+403</f>
        <v>1015</v>
      </c>
      <c r="K9063" s="160"/>
      <c r="L9063" s="160">
        <v>2700</v>
      </c>
      <c r="M9063" s="149">
        <f>+J9063/L9063*100</f>
        <v>37.592592592592595</v>
      </c>
    </row>
    <row r="9064" spans="1:13" hidden="1" x14ac:dyDescent="0.3">
      <c r="A9064" s="9">
        <v>6751</v>
      </c>
      <c r="B9064" t="s">
        <v>349</v>
      </c>
      <c r="C9064" s="25">
        <v>44753</v>
      </c>
      <c r="D9064" s="26">
        <v>0.4395486111111111</v>
      </c>
      <c r="E9064" t="s">
        <v>30</v>
      </c>
      <c r="F9064" t="s">
        <v>880</v>
      </c>
      <c r="G9064" t="s">
        <v>277</v>
      </c>
      <c r="H9064" t="s">
        <v>128</v>
      </c>
      <c r="I9064" s="173" t="s">
        <v>918</v>
      </c>
      <c r="J9064" s="23"/>
      <c r="K9064" s="23"/>
      <c r="L9064" s="23"/>
      <c r="M9064" s="254"/>
    </row>
    <row r="9065" spans="1:13" hidden="1" x14ac:dyDescent="0.3">
      <c r="A9065" s="9">
        <v>6751</v>
      </c>
      <c r="B9065" t="s">
        <v>349</v>
      </c>
      <c r="C9065" s="25">
        <v>44754</v>
      </c>
      <c r="D9065" s="26">
        <v>0.71233796296296292</v>
      </c>
      <c r="E9065" t="s">
        <v>30</v>
      </c>
      <c r="F9065" t="s">
        <v>210</v>
      </c>
      <c r="G9065" t="s">
        <v>211</v>
      </c>
      <c r="H9065" t="s">
        <v>128</v>
      </c>
      <c r="I9065" s="173" t="s">
        <v>917</v>
      </c>
      <c r="J9065" s="231">
        <f>267+419</f>
        <v>686</v>
      </c>
      <c r="K9065" s="151"/>
      <c r="L9065" s="231">
        <v>1800</v>
      </c>
      <c r="M9065" s="150">
        <f>+J9065/L9065*100</f>
        <v>38.111111111111114</v>
      </c>
    </row>
    <row r="9066" spans="1:13" hidden="1" x14ac:dyDescent="0.3">
      <c r="A9066" s="9">
        <v>6751</v>
      </c>
      <c r="B9066" t="s">
        <v>349</v>
      </c>
      <c r="C9066" s="25">
        <v>44755</v>
      </c>
      <c r="D9066" s="26">
        <v>0.41385416666666663</v>
      </c>
      <c r="E9066" t="s">
        <v>30</v>
      </c>
      <c r="F9066" t="s">
        <v>780</v>
      </c>
      <c r="G9066" t="s">
        <v>279</v>
      </c>
      <c r="H9066" t="s">
        <v>128</v>
      </c>
      <c r="I9066" s="173" t="s">
        <v>1038</v>
      </c>
      <c r="J9066" s="23"/>
      <c r="K9066" s="23"/>
      <c r="L9066" s="23"/>
      <c r="M9066" s="254"/>
    </row>
    <row r="9067" spans="1:13" hidden="1" x14ac:dyDescent="0.3">
      <c r="A9067" s="9">
        <v>6751</v>
      </c>
      <c r="B9067" t="s">
        <v>349</v>
      </c>
      <c r="C9067" s="25">
        <v>44755</v>
      </c>
      <c r="D9067" s="26">
        <v>0.8246296296296296</v>
      </c>
      <c r="E9067" t="s">
        <v>30</v>
      </c>
      <c r="F9067" t="s">
        <v>776</v>
      </c>
      <c r="G9067" t="s">
        <v>337</v>
      </c>
      <c r="H9067" t="s">
        <v>128</v>
      </c>
      <c r="I9067" s="247" t="s">
        <v>1037</v>
      </c>
      <c r="J9067" s="66"/>
      <c r="K9067" s="66"/>
      <c r="L9067" s="66"/>
      <c r="M9067" s="272"/>
    </row>
    <row r="9068" spans="1:13" hidden="1" x14ac:dyDescent="0.3">
      <c r="A9068" s="9">
        <v>6751</v>
      </c>
      <c r="B9068" t="s">
        <v>349</v>
      </c>
      <c r="C9068" s="25">
        <v>44757</v>
      </c>
      <c r="D9068" s="26">
        <v>0.45861111111111108</v>
      </c>
      <c r="E9068" t="s">
        <v>30</v>
      </c>
      <c r="F9068" t="s">
        <v>779</v>
      </c>
      <c r="G9068" t="s">
        <v>45</v>
      </c>
      <c r="H9068" t="s">
        <v>128</v>
      </c>
      <c r="I9068" s="173" t="s">
        <v>1036</v>
      </c>
      <c r="J9068" s="23"/>
      <c r="K9068" s="23"/>
      <c r="L9068" s="23"/>
      <c r="M9068" s="254"/>
    </row>
    <row r="9069" spans="1:13" hidden="1" x14ac:dyDescent="0.3">
      <c r="A9069" s="9">
        <v>6751</v>
      </c>
      <c r="B9069" t="s">
        <v>349</v>
      </c>
      <c r="C9069" s="25">
        <v>44758</v>
      </c>
      <c r="D9069" s="26">
        <v>0.31008101851851849</v>
      </c>
      <c r="E9069" t="s">
        <v>30</v>
      </c>
      <c r="F9069" t="s">
        <v>446</v>
      </c>
      <c r="G9069" t="s">
        <v>402</v>
      </c>
      <c r="H9069" t="s">
        <v>128</v>
      </c>
      <c r="I9069" s="173" t="s">
        <v>1035</v>
      </c>
      <c r="J9069" s="23"/>
      <c r="K9069" s="23"/>
      <c r="L9069" s="23"/>
      <c r="M9069" s="254"/>
    </row>
    <row r="9070" spans="1:13" hidden="1" x14ac:dyDescent="0.3">
      <c r="B9070" t="s">
        <v>349</v>
      </c>
      <c r="C9070" s="25">
        <v>44764</v>
      </c>
      <c r="D9070" s="26">
        <v>0.640625</v>
      </c>
      <c r="E9070" t="s">
        <v>30</v>
      </c>
      <c r="F9070" t="s">
        <v>197</v>
      </c>
      <c r="G9070" t="s">
        <v>44</v>
      </c>
      <c r="H9070" t="s">
        <v>128</v>
      </c>
      <c r="I9070" s="160">
        <v>134.77000000000001</v>
      </c>
      <c r="J9070" s="8"/>
      <c r="K9070" s="8"/>
      <c r="L9070" s="8"/>
      <c r="M9070" s="254"/>
    </row>
    <row r="9071" spans="1:13" hidden="1" x14ac:dyDescent="0.3">
      <c r="B9071" t="s">
        <v>349</v>
      </c>
      <c r="C9071" s="25">
        <v>44765</v>
      </c>
      <c r="D9071" s="26">
        <v>0.46166666666666667</v>
      </c>
      <c r="E9071" t="s">
        <v>30</v>
      </c>
      <c r="F9071" t="s">
        <v>210</v>
      </c>
      <c r="G9071" t="s">
        <v>211</v>
      </c>
      <c r="H9071" t="s">
        <v>128</v>
      </c>
      <c r="I9071" s="160">
        <v>361.05</v>
      </c>
      <c r="J9071" s="160">
        <f>361+135+364+416+296+122</f>
        <v>1694</v>
      </c>
      <c r="K9071" s="160">
        <v>1194</v>
      </c>
      <c r="L9071" s="160">
        <v>4375</v>
      </c>
      <c r="M9071" s="150">
        <f t="shared" ref="M9071:M9076" si="545">+J9071/L9071*100</f>
        <v>38.72</v>
      </c>
    </row>
    <row r="9072" spans="1:13" hidden="1" x14ac:dyDescent="0.3">
      <c r="B9072" t="s">
        <v>349</v>
      </c>
      <c r="C9072" s="25">
        <v>44766</v>
      </c>
      <c r="D9072" s="26">
        <v>0.67876157407407411</v>
      </c>
      <c r="E9072" t="s">
        <v>30</v>
      </c>
      <c r="F9072" t="s">
        <v>210</v>
      </c>
      <c r="G9072" t="s">
        <v>211</v>
      </c>
      <c r="H9072" t="s">
        <v>128</v>
      </c>
      <c r="I9072" s="160">
        <v>387.52</v>
      </c>
      <c r="J9072" s="8"/>
      <c r="K9072" s="8"/>
      <c r="L9072" s="8"/>
      <c r="M9072" s="254"/>
    </row>
    <row r="9073" spans="1:13" hidden="1" x14ac:dyDescent="0.3">
      <c r="B9073" t="s">
        <v>349</v>
      </c>
      <c r="C9073" s="25">
        <v>44767</v>
      </c>
      <c r="D9073" s="26">
        <v>0.41593750000000002</v>
      </c>
      <c r="E9073" t="s">
        <v>30</v>
      </c>
      <c r="F9073" t="s">
        <v>169</v>
      </c>
      <c r="G9073" t="s">
        <v>196</v>
      </c>
      <c r="H9073" t="s">
        <v>128</v>
      </c>
      <c r="I9073" s="160">
        <v>186.32</v>
      </c>
      <c r="J9073" s="8"/>
      <c r="K9073" s="8"/>
      <c r="L9073" s="8"/>
      <c r="M9073" s="254"/>
    </row>
    <row r="9074" spans="1:13" hidden="1" x14ac:dyDescent="0.3">
      <c r="B9074" t="s">
        <v>349</v>
      </c>
      <c r="C9074" s="25">
        <v>44768</v>
      </c>
      <c r="D9074" s="26">
        <v>0.42652777777777778</v>
      </c>
      <c r="E9074" t="s">
        <v>30</v>
      </c>
      <c r="F9074" t="s">
        <v>197</v>
      </c>
      <c r="G9074" t="s">
        <v>44</v>
      </c>
      <c r="H9074" t="s">
        <v>128</v>
      </c>
      <c r="I9074" s="160">
        <v>139.1</v>
      </c>
      <c r="J9074" s="8"/>
      <c r="K9074" s="8"/>
      <c r="L9074" s="8"/>
      <c r="M9074" s="254"/>
    </row>
    <row r="9075" spans="1:13" hidden="1" x14ac:dyDescent="0.3">
      <c r="B9075" t="s">
        <v>349</v>
      </c>
      <c r="C9075" s="25">
        <v>44769</v>
      </c>
      <c r="D9075" s="26">
        <v>5.3495370370370367E-2</v>
      </c>
      <c r="E9075" t="s">
        <v>30</v>
      </c>
      <c r="F9075" t="s">
        <v>278</v>
      </c>
      <c r="G9075" t="s">
        <v>279</v>
      </c>
      <c r="H9075" t="s">
        <v>128</v>
      </c>
      <c r="I9075" s="160">
        <v>521.41</v>
      </c>
      <c r="J9075" s="8"/>
      <c r="K9075" s="8"/>
      <c r="L9075" s="8"/>
      <c r="M9075" s="254"/>
    </row>
    <row r="9076" spans="1:13" hidden="1" x14ac:dyDescent="0.3">
      <c r="B9076" t="s">
        <v>349</v>
      </c>
      <c r="C9076" s="25">
        <v>44769</v>
      </c>
      <c r="D9076" s="26">
        <v>0.8677893518518518</v>
      </c>
      <c r="E9076" t="s">
        <v>30</v>
      </c>
      <c r="F9076" t="s">
        <v>210</v>
      </c>
      <c r="G9076" t="s">
        <v>211</v>
      </c>
      <c r="H9076" t="s">
        <v>128</v>
      </c>
      <c r="I9076" s="160">
        <v>261.33999999999997</v>
      </c>
      <c r="J9076" s="160">
        <f>261+521+139+186+387</f>
        <v>1494</v>
      </c>
      <c r="K9076" s="160">
        <v>1194</v>
      </c>
      <c r="L9076" s="160">
        <v>3969</v>
      </c>
      <c r="M9076" s="150">
        <f t="shared" si="545"/>
        <v>37.641723356009074</v>
      </c>
    </row>
    <row r="9077" spans="1:13" hidden="1" x14ac:dyDescent="0.3">
      <c r="B9077" t="s">
        <v>349</v>
      </c>
      <c r="C9077" s="25">
        <v>44770</v>
      </c>
      <c r="D9077" s="26">
        <v>0.94351851851851853</v>
      </c>
      <c r="E9077" t="s">
        <v>30</v>
      </c>
      <c r="F9077" t="s">
        <v>446</v>
      </c>
      <c r="G9077" t="s">
        <v>402</v>
      </c>
      <c r="H9077" t="s">
        <v>128</v>
      </c>
      <c r="I9077" s="160">
        <v>207.4</v>
      </c>
      <c r="J9077" s="8"/>
      <c r="K9077" s="8"/>
      <c r="L9077" s="8"/>
      <c r="M9077" s="254"/>
    </row>
    <row r="9078" spans="1:13" hidden="1" x14ac:dyDescent="0.3">
      <c r="A9078" s="9">
        <v>6751</v>
      </c>
      <c r="B9078" t="s">
        <v>885</v>
      </c>
      <c r="C9078" s="25">
        <v>44753</v>
      </c>
      <c r="D9078" s="26">
        <v>0.85054398148148147</v>
      </c>
      <c r="E9078" t="s">
        <v>30</v>
      </c>
      <c r="F9078" t="s">
        <v>338</v>
      </c>
      <c r="G9078" t="s">
        <v>388</v>
      </c>
      <c r="H9078" t="s">
        <v>746</v>
      </c>
      <c r="I9078" s="8" t="s">
        <v>890</v>
      </c>
      <c r="J9078" s="23"/>
      <c r="K9078" s="90"/>
      <c r="L9078" s="23"/>
      <c r="M9078" s="19"/>
    </row>
    <row r="9079" spans="1:13" hidden="1" x14ac:dyDescent="0.3">
      <c r="A9079" s="9">
        <v>6762</v>
      </c>
      <c r="B9079" t="s">
        <v>681</v>
      </c>
      <c r="C9079" s="25">
        <v>44759</v>
      </c>
      <c r="D9079" s="26">
        <v>0.74673611111111116</v>
      </c>
      <c r="E9079" t="s">
        <v>30</v>
      </c>
      <c r="F9079" t="s">
        <v>226</v>
      </c>
      <c r="G9079" t="s">
        <v>227</v>
      </c>
      <c r="H9079" t="s">
        <v>746</v>
      </c>
      <c r="I9079" s="8" t="s">
        <v>1047</v>
      </c>
      <c r="J9079" s="23"/>
      <c r="K9079" s="90"/>
      <c r="L9079" s="23"/>
      <c r="M9079" s="19"/>
    </row>
    <row r="9080" spans="1:13" hidden="1" x14ac:dyDescent="0.3">
      <c r="A9080" s="9">
        <v>6798</v>
      </c>
      <c r="B9080" t="s">
        <v>681</v>
      </c>
      <c r="C9080" s="25">
        <v>44758</v>
      </c>
      <c r="D9080" s="26">
        <v>0.64636574074074071</v>
      </c>
      <c r="E9080" t="s">
        <v>30</v>
      </c>
      <c r="F9080" t="s">
        <v>368</v>
      </c>
      <c r="G9080" t="s">
        <v>369</v>
      </c>
      <c r="H9080" t="s">
        <v>746</v>
      </c>
      <c r="I9080" s="8" t="s">
        <v>1048</v>
      </c>
      <c r="J9080" s="23"/>
      <c r="K9080" s="90"/>
      <c r="L9080" s="23"/>
      <c r="M9080" s="19"/>
    </row>
    <row r="9081" spans="1:13" hidden="1" x14ac:dyDescent="0.3">
      <c r="A9081" s="9">
        <v>6799</v>
      </c>
      <c r="B9081" t="s">
        <v>681</v>
      </c>
      <c r="C9081" s="25">
        <v>44758</v>
      </c>
      <c r="D9081" s="26">
        <v>0.43072916666666666</v>
      </c>
      <c r="E9081" t="s">
        <v>30</v>
      </c>
      <c r="F9081" t="s">
        <v>268</v>
      </c>
      <c r="G9081" t="s">
        <v>269</v>
      </c>
      <c r="H9081" t="s">
        <v>746</v>
      </c>
      <c r="I9081" s="8" t="s">
        <v>1049</v>
      </c>
      <c r="J9081" s="23"/>
      <c r="K9081" s="90"/>
      <c r="L9081" s="23"/>
      <c r="M9081" s="19"/>
    </row>
    <row r="9082" spans="1:13" hidden="1" x14ac:dyDescent="0.3">
      <c r="A9082" s="9">
        <v>6751</v>
      </c>
      <c r="B9082" t="s">
        <v>257</v>
      </c>
      <c r="C9082" s="25">
        <v>44749</v>
      </c>
      <c r="D9082" s="26">
        <v>6.4942129629629627E-2</v>
      </c>
      <c r="E9082" t="s">
        <v>30</v>
      </c>
      <c r="F9082" t="s">
        <v>210</v>
      </c>
      <c r="G9082" t="s">
        <v>487</v>
      </c>
      <c r="H9082" t="s">
        <v>124</v>
      </c>
      <c r="I9082" s="173" t="s">
        <v>839</v>
      </c>
      <c r="J9082" s="8"/>
      <c r="K9082" s="8"/>
      <c r="L9082" s="8"/>
      <c r="M9082" s="91"/>
    </row>
    <row r="9083" spans="1:13" hidden="1" x14ac:dyDescent="0.3">
      <c r="A9083" s="9">
        <v>6751</v>
      </c>
      <c r="B9083" t="s">
        <v>257</v>
      </c>
      <c r="C9083" s="25">
        <v>44749</v>
      </c>
      <c r="D9083" s="26">
        <v>8.3344907407407409E-2</v>
      </c>
      <c r="E9083" t="s">
        <v>30</v>
      </c>
      <c r="F9083" t="s">
        <v>210</v>
      </c>
      <c r="G9083" t="s">
        <v>487</v>
      </c>
      <c r="H9083" t="s">
        <v>124</v>
      </c>
      <c r="I9083" s="173" t="s">
        <v>841</v>
      </c>
      <c r="J9083" s="8"/>
      <c r="K9083" s="8"/>
      <c r="L9083" s="8"/>
      <c r="M9083" s="91"/>
    </row>
    <row r="9084" spans="1:13" hidden="1" x14ac:dyDescent="0.3">
      <c r="A9084" s="9">
        <v>6751</v>
      </c>
      <c r="B9084" t="s">
        <v>257</v>
      </c>
      <c r="C9084" s="25">
        <v>44749</v>
      </c>
      <c r="D9084" s="26">
        <v>0.72245370370370365</v>
      </c>
      <c r="E9084" t="s">
        <v>30</v>
      </c>
      <c r="F9084" t="s">
        <v>165</v>
      </c>
      <c r="G9084" t="s">
        <v>185</v>
      </c>
      <c r="H9084" t="s">
        <v>124</v>
      </c>
      <c r="I9084" s="173" t="s">
        <v>840</v>
      </c>
      <c r="J9084" s="8"/>
      <c r="K9084" s="8"/>
      <c r="L9084" s="8"/>
      <c r="M9084" s="91"/>
    </row>
    <row r="9085" spans="1:13" hidden="1" x14ac:dyDescent="0.3">
      <c r="A9085" s="9">
        <v>6751</v>
      </c>
      <c r="B9085" t="s">
        <v>257</v>
      </c>
      <c r="C9085" s="25">
        <v>44751</v>
      </c>
      <c r="D9085" s="26">
        <v>0.77728009259259256</v>
      </c>
      <c r="E9085" t="s">
        <v>30</v>
      </c>
      <c r="F9085" t="s">
        <v>210</v>
      </c>
      <c r="G9085" t="s">
        <v>487</v>
      </c>
      <c r="H9085" t="s">
        <v>124</v>
      </c>
      <c r="I9085" s="173" t="s">
        <v>839</v>
      </c>
      <c r="J9085" s="8"/>
      <c r="K9085" s="8"/>
      <c r="L9085" s="8"/>
      <c r="M9085" s="91"/>
    </row>
    <row r="9086" spans="1:13" hidden="1" x14ac:dyDescent="0.3">
      <c r="A9086" s="9">
        <v>6751</v>
      </c>
      <c r="B9086" t="s">
        <v>257</v>
      </c>
      <c r="C9086" s="25">
        <v>44751</v>
      </c>
      <c r="D9086" s="26">
        <v>0.79046296296296292</v>
      </c>
      <c r="E9086" t="s">
        <v>30</v>
      </c>
      <c r="F9086" t="s">
        <v>210</v>
      </c>
      <c r="G9086" t="s">
        <v>487</v>
      </c>
      <c r="H9086" t="s">
        <v>124</v>
      </c>
      <c r="I9086" s="173" t="s">
        <v>838</v>
      </c>
      <c r="J9086" s="160">
        <f>623+93+625+159+263+625+83</f>
        <v>2471</v>
      </c>
      <c r="K9086" s="160"/>
      <c r="L9086" s="160">
        <v>7006</v>
      </c>
      <c r="M9086" s="149">
        <f>+J9086/L9086*100</f>
        <v>35.269768769626033</v>
      </c>
    </row>
    <row r="9087" spans="1:13" hidden="1" x14ac:dyDescent="0.3">
      <c r="A9087" s="9">
        <v>6751</v>
      </c>
      <c r="B9087" t="s">
        <v>257</v>
      </c>
      <c r="C9087" s="25">
        <v>44754</v>
      </c>
      <c r="D9087" s="26">
        <v>3.3090277777777781E-2</v>
      </c>
      <c r="E9087" t="s">
        <v>30</v>
      </c>
      <c r="F9087" t="s">
        <v>165</v>
      </c>
      <c r="G9087" t="s">
        <v>185</v>
      </c>
      <c r="H9087" t="s">
        <v>124</v>
      </c>
      <c r="I9087" s="173" t="s">
        <v>915</v>
      </c>
      <c r="J9087" s="23"/>
      <c r="K9087" s="23"/>
      <c r="L9087" s="23"/>
      <c r="M9087" s="91"/>
    </row>
    <row r="9088" spans="1:13" hidden="1" x14ac:dyDescent="0.3">
      <c r="A9088" s="9">
        <v>6751</v>
      </c>
      <c r="B9088" t="s">
        <v>257</v>
      </c>
      <c r="C9088" s="25">
        <v>44754</v>
      </c>
      <c r="D9088" s="26">
        <v>4.3506944444444445E-2</v>
      </c>
      <c r="E9088" t="s">
        <v>30</v>
      </c>
      <c r="F9088" t="s">
        <v>165</v>
      </c>
      <c r="G9088" t="s">
        <v>185</v>
      </c>
      <c r="H9088" t="s">
        <v>124</v>
      </c>
      <c r="I9088" s="173" t="s">
        <v>800</v>
      </c>
      <c r="J9088" s="23"/>
      <c r="K9088" s="23"/>
      <c r="L9088" s="23"/>
      <c r="M9088" s="91"/>
    </row>
    <row r="9089" spans="1:13" hidden="1" x14ac:dyDescent="0.3">
      <c r="A9089" s="9">
        <v>6751</v>
      </c>
      <c r="B9089" t="s">
        <v>257</v>
      </c>
      <c r="C9089" s="25">
        <v>44756</v>
      </c>
      <c r="D9089" s="26">
        <v>0.72333333333333327</v>
      </c>
      <c r="E9089" t="s">
        <v>30</v>
      </c>
      <c r="F9089" t="s">
        <v>210</v>
      </c>
      <c r="G9089" t="s">
        <v>487</v>
      </c>
      <c r="H9089" t="s">
        <v>124</v>
      </c>
      <c r="I9089" s="173" t="s">
        <v>839</v>
      </c>
      <c r="J9089" s="23"/>
      <c r="K9089" s="23"/>
      <c r="L9089" s="23"/>
      <c r="M9089" s="91"/>
    </row>
    <row r="9090" spans="1:13" hidden="1" x14ac:dyDescent="0.3">
      <c r="A9090" s="9">
        <v>6751</v>
      </c>
      <c r="B9090" t="s">
        <v>257</v>
      </c>
      <c r="C9090" s="25">
        <v>44756</v>
      </c>
      <c r="D9090" s="26">
        <v>0.73966435185185186</v>
      </c>
      <c r="E9090" t="s">
        <v>30</v>
      </c>
      <c r="F9090" t="s">
        <v>210</v>
      </c>
      <c r="G9090" t="s">
        <v>487</v>
      </c>
      <c r="H9090" t="s">
        <v>124</v>
      </c>
      <c r="I9090" s="173" t="s">
        <v>1029</v>
      </c>
      <c r="J9090" s="23"/>
      <c r="K9090" s="23"/>
      <c r="L9090" s="23"/>
      <c r="M9090" s="91"/>
    </row>
    <row r="9091" spans="1:13" hidden="1" x14ac:dyDescent="0.3">
      <c r="A9091" s="9">
        <v>6751</v>
      </c>
      <c r="B9091" t="s">
        <v>257</v>
      </c>
      <c r="C9091" s="25">
        <v>44757</v>
      </c>
      <c r="D9091" s="26">
        <v>0.19197916666666667</v>
      </c>
      <c r="E9091" t="s">
        <v>30</v>
      </c>
      <c r="F9091" t="s">
        <v>165</v>
      </c>
      <c r="G9091" t="s">
        <v>185</v>
      </c>
      <c r="H9091" t="s">
        <v>124</v>
      </c>
      <c r="I9091" s="173" t="s">
        <v>931</v>
      </c>
      <c r="J9091" s="23"/>
      <c r="K9091" s="23"/>
      <c r="L9091" s="23"/>
      <c r="M9091" s="91"/>
    </row>
    <row r="9092" spans="1:13" hidden="1" x14ac:dyDescent="0.3">
      <c r="A9092" s="9">
        <v>6751</v>
      </c>
      <c r="B9092" t="s">
        <v>257</v>
      </c>
      <c r="C9092" s="25">
        <v>44759</v>
      </c>
      <c r="D9092" s="26">
        <v>0.51454861111111116</v>
      </c>
      <c r="E9092" t="s">
        <v>30</v>
      </c>
      <c r="F9092" t="s">
        <v>210</v>
      </c>
      <c r="G9092" t="s">
        <v>211</v>
      </c>
      <c r="H9092" t="s">
        <v>124</v>
      </c>
      <c r="I9092" s="173" t="s">
        <v>933</v>
      </c>
      <c r="J9092" s="23"/>
      <c r="K9092" s="23"/>
      <c r="L9092" s="23"/>
      <c r="M9092" s="91"/>
    </row>
    <row r="9093" spans="1:13" hidden="1" x14ac:dyDescent="0.3">
      <c r="A9093" s="9">
        <v>6751</v>
      </c>
      <c r="B9093" t="s">
        <v>257</v>
      </c>
      <c r="C9093" s="25">
        <v>44759</v>
      </c>
      <c r="D9093" s="26">
        <v>0.52909722222222222</v>
      </c>
      <c r="E9093" t="s">
        <v>30</v>
      </c>
      <c r="F9093" t="s">
        <v>210</v>
      </c>
      <c r="G9093" t="s">
        <v>211</v>
      </c>
      <c r="H9093" t="s">
        <v>124</v>
      </c>
      <c r="I9093" s="173" t="s">
        <v>1028</v>
      </c>
      <c r="J9093" s="231">
        <f>180+613+250+132+625+100</f>
        <v>1900</v>
      </c>
      <c r="K9093" s="231"/>
      <c r="L9093" s="231">
        <v>5054</v>
      </c>
      <c r="M9093" s="150">
        <f t="shared" ref="M9093:M9100" si="546">+J9093/L9093*100</f>
        <v>37.593984962406012</v>
      </c>
    </row>
    <row r="9094" spans="1:13" hidden="1" x14ac:dyDescent="0.3">
      <c r="B9094" t="s">
        <v>257</v>
      </c>
      <c r="C9094" s="25">
        <v>44761</v>
      </c>
      <c r="D9094" s="26">
        <v>0.80439814814814825</v>
      </c>
      <c r="E9094" t="s">
        <v>30</v>
      </c>
      <c r="F9094" t="s">
        <v>278</v>
      </c>
      <c r="G9094" t="s">
        <v>279</v>
      </c>
      <c r="H9094" t="s">
        <v>124</v>
      </c>
      <c r="I9094" s="160">
        <v>627.79</v>
      </c>
      <c r="J9094" s="8"/>
      <c r="K9094" s="8"/>
      <c r="L9094" s="8"/>
      <c r="M9094" s="254"/>
    </row>
    <row r="9095" spans="1:13" hidden="1" x14ac:dyDescent="0.3">
      <c r="B9095" t="s">
        <v>257</v>
      </c>
      <c r="C9095" s="25">
        <v>44761</v>
      </c>
      <c r="D9095" s="26">
        <v>0.81986111111111104</v>
      </c>
      <c r="E9095" t="s">
        <v>30</v>
      </c>
      <c r="F9095" t="s">
        <v>278</v>
      </c>
      <c r="G9095" t="s">
        <v>279</v>
      </c>
      <c r="H9095" t="s">
        <v>124</v>
      </c>
      <c r="I9095" s="160">
        <v>178.15</v>
      </c>
      <c r="J9095" s="8"/>
      <c r="K9095" s="8"/>
      <c r="L9095" s="8"/>
      <c r="M9095" s="254"/>
    </row>
    <row r="9096" spans="1:13" hidden="1" x14ac:dyDescent="0.3">
      <c r="B9096" t="s">
        <v>257</v>
      </c>
      <c r="C9096" s="25">
        <v>44764</v>
      </c>
      <c r="D9096" s="26">
        <v>0.7251967592592593</v>
      </c>
      <c r="E9096" t="s">
        <v>30</v>
      </c>
      <c r="F9096" t="s">
        <v>210</v>
      </c>
      <c r="G9096" t="s">
        <v>211</v>
      </c>
      <c r="H9096" t="s">
        <v>124</v>
      </c>
      <c r="I9096" s="160">
        <v>613.21</v>
      </c>
      <c r="J9096" s="8"/>
      <c r="K9096" s="8"/>
      <c r="L9096" s="8"/>
      <c r="M9096" s="254"/>
    </row>
    <row r="9097" spans="1:13" hidden="1" x14ac:dyDescent="0.3">
      <c r="B9097" t="s">
        <v>257</v>
      </c>
      <c r="C9097" s="25">
        <v>44764</v>
      </c>
      <c r="D9097" s="26">
        <v>0.73906250000000007</v>
      </c>
      <c r="E9097" t="s">
        <v>30</v>
      </c>
      <c r="F9097" t="s">
        <v>210</v>
      </c>
      <c r="G9097" t="s">
        <v>211</v>
      </c>
      <c r="H9097" t="s">
        <v>124</v>
      </c>
      <c r="I9097" s="160">
        <v>95.56</v>
      </c>
      <c r="J9097" s="160">
        <f>95+613+178+628</f>
        <v>1514</v>
      </c>
      <c r="K9097" s="160">
        <v>381597</v>
      </c>
      <c r="L9097" s="160">
        <v>4456</v>
      </c>
      <c r="M9097" s="150">
        <f t="shared" si="546"/>
        <v>33.97666068222621</v>
      </c>
    </row>
    <row r="9098" spans="1:13" hidden="1" x14ac:dyDescent="0.3">
      <c r="B9098" t="s">
        <v>257</v>
      </c>
      <c r="C9098" s="25">
        <v>44765</v>
      </c>
      <c r="D9098" s="26">
        <v>0.75949074074074074</v>
      </c>
      <c r="E9098" t="s">
        <v>30</v>
      </c>
      <c r="F9098" t="s">
        <v>210</v>
      </c>
      <c r="G9098" t="s">
        <v>211</v>
      </c>
      <c r="H9098" t="s">
        <v>124</v>
      </c>
      <c r="I9098" s="160">
        <v>368.03</v>
      </c>
      <c r="J9098" s="8"/>
      <c r="K9098" s="8"/>
      <c r="L9098" s="8"/>
      <c r="M9098" s="254"/>
    </row>
    <row r="9099" spans="1:13" hidden="1" x14ac:dyDescent="0.3">
      <c r="B9099" t="s">
        <v>257</v>
      </c>
      <c r="C9099" s="25">
        <v>44772</v>
      </c>
      <c r="D9099" s="26">
        <v>0.94598379629629636</v>
      </c>
      <c r="E9099" t="s">
        <v>30</v>
      </c>
      <c r="F9099" t="s">
        <v>210</v>
      </c>
      <c r="G9099" t="s">
        <v>211</v>
      </c>
      <c r="H9099" t="s">
        <v>124</v>
      </c>
      <c r="I9099" s="160">
        <v>613.21</v>
      </c>
      <c r="J9099" s="8"/>
      <c r="K9099" s="8"/>
      <c r="L9099" s="8"/>
      <c r="M9099" s="254"/>
    </row>
    <row r="9100" spans="1:13" hidden="1" x14ac:dyDescent="0.3">
      <c r="B9100" t="s">
        <v>257</v>
      </c>
      <c r="C9100" s="25">
        <v>44773</v>
      </c>
      <c r="D9100" s="26">
        <v>0.83453703703703708</v>
      </c>
      <c r="E9100" t="s">
        <v>30</v>
      </c>
      <c r="F9100" t="s">
        <v>210</v>
      </c>
      <c r="G9100" t="s">
        <v>211</v>
      </c>
      <c r="H9100" t="s">
        <v>124</v>
      </c>
      <c r="I9100" s="160">
        <v>325.5</v>
      </c>
      <c r="J9100" s="160">
        <f>368+613+325</f>
        <v>1306</v>
      </c>
      <c r="K9100" s="160">
        <v>385614</v>
      </c>
      <c r="L9100" s="160">
        <v>3806</v>
      </c>
      <c r="M9100" s="150">
        <f t="shared" si="546"/>
        <v>34.314240672622176</v>
      </c>
    </row>
    <row r="9101" spans="1:13" hidden="1" x14ac:dyDescent="0.3">
      <c r="B9101" t="s">
        <v>258</v>
      </c>
      <c r="C9101" s="25">
        <v>44743</v>
      </c>
      <c r="D9101" s="26">
        <v>0.68523148148148139</v>
      </c>
      <c r="E9101" t="s">
        <v>30</v>
      </c>
      <c r="F9101" t="s">
        <v>165</v>
      </c>
      <c r="G9101" t="s">
        <v>185</v>
      </c>
      <c r="H9101" t="s">
        <v>259</v>
      </c>
      <c r="I9101" s="159">
        <v>205.01</v>
      </c>
      <c r="J9101"/>
      <c r="K9101"/>
      <c r="L9101"/>
      <c r="M9101" s="248"/>
    </row>
    <row r="9102" spans="1:13" hidden="1" x14ac:dyDescent="0.3">
      <c r="B9102" t="s">
        <v>258</v>
      </c>
      <c r="C9102" s="25">
        <v>44744</v>
      </c>
      <c r="D9102" s="26">
        <v>0.3919212962962963</v>
      </c>
      <c r="E9102" t="s">
        <v>30</v>
      </c>
      <c r="F9102" t="s">
        <v>210</v>
      </c>
      <c r="G9102" t="s">
        <v>211</v>
      </c>
      <c r="H9102" t="s">
        <v>259</v>
      </c>
      <c r="I9102" s="173">
        <v>210.51</v>
      </c>
      <c r="J9102" s="8"/>
      <c r="K9102" s="8"/>
      <c r="L9102" s="8"/>
      <c r="M9102" s="91"/>
    </row>
    <row r="9103" spans="1:13" hidden="1" x14ac:dyDescent="0.3">
      <c r="B9103" t="s">
        <v>258</v>
      </c>
      <c r="C9103" s="25">
        <v>44744</v>
      </c>
      <c r="D9103" s="26">
        <v>0.85043981481481479</v>
      </c>
      <c r="E9103" t="s">
        <v>30</v>
      </c>
      <c r="F9103" t="s">
        <v>401</v>
      </c>
      <c r="G9103" t="s">
        <v>402</v>
      </c>
      <c r="H9103" t="s">
        <v>259</v>
      </c>
      <c r="I9103" s="173">
        <v>100</v>
      </c>
      <c r="J9103" s="8"/>
      <c r="K9103" s="8"/>
      <c r="L9103" s="8"/>
      <c r="M9103" s="91"/>
    </row>
    <row r="9104" spans="1:13" hidden="1" x14ac:dyDescent="0.3">
      <c r="B9104" t="s">
        <v>258</v>
      </c>
      <c r="C9104" s="25">
        <v>44745</v>
      </c>
      <c r="D9104" s="26">
        <v>0.63101851851851853</v>
      </c>
      <c r="E9104" t="s">
        <v>30</v>
      </c>
      <c r="F9104" t="s">
        <v>446</v>
      </c>
      <c r="G9104" t="s">
        <v>402</v>
      </c>
      <c r="H9104" t="s">
        <v>259</v>
      </c>
      <c r="I9104" s="173">
        <v>126.04</v>
      </c>
      <c r="J9104" s="8"/>
      <c r="K9104" s="8"/>
      <c r="L9104" s="8"/>
      <c r="M9104" s="91"/>
    </row>
    <row r="9105" spans="2:13" hidden="1" x14ac:dyDescent="0.3">
      <c r="B9105" t="s">
        <v>258</v>
      </c>
      <c r="C9105" s="25">
        <v>44753</v>
      </c>
      <c r="D9105" s="26">
        <v>0.71675925925925921</v>
      </c>
      <c r="E9105" t="s">
        <v>30</v>
      </c>
      <c r="F9105" t="s">
        <v>171</v>
      </c>
      <c r="G9105" t="s">
        <v>172</v>
      </c>
      <c r="H9105" t="s">
        <v>259</v>
      </c>
      <c r="I9105" s="173">
        <v>192.67</v>
      </c>
      <c r="J9105" s="23"/>
      <c r="K9105" s="23"/>
      <c r="L9105" s="23"/>
      <c r="M9105" s="254"/>
    </row>
    <row r="9106" spans="2:13" hidden="1" x14ac:dyDescent="0.3">
      <c r="B9106" t="s">
        <v>258</v>
      </c>
      <c r="C9106" s="25">
        <v>44754</v>
      </c>
      <c r="D9106" s="26">
        <v>0.50209490740740736</v>
      </c>
      <c r="E9106" t="s">
        <v>30</v>
      </c>
      <c r="F9106" t="s">
        <v>210</v>
      </c>
      <c r="G9106" t="s">
        <v>211</v>
      </c>
      <c r="H9106" t="s">
        <v>259</v>
      </c>
      <c r="I9106" s="173">
        <v>313.72000000000003</v>
      </c>
      <c r="J9106" s="231">
        <f>205+210+100+126+193+314</f>
        <v>1148</v>
      </c>
      <c r="K9106" s="151"/>
      <c r="L9106" s="231">
        <v>2236</v>
      </c>
      <c r="M9106" s="150">
        <f>+J9106/L9106*100</f>
        <v>51.341681574239715</v>
      </c>
    </row>
    <row r="9107" spans="2:13" hidden="1" x14ac:dyDescent="0.3">
      <c r="B9107" t="s">
        <v>258</v>
      </c>
      <c r="C9107" s="25">
        <v>44755</v>
      </c>
      <c r="D9107" s="26">
        <v>0.33878472222222222</v>
      </c>
      <c r="E9107" t="s">
        <v>30</v>
      </c>
      <c r="F9107" t="s">
        <v>780</v>
      </c>
      <c r="G9107" t="s">
        <v>279</v>
      </c>
      <c r="H9107" t="s">
        <v>259</v>
      </c>
      <c r="I9107" s="173">
        <v>319.86</v>
      </c>
      <c r="J9107" s="23"/>
      <c r="K9107" s="23"/>
      <c r="L9107" s="23"/>
      <c r="M9107" s="254"/>
    </row>
    <row r="9108" spans="2:13" hidden="1" x14ac:dyDescent="0.3">
      <c r="B9108" t="s">
        <v>258</v>
      </c>
      <c r="C9108" s="25">
        <v>44756</v>
      </c>
      <c r="D9108" s="26">
        <v>0.55841435185185184</v>
      </c>
      <c r="E9108" t="s">
        <v>30</v>
      </c>
      <c r="F9108" t="s">
        <v>202</v>
      </c>
      <c r="G9108" t="s">
        <v>203</v>
      </c>
      <c r="H9108" t="s">
        <v>259</v>
      </c>
      <c r="I9108" s="173">
        <v>320</v>
      </c>
      <c r="J9108" s="23"/>
      <c r="K9108" s="23"/>
      <c r="L9108" s="23"/>
      <c r="M9108" s="254"/>
    </row>
    <row r="9109" spans="2:13" hidden="1" x14ac:dyDescent="0.3">
      <c r="B9109" t="s">
        <v>258</v>
      </c>
      <c r="C9109" s="25">
        <v>44757</v>
      </c>
      <c r="D9109" s="26">
        <v>6.7627314814814821E-2</v>
      </c>
      <c r="E9109" t="s">
        <v>30</v>
      </c>
      <c r="F9109" t="s">
        <v>165</v>
      </c>
      <c r="G9109" t="s">
        <v>185</v>
      </c>
      <c r="H9109" t="s">
        <v>259</v>
      </c>
      <c r="I9109" s="173">
        <v>271.22000000000003</v>
      </c>
      <c r="J9109" s="23"/>
      <c r="K9109" s="23"/>
      <c r="L9109" s="23"/>
      <c r="M9109" s="254"/>
    </row>
    <row r="9110" spans="2:13" hidden="1" x14ac:dyDescent="0.3">
      <c r="B9110" t="s">
        <v>258</v>
      </c>
      <c r="C9110" s="25">
        <v>44757</v>
      </c>
      <c r="D9110" s="26">
        <v>0.79712962962962963</v>
      </c>
      <c r="E9110" t="s">
        <v>30</v>
      </c>
      <c r="F9110" t="s">
        <v>293</v>
      </c>
      <c r="G9110" t="s">
        <v>196</v>
      </c>
      <c r="H9110" t="s">
        <v>259</v>
      </c>
      <c r="I9110" s="173">
        <v>333.11</v>
      </c>
      <c r="J9110" s="23"/>
      <c r="K9110" s="23"/>
      <c r="L9110" s="23"/>
      <c r="M9110" s="254"/>
    </row>
    <row r="9111" spans="2:13" hidden="1" x14ac:dyDescent="0.3">
      <c r="B9111" t="s">
        <v>258</v>
      </c>
      <c r="C9111" s="25">
        <v>44758</v>
      </c>
      <c r="D9111" s="26">
        <v>0.58526620370370364</v>
      </c>
      <c r="E9111" t="s">
        <v>30</v>
      </c>
      <c r="F9111" t="s">
        <v>428</v>
      </c>
      <c r="G9111" t="s">
        <v>429</v>
      </c>
      <c r="H9111" t="s">
        <v>259</v>
      </c>
      <c r="I9111" s="173">
        <v>100.38</v>
      </c>
      <c r="J9111" s="23"/>
      <c r="K9111" s="23"/>
      <c r="L9111" s="23"/>
      <c r="M9111" s="254"/>
    </row>
    <row r="9112" spans="2:13" hidden="1" x14ac:dyDescent="0.3">
      <c r="B9112" t="s">
        <v>258</v>
      </c>
      <c r="C9112" s="25">
        <v>44758</v>
      </c>
      <c r="D9112" s="26">
        <v>0.69839120370370367</v>
      </c>
      <c r="E9112" t="s">
        <v>30</v>
      </c>
      <c r="F9112" t="s">
        <v>175</v>
      </c>
      <c r="G9112" t="s">
        <v>172</v>
      </c>
      <c r="H9112" t="s">
        <v>259</v>
      </c>
      <c r="I9112" s="173">
        <v>152.82</v>
      </c>
      <c r="J9112" s="23"/>
      <c r="K9112" s="23"/>
      <c r="L9112" s="23"/>
      <c r="M9112" s="254"/>
    </row>
    <row r="9113" spans="2:13" hidden="1" x14ac:dyDescent="0.3">
      <c r="B9113" t="s">
        <v>258</v>
      </c>
      <c r="C9113" s="25">
        <v>44759</v>
      </c>
      <c r="D9113" s="26">
        <v>0.79516203703703703</v>
      </c>
      <c r="E9113" t="s">
        <v>30</v>
      </c>
      <c r="F9113" t="s">
        <v>210</v>
      </c>
      <c r="G9113" t="s">
        <v>211</v>
      </c>
      <c r="H9113" t="s">
        <v>259</v>
      </c>
      <c r="I9113" s="173">
        <v>380.09</v>
      </c>
      <c r="J9113" s="231">
        <f>380+153+100+333+271+320+320</f>
        <v>1877</v>
      </c>
      <c r="K9113" s="151"/>
      <c r="L9113" s="231">
        <v>4522</v>
      </c>
      <c r="M9113" s="150">
        <f t="shared" ref="M9113:M9126" si="547">+J9113/L9113*100</f>
        <v>41.508182220256522</v>
      </c>
    </row>
    <row r="9114" spans="2:13" hidden="1" x14ac:dyDescent="0.3">
      <c r="B9114" t="s">
        <v>258</v>
      </c>
      <c r="C9114" s="25">
        <v>44760</v>
      </c>
      <c r="D9114" s="26">
        <v>0.79246527777777775</v>
      </c>
      <c r="E9114" t="s">
        <v>30</v>
      </c>
      <c r="F9114" t="s">
        <v>533</v>
      </c>
      <c r="G9114" t="s">
        <v>45</v>
      </c>
      <c r="H9114" t="s">
        <v>259</v>
      </c>
      <c r="I9114" s="160">
        <v>286.97000000000003</v>
      </c>
      <c r="J9114" s="8"/>
      <c r="K9114" s="8"/>
      <c r="L9114" s="8"/>
      <c r="M9114" s="254"/>
    </row>
    <row r="9115" spans="2:13" hidden="1" x14ac:dyDescent="0.3">
      <c r="B9115" t="s">
        <v>258</v>
      </c>
      <c r="C9115" s="25">
        <v>44762</v>
      </c>
      <c r="D9115" s="26">
        <v>0.39637731481481481</v>
      </c>
      <c r="E9115" t="s">
        <v>30</v>
      </c>
      <c r="F9115" t="s">
        <v>293</v>
      </c>
      <c r="G9115" t="s">
        <v>196</v>
      </c>
      <c r="H9115" t="s">
        <v>259</v>
      </c>
      <c r="I9115" s="160">
        <v>378.97</v>
      </c>
      <c r="J9115" s="8"/>
      <c r="K9115" s="8"/>
      <c r="L9115" s="8"/>
      <c r="M9115" s="254"/>
    </row>
    <row r="9116" spans="2:13" hidden="1" x14ac:dyDescent="0.3">
      <c r="B9116" t="s">
        <v>258</v>
      </c>
      <c r="C9116" s="25">
        <v>44763</v>
      </c>
      <c r="D9116" s="26">
        <v>0.41679398148148145</v>
      </c>
      <c r="E9116" t="s">
        <v>30</v>
      </c>
      <c r="F9116" t="s">
        <v>428</v>
      </c>
      <c r="G9116" t="s">
        <v>429</v>
      </c>
      <c r="H9116" t="s">
        <v>259</v>
      </c>
      <c r="I9116" s="160">
        <v>100.08</v>
      </c>
      <c r="J9116" s="8"/>
      <c r="K9116" s="8"/>
      <c r="L9116" s="8"/>
      <c r="M9116" s="254"/>
    </row>
    <row r="9117" spans="2:13" hidden="1" x14ac:dyDescent="0.3">
      <c r="B9117" t="s">
        <v>258</v>
      </c>
      <c r="C9117" s="25">
        <v>44763</v>
      </c>
      <c r="D9117" s="26">
        <v>0.80606481481481485</v>
      </c>
      <c r="E9117" t="s">
        <v>30</v>
      </c>
      <c r="F9117" t="s">
        <v>197</v>
      </c>
      <c r="G9117" t="s">
        <v>44</v>
      </c>
      <c r="H9117" t="s">
        <v>259</v>
      </c>
      <c r="I9117" s="160">
        <v>134.77000000000001</v>
      </c>
      <c r="J9117" s="8"/>
      <c r="K9117" s="8"/>
      <c r="L9117" s="8"/>
      <c r="M9117" s="254"/>
    </row>
    <row r="9118" spans="2:13" hidden="1" x14ac:dyDescent="0.3">
      <c r="B9118" t="s">
        <v>258</v>
      </c>
      <c r="C9118" s="25">
        <v>44763</v>
      </c>
      <c r="D9118" s="26">
        <v>0.81319444444444444</v>
      </c>
      <c r="E9118" t="s">
        <v>30</v>
      </c>
      <c r="F9118" t="s">
        <v>197</v>
      </c>
      <c r="G9118" t="s">
        <v>44</v>
      </c>
      <c r="H9118" t="s">
        <v>259</v>
      </c>
      <c r="I9118" s="160">
        <v>84.97</v>
      </c>
      <c r="J9118" s="8"/>
      <c r="K9118" s="8"/>
      <c r="L9118" s="8"/>
      <c r="M9118" s="254"/>
    </row>
    <row r="9119" spans="2:13" hidden="1" x14ac:dyDescent="0.3">
      <c r="B9119" t="s">
        <v>258</v>
      </c>
      <c r="C9119" s="25">
        <v>44764</v>
      </c>
      <c r="D9119" s="26">
        <v>0.6940277777777778</v>
      </c>
      <c r="E9119" t="s">
        <v>30</v>
      </c>
      <c r="F9119" t="s">
        <v>210</v>
      </c>
      <c r="G9119" t="s">
        <v>211</v>
      </c>
      <c r="H9119" t="s">
        <v>259</v>
      </c>
      <c r="I9119" s="160">
        <v>282.57</v>
      </c>
      <c r="J9119" s="160">
        <f>282+85+135+100+379</f>
        <v>981</v>
      </c>
      <c r="K9119" s="160">
        <v>500081</v>
      </c>
      <c r="L9119" s="160">
        <v>2974</v>
      </c>
      <c r="M9119" s="150">
        <f t="shared" si="547"/>
        <v>32.985877605917956</v>
      </c>
    </row>
    <row r="9120" spans="2:13" hidden="1" x14ac:dyDescent="0.3">
      <c r="B9120" t="s">
        <v>258</v>
      </c>
      <c r="C9120" s="25">
        <v>44765</v>
      </c>
      <c r="D9120" s="26">
        <v>0.52069444444444446</v>
      </c>
      <c r="E9120" t="s">
        <v>30</v>
      </c>
      <c r="F9120" t="s">
        <v>165</v>
      </c>
      <c r="G9120" t="s">
        <v>185</v>
      </c>
      <c r="H9120" t="s">
        <v>259</v>
      </c>
      <c r="I9120" s="160">
        <v>243</v>
      </c>
      <c r="J9120" s="8"/>
      <c r="K9120" s="8"/>
      <c r="L9120" s="8"/>
      <c r="M9120" s="254"/>
    </row>
    <row r="9121" spans="1:13" hidden="1" x14ac:dyDescent="0.3">
      <c r="B9121" t="s">
        <v>258</v>
      </c>
      <c r="C9121" s="25">
        <v>44767</v>
      </c>
      <c r="D9121" s="26">
        <v>0.71666666666666667</v>
      </c>
      <c r="E9121" t="s">
        <v>30</v>
      </c>
      <c r="F9121" t="s">
        <v>202</v>
      </c>
      <c r="G9121" t="s">
        <v>203</v>
      </c>
      <c r="H9121" t="s">
        <v>259</v>
      </c>
      <c r="I9121" s="160">
        <v>344</v>
      </c>
      <c r="J9121" s="8"/>
      <c r="K9121" s="8"/>
      <c r="L9121" s="8"/>
      <c r="M9121" s="254"/>
    </row>
    <row r="9122" spans="1:13" hidden="1" x14ac:dyDescent="0.3">
      <c r="B9122" t="s">
        <v>258</v>
      </c>
      <c r="C9122" s="25">
        <v>44768</v>
      </c>
      <c r="D9122" s="26">
        <v>0.49877314814814816</v>
      </c>
      <c r="E9122" t="s">
        <v>30</v>
      </c>
      <c r="F9122" t="s">
        <v>165</v>
      </c>
      <c r="G9122" t="s">
        <v>185</v>
      </c>
      <c r="H9122" t="s">
        <v>259</v>
      </c>
      <c r="I9122" s="160">
        <v>256.24</v>
      </c>
      <c r="J9122" s="8"/>
      <c r="K9122" s="8"/>
      <c r="L9122" s="8"/>
      <c r="M9122" s="254"/>
    </row>
    <row r="9123" spans="1:13" hidden="1" x14ac:dyDescent="0.3">
      <c r="B9123" t="s">
        <v>258</v>
      </c>
      <c r="C9123" s="25">
        <v>44769</v>
      </c>
      <c r="D9123" s="26">
        <v>0.42731481481481487</v>
      </c>
      <c r="E9123" t="s">
        <v>30</v>
      </c>
      <c r="F9123" t="s">
        <v>293</v>
      </c>
      <c r="G9123" t="s">
        <v>196</v>
      </c>
      <c r="H9123" t="s">
        <v>259</v>
      </c>
      <c r="I9123" s="160">
        <v>325.95</v>
      </c>
      <c r="J9123" s="8"/>
      <c r="K9123" s="8"/>
      <c r="L9123" s="8"/>
      <c r="M9123" s="254"/>
    </row>
    <row r="9124" spans="1:13" hidden="1" x14ac:dyDescent="0.3">
      <c r="B9124" t="s">
        <v>258</v>
      </c>
      <c r="C9124" s="25">
        <v>44769</v>
      </c>
      <c r="D9124" s="26">
        <v>0.88664351851851853</v>
      </c>
      <c r="E9124" t="s">
        <v>30</v>
      </c>
      <c r="F9124" t="s">
        <v>428</v>
      </c>
      <c r="G9124" t="s">
        <v>429</v>
      </c>
      <c r="H9124" t="s">
        <v>259</v>
      </c>
      <c r="I9124" s="160">
        <v>154.86000000000001</v>
      </c>
      <c r="J9124" s="8"/>
      <c r="K9124" s="8"/>
      <c r="L9124" s="8"/>
      <c r="M9124" s="254"/>
    </row>
    <row r="9125" spans="1:13" hidden="1" x14ac:dyDescent="0.3">
      <c r="B9125" t="s">
        <v>258</v>
      </c>
      <c r="C9125" s="25">
        <v>44770</v>
      </c>
      <c r="D9125" s="26">
        <v>0.87649305555555557</v>
      </c>
      <c r="E9125" t="s">
        <v>30</v>
      </c>
      <c r="F9125" t="s">
        <v>197</v>
      </c>
      <c r="G9125" t="s">
        <v>44</v>
      </c>
      <c r="H9125" t="s">
        <v>259</v>
      </c>
      <c r="I9125" s="160">
        <v>191.47</v>
      </c>
      <c r="J9125" s="8"/>
      <c r="K9125" s="8"/>
      <c r="L9125" s="8"/>
      <c r="M9125" s="254"/>
    </row>
    <row r="9126" spans="1:13" hidden="1" x14ac:dyDescent="0.3">
      <c r="B9126" t="s">
        <v>258</v>
      </c>
      <c r="C9126" s="25">
        <v>44771</v>
      </c>
      <c r="D9126" s="26">
        <v>0.51370370370370366</v>
      </c>
      <c r="E9126" t="s">
        <v>30</v>
      </c>
      <c r="F9126" t="s">
        <v>166</v>
      </c>
      <c r="G9126" t="s">
        <v>161</v>
      </c>
      <c r="H9126" t="s">
        <v>259</v>
      </c>
      <c r="I9126" s="160">
        <v>222.53</v>
      </c>
      <c r="J9126" s="160">
        <f>222+191+155+326+256+344+243</f>
        <v>1737</v>
      </c>
      <c r="K9126" s="160">
        <v>505814</v>
      </c>
      <c r="L9126" s="160">
        <v>4466</v>
      </c>
      <c r="M9126" s="150">
        <f t="shared" si="547"/>
        <v>38.89386475593372</v>
      </c>
    </row>
    <row r="9127" spans="1:13" hidden="1" x14ac:dyDescent="0.3">
      <c r="B9127" t="s">
        <v>258</v>
      </c>
      <c r="C9127" s="25">
        <v>44772</v>
      </c>
      <c r="D9127" s="26">
        <v>0.52181712962962956</v>
      </c>
      <c r="E9127" t="s">
        <v>30</v>
      </c>
      <c r="F9127" t="s">
        <v>165</v>
      </c>
      <c r="G9127" t="s">
        <v>185</v>
      </c>
      <c r="H9127" t="s">
        <v>259</v>
      </c>
      <c r="I9127" s="160">
        <v>301.10000000000002</v>
      </c>
      <c r="J9127" s="8"/>
      <c r="K9127" s="8"/>
      <c r="L9127" s="8"/>
      <c r="M9127" s="254"/>
    </row>
    <row r="9128" spans="1:13" hidden="1" x14ac:dyDescent="0.3">
      <c r="A9128" s="9">
        <v>6751</v>
      </c>
      <c r="B9128" t="s">
        <v>260</v>
      </c>
      <c r="C9128" s="25">
        <v>44751</v>
      </c>
      <c r="D9128" s="26">
        <v>0.16880787037037037</v>
      </c>
      <c r="E9128" t="s">
        <v>30</v>
      </c>
      <c r="F9128" t="s">
        <v>210</v>
      </c>
      <c r="G9128" t="s">
        <v>211</v>
      </c>
      <c r="H9128" t="s">
        <v>261</v>
      </c>
      <c r="I9128" s="173" t="s">
        <v>843</v>
      </c>
      <c r="J9128" s="8"/>
      <c r="K9128" s="236"/>
      <c r="L9128" s="236"/>
      <c r="M9128" s="91"/>
    </row>
    <row r="9129" spans="1:13" hidden="1" x14ac:dyDescent="0.3">
      <c r="A9129" s="9">
        <v>6751</v>
      </c>
      <c r="B9129" t="s">
        <v>260</v>
      </c>
      <c r="C9129" s="25">
        <v>44752</v>
      </c>
      <c r="D9129" s="26">
        <v>0.45524305555555555</v>
      </c>
      <c r="E9129" t="s">
        <v>30</v>
      </c>
      <c r="F9129" t="s">
        <v>210</v>
      </c>
      <c r="G9129" t="s">
        <v>211</v>
      </c>
      <c r="H9129" t="s">
        <v>261</v>
      </c>
      <c r="I9129" s="173" t="s">
        <v>842</v>
      </c>
      <c r="J9129" s="160">
        <f>145+660+338</f>
        <v>1143</v>
      </c>
      <c r="K9129" s="173"/>
      <c r="L9129" s="173">
        <v>3637</v>
      </c>
      <c r="M9129" s="238">
        <f>+J9129/L9129*100</f>
        <v>31.427000274951883</v>
      </c>
    </row>
    <row r="9130" spans="1:13" hidden="1" x14ac:dyDescent="0.3">
      <c r="A9130" s="9">
        <v>6751</v>
      </c>
      <c r="B9130" t="s">
        <v>260</v>
      </c>
      <c r="C9130" s="25">
        <v>44754</v>
      </c>
      <c r="D9130" s="26">
        <v>0.54620370370370364</v>
      </c>
      <c r="E9130" t="s">
        <v>30</v>
      </c>
      <c r="F9130" t="s">
        <v>210</v>
      </c>
      <c r="G9130" t="s">
        <v>211</v>
      </c>
      <c r="H9130" t="s">
        <v>261</v>
      </c>
      <c r="I9130" s="173" t="s">
        <v>901</v>
      </c>
      <c r="J9130" s="23"/>
      <c r="K9130" s="233"/>
      <c r="L9130" s="233"/>
      <c r="M9130" s="91"/>
    </row>
    <row r="9131" spans="1:13" hidden="1" x14ac:dyDescent="0.3">
      <c r="A9131" s="9">
        <v>6751</v>
      </c>
      <c r="B9131" t="s">
        <v>260</v>
      </c>
      <c r="C9131" s="25">
        <v>44755</v>
      </c>
      <c r="D9131" s="26">
        <v>0.77460648148148137</v>
      </c>
      <c r="E9131" t="s">
        <v>30</v>
      </c>
      <c r="F9131" t="s">
        <v>210</v>
      </c>
      <c r="G9131" t="s">
        <v>211</v>
      </c>
      <c r="H9131" t="s">
        <v>261</v>
      </c>
      <c r="I9131" s="173" t="s">
        <v>1003</v>
      </c>
      <c r="J9131" s="231">
        <f>458+699</f>
        <v>1157</v>
      </c>
      <c r="K9131" s="231"/>
      <c r="L9131" s="231">
        <v>2717</v>
      </c>
      <c r="M9131" s="150">
        <f>+J9131/L9131*100</f>
        <v>42.58373205741627</v>
      </c>
    </row>
    <row r="9132" spans="1:13" hidden="1" x14ac:dyDescent="0.3">
      <c r="A9132" s="9">
        <v>6751</v>
      </c>
      <c r="B9132" t="s">
        <v>260</v>
      </c>
      <c r="C9132" s="25">
        <v>44758</v>
      </c>
      <c r="D9132" s="26">
        <v>2.8391203703703707E-2</v>
      </c>
      <c r="E9132" t="s">
        <v>30</v>
      </c>
      <c r="F9132" t="s">
        <v>774</v>
      </c>
      <c r="G9132" t="s">
        <v>161</v>
      </c>
      <c r="H9132" t="s">
        <v>261</v>
      </c>
      <c r="I9132" s="173" t="s">
        <v>1002</v>
      </c>
      <c r="J9132" s="23"/>
      <c r="K9132" s="233"/>
      <c r="L9132" s="233"/>
      <c r="M9132" s="91"/>
    </row>
    <row r="9133" spans="1:13" hidden="1" x14ac:dyDescent="0.3">
      <c r="A9133" s="9">
        <v>6751</v>
      </c>
      <c r="B9133" t="s">
        <v>260</v>
      </c>
      <c r="C9133" s="25">
        <v>44759</v>
      </c>
      <c r="D9133" s="26">
        <v>5.3182870370370366E-2</v>
      </c>
      <c r="E9133" t="s">
        <v>30</v>
      </c>
      <c r="F9133" t="s">
        <v>210</v>
      </c>
      <c r="G9133" t="s">
        <v>211</v>
      </c>
      <c r="H9133" t="s">
        <v>261</v>
      </c>
      <c r="I9133" s="173" t="s">
        <v>1001</v>
      </c>
      <c r="J9133" s="23"/>
      <c r="K9133" s="233"/>
      <c r="L9133" s="233"/>
      <c r="M9133" s="91"/>
    </row>
    <row r="9134" spans="1:13" hidden="1" x14ac:dyDescent="0.3">
      <c r="A9134" s="9">
        <v>6751</v>
      </c>
      <c r="B9134" t="s">
        <v>260</v>
      </c>
      <c r="C9134" s="25">
        <v>44759</v>
      </c>
      <c r="D9134" s="26">
        <v>6.2256944444444441E-2</v>
      </c>
      <c r="E9134" t="s">
        <v>30</v>
      </c>
      <c r="F9134" t="s">
        <v>210</v>
      </c>
      <c r="G9134" t="s">
        <v>211</v>
      </c>
      <c r="H9134" t="s">
        <v>261</v>
      </c>
      <c r="I9134" s="173" t="s">
        <v>1000</v>
      </c>
      <c r="J9134" s="231">
        <f>45+428+681</f>
        <v>1154</v>
      </c>
      <c r="K9134" s="231"/>
      <c r="L9134" s="231">
        <v>2859</v>
      </c>
      <c r="M9134" s="149">
        <f t="shared" ref="M9134:M9140" si="548">+J9134/L9134*100</f>
        <v>40.363763553690099</v>
      </c>
    </row>
    <row r="9135" spans="1:13" hidden="1" x14ac:dyDescent="0.3">
      <c r="B9135" t="s">
        <v>260</v>
      </c>
      <c r="C9135" s="25">
        <v>44761</v>
      </c>
      <c r="D9135" s="26">
        <v>0.65961805555555553</v>
      </c>
      <c r="E9135" t="s">
        <v>30</v>
      </c>
      <c r="F9135" t="s">
        <v>166</v>
      </c>
      <c r="G9135" t="s">
        <v>161</v>
      </c>
      <c r="H9135" t="s">
        <v>261</v>
      </c>
      <c r="I9135" s="160">
        <v>507.69</v>
      </c>
      <c r="J9135" s="8"/>
      <c r="K9135" s="236"/>
      <c r="L9135" s="236"/>
      <c r="M9135" s="254"/>
    </row>
    <row r="9136" spans="1:13" hidden="1" x14ac:dyDescent="0.3">
      <c r="B9136" t="s">
        <v>260</v>
      </c>
      <c r="C9136" s="25">
        <v>44762</v>
      </c>
      <c r="D9136" s="26">
        <v>0.88628472222222221</v>
      </c>
      <c r="E9136" t="s">
        <v>30</v>
      </c>
      <c r="F9136" t="s">
        <v>210</v>
      </c>
      <c r="G9136" t="s">
        <v>211</v>
      </c>
      <c r="H9136" t="s">
        <v>261</v>
      </c>
      <c r="I9136" s="160">
        <v>680.18</v>
      </c>
      <c r="J9136" s="8"/>
      <c r="K9136" s="236"/>
      <c r="L9136" s="236"/>
      <c r="M9136" s="254"/>
    </row>
    <row r="9137" spans="2:13" hidden="1" x14ac:dyDescent="0.3">
      <c r="B9137" t="s">
        <v>260</v>
      </c>
      <c r="C9137" s="25">
        <v>44766</v>
      </c>
      <c r="D9137" s="26">
        <v>0.41327546296296297</v>
      </c>
      <c r="E9137" t="s">
        <v>30</v>
      </c>
      <c r="F9137" t="s">
        <v>210</v>
      </c>
      <c r="G9137" t="s">
        <v>211</v>
      </c>
      <c r="H9137" t="s">
        <v>261</v>
      </c>
      <c r="I9137" s="160">
        <v>718.43</v>
      </c>
      <c r="J9137" s="8"/>
      <c r="K9137" s="236"/>
      <c r="L9137" s="236"/>
      <c r="M9137" s="254"/>
    </row>
    <row r="9138" spans="2:13" hidden="1" x14ac:dyDescent="0.3">
      <c r="B9138" t="s">
        <v>260</v>
      </c>
      <c r="C9138" s="25">
        <v>44767</v>
      </c>
      <c r="D9138" s="26">
        <v>0.64278935185185182</v>
      </c>
      <c r="E9138" t="s">
        <v>30</v>
      </c>
      <c r="F9138" t="s">
        <v>210</v>
      </c>
      <c r="G9138" t="s">
        <v>211</v>
      </c>
      <c r="H9138" t="s">
        <v>261</v>
      </c>
      <c r="I9138" s="160">
        <v>419.04</v>
      </c>
      <c r="J9138" s="8"/>
      <c r="K9138" s="236"/>
      <c r="L9138" s="236"/>
      <c r="M9138" s="254"/>
    </row>
    <row r="9139" spans="2:13" hidden="1" x14ac:dyDescent="0.3">
      <c r="B9139" t="s">
        <v>260</v>
      </c>
      <c r="C9139" s="25">
        <v>44769</v>
      </c>
      <c r="D9139" s="26">
        <v>0.86476851851851855</v>
      </c>
      <c r="E9139" t="s">
        <v>30</v>
      </c>
      <c r="F9139" t="s">
        <v>210</v>
      </c>
      <c r="G9139" t="s">
        <v>211</v>
      </c>
      <c r="H9139" t="s">
        <v>261</v>
      </c>
      <c r="I9139" s="160">
        <v>523.80999999999995</v>
      </c>
      <c r="J9139" s="8"/>
      <c r="K9139" s="236"/>
      <c r="L9139" s="236"/>
      <c r="M9139" s="254"/>
    </row>
    <row r="9140" spans="2:13" hidden="1" x14ac:dyDescent="0.3">
      <c r="B9140" t="s">
        <v>260</v>
      </c>
      <c r="C9140" s="25">
        <v>44771</v>
      </c>
      <c r="D9140" s="26">
        <v>0.40932870370370367</v>
      </c>
      <c r="E9140" t="s">
        <v>30</v>
      </c>
      <c r="F9140" t="s">
        <v>210</v>
      </c>
      <c r="G9140" t="s">
        <v>211</v>
      </c>
      <c r="H9140" t="s">
        <v>261</v>
      </c>
      <c r="I9140" s="160">
        <v>183.68</v>
      </c>
      <c r="J9140" s="160">
        <f>184+524+419+718+680+508</f>
        <v>3033</v>
      </c>
      <c r="K9140" s="173">
        <v>6863</v>
      </c>
      <c r="L9140" s="173">
        <v>8864</v>
      </c>
      <c r="M9140" s="150">
        <f t="shared" si="548"/>
        <v>34.217057761732846</v>
      </c>
    </row>
    <row r="9141" spans="2:13" hidden="1" x14ac:dyDescent="0.3">
      <c r="B9141" t="s">
        <v>260</v>
      </c>
      <c r="C9141" s="25">
        <v>44772</v>
      </c>
      <c r="D9141" s="26">
        <v>0.20635416666666664</v>
      </c>
      <c r="E9141" t="s">
        <v>30</v>
      </c>
      <c r="F9141" t="s">
        <v>428</v>
      </c>
      <c r="G9141" t="s">
        <v>429</v>
      </c>
      <c r="H9141" t="s">
        <v>261</v>
      </c>
      <c r="I9141" s="160">
        <v>100.08</v>
      </c>
      <c r="J9141" s="8"/>
      <c r="K9141" s="236"/>
      <c r="L9141" s="236"/>
      <c r="M9141" s="254"/>
    </row>
    <row r="9142" spans="2:13" hidden="1" x14ac:dyDescent="0.3">
      <c r="B9142" t="s">
        <v>260</v>
      </c>
      <c r="C9142" s="25">
        <v>44772</v>
      </c>
      <c r="D9142" s="26">
        <v>0.20856481481481481</v>
      </c>
      <c r="E9142" t="s">
        <v>30</v>
      </c>
      <c r="F9142" t="s">
        <v>428</v>
      </c>
      <c r="G9142" t="s">
        <v>429</v>
      </c>
      <c r="H9142" t="s">
        <v>261</v>
      </c>
      <c r="I9142" s="160">
        <v>100.73</v>
      </c>
      <c r="J9142" s="8"/>
      <c r="K9142" s="236"/>
      <c r="L9142" s="236"/>
      <c r="M9142" s="254"/>
    </row>
    <row r="9143" spans="2:13" hidden="1" x14ac:dyDescent="0.3">
      <c r="B9143" t="s">
        <v>264</v>
      </c>
      <c r="C9143" s="25">
        <v>44744</v>
      </c>
      <c r="D9143" s="26">
        <v>0.44143518518518521</v>
      </c>
      <c r="E9143" t="s">
        <v>30</v>
      </c>
      <c r="F9143" t="s">
        <v>769</v>
      </c>
      <c r="G9143" t="s">
        <v>521</v>
      </c>
      <c r="H9143" t="s">
        <v>134</v>
      </c>
      <c r="I9143" s="173">
        <v>120</v>
      </c>
      <c r="J9143" s="8"/>
      <c r="K9143" s="8"/>
      <c r="L9143" s="8"/>
      <c r="M9143" s="91"/>
    </row>
    <row r="9144" spans="2:13" hidden="1" x14ac:dyDescent="0.3">
      <c r="B9144" t="s">
        <v>264</v>
      </c>
      <c r="C9144" s="25">
        <v>44745</v>
      </c>
      <c r="D9144" s="26">
        <v>0.91826388888888888</v>
      </c>
      <c r="E9144" t="s">
        <v>30</v>
      </c>
      <c r="F9144" t="s">
        <v>210</v>
      </c>
      <c r="G9144" t="s">
        <v>211</v>
      </c>
      <c r="H9144" t="s">
        <v>134</v>
      </c>
      <c r="I9144" s="173">
        <v>550.29</v>
      </c>
      <c r="J9144" s="8"/>
      <c r="K9144" s="8"/>
      <c r="L9144" s="8"/>
      <c r="M9144" s="91"/>
    </row>
    <row r="9145" spans="2:13" hidden="1" x14ac:dyDescent="0.3">
      <c r="B9145" t="s">
        <v>264</v>
      </c>
      <c r="C9145" s="25">
        <v>44747</v>
      </c>
      <c r="D9145" s="26">
        <v>0.48859953703703707</v>
      </c>
      <c r="E9145" t="s">
        <v>30</v>
      </c>
      <c r="F9145" t="s">
        <v>202</v>
      </c>
      <c r="G9145" t="s">
        <v>203</v>
      </c>
      <c r="H9145" t="s">
        <v>134</v>
      </c>
      <c r="I9145" s="173">
        <v>420.29</v>
      </c>
      <c r="J9145" s="8"/>
      <c r="K9145" s="8"/>
      <c r="L9145" s="8"/>
      <c r="M9145" s="91"/>
    </row>
    <row r="9146" spans="2:13" hidden="1" x14ac:dyDescent="0.3">
      <c r="B9146" t="s">
        <v>264</v>
      </c>
      <c r="C9146" s="25">
        <v>44748</v>
      </c>
      <c r="D9146" s="26">
        <v>0.96055555555555561</v>
      </c>
      <c r="E9146" t="s">
        <v>30</v>
      </c>
      <c r="F9146" t="s">
        <v>165</v>
      </c>
      <c r="G9146" t="s">
        <v>185</v>
      </c>
      <c r="H9146" t="s">
        <v>134</v>
      </c>
      <c r="I9146" s="173">
        <v>476.57</v>
      </c>
      <c r="J9146" s="160">
        <f>389+120+550+420+477</f>
        <v>1956</v>
      </c>
      <c r="K9146" s="160"/>
      <c r="L9146" s="160">
        <v>4821</v>
      </c>
      <c r="M9146" s="149">
        <f>+J9146/L9146*100</f>
        <v>40.572495332918479</v>
      </c>
    </row>
    <row r="9147" spans="2:13" hidden="1" x14ac:dyDescent="0.3">
      <c r="B9147" t="s">
        <v>264</v>
      </c>
      <c r="C9147" s="25">
        <v>44749</v>
      </c>
      <c r="D9147" s="26">
        <v>0.79046296296296292</v>
      </c>
      <c r="E9147" t="s">
        <v>30</v>
      </c>
      <c r="F9147" t="s">
        <v>210</v>
      </c>
      <c r="G9147" t="s">
        <v>211</v>
      </c>
      <c r="H9147" t="s">
        <v>134</v>
      </c>
      <c r="I9147" s="173">
        <v>157.47999999999999</v>
      </c>
      <c r="J9147" s="8"/>
      <c r="K9147" s="8"/>
      <c r="L9147" s="8"/>
      <c r="M9147" s="91"/>
    </row>
    <row r="9148" spans="2:13" hidden="1" x14ac:dyDescent="0.3">
      <c r="B9148" t="s">
        <v>264</v>
      </c>
      <c r="C9148" s="25">
        <v>44750</v>
      </c>
      <c r="D9148" s="26">
        <v>0.78674768518518512</v>
      </c>
      <c r="E9148" t="s">
        <v>30</v>
      </c>
      <c r="F9148" t="s">
        <v>769</v>
      </c>
      <c r="G9148" t="s">
        <v>521</v>
      </c>
      <c r="H9148" t="s">
        <v>134</v>
      </c>
      <c r="I9148" s="173">
        <v>100</v>
      </c>
      <c r="J9148" s="23"/>
      <c r="K9148" s="23"/>
      <c r="L9148" s="185"/>
      <c r="M9148" s="91"/>
    </row>
    <row r="9149" spans="2:13" hidden="1" x14ac:dyDescent="0.3">
      <c r="B9149" t="s">
        <v>264</v>
      </c>
      <c r="C9149" s="25">
        <v>44750</v>
      </c>
      <c r="D9149" s="26">
        <v>0.83165509259259263</v>
      </c>
      <c r="E9149" t="s">
        <v>30</v>
      </c>
      <c r="F9149" t="s">
        <v>783</v>
      </c>
      <c r="G9149" t="s">
        <v>392</v>
      </c>
      <c r="H9149" t="s">
        <v>134</v>
      </c>
      <c r="I9149" s="173">
        <v>241.54</v>
      </c>
      <c r="J9149" s="8"/>
      <c r="K9149" s="8"/>
      <c r="L9149" s="8"/>
      <c r="M9149" s="91"/>
    </row>
    <row r="9150" spans="2:13" hidden="1" x14ac:dyDescent="0.3">
      <c r="B9150" t="s">
        <v>264</v>
      </c>
      <c r="C9150" s="25">
        <v>44755</v>
      </c>
      <c r="D9150" s="26">
        <v>0.61393518518518519</v>
      </c>
      <c r="E9150" t="s">
        <v>30</v>
      </c>
      <c r="F9150" t="s">
        <v>774</v>
      </c>
      <c r="G9150" t="s">
        <v>161</v>
      </c>
      <c r="H9150" t="s">
        <v>134</v>
      </c>
      <c r="I9150" s="173">
        <v>343.68</v>
      </c>
      <c r="J9150" s="231">
        <f>344+241+257</f>
        <v>842</v>
      </c>
      <c r="K9150" s="151"/>
      <c r="L9150" s="261">
        <v>2195</v>
      </c>
      <c r="M9150" s="149">
        <f>+J9150/L9150*100</f>
        <v>38.359908883826883</v>
      </c>
    </row>
    <row r="9151" spans="2:13" hidden="1" x14ac:dyDescent="0.3">
      <c r="B9151" t="s">
        <v>264</v>
      </c>
      <c r="C9151" s="25">
        <v>44756</v>
      </c>
      <c r="D9151" s="26">
        <v>0.92307870370370371</v>
      </c>
      <c r="E9151" t="s">
        <v>30</v>
      </c>
      <c r="F9151" t="s">
        <v>210</v>
      </c>
      <c r="G9151" t="s">
        <v>211</v>
      </c>
      <c r="H9151" t="s">
        <v>134</v>
      </c>
      <c r="I9151" s="173">
        <v>436.38</v>
      </c>
      <c r="J9151" s="23"/>
      <c r="K9151" s="23"/>
      <c r="L9151" s="185"/>
      <c r="M9151" s="91"/>
    </row>
    <row r="9152" spans="2:13" hidden="1" x14ac:dyDescent="0.3">
      <c r="B9152" t="s">
        <v>264</v>
      </c>
      <c r="C9152" s="25">
        <v>44757</v>
      </c>
      <c r="D9152" s="26">
        <v>0.94966435185185183</v>
      </c>
      <c r="E9152" t="s">
        <v>30</v>
      </c>
      <c r="F9152" t="s">
        <v>777</v>
      </c>
      <c r="G9152" t="s">
        <v>521</v>
      </c>
      <c r="H9152" t="s">
        <v>134</v>
      </c>
      <c r="I9152" s="173">
        <v>100</v>
      </c>
      <c r="J9152" s="23"/>
      <c r="K9152" s="23"/>
      <c r="L9152" s="185"/>
      <c r="M9152" s="91"/>
    </row>
    <row r="9153" spans="2:13" hidden="1" x14ac:dyDescent="0.3">
      <c r="B9153" t="s">
        <v>264</v>
      </c>
      <c r="C9153" s="25">
        <v>44757</v>
      </c>
      <c r="D9153" s="26">
        <v>0.96327546296296296</v>
      </c>
      <c r="E9153" t="s">
        <v>30</v>
      </c>
      <c r="F9153" t="s">
        <v>586</v>
      </c>
      <c r="G9153" t="s">
        <v>521</v>
      </c>
      <c r="H9153" t="s">
        <v>134</v>
      </c>
      <c r="I9153" s="173">
        <v>230.77</v>
      </c>
      <c r="J9153" s="23"/>
      <c r="K9153" s="23"/>
      <c r="L9153" s="185"/>
      <c r="M9153" s="91"/>
    </row>
    <row r="9154" spans="2:13" hidden="1" x14ac:dyDescent="0.3">
      <c r="B9154" t="s">
        <v>264</v>
      </c>
      <c r="C9154" s="25">
        <v>44759</v>
      </c>
      <c r="D9154" s="26">
        <v>0.68081018518518521</v>
      </c>
      <c r="E9154" t="s">
        <v>30</v>
      </c>
      <c r="F9154" t="s">
        <v>774</v>
      </c>
      <c r="G9154" t="s">
        <v>161</v>
      </c>
      <c r="H9154" t="s">
        <v>134</v>
      </c>
      <c r="I9154" s="173">
        <v>378.45</v>
      </c>
      <c r="J9154" s="231">
        <f>379+231+100+436</f>
        <v>1146</v>
      </c>
      <c r="K9154" s="151"/>
      <c r="L9154" s="261">
        <v>2806</v>
      </c>
      <c r="M9154" s="149">
        <f t="shared" ref="M9154:M9164" si="549">+J9154/L9154*100</f>
        <v>40.841054882394864</v>
      </c>
    </row>
    <row r="9155" spans="2:13" hidden="1" x14ac:dyDescent="0.3">
      <c r="B9155" t="s">
        <v>264</v>
      </c>
      <c r="C9155" s="25">
        <v>44760</v>
      </c>
      <c r="D9155" s="26">
        <v>0.79136574074074073</v>
      </c>
      <c r="E9155" t="s">
        <v>30</v>
      </c>
      <c r="F9155" t="s">
        <v>533</v>
      </c>
      <c r="G9155" t="s">
        <v>45</v>
      </c>
      <c r="H9155" t="s">
        <v>134</v>
      </c>
      <c r="I9155" s="160">
        <v>321.02</v>
      </c>
      <c r="J9155" s="8"/>
      <c r="K9155" s="8"/>
      <c r="L9155" s="8"/>
      <c r="M9155" s="254"/>
    </row>
    <row r="9156" spans="2:13" hidden="1" x14ac:dyDescent="0.3">
      <c r="B9156" t="s">
        <v>264</v>
      </c>
      <c r="C9156" s="25">
        <v>44761</v>
      </c>
      <c r="D9156" s="26">
        <v>0.89258101851851857</v>
      </c>
      <c r="E9156" t="s">
        <v>30</v>
      </c>
      <c r="F9156" t="s">
        <v>210</v>
      </c>
      <c r="G9156" t="s">
        <v>211</v>
      </c>
      <c r="H9156" t="s">
        <v>134</v>
      </c>
      <c r="I9156" s="160">
        <v>226.36</v>
      </c>
      <c r="J9156" s="160">
        <f>226+321</f>
        <v>547</v>
      </c>
      <c r="K9156" s="160"/>
      <c r="L9156" s="160">
        <v>1201</v>
      </c>
      <c r="M9156" s="150">
        <f>+J9156/L9156*100</f>
        <v>45.545378850957533</v>
      </c>
    </row>
    <row r="9157" spans="2:13" hidden="1" x14ac:dyDescent="0.3">
      <c r="B9157" t="s">
        <v>264</v>
      </c>
      <c r="C9157" s="25">
        <v>44763</v>
      </c>
      <c r="D9157" s="26">
        <v>0.47461805555555553</v>
      </c>
      <c r="E9157" t="s">
        <v>30</v>
      </c>
      <c r="F9157" t="s">
        <v>391</v>
      </c>
      <c r="G9157" t="s">
        <v>392</v>
      </c>
      <c r="H9157" t="s">
        <v>134</v>
      </c>
      <c r="I9157" s="160">
        <v>328.19</v>
      </c>
      <c r="J9157" s="8"/>
      <c r="K9157" s="8"/>
      <c r="L9157" s="8"/>
      <c r="M9157" s="19"/>
    </row>
    <row r="9158" spans="2:13" hidden="1" x14ac:dyDescent="0.3">
      <c r="B9158" t="s">
        <v>264</v>
      </c>
      <c r="C9158" s="25">
        <v>44764</v>
      </c>
      <c r="D9158" s="26">
        <v>0.86519675925925921</v>
      </c>
      <c r="E9158" t="s">
        <v>30</v>
      </c>
      <c r="F9158" t="s">
        <v>210</v>
      </c>
      <c r="G9158" t="s">
        <v>211</v>
      </c>
      <c r="H9158" t="s">
        <v>134</v>
      </c>
      <c r="I9158" s="160">
        <v>356.22</v>
      </c>
      <c r="J9158" s="160">
        <f>328+356</f>
        <v>684</v>
      </c>
      <c r="K9158" s="160"/>
      <c r="L9158" s="160">
        <v>1779</v>
      </c>
      <c r="M9158" s="150">
        <f t="shared" si="549"/>
        <v>38.448566610455309</v>
      </c>
    </row>
    <row r="9159" spans="2:13" hidden="1" x14ac:dyDescent="0.3">
      <c r="B9159" t="s">
        <v>264</v>
      </c>
      <c r="C9159" s="25">
        <v>44766</v>
      </c>
      <c r="D9159" s="26">
        <v>0.80737268518518512</v>
      </c>
      <c r="E9159" t="s">
        <v>30</v>
      </c>
      <c r="F9159" t="s">
        <v>210</v>
      </c>
      <c r="G9159" t="s">
        <v>211</v>
      </c>
      <c r="H9159" t="s">
        <v>134</v>
      </c>
      <c r="I9159" s="160">
        <v>419.31</v>
      </c>
      <c r="J9159" s="8"/>
      <c r="K9159" s="8"/>
      <c r="L9159" s="8"/>
      <c r="M9159" s="254"/>
    </row>
    <row r="9160" spans="2:13" hidden="1" x14ac:dyDescent="0.3">
      <c r="B9160" t="s">
        <v>264</v>
      </c>
      <c r="C9160" s="25">
        <v>44766</v>
      </c>
      <c r="D9160" s="26">
        <v>0.8273611111111111</v>
      </c>
      <c r="E9160" t="s">
        <v>30</v>
      </c>
      <c r="F9160" t="s">
        <v>210</v>
      </c>
      <c r="G9160" t="s">
        <v>211</v>
      </c>
      <c r="H9160" t="s">
        <v>134</v>
      </c>
      <c r="I9160" s="160">
        <v>350</v>
      </c>
      <c r="J9160" s="8"/>
      <c r="K9160" s="8"/>
      <c r="L9160" s="8"/>
      <c r="M9160" s="254"/>
    </row>
    <row r="9161" spans="2:13" hidden="1" x14ac:dyDescent="0.3">
      <c r="B9161" t="s">
        <v>751</v>
      </c>
      <c r="C9161" s="25">
        <v>44763</v>
      </c>
      <c r="D9161" s="26">
        <v>0.51700231481481485</v>
      </c>
      <c r="E9161" t="s">
        <v>30</v>
      </c>
      <c r="F9161" t="s">
        <v>175</v>
      </c>
      <c r="G9161" t="s">
        <v>172</v>
      </c>
      <c r="H9161" t="s">
        <v>110</v>
      </c>
      <c r="I9161" s="160">
        <v>275.02999999999997</v>
      </c>
      <c r="J9161" s="8"/>
      <c r="K9161" s="8"/>
      <c r="L9161" s="8"/>
      <c r="M9161" s="254"/>
    </row>
    <row r="9162" spans="2:13" hidden="1" x14ac:dyDescent="0.3">
      <c r="B9162" t="s">
        <v>751</v>
      </c>
      <c r="C9162" s="25">
        <v>44764</v>
      </c>
      <c r="D9162" s="26">
        <v>0.78783564814814822</v>
      </c>
      <c r="E9162" t="s">
        <v>30</v>
      </c>
      <c r="F9162" t="s">
        <v>210</v>
      </c>
      <c r="G9162" t="s">
        <v>211</v>
      </c>
      <c r="H9162" t="s">
        <v>110</v>
      </c>
      <c r="I9162" s="160">
        <v>340.02</v>
      </c>
      <c r="J9162" s="160">
        <f>275+340</f>
        <v>615</v>
      </c>
      <c r="K9162" s="160"/>
      <c r="L9162" s="160">
        <v>720</v>
      </c>
      <c r="M9162" s="150">
        <f t="shared" si="549"/>
        <v>85.416666666666657</v>
      </c>
    </row>
    <row r="9163" spans="2:13" hidden="1" x14ac:dyDescent="0.3">
      <c r="B9163" t="s">
        <v>751</v>
      </c>
      <c r="C9163" s="25">
        <v>44766</v>
      </c>
      <c r="D9163" s="26">
        <v>0.77731481481481479</v>
      </c>
      <c r="E9163" t="s">
        <v>30</v>
      </c>
      <c r="F9163" t="s">
        <v>210</v>
      </c>
      <c r="G9163" t="s">
        <v>211</v>
      </c>
      <c r="H9163" t="s">
        <v>110</v>
      </c>
      <c r="I9163" s="160">
        <v>343.92</v>
      </c>
      <c r="J9163" s="8"/>
      <c r="K9163" s="8"/>
      <c r="L9163" s="8"/>
      <c r="M9163" s="254"/>
    </row>
    <row r="9164" spans="2:13" hidden="1" x14ac:dyDescent="0.3">
      <c r="B9164" t="s">
        <v>751</v>
      </c>
      <c r="C9164" s="25">
        <v>44766</v>
      </c>
      <c r="D9164" s="26">
        <v>0.78803240740740732</v>
      </c>
      <c r="E9164" t="s">
        <v>30</v>
      </c>
      <c r="F9164" t="s">
        <v>210</v>
      </c>
      <c r="G9164" t="s">
        <v>211</v>
      </c>
      <c r="H9164" t="s">
        <v>110</v>
      </c>
      <c r="I9164" s="160">
        <v>101.8</v>
      </c>
      <c r="J9164" s="160">
        <f>344+102</f>
        <v>446</v>
      </c>
      <c r="K9164" s="160"/>
      <c r="L9164" s="160">
        <v>1064</v>
      </c>
      <c r="M9164" s="182">
        <f t="shared" si="549"/>
        <v>41.917293233082709</v>
      </c>
    </row>
    <row r="9165" spans="2:13" hidden="1" x14ac:dyDescent="0.3">
      <c r="B9165" t="s">
        <v>751</v>
      </c>
      <c r="C9165" s="25">
        <v>44767</v>
      </c>
      <c r="D9165" s="26">
        <v>0.13878472222222224</v>
      </c>
      <c r="E9165" t="s">
        <v>30</v>
      </c>
      <c r="F9165" t="s">
        <v>293</v>
      </c>
      <c r="G9165" t="s">
        <v>196</v>
      </c>
      <c r="H9165" t="s">
        <v>110</v>
      </c>
      <c r="I9165" s="160">
        <v>151.22</v>
      </c>
      <c r="J9165" s="8"/>
      <c r="K9165" s="8"/>
      <c r="L9165" s="8"/>
      <c r="M9165" s="254"/>
    </row>
    <row r="9166" spans="2:13" hidden="1" x14ac:dyDescent="0.3">
      <c r="B9166" t="s">
        <v>751</v>
      </c>
      <c r="C9166" s="25">
        <v>44770</v>
      </c>
      <c r="D9166" s="26">
        <v>0.95799768518518524</v>
      </c>
      <c r="E9166" t="s">
        <v>30</v>
      </c>
      <c r="F9166" t="s">
        <v>175</v>
      </c>
      <c r="G9166" t="s">
        <v>172</v>
      </c>
      <c r="H9166" t="s">
        <v>110</v>
      </c>
      <c r="I9166" s="160">
        <v>311.19</v>
      </c>
      <c r="J9166" s="8"/>
      <c r="K9166" s="8"/>
      <c r="L9166" s="8"/>
      <c r="M9166" s="254"/>
    </row>
    <row r="9167" spans="2:13" hidden="1" x14ac:dyDescent="0.3">
      <c r="B9167" t="s">
        <v>355</v>
      </c>
      <c r="C9167" s="25">
        <v>44743</v>
      </c>
      <c r="D9167" s="26">
        <v>0.86853009259259262</v>
      </c>
      <c r="E9167" t="s">
        <v>30</v>
      </c>
      <c r="F9167" t="s">
        <v>210</v>
      </c>
      <c r="G9167" t="s">
        <v>211</v>
      </c>
      <c r="H9167" t="s">
        <v>119</v>
      </c>
      <c r="I9167" s="160">
        <v>343.92</v>
      </c>
      <c r="J9167" s="8"/>
      <c r="K9167" s="8"/>
      <c r="L9167" s="8"/>
      <c r="M9167" s="254"/>
    </row>
    <row r="9168" spans="2:13" hidden="1" x14ac:dyDescent="0.3">
      <c r="B9168" t="s">
        <v>355</v>
      </c>
      <c r="C9168" s="25">
        <v>44744</v>
      </c>
      <c r="D9168" s="26">
        <v>0.40326388888888887</v>
      </c>
      <c r="E9168" t="s">
        <v>30</v>
      </c>
      <c r="F9168" t="s">
        <v>169</v>
      </c>
      <c r="G9168" t="s">
        <v>196</v>
      </c>
      <c r="H9168" t="s">
        <v>119</v>
      </c>
      <c r="I9168" s="160">
        <v>178.14</v>
      </c>
      <c r="J9168" s="8"/>
      <c r="K9168" s="8"/>
      <c r="L9168" s="8"/>
      <c r="M9168" s="254"/>
    </row>
    <row r="9169" spans="2:13" hidden="1" x14ac:dyDescent="0.3">
      <c r="B9169" t="s">
        <v>355</v>
      </c>
      <c r="C9169" s="25">
        <v>44745</v>
      </c>
      <c r="D9169" s="26">
        <v>0.37898148148148153</v>
      </c>
      <c r="E9169" t="s">
        <v>30</v>
      </c>
      <c r="F9169" t="s">
        <v>197</v>
      </c>
      <c r="G9169" t="s">
        <v>44</v>
      </c>
      <c r="H9169" t="s">
        <v>119</v>
      </c>
      <c r="I9169" s="160">
        <v>134.77000000000001</v>
      </c>
      <c r="J9169" s="8"/>
      <c r="K9169" s="8"/>
      <c r="L9169" s="8"/>
      <c r="M9169" s="254"/>
    </row>
    <row r="9170" spans="2:13" hidden="1" x14ac:dyDescent="0.3">
      <c r="B9170" t="s">
        <v>355</v>
      </c>
      <c r="C9170" s="25">
        <v>44745</v>
      </c>
      <c r="D9170" s="26">
        <v>0.80791666666666673</v>
      </c>
      <c r="E9170" t="s">
        <v>30</v>
      </c>
      <c r="F9170" t="s">
        <v>210</v>
      </c>
      <c r="G9170" t="s">
        <v>211</v>
      </c>
      <c r="H9170" t="s">
        <v>119</v>
      </c>
      <c r="I9170" s="160">
        <v>391.18</v>
      </c>
      <c r="J9170" s="8"/>
      <c r="K9170" s="8"/>
      <c r="L9170" s="8"/>
      <c r="M9170" s="254"/>
    </row>
    <row r="9171" spans="2:13" hidden="1" x14ac:dyDescent="0.3">
      <c r="B9171" t="s">
        <v>355</v>
      </c>
      <c r="C9171" s="25">
        <v>44746</v>
      </c>
      <c r="D9171" s="26">
        <v>0.95637731481481481</v>
      </c>
      <c r="E9171" t="s">
        <v>30</v>
      </c>
      <c r="F9171" t="s">
        <v>210</v>
      </c>
      <c r="G9171" t="s">
        <v>211</v>
      </c>
      <c r="H9171" t="s">
        <v>119</v>
      </c>
      <c r="I9171" s="160">
        <v>403.06</v>
      </c>
      <c r="J9171" s="8"/>
      <c r="K9171" s="8"/>
      <c r="L9171" s="8"/>
      <c r="M9171" s="254"/>
    </row>
    <row r="9172" spans="2:13" hidden="1" x14ac:dyDescent="0.3">
      <c r="B9172" t="s">
        <v>355</v>
      </c>
      <c r="C9172" s="25">
        <v>44748</v>
      </c>
      <c r="D9172" s="26">
        <v>0.40561342592592592</v>
      </c>
      <c r="E9172" t="s">
        <v>30</v>
      </c>
      <c r="F9172" t="s">
        <v>175</v>
      </c>
      <c r="G9172" t="s">
        <v>172</v>
      </c>
      <c r="H9172" t="s">
        <v>119</v>
      </c>
      <c r="I9172" s="160">
        <v>368.89</v>
      </c>
      <c r="J9172" s="8"/>
      <c r="K9172" s="8"/>
      <c r="L9172" s="8"/>
      <c r="M9172" s="254"/>
    </row>
    <row r="9173" spans="2:13" hidden="1" x14ac:dyDescent="0.3">
      <c r="B9173" t="s">
        <v>355</v>
      </c>
      <c r="C9173" s="25">
        <v>44748</v>
      </c>
      <c r="D9173" s="26">
        <v>0.96725694444444443</v>
      </c>
      <c r="E9173" t="s">
        <v>30</v>
      </c>
      <c r="F9173" t="s">
        <v>210</v>
      </c>
      <c r="G9173" t="s">
        <v>211</v>
      </c>
      <c r="H9173" t="s">
        <v>119</v>
      </c>
      <c r="I9173" s="160">
        <v>285.01</v>
      </c>
      <c r="J9173" s="160">
        <f>285+368+404+391+134+178+343+428</f>
        <v>2531</v>
      </c>
      <c r="K9173" s="160">
        <v>8518</v>
      </c>
      <c r="L9173" s="160">
        <v>6560</v>
      </c>
      <c r="M9173" s="150">
        <f>+J9173/L9173*100</f>
        <v>38.582317073170728</v>
      </c>
    </row>
    <row r="9174" spans="2:13" hidden="1" x14ac:dyDescent="0.3">
      <c r="B9174" t="s">
        <v>355</v>
      </c>
      <c r="C9174" s="25">
        <v>44749</v>
      </c>
      <c r="D9174" s="26">
        <v>0.99706018518518524</v>
      </c>
      <c r="E9174" t="s">
        <v>30</v>
      </c>
      <c r="F9174" t="s">
        <v>210</v>
      </c>
      <c r="G9174" t="s">
        <v>211</v>
      </c>
      <c r="H9174" t="s">
        <v>119</v>
      </c>
      <c r="I9174" s="173">
        <v>343.92</v>
      </c>
      <c r="J9174" s="8"/>
      <c r="K9174" s="8"/>
      <c r="L9174" s="8"/>
      <c r="M9174" s="254"/>
    </row>
    <row r="9175" spans="2:13" hidden="1" x14ac:dyDescent="0.3">
      <c r="B9175" t="s">
        <v>355</v>
      </c>
      <c r="C9175" s="25">
        <v>44750</v>
      </c>
      <c r="D9175" s="26">
        <v>2.3032407407407407E-3</v>
      </c>
      <c r="E9175" t="s">
        <v>30</v>
      </c>
      <c r="F9175" t="s">
        <v>210</v>
      </c>
      <c r="G9175" t="s">
        <v>211</v>
      </c>
      <c r="H9175" t="s">
        <v>119</v>
      </c>
      <c r="I9175" s="173">
        <v>76.650000000000006</v>
      </c>
      <c r="J9175" s="8"/>
      <c r="K9175" s="8"/>
      <c r="L9175" s="8"/>
      <c r="M9175" s="254"/>
    </row>
    <row r="9176" spans="2:13" hidden="1" x14ac:dyDescent="0.3">
      <c r="B9176" t="s">
        <v>355</v>
      </c>
      <c r="C9176" s="25">
        <v>44750</v>
      </c>
      <c r="D9176" s="26">
        <v>0.83016203703703706</v>
      </c>
      <c r="E9176" t="s">
        <v>30</v>
      </c>
      <c r="F9176" t="s">
        <v>446</v>
      </c>
      <c r="G9176" t="s">
        <v>402</v>
      </c>
      <c r="H9176" t="s">
        <v>119</v>
      </c>
      <c r="I9176" s="173">
        <v>230.01</v>
      </c>
      <c r="J9176" s="8"/>
      <c r="K9176" s="8"/>
      <c r="L9176" s="8"/>
      <c r="M9176" s="254"/>
    </row>
    <row r="9177" spans="2:13" hidden="1" x14ac:dyDescent="0.3">
      <c r="B9177" t="s">
        <v>355</v>
      </c>
      <c r="C9177" s="25">
        <v>44751</v>
      </c>
      <c r="D9177" s="26">
        <v>0.39006944444444441</v>
      </c>
      <c r="E9177" t="s">
        <v>30</v>
      </c>
      <c r="F9177" t="s">
        <v>775</v>
      </c>
      <c r="G9177" t="s">
        <v>263</v>
      </c>
      <c r="H9177" t="s">
        <v>119</v>
      </c>
      <c r="I9177" s="173">
        <v>91.3</v>
      </c>
      <c r="J9177" s="8"/>
      <c r="K9177" s="8"/>
      <c r="L9177" s="8"/>
      <c r="M9177" s="254"/>
    </row>
    <row r="9178" spans="2:13" hidden="1" x14ac:dyDescent="0.3">
      <c r="B9178" t="s">
        <v>355</v>
      </c>
      <c r="C9178" s="25">
        <v>44752</v>
      </c>
      <c r="D9178" s="26">
        <v>0.27228009259259262</v>
      </c>
      <c r="E9178" t="s">
        <v>30</v>
      </c>
      <c r="F9178" t="s">
        <v>210</v>
      </c>
      <c r="G9178" t="s">
        <v>211</v>
      </c>
      <c r="H9178" t="s">
        <v>119</v>
      </c>
      <c r="I9178" s="173">
        <v>344.77</v>
      </c>
      <c r="J9178" s="8"/>
      <c r="K9178" s="8"/>
      <c r="L9178" s="8"/>
      <c r="M9178" s="254"/>
    </row>
    <row r="9179" spans="2:13" hidden="1" x14ac:dyDescent="0.3">
      <c r="B9179" t="s">
        <v>355</v>
      </c>
      <c r="C9179" s="25">
        <v>44752</v>
      </c>
      <c r="D9179" s="26">
        <v>0.87118055555555562</v>
      </c>
      <c r="E9179" t="s">
        <v>30</v>
      </c>
      <c r="F9179" t="s">
        <v>210</v>
      </c>
      <c r="G9179" t="s">
        <v>211</v>
      </c>
      <c r="H9179" t="s">
        <v>119</v>
      </c>
      <c r="I9179" s="173">
        <v>325.02999999999997</v>
      </c>
      <c r="J9179" s="160">
        <f>344+77+230+91+345+325</f>
        <v>1412</v>
      </c>
      <c r="K9179" s="160"/>
      <c r="L9179" s="160">
        <v>3718</v>
      </c>
      <c r="M9179" s="150">
        <f>+J9179/L9179*100</f>
        <v>37.977407208176437</v>
      </c>
    </row>
    <row r="9180" spans="2:13" hidden="1" x14ac:dyDescent="0.3">
      <c r="B9180" t="s">
        <v>355</v>
      </c>
      <c r="C9180" s="25">
        <v>44753</v>
      </c>
      <c r="D9180" s="26">
        <v>0.44203703703703701</v>
      </c>
      <c r="E9180" t="s">
        <v>30</v>
      </c>
      <c r="F9180" t="s">
        <v>169</v>
      </c>
      <c r="G9180" t="s">
        <v>196</v>
      </c>
      <c r="H9180" t="s">
        <v>119</v>
      </c>
      <c r="I9180" s="173">
        <v>100.1</v>
      </c>
      <c r="J9180" s="23"/>
      <c r="K9180" s="23"/>
      <c r="L9180" s="23"/>
      <c r="M9180" s="254"/>
    </row>
    <row r="9181" spans="2:13" hidden="1" x14ac:dyDescent="0.3">
      <c r="B9181" t="s">
        <v>355</v>
      </c>
      <c r="C9181" s="25">
        <v>44754</v>
      </c>
      <c r="D9181" s="26">
        <v>0.78626157407407404</v>
      </c>
      <c r="E9181" t="s">
        <v>30</v>
      </c>
      <c r="F9181" t="s">
        <v>197</v>
      </c>
      <c r="G9181" t="s">
        <v>44</v>
      </c>
      <c r="H9181" t="s">
        <v>119</v>
      </c>
      <c r="I9181" s="173">
        <v>134.77000000000001</v>
      </c>
      <c r="J9181" s="23"/>
      <c r="K9181" s="23"/>
      <c r="L9181" s="23"/>
      <c r="M9181" s="254"/>
    </row>
    <row r="9182" spans="2:13" hidden="1" x14ac:dyDescent="0.3">
      <c r="B9182" t="s">
        <v>355</v>
      </c>
      <c r="C9182" s="25">
        <v>44755</v>
      </c>
      <c r="D9182" s="26">
        <v>0.4739814814814815</v>
      </c>
      <c r="E9182" t="s">
        <v>30</v>
      </c>
      <c r="F9182" t="s">
        <v>210</v>
      </c>
      <c r="G9182" t="s">
        <v>211</v>
      </c>
      <c r="H9182" t="s">
        <v>119</v>
      </c>
      <c r="I9182" s="173">
        <v>343.92</v>
      </c>
      <c r="J9182" s="23"/>
      <c r="K9182" s="23"/>
      <c r="L9182" s="23"/>
      <c r="M9182" s="254"/>
    </row>
    <row r="9183" spans="2:13" hidden="1" x14ac:dyDescent="0.3">
      <c r="B9183" t="s">
        <v>355</v>
      </c>
      <c r="C9183" s="25">
        <v>44755</v>
      </c>
      <c r="D9183" s="26">
        <v>0.47967592592592595</v>
      </c>
      <c r="E9183" t="s">
        <v>30</v>
      </c>
      <c r="F9183" t="s">
        <v>210</v>
      </c>
      <c r="G9183" t="s">
        <v>211</v>
      </c>
      <c r="H9183" t="s">
        <v>119</v>
      </c>
      <c r="I9183" s="173">
        <v>111.34</v>
      </c>
      <c r="J9183" s="23"/>
      <c r="K9183" s="23"/>
      <c r="L9183" s="23"/>
      <c r="M9183" s="254"/>
    </row>
    <row r="9184" spans="2:13" hidden="1" x14ac:dyDescent="0.3">
      <c r="B9184" t="s">
        <v>355</v>
      </c>
      <c r="C9184" s="25">
        <v>44756</v>
      </c>
      <c r="D9184" s="26">
        <v>0.44540509259259259</v>
      </c>
      <c r="E9184" t="s">
        <v>30</v>
      </c>
      <c r="F9184" t="s">
        <v>210</v>
      </c>
      <c r="G9184" t="s">
        <v>211</v>
      </c>
      <c r="H9184" t="s">
        <v>119</v>
      </c>
      <c r="I9184" s="173">
        <v>343.92</v>
      </c>
      <c r="J9184" s="23"/>
      <c r="K9184" s="23"/>
      <c r="L9184" s="23"/>
      <c r="M9184" s="254"/>
    </row>
    <row r="9185" spans="2:13" hidden="1" x14ac:dyDescent="0.3">
      <c r="B9185" t="s">
        <v>355</v>
      </c>
      <c r="C9185" s="25">
        <v>44756</v>
      </c>
      <c r="D9185" s="26">
        <v>0.45195601851851852</v>
      </c>
      <c r="E9185" t="s">
        <v>30</v>
      </c>
      <c r="F9185" t="s">
        <v>210</v>
      </c>
      <c r="G9185" t="s">
        <v>211</v>
      </c>
      <c r="H9185" t="s">
        <v>119</v>
      </c>
      <c r="I9185" s="173">
        <v>60.04</v>
      </c>
      <c r="J9185" s="231">
        <f>60+344+111+345+135+100</f>
        <v>1095</v>
      </c>
      <c r="K9185" s="231"/>
      <c r="L9185" s="231">
        <v>2836</v>
      </c>
      <c r="M9185" s="150">
        <f>+J9185/L9185*100</f>
        <v>38.610719322990128</v>
      </c>
    </row>
    <row r="9186" spans="2:13" hidden="1" x14ac:dyDescent="0.3">
      <c r="B9186" t="s">
        <v>355</v>
      </c>
      <c r="C9186" s="25">
        <v>44757</v>
      </c>
      <c r="D9186" s="26">
        <v>0.61186342592592591</v>
      </c>
      <c r="E9186" t="s">
        <v>30</v>
      </c>
      <c r="F9186" t="s">
        <v>783</v>
      </c>
      <c r="G9186" t="s">
        <v>392</v>
      </c>
      <c r="H9186" t="s">
        <v>119</v>
      </c>
      <c r="I9186" s="173">
        <v>331.65</v>
      </c>
      <c r="J9186" s="23"/>
      <c r="K9186" s="23"/>
      <c r="L9186" s="23"/>
      <c r="M9186" s="254"/>
    </row>
    <row r="9187" spans="2:13" hidden="1" x14ac:dyDescent="0.3">
      <c r="B9187" t="s">
        <v>355</v>
      </c>
      <c r="C9187" s="25">
        <v>44758</v>
      </c>
      <c r="D9187" s="26">
        <v>0.88787037037037031</v>
      </c>
      <c r="E9187" t="s">
        <v>30</v>
      </c>
      <c r="F9187" t="s">
        <v>210</v>
      </c>
      <c r="G9187" t="s">
        <v>211</v>
      </c>
      <c r="H9187" t="s">
        <v>119</v>
      </c>
      <c r="I9187" s="173">
        <v>385.02</v>
      </c>
      <c r="J9187" s="23"/>
      <c r="K9187" s="23"/>
      <c r="L9187" s="23"/>
      <c r="M9187" s="254"/>
    </row>
    <row r="9188" spans="2:13" hidden="1" x14ac:dyDescent="0.3">
      <c r="B9188" t="s">
        <v>355</v>
      </c>
      <c r="C9188" s="25">
        <v>44759</v>
      </c>
      <c r="D9188" s="26">
        <v>0.96870370370370373</v>
      </c>
      <c r="E9188" t="s">
        <v>30</v>
      </c>
      <c r="F9188" t="s">
        <v>210</v>
      </c>
      <c r="G9188" t="s">
        <v>211</v>
      </c>
      <c r="H9188" t="s">
        <v>119</v>
      </c>
      <c r="I9188" s="173">
        <v>401.76</v>
      </c>
      <c r="J9188" s="231">
        <f>402+385+332</f>
        <v>1119</v>
      </c>
      <c r="K9188" s="151"/>
      <c r="L9188" s="151">
        <v>2831</v>
      </c>
      <c r="M9188" s="150">
        <f t="shared" ref="M9188:M9195" si="550">+J9188/L9188*100</f>
        <v>39.526669021547157</v>
      </c>
    </row>
    <row r="9189" spans="2:13" hidden="1" x14ac:dyDescent="0.3">
      <c r="B9189" t="s">
        <v>355</v>
      </c>
      <c r="C9189" s="25">
        <v>44760</v>
      </c>
      <c r="D9189" s="26">
        <v>0.72418981481481481</v>
      </c>
      <c r="E9189" t="s">
        <v>30</v>
      </c>
      <c r="F9189" t="s">
        <v>446</v>
      </c>
      <c r="G9189" t="s">
        <v>402</v>
      </c>
      <c r="H9189" t="s">
        <v>119</v>
      </c>
      <c r="I9189" s="160">
        <v>212.05</v>
      </c>
      <c r="J9189" s="8"/>
      <c r="K9189" s="8"/>
      <c r="L9189" s="8"/>
      <c r="M9189" s="254"/>
    </row>
    <row r="9190" spans="2:13" hidden="1" x14ac:dyDescent="0.3">
      <c r="B9190" t="s">
        <v>355</v>
      </c>
      <c r="C9190" s="25">
        <v>44762</v>
      </c>
      <c r="D9190" s="26">
        <v>0.41659722222222223</v>
      </c>
      <c r="E9190" t="s">
        <v>30</v>
      </c>
      <c r="F9190" t="s">
        <v>210</v>
      </c>
      <c r="G9190" t="s">
        <v>211</v>
      </c>
      <c r="H9190" t="s">
        <v>119</v>
      </c>
      <c r="I9190" s="160">
        <v>297.33999999999997</v>
      </c>
      <c r="J9190" s="8"/>
      <c r="K9190" s="8"/>
      <c r="L9190" s="8"/>
      <c r="M9190" s="254"/>
    </row>
    <row r="9191" spans="2:13" hidden="1" x14ac:dyDescent="0.3">
      <c r="B9191" t="s">
        <v>355</v>
      </c>
      <c r="C9191" s="25">
        <v>44763</v>
      </c>
      <c r="D9191" s="26">
        <v>0.38817129629629626</v>
      </c>
      <c r="E9191" t="s">
        <v>30</v>
      </c>
      <c r="F9191" t="s">
        <v>165</v>
      </c>
      <c r="G9191" t="s">
        <v>185</v>
      </c>
      <c r="H9191" t="s">
        <v>119</v>
      </c>
      <c r="I9191" s="160">
        <v>416.01</v>
      </c>
      <c r="J9191" s="8"/>
      <c r="K9191" s="8"/>
      <c r="L9191" s="8"/>
      <c r="M9191" s="254"/>
    </row>
    <row r="9192" spans="2:13" hidden="1" x14ac:dyDescent="0.3">
      <c r="B9192" t="s">
        <v>355</v>
      </c>
      <c r="C9192" s="25">
        <v>44764</v>
      </c>
      <c r="D9192" s="26">
        <v>0.66288194444444437</v>
      </c>
      <c r="E9192" t="s">
        <v>30</v>
      </c>
      <c r="F9192" t="s">
        <v>293</v>
      </c>
      <c r="G9192" t="s">
        <v>196</v>
      </c>
      <c r="H9192" t="s">
        <v>119</v>
      </c>
      <c r="I9192" s="160">
        <v>200.4</v>
      </c>
      <c r="J9192" s="8"/>
      <c r="K9192" s="8"/>
      <c r="L9192" s="8"/>
      <c r="M9192" s="254"/>
    </row>
    <row r="9193" spans="2:13" hidden="1" x14ac:dyDescent="0.3">
      <c r="B9193" t="s">
        <v>355</v>
      </c>
      <c r="C9193" s="25">
        <v>44765</v>
      </c>
      <c r="D9193" s="26">
        <v>0.39736111111111111</v>
      </c>
      <c r="E9193" t="s">
        <v>30</v>
      </c>
      <c r="F9193" t="s">
        <v>534</v>
      </c>
      <c r="G9193" t="s">
        <v>535</v>
      </c>
      <c r="H9193" t="s">
        <v>119</v>
      </c>
      <c r="I9193" s="160">
        <v>360.04</v>
      </c>
      <c r="J9193" s="8"/>
      <c r="K9193" s="8"/>
      <c r="L9193" s="8"/>
      <c r="M9193" s="254"/>
    </row>
    <row r="9194" spans="2:13" hidden="1" x14ac:dyDescent="0.3">
      <c r="B9194" t="s">
        <v>355</v>
      </c>
      <c r="C9194" s="25">
        <v>44773</v>
      </c>
      <c r="D9194" s="26">
        <v>0.61628472222222219</v>
      </c>
      <c r="E9194" t="s">
        <v>30</v>
      </c>
      <c r="F9194" t="s">
        <v>210</v>
      </c>
      <c r="G9194" t="s">
        <v>211</v>
      </c>
      <c r="H9194" t="s">
        <v>119</v>
      </c>
      <c r="I9194" s="160">
        <v>395.02</v>
      </c>
      <c r="J9194" s="160">
        <f>212+297+416+200+360+395</f>
        <v>1880</v>
      </c>
      <c r="K9194" s="160"/>
      <c r="L9194" s="160">
        <v>4681</v>
      </c>
      <c r="M9194" s="150">
        <f t="shared" si="550"/>
        <v>40.162358470412308</v>
      </c>
    </row>
    <row r="9195" spans="2:13" hidden="1" x14ac:dyDescent="0.3">
      <c r="B9195" t="s">
        <v>267</v>
      </c>
      <c r="C9195" s="25">
        <v>44744</v>
      </c>
      <c r="D9195" s="26">
        <v>0.39468750000000002</v>
      </c>
      <c r="E9195" t="s">
        <v>30</v>
      </c>
      <c r="F9195" t="s">
        <v>391</v>
      </c>
      <c r="G9195" t="s">
        <v>392</v>
      </c>
      <c r="H9195" t="s">
        <v>129</v>
      </c>
      <c r="I9195" s="173">
        <v>370.64</v>
      </c>
      <c r="J9195" s="160">
        <f>370+350+163+299+284+160+477+296</f>
        <v>2399</v>
      </c>
      <c r="K9195" s="160"/>
      <c r="L9195" s="160">
        <v>5505</v>
      </c>
      <c r="M9195" s="149">
        <f t="shared" si="550"/>
        <v>43.578564940962764</v>
      </c>
    </row>
    <row r="9196" spans="2:13" hidden="1" x14ac:dyDescent="0.3">
      <c r="B9196" t="s">
        <v>267</v>
      </c>
      <c r="C9196" s="25">
        <v>44754</v>
      </c>
      <c r="D9196" s="26">
        <v>0.74752314814814813</v>
      </c>
      <c r="E9196" t="s">
        <v>30</v>
      </c>
      <c r="F9196" t="s">
        <v>877</v>
      </c>
      <c r="G9196" t="s">
        <v>161</v>
      </c>
      <c r="H9196" t="s">
        <v>129</v>
      </c>
      <c r="I9196" s="173">
        <v>395.69</v>
      </c>
      <c r="J9196" s="23"/>
      <c r="K9196" s="23"/>
      <c r="L9196" s="23"/>
      <c r="M9196" s="254"/>
    </row>
    <row r="9197" spans="2:13" hidden="1" x14ac:dyDescent="0.3">
      <c r="B9197" t="s">
        <v>267</v>
      </c>
      <c r="C9197" s="25">
        <v>44755</v>
      </c>
      <c r="D9197" s="26">
        <v>0.66608796296296291</v>
      </c>
      <c r="E9197" t="s">
        <v>30</v>
      </c>
      <c r="F9197" t="s">
        <v>779</v>
      </c>
      <c r="G9197" t="s">
        <v>45</v>
      </c>
      <c r="H9197" t="s">
        <v>129</v>
      </c>
      <c r="I9197" s="173">
        <v>341.8</v>
      </c>
      <c r="J9197" s="23"/>
      <c r="K9197" s="23"/>
      <c r="L9197" s="23"/>
      <c r="M9197" s="254"/>
    </row>
    <row r="9198" spans="2:13" hidden="1" x14ac:dyDescent="0.3">
      <c r="B9198" t="s">
        <v>267</v>
      </c>
      <c r="C9198" s="25">
        <v>44756</v>
      </c>
      <c r="D9198" s="26">
        <v>0.81913194444444448</v>
      </c>
      <c r="E9198" t="s">
        <v>30</v>
      </c>
      <c r="F9198" t="s">
        <v>210</v>
      </c>
      <c r="G9198" t="s">
        <v>211</v>
      </c>
      <c r="H9198" t="s">
        <v>129</v>
      </c>
      <c r="I9198" s="173">
        <v>237.37</v>
      </c>
      <c r="J9198" s="151">
        <f>237+341+395</f>
        <v>973</v>
      </c>
      <c r="K9198" s="151"/>
      <c r="L9198" s="151">
        <v>1991</v>
      </c>
      <c r="M9198" s="150">
        <f>+J9198/L9198*100</f>
        <v>48.869914615770973</v>
      </c>
    </row>
    <row r="9199" spans="2:13" hidden="1" x14ac:dyDescent="0.3">
      <c r="B9199" t="s">
        <v>267</v>
      </c>
      <c r="C9199" s="25">
        <v>44758</v>
      </c>
      <c r="D9199" s="26">
        <v>0.61406250000000007</v>
      </c>
      <c r="E9199" t="s">
        <v>30</v>
      </c>
      <c r="F9199" t="s">
        <v>169</v>
      </c>
      <c r="G9199" t="s">
        <v>196</v>
      </c>
      <c r="H9199" t="s">
        <v>129</v>
      </c>
      <c r="I9199" s="173">
        <v>173.27</v>
      </c>
      <c r="J9199" s="23"/>
      <c r="K9199" s="23"/>
      <c r="L9199" s="23"/>
      <c r="M9199" s="254"/>
    </row>
    <row r="9200" spans="2:13" hidden="1" x14ac:dyDescent="0.3">
      <c r="B9200" t="s">
        <v>267</v>
      </c>
      <c r="C9200" s="25">
        <v>44760</v>
      </c>
      <c r="D9200" s="26">
        <v>0.41915509259259259</v>
      </c>
      <c r="E9200" t="s">
        <v>30</v>
      </c>
      <c r="F9200" t="s">
        <v>391</v>
      </c>
      <c r="G9200" t="s">
        <v>392</v>
      </c>
      <c r="H9200" t="s">
        <v>129</v>
      </c>
      <c r="I9200" s="160">
        <v>197.07</v>
      </c>
      <c r="J9200" s="8"/>
      <c r="K9200" s="8"/>
      <c r="L9200" s="8"/>
      <c r="M9200" s="254"/>
    </row>
    <row r="9201" spans="1:13" hidden="1" x14ac:dyDescent="0.3">
      <c r="B9201" t="s">
        <v>267</v>
      </c>
      <c r="C9201" s="25">
        <v>44766</v>
      </c>
      <c r="D9201" s="26">
        <v>0.44534722222222217</v>
      </c>
      <c r="E9201" t="s">
        <v>30</v>
      </c>
      <c r="F9201" t="s">
        <v>166</v>
      </c>
      <c r="G9201" t="s">
        <v>161</v>
      </c>
      <c r="H9201" t="s">
        <v>129</v>
      </c>
      <c r="I9201" s="160">
        <v>343.05</v>
      </c>
      <c r="J9201" s="160">
        <f>343+197+173</f>
        <v>713</v>
      </c>
      <c r="K9201" s="160"/>
      <c r="L9201" s="160">
        <v>1706</v>
      </c>
      <c r="M9201" s="150">
        <f>+J9201/L9201*100</f>
        <v>41.793669402110197</v>
      </c>
    </row>
    <row r="9202" spans="1:13" hidden="1" x14ac:dyDescent="0.3">
      <c r="B9202" t="s">
        <v>267</v>
      </c>
      <c r="C9202" s="25">
        <v>44766</v>
      </c>
      <c r="D9202" s="26">
        <v>0.82795138888888886</v>
      </c>
      <c r="E9202" t="s">
        <v>30</v>
      </c>
      <c r="F9202" t="s">
        <v>165</v>
      </c>
      <c r="G9202" t="s">
        <v>185</v>
      </c>
      <c r="H9202" t="s">
        <v>129</v>
      </c>
      <c r="I9202" s="160">
        <v>280.58999999999997</v>
      </c>
      <c r="J9202" s="8"/>
      <c r="K9202" s="8"/>
      <c r="L9202" s="8"/>
      <c r="M9202" s="254"/>
    </row>
    <row r="9203" spans="1:13" hidden="1" x14ac:dyDescent="0.3">
      <c r="B9203" t="s">
        <v>267</v>
      </c>
      <c r="C9203" s="25">
        <v>44767</v>
      </c>
      <c r="D9203" s="26">
        <v>0.63390046296296299</v>
      </c>
      <c r="E9203" t="s">
        <v>30</v>
      </c>
      <c r="F9203" t="s">
        <v>210</v>
      </c>
      <c r="G9203" t="s">
        <v>211</v>
      </c>
      <c r="H9203" t="s">
        <v>129</v>
      </c>
      <c r="I9203" s="160">
        <v>221.56</v>
      </c>
      <c r="J9203" s="160">
        <f>221+280</f>
        <v>501</v>
      </c>
      <c r="K9203" s="160"/>
      <c r="L9203" s="160">
        <v>1198</v>
      </c>
      <c r="M9203" s="150">
        <f>+J9203/L9203*100</f>
        <v>41.819699499165274</v>
      </c>
    </row>
    <row r="9204" spans="1:13" hidden="1" x14ac:dyDescent="0.3">
      <c r="B9204" t="s">
        <v>267</v>
      </c>
      <c r="C9204" s="25">
        <v>44768</v>
      </c>
      <c r="D9204" s="26">
        <v>0.86776620370370372</v>
      </c>
      <c r="E9204" t="s">
        <v>30</v>
      </c>
      <c r="F9204" t="s">
        <v>169</v>
      </c>
      <c r="G9204" t="s">
        <v>196</v>
      </c>
      <c r="H9204" t="s">
        <v>129</v>
      </c>
      <c r="I9204" s="160">
        <v>198.23</v>
      </c>
      <c r="J9204" s="8"/>
      <c r="K9204" s="8"/>
      <c r="L9204" s="8"/>
      <c r="M9204" s="254"/>
    </row>
    <row r="9205" spans="1:13" hidden="1" x14ac:dyDescent="0.3">
      <c r="B9205" t="s">
        <v>267</v>
      </c>
      <c r="C9205" s="25">
        <v>44769</v>
      </c>
      <c r="D9205" s="26">
        <v>0.35983796296296294</v>
      </c>
      <c r="E9205" t="s">
        <v>30</v>
      </c>
      <c r="F9205" t="s">
        <v>391</v>
      </c>
      <c r="G9205" t="s">
        <v>392</v>
      </c>
      <c r="H9205" t="s">
        <v>129</v>
      </c>
      <c r="I9205" s="160">
        <v>182.27</v>
      </c>
      <c r="J9205" s="8"/>
      <c r="K9205" s="8"/>
      <c r="L9205" s="8"/>
      <c r="M9205" s="254"/>
    </row>
    <row r="9206" spans="1:13" hidden="1" x14ac:dyDescent="0.3">
      <c r="B9206" t="s">
        <v>267</v>
      </c>
      <c r="C9206" s="25">
        <v>44770</v>
      </c>
      <c r="D9206" s="26">
        <v>0.56390046296296303</v>
      </c>
      <c r="E9206" t="s">
        <v>30</v>
      </c>
      <c r="F9206" t="s">
        <v>166</v>
      </c>
      <c r="G9206" t="s">
        <v>161</v>
      </c>
      <c r="H9206" t="s">
        <v>129</v>
      </c>
      <c r="I9206" s="160">
        <v>351.15</v>
      </c>
      <c r="J9206" s="160">
        <f>315+182+193</f>
        <v>690</v>
      </c>
      <c r="K9206" s="160"/>
      <c r="L9206" s="160">
        <v>1692</v>
      </c>
      <c r="M9206" s="150">
        <f>+J9206/L9206*100</f>
        <v>40.780141843971627</v>
      </c>
    </row>
    <row r="9207" spans="1:13" hidden="1" x14ac:dyDescent="0.3">
      <c r="B9207" t="s">
        <v>267</v>
      </c>
      <c r="C9207" s="25">
        <v>44771</v>
      </c>
      <c r="D9207" s="26">
        <v>6.699074074074074E-2</v>
      </c>
      <c r="E9207" t="s">
        <v>30</v>
      </c>
      <c r="F9207" t="s">
        <v>165</v>
      </c>
      <c r="G9207" t="s">
        <v>185</v>
      </c>
      <c r="H9207" t="s">
        <v>129</v>
      </c>
      <c r="I9207" s="160">
        <v>316.60000000000002</v>
      </c>
      <c r="J9207" s="8"/>
      <c r="K9207" s="8"/>
      <c r="L9207" s="8"/>
      <c r="M9207" s="254"/>
    </row>
    <row r="9208" spans="1:13" hidden="1" x14ac:dyDescent="0.3">
      <c r="B9208" t="s">
        <v>267</v>
      </c>
      <c r="C9208" s="25">
        <v>44771</v>
      </c>
      <c r="D9208" s="26">
        <v>0.54546296296296293</v>
      </c>
      <c r="E9208" t="s">
        <v>30</v>
      </c>
      <c r="F9208" t="s">
        <v>166</v>
      </c>
      <c r="G9208" t="s">
        <v>161</v>
      </c>
      <c r="H9208" t="s">
        <v>129</v>
      </c>
      <c r="I9208" s="160">
        <v>179.16</v>
      </c>
      <c r="J9208" s="160">
        <f>179+317</f>
        <v>496</v>
      </c>
      <c r="K9208" s="160"/>
      <c r="L9208" s="160">
        <v>1221</v>
      </c>
      <c r="M9208" s="150">
        <f>+J9208/L9208*100</f>
        <v>40.622440622440621</v>
      </c>
    </row>
    <row r="9209" spans="1:13" hidden="1" x14ac:dyDescent="0.3">
      <c r="B9209" t="s">
        <v>267</v>
      </c>
      <c r="C9209" s="25">
        <v>44771</v>
      </c>
      <c r="D9209" s="26">
        <v>0.93788194444444439</v>
      </c>
      <c r="E9209" t="s">
        <v>30</v>
      </c>
      <c r="F9209" t="s">
        <v>619</v>
      </c>
      <c r="G9209" t="s">
        <v>620</v>
      </c>
      <c r="H9209" t="s">
        <v>129</v>
      </c>
      <c r="I9209" s="160">
        <v>153.93</v>
      </c>
      <c r="J9209" s="8"/>
      <c r="K9209" s="8"/>
      <c r="L9209" s="8"/>
      <c r="M9209" s="254"/>
    </row>
    <row r="9210" spans="1:13" hidden="1" x14ac:dyDescent="0.3">
      <c r="B9210" t="s">
        <v>267</v>
      </c>
      <c r="C9210" s="25">
        <v>44772</v>
      </c>
      <c r="D9210" s="26">
        <v>0.41233796296296293</v>
      </c>
      <c r="E9210" t="s">
        <v>30</v>
      </c>
      <c r="F9210" t="s">
        <v>391</v>
      </c>
      <c r="G9210" t="s">
        <v>392</v>
      </c>
      <c r="H9210" t="s">
        <v>129</v>
      </c>
      <c r="I9210" s="160">
        <v>149.01</v>
      </c>
      <c r="J9210" s="8"/>
      <c r="K9210" s="8"/>
      <c r="L9210" s="8"/>
      <c r="M9210" s="254"/>
    </row>
    <row r="9211" spans="1:13" hidden="1" x14ac:dyDescent="0.3">
      <c r="B9211" t="s">
        <v>267</v>
      </c>
      <c r="C9211" s="25">
        <v>44773</v>
      </c>
      <c r="D9211" s="26">
        <v>0.31615740740740739</v>
      </c>
      <c r="E9211" t="s">
        <v>30</v>
      </c>
      <c r="F9211" t="s">
        <v>166</v>
      </c>
      <c r="G9211" t="s">
        <v>161</v>
      </c>
      <c r="H9211" t="s">
        <v>129</v>
      </c>
      <c r="I9211" s="160">
        <v>308.87</v>
      </c>
      <c r="J9211" s="160">
        <f>154+149+309</f>
        <v>612</v>
      </c>
      <c r="K9211" s="160"/>
      <c r="L9211" s="160">
        <v>1584</v>
      </c>
      <c r="M9211" s="150">
        <f>+J9211/L9211*100</f>
        <v>38.636363636363633</v>
      </c>
    </row>
    <row r="9212" spans="1:13" hidden="1" x14ac:dyDescent="0.3">
      <c r="B9212" t="s">
        <v>267</v>
      </c>
      <c r="C9212" s="25">
        <v>44773</v>
      </c>
      <c r="D9212" s="26">
        <v>0.91541666666666666</v>
      </c>
      <c r="E9212" t="s">
        <v>30</v>
      </c>
      <c r="F9212" t="s">
        <v>165</v>
      </c>
      <c r="G9212" t="s">
        <v>185</v>
      </c>
      <c r="H9212" t="s">
        <v>129</v>
      </c>
      <c r="I9212" s="160">
        <v>300.83</v>
      </c>
      <c r="J9212" s="8"/>
      <c r="K9212" s="8"/>
      <c r="L9212" s="8"/>
      <c r="M9212" s="254"/>
    </row>
    <row r="9213" spans="1:13" hidden="1" x14ac:dyDescent="0.3">
      <c r="A9213" s="9">
        <v>6751</v>
      </c>
      <c r="B9213" t="s">
        <v>596</v>
      </c>
      <c r="C9213" s="25">
        <v>44745</v>
      </c>
      <c r="D9213" s="26">
        <v>0.99320601851851853</v>
      </c>
      <c r="E9213" t="s">
        <v>30</v>
      </c>
      <c r="F9213" t="s">
        <v>268</v>
      </c>
      <c r="G9213" t="s">
        <v>269</v>
      </c>
      <c r="H9213" t="s">
        <v>411</v>
      </c>
      <c r="I9213">
        <v>21.71</v>
      </c>
      <c r="J9213"/>
      <c r="K9213">
        <v>123455</v>
      </c>
      <c r="L9213">
        <f t="shared" ref="L9213:L9214" si="551">+K9213-J9213</f>
        <v>123455</v>
      </c>
      <c r="M9213" s="132">
        <f>I9213/L9213*100</f>
        <v>1.7585354987647323E-2</v>
      </c>
    </row>
    <row r="9214" spans="1:13" hidden="1" x14ac:dyDescent="0.3">
      <c r="B9214" t="s">
        <v>571</v>
      </c>
      <c r="C9214" s="25">
        <v>44744</v>
      </c>
      <c r="D9214" s="26">
        <v>2.1898148148148149E-2</v>
      </c>
      <c r="E9214" t="s">
        <v>30</v>
      </c>
      <c r="F9214" t="s">
        <v>387</v>
      </c>
      <c r="G9214" t="s">
        <v>388</v>
      </c>
      <c r="H9214" t="s">
        <v>411</v>
      </c>
      <c r="I9214">
        <v>10.26</v>
      </c>
      <c r="J9214"/>
      <c r="K9214">
        <v>1234</v>
      </c>
      <c r="L9214">
        <f t="shared" si="551"/>
        <v>1234</v>
      </c>
      <c r="M9214" s="91">
        <f>I9214/L9214*100</f>
        <v>0.83144246353322526</v>
      </c>
    </row>
    <row r="9215" spans="1:13" hidden="1" x14ac:dyDescent="0.3">
      <c r="B9215" t="s">
        <v>571</v>
      </c>
      <c r="C9215" s="25">
        <v>44756</v>
      </c>
      <c r="D9215" s="26">
        <v>0.55033564814814817</v>
      </c>
      <c r="E9215" t="s">
        <v>30</v>
      </c>
      <c r="F9215" t="s">
        <v>783</v>
      </c>
      <c r="G9215" t="s">
        <v>392</v>
      </c>
      <c r="H9215" t="s">
        <v>411</v>
      </c>
      <c r="I9215">
        <v>49.35</v>
      </c>
      <c r="K9215" s="88"/>
      <c r="L9215" s="3"/>
      <c r="M9215" s="46"/>
    </row>
    <row r="9216" spans="1:13" hidden="1" x14ac:dyDescent="0.3">
      <c r="A9216" s="9">
        <v>6751</v>
      </c>
      <c r="B9216" t="s">
        <v>300</v>
      </c>
      <c r="C9216" s="25">
        <v>44743</v>
      </c>
      <c r="D9216" s="26">
        <v>0.81859953703703703</v>
      </c>
      <c r="E9216" t="s">
        <v>30</v>
      </c>
      <c r="F9216" t="s">
        <v>197</v>
      </c>
      <c r="G9216" t="s">
        <v>44</v>
      </c>
      <c r="H9216" t="s">
        <v>111</v>
      </c>
      <c r="I9216" s="173">
        <v>134.77000000000001</v>
      </c>
      <c r="J9216" s="8"/>
      <c r="K9216" s="8"/>
      <c r="L9216" s="8"/>
      <c r="M9216" s="91"/>
    </row>
    <row r="9217" spans="1:13" hidden="1" x14ac:dyDescent="0.3">
      <c r="A9217" s="9">
        <v>6751</v>
      </c>
      <c r="B9217" t="s">
        <v>300</v>
      </c>
      <c r="C9217" s="25">
        <v>44743</v>
      </c>
      <c r="D9217" s="26">
        <v>0.82263888888888881</v>
      </c>
      <c r="E9217" t="s">
        <v>30</v>
      </c>
      <c r="F9217" t="s">
        <v>197</v>
      </c>
      <c r="G9217" t="s">
        <v>44</v>
      </c>
      <c r="H9217" t="s">
        <v>111</v>
      </c>
      <c r="I9217" s="173">
        <v>99.36</v>
      </c>
      <c r="J9217" s="8"/>
      <c r="K9217" s="8"/>
      <c r="L9217" s="8"/>
      <c r="M9217" s="91"/>
    </row>
    <row r="9218" spans="1:13" hidden="1" x14ac:dyDescent="0.3">
      <c r="A9218" s="9">
        <v>6751</v>
      </c>
      <c r="B9218" t="s">
        <v>300</v>
      </c>
      <c r="C9218" s="25">
        <v>44743</v>
      </c>
      <c r="D9218" s="26">
        <v>0.88034722222222228</v>
      </c>
      <c r="E9218" t="s">
        <v>30</v>
      </c>
      <c r="F9218" t="s">
        <v>343</v>
      </c>
      <c r="G9218" t="s">
        <v>344</v>
      </c>
      <c r="H9218" t="s">
        <v>111</v>
      </c>
      <c r="I9218" s="173">
        <v>100</v>
      </c>
      <c r="J9218" s="8"/>
      <c r="K9218" s="8"/>
      <c r="L9218" s="8"/>
      <c r="M9218" s="91"/>
    </row>
    <row r="9219" spans="1:13" hidden="1" x14ac:dyDescent="0.3">
      <c r="A9219" s="9">
        <v>6751</v>
      </c>
      <c r="B9219" t="s">
        <v>300</v>
      </c>
      <c r="C9219" s="25">
        <v>44743</v>
      </c>
      <c r="D9219" s="26">
        <v>0.93761574074074072</v>
      </c>
      <c r="E9219" t="s">
        <v>30</v>
      </c>
      <c r="F9219" t="s">
        <v>311</v>
      </c>
      <c r="G9219" t="s">
        <v>303</v>
      </c>
      <c r="H9219" t="s">
        <v>111</v>
      </c>
      <c r="I9219" s="173">
        <v>150</v>
      </c>
      <c r="J9219" s="8"/>
      <c r="K9219" s="8"/>
      <c r="L9219" s="8"/>
      <c r="M9219" s="91"/>
    </row>
    <row r="9220" spans="1:13" hidden="1" x14ac:dyDescent="0.3">
      <c r="A9220" s="9">
        <v>6751</v>
      </c>
      <c r="B9220" t="s">
        <v>300</v>
      </c>
      <c r="C9220" s="25">
        <v>44744</v>
      </c>
      <c r="D9220" s="26">
        <v>0.53733796296296299</v>
      </c>
      <c r="E9220" t="s">
        <v>30</v>
      </c>
      <c r="F9220" t="s">
        <v>210</v>
      </c>
      <c r="G9220" t="s">
        <v>211</v>
      </c>
      <c r="H9220" t="s">
        <v>111</v>
      </c>
      <c r="I9220" s="173">
        <v>259.14</v>
      </c>
      <c r="J9220" s="8"/>
      <c r="K9220" s="8"/>
      <c r="L9220" s="8"/>
      <c r="M9220" s="91"/>
    </row>
    <row r="9221" spans="1:13" hidden="1" x14ac:dyDescent="0.3">
      <c r="A9221" s="9">
        <v>6751</v>
      </c>
      <c r="B9221" t="s">
        <v>300</v>
      </c>
      <c r="C9221" s="25">
        <v>44745</v>
      </c>
      <c r="D9221" s="26">
        <v>0.93622685185185184</v>
      </c>
      <c r="E9221" t="s">
        <v>30</v>
      </c>
      <c r="F9221" t="s">
        <v>210</v>
      </c>
      <c r="G9221" t="s">
        <v>211</v>
      </c>
      <c r="H9221" t="s">
        <v>111</v>
      </c>
      <c r="I9221" s="173">
        <v>425.22</v>
      </c>
      <c r="J9221" s="160">
        <f>425+259+150+100+99+135+210</f>
        <v>1378</v>
      </c>
      <c r="K9221" s="160">
        <v>4307</v>
      </c>
      <c r="L9221" s="160">
        <v>3964</v>
      </c>
      <c r="M9221" s="149">
        <f>+J9221/L9221*100</f>
        <v>34.762865792129162</v>
      </c>
    </row>
    <row r="9222" spans="1:13" hidden="1" x14ac:dyDescent="0.3">
      <c r="A9222" s="9">
        <v>6751</v>
      </c>
      <c r="B9222" t="s">
        <v>300</v>
      </c>
      <c r="C9222" s="25">
        <v>44756</v>
      </c>
      <c r="D9222" s="26">
        <v>0.35315972222222225</v>
      </c>
      <c r="E9222" t="s">
        <v>30</v>
      </c>
      <c r="F9222" t="s">
        <v>772</v>
      </c>
      <c r="G9222" t="s">
        <v>44</v>
      </c>
      <c r="H9222" t="s">
        <v>111</v>
      </c>
      <c r="I9222" s="173" t="s">
        <v>982</v>
      </c>
      <c r="J9222" s="23"/>
      <c r="K9222" s="23"/>
      <c r="L9222" s="23"/>
      <c r="M9222" s="254"/>
    </row>
    <row r="9223" spans="1:13" hidden="1" x14ac:dyDescent="0.3">
      <c r="A9223" s="9">
        <v>6751</v>
      </c>
      <c r="B9223" t="s">
        <v>300</v>
      </c>
      <c r="C9223" s="25">
        <v>44756</v>
      </c>
      <c r="D9223" s="26">
        <v>0.41289351851851852</v>
      </c>
      <c r="E9223" t="s">
        <v>30</v>
      </c>
      <c r="F9223" t="s">
        <v>343</v>
      </c>
      <c r="G9223" t="s">
        <v>344</v>
      </c>
      <c r="H9223" t="s">
        <v>111</v>
      </c>
      <c r="I9223" s="173" t="s">
        <v>981</v>
      </c>
      <c r="J9223" s="23"/>
      <c r="K9223" s="23"/>
      <c r="L9223" s="23"/>
      <c r="M9223" s="254"/>
    </row>
    <row r="9224" spans="1:13" hidden="1" x14ac:dyDescent="0.3">
      <c r="A9224" s="9">
        <v>6751</v>
      </c>
      <c r="B9224" t="s">
        <v>300</v>
      </c>
      <c r="C9224" s="25">
        <v>44756</v>
      </c>
      <c r="D9224" s="26">
        <v>0.72964120370370367</v>
      </c>
      <c r="E9224" t="s">
        <v>30</v>
      </c>
      <c r="F9224" t="s">
        <v>210</v>
      </c>
      <c r="G9224" t="s">
        <v>211</v>
      </c>
      <c r="H9224" t="s">
        <v>111</v>
      </c>
      <c r="I9224" s="173" t="s">
        <v>980</v>
      </c>
      <c r="J9224" s="231">
        <f>219+300+199</f>
        <v>718</v>
      </c>
      <c r="K9224" s="151"/>
      <c r="L9224" s="231">
        <v>1736</v>
      </c>
      <c r="M9224" s="150">
        <f>+J9224/L9224*100</f>
        <v>41.359447004608299</v>
      </c>
    </row>
    <row r="9225" spans="1:13" hidden="1" x14ac:dyDescent="0.3">
      <c r="A9225" s="9">
        <v>6751</v>
      </c>
      <c r="B9225" t="s">
        <v>300</v>
      </c>
      <c r="C9225" s="25">
        <v>44757</v>
      </c>
      <c r="D9225" s="26">
        <v>0.56341435185185185</v>
      </c>
      <c r="E9225" t="s">
        <v>30</v>
      </c>
      <c r="F9225" t="s">
        <v>774</v>
      </c>
      <c r="G9225" t="s">
        <v>161</v>
      </c>
      <c r="H9225" t="s">
        <v>111</v>
      </c>
      <c r="I9225" s="173" t="s">
        <v>979</v>
      </c>
      <c r="J9225" s="23"/>
      <c r="K9225" s="23"/>
      <c r="L9225" s="23"/>
      <c r="M9225" s="254"/>
    </row>
    <row r="9226" spans="1:13" hidden="1" x14ac:dyDescent="0.3">
      <c r="A9226" s="9">
        <v>6751</v>
      </c>
      <c r="B9226" t="s">
        <v>300</v>
      </c>
      <c r="C9226" s="25">
        <v>44758</v>
      </c>
      <c r="D9226" s="26">
        <v>0.5765393518518519</v>
      </c>
      <c r="E9226" t="s">
        <v>30</v>
      </c>
      <c r="F9226" t="s">
        <v>428</v>
      </c>
      <c r="G9226" t="s">
        <v>429</v>
      </c>
      <c r="H9226" t="s">
        <v>111</v>
      </c>
      <c r="I9226" s="173" t="s">
        <v>978</v>
      </c>
      <c r="J9226" s="23"/>
      <c r="K9226" s="23"/>
      <c r="L9226" s="23"/>
      <c r="M9226" s="254"/>
    </row>
    <row r="9227" spans="1:13" hidden="1" x14ac:dyDescent="0.3">
      <c r="A9227" s="9">
        <v>6751</v>
      </c>
      <c r="B9227" t="s">
        <v>300</v>
      </c>
      <c r="C9227" s="25">
        <v>44758</v>
      </c>
      <c r="D9227" s="26">
        <v>0.96347222222222229</v>
      </c>
      <c r="E9227" t="s">
        <v>30</v>
      </c>
      <c r="F9227" t="s">
        <v>775</v>
      </c>
      <c r="G9227" t="s">
        <v>263</v>
      </c>
      <c r="H9227" t="s">
        <v>111</v>
      </c>
      <c r="I9227" s="173" t="s">
        <v>977</v>
      </c>
      <c r="J9227" s="23"/>
      <c r="K9227" s="23"/>
      <c r="L9227" s="23"/>
      <c r="M9227" s="254"/>
    </row>
    <row r="9228" spans="1:13" hidden="1" x14ac:dyDescent="0.3">
      <c r="A9228" s="9">
        <v>6751</v>
      </c>
      <c r="B9228" t="s">
        <v>300</v>
      </c>
      <c r="C9228" s="25">
        <v>44759</v>
      </c>
      <c r="D9228" s="26">
        <v>2.3784722222222221E-2</v>
      </c>
      <c r="E9228" t="s">
        <v>30</v>
      </c>
      <c r="F9228" t="s">
        <v>772</v>
      </c>
      <c r="G9228" t="s">
        <v>44</v>
      </c>
      <c r="H9228" t="s">
        <v>111</v>
      </c>
      <c r="I9228" s="173" t="s">
        <v>976</v>
      </c>
      <c r="J9228" s="23"/>
      <c r="K9228" s="23"/>
      <c r="L9228" s="23"/>
      <c r="M9228" s="254"/>
    </row>
    <row r="9229" spans="1:13" hidden="1" x14ac:dyDescent="0.3">
      <c r="A9229" s="9">
        <v>6751</v>
      </c>
      <c r="B9229" t="s">
        <v>300</v>
      </c>
      <c r="C9229" s="25">
        <v>44759</v>
      </c>
      <c r="D9229" s="26">
        <v>0.62201388888888887</v>
      </c>
      <c r="E9229" t="s">
        <v>30</v>
      </c>
      <c r="F9229" t="s">
        <v>210</v>
      </c>
      <c r="G9229" t="s">
        <v>211</v>
      </c>
      <c r="H9229" t="s">
        <v>111</v>
      </c>
      <c r="I9229" s="173" t="s">
        <v>975</v>
      </c>
      <c r="J9229" s="231">
        <f>284+231+203+100+402</f>
        <v>1220</v>
      </c>
      <c r="K9229" s="151"/>
      <c r="L9229" s="151">
        <v>2826</v>
      </c>
      <c r="M9229" s="150">
        <f t="shared" ref="M9229" si="552">+J9229/L9229*100</f>
        <v>43.17055909412597</v>
      </c>
    </row>
    <row r="9230" spans="1:13" hidden="1" x14ac:dyDescent="0.3">
      <c r="B9230" t="s">
        <v>300</v>
      </c>
      <c r="C9230" s="25">
        <v>44760</v>
      </c>
      <c r="D9230" s="26">
        <v>0.96674768518518517</v>
      </c>
      <c r="E9230" t="s">
        <v>30</v>
      </c>
      <c r="F9230" t="s">
        <v>165</v>
      </c>
      <c r="G9230" t="s">
        <v>185</v>
      </c>
      <c r="H9230" t="s">
        <v>111</v>
      </c>
      <c r="I9230" s="160">
        <v>446.21</v>
      </c>
      <c r="J9230" s="8"/>
      <c r="K9230" s="8"/>
      <c r="L9230" s="8"/>
      <c r="M9230" s="254"/>
    </row>
    <row r="9231" spans="1:13" hidden="1" x14ac:dyDescent="0.3">
      <c r="B9231" t="s">
        <v>300</v>
      </c>
      <c r="C9231" s="25">
        <v>44763</v>
      </c>
      <c r="D9231" s="26">
        <v>0.25358796296296299</v>
      </c>
      <c r="E9231" t="s">
        <v>30</v>
      </c>
      <c r="F9231" t="s">
        <v>165</v>
      </c>
      <c r="G9231" t="s">
        <v>185</v>
      </c>
      <c r="H9231" t="s">
        <v>111</v>
      </c>
      <c r="I9231" s="160">
        <v>411.1</v>
      </c>
      <c r="J9231" s="8"/>
      <c r="K9231" s="8"/>
      <c r="L9231" s="8"/>
      <c r="M9231" s="254"/>
    </row>
    <row r="9232" spans="1:13" hidden="1" x14ac:dyDescent="0.3">
      <c r="B9232" t="s">
        <v>300</v>
      </c>
      <c r="C9232" s="25">
        <v>44765</v>
      </c>
      <c r="D9232" s="26">
        <v>0.7072222222222222</v>
      </c>
      <c r="E9232" t="s">
        <v>30</v>
      </c>
      <c r="F9232" t="s">
        <v>165</v>
      </c>
      <c r="G9232" t="s">
        <v>185</v>
      </c>
      <c r="H9232" t="s">
        <v>111</v>
      </c>
      <c r="I9232" s="160">
        <v>403.66</v>
      </c>
      <c r="J9232" s="8"/>
      <c r="K9232" s="8"/>
      <c r="L9232" s="8"/>
      <c r="M9232" s="254"/>
    </row>
    <row r="9233" spans="1:13" hidden="1" x14ac:dyDescent="0.3">
      <c r="B9233" t="s">
        <v>300</v>
      </c>
      <c r="C9233" s="25">
        <v>44767</v>
      </c>
      <c r="D9233" s="26">
        <v>0.71206018518518521</v>
      </c>
      <c r="E9233" t="s">
        <v>30</v>
      </c>
      <c r="F9233" t="s">
        <v>202</v>
      </c>
      <c r="G9233" t="s">
        <v>203</v>
      </c>
      <c r="H9233" t="s">
        <v>111</v>
      </c>
      <c r="I9233" s="160">
        <v>370.02</v>
      </c>
      <c r="J9233" s="8"/>
      <c r="K9233" s="8"/>
      <c r="L9233" s="8"/>
      <c r="M9233" s="254"/>
    </row>
    <row r="9234" spans="1:13" hidden="1" x14ac:dyDescent="0.3">
      <c r="B9234" t="s">
        <v>300</v>
      </c>
      <c r="C9234" s="25">
        <v>44768</v>
      </c>
      <c r="D9234" s="26">
        <v>0.41835648148148147</v>
      </c>
      <c r="E9234" t="s">
        <v>30</v>
      </c>
      <c r="F9234" t="s">
        <v>165</v>
      </c>
      <c r="G9234" t="s">
        <v>185</v>
      </c>
      <c r="H9234" t="s">
        <v>111</v>
      </c>
      <c r="I9234" s="160">
        <v>267.70999999999998</v>
      </c>
      <c r="J9234" s="8"/>
      <c r="K9234" s="8"/>
      <c r="L9234" s="8"/>
      <c r="M9234" s="254"/>
    </row>
    <row r="9235" spans="1:13" hidden="1" x14ac:dyDescent="0.3">
      <c r="B9235" t="s">
        <v>300</v>
      </c>
      <c r="C9235" s="25">
        <v>44768</v>
      </c>
      <c r="D9235" s="26">
        <v>0.82356481481481481</v>
      </c>
      <c r="E9235" t="s">
        <v>30</v>
      </c>
      <c r="F9235" t="s">
        <v>210</v>
      </c>
      <c r="G9235" t="s">
        <v>211</v>
      </c>
      <c r="H9235" t="s">
        <v>111</v>
      </c>
      <c r="I9235" s="160">
        <v>161.09</v>
      </c>
      <c r="J9235" s="160">
        <f>161+268+370+404+411+446</f>
        <v>2060</v>
      </c>
      <c r="K9235" s="160"/>
      <c r="L9235" s="160">
        <v>4891</v>
      </c>
      <c r="M9235" s="182">
        <f>+J9235/L9235*100</f>
        <v>42.118176242077283</v>
      </c>
    </row>
    <row r="9236" spans="1:13" hidden="1" x14ac:dyDescent="0.3">
      <c r="B9236" t="s">
        <v>300</v>
      </c>
      <c r="C9236" s="25">
        <v>44769</v>
      </c>
      <c r="D9236" s="26">
        <v>0.4967361111111111</v>
      </c>
      <c r="E9236" t="s">
        <v>30</v>
      </c>
      <c r="F9236" t="s">
        <v>169</v>
      </c>
      <c r="G9236" t="s">
        <v>196</v>
      </c>
      <c r="H9236" t="s">
        <v>111</v>
      </c>
      <c r="I9236" s="160">
        <v>172</v>
      </c>
      <c r="J9236" s="8"/>
      <c r="K9236" s="8"/>
      <c r="L9236" s="8"/>
      <c r="M9236" s="254"/>
    </row>
    <row r="9237" spans="1:13" hidden="1" x14ac:dyDescent="0.3">
      <c r="B9237" t="s">
        <v>300</v>
      </c>
      <c r="C9237" s="25">
        <v>44770</v>
      </c>
      <c r="D9237" s="26">
        <v>0.45319444444444446</v>
      </c>
      <c r="E9237" t="s">
        <v>30</v>
      </c>
      <c r="F9237" t="s">
        <v>534</v>
      </c>
      <c r="G9237" t="s">
        <v>535</v>
      </c>
      <c r="H9237" t="s">
        <v>111</v>
      </c>
      <c r="I9237" s="160">
        <v>184.59</v>
      </c>
      <c r="J9237" s="8"/>
      <c r="K9237" s="8"/>
      <c r="L9237" s="8"/>
      <c r="M9237" s="254"/>
    </row>
    <row r="9238" spans="1:13" hidden="1" x14ac:dyDescent="0.3">
      <c r="B9238" t="s">
        <v>300</v>
      </c>
      <c r="C9238" s="25">
        <v>44771</v>
      </c>
      <c r="D9238" s="26">
        <v>0.44671296296296298</v>
      </c>
      <c r="E9238" t="s">
        <v>30</v>
      </c>
      <c r="F9238" t="s">
        <v>210</v>
      </c>
      <c r="G9238" t="s">
        <v>211</v>
      </c>
      <c r="H9238" t="s">
        <v>111</v>
      </c>
      <c r="I9238" s="160">
        <v>205.5</v>
      </c>
      <c r="J9238" s="8"/>
      <c r="K9238" s="8"/>
      <c r="L9238" s="8"/>
      <c r="M9238" s="254"/>
    </row>
    <row r="9239" spans="1:13" hidden="1" x14ac:dyDescent="0.3">
      <c r="B9239" t="s">
        <v>300</v>
      </c>
      <c r="C9239" s="25">
        <v>44771</v>
      </c>
      <c r="D9239" s="26">
        <v>0.85325231481481489</v>
      </c>
      <c r="E9239" t="s">
        <v>30</v>
      </c>
      <c r="F9239" t="s">
        <v>165</v>
      </c>
      <c r="G9239" t="s">
        <v>185</v>
      </c>
      <c r="H9239" t="s">
        <v>111</v>
      </c>
      <c r="I9239" s="160">
        <v>448.52</v>
      </c>
      <c r="J9239" s="8"/>
      <c r="K9239" s="8"/>
      <c r="L9239" s="8"/>
      <c r="M9239" s="254"/>
    </row>
    <row r="9240" spans="1:13" hidden="1" x14ac:dyDescent="0.3">
      <c r="B9240" t="s">
        <v>300</v>
      </c>
      <c r="C9240" s="25">
        <v>44772</v>
      </c>
      <c r="D9240" s="26">
        <v>0.49444444444444446</v>
      </c>
      <c r="E9240" t="s">
        <v>30</v>
      </c>
      <c r="F9240" t="s">
        <v>210</v>
      </c>
      <c r="G9240" t="s">
        <v>211</v>
      </c>
      <c r="H9240" t="s">
        <v>111</v>
      </c>
      <c r="I9240" s="160">
        <v>166.31</v>
      </c>
      <c r="J9240" s="160">
        <f>166+448+205+184+172</f>
        <v>1175</v>
      </c>
      <c r="K9240" s="160"/>
      <c r="L9240" s="160">
        <v>2835</v>
      </c>
      <c r="M9240" s="182">
        <f>+J9240/L9240*100</f>
        <v>41.446208112874778</v>
      </c>
    </row>
    <row r="9241" spans="1:13" hidden="1" x14ac:dyDescent="0.3">
      <c r="A9241" s="9">
        <v>6751</v>
      </c>
      <c r="B9241" t="s">
        <v>410</v>
      </c>
      <c r="C9241" s="25">
        <v>44757</v>
      </c>
      <c r="D9241" s="26">
        <v>0.71223379629629635</v>
      </c>
      <c r="E9241" t="s">
        <v>30</v>
      </c>
      <c r="F9241" t="s">
        <v>385</v>
      </c>
      <c r="G9241" t="s">
        <v>386</v>
      </c>
      <c r="H9241" t="s">
        <v>763</v>
      </c>
      <c r="I9241" t="s">
        <v>1021</v>
      </c>
      <c r="K9241" s="88"/>
      <c r="L9241" s="3"/>
      <c r="M9241" s="48"/>
    </row>
    <row r="9242" spans="1:13" hidden="1" x14ac:dyDescent="0.3">
      <c r="A9242" s="9">
        <v>6751</v>
      </c>
      <c r="B9242" t="s">
        <v>410</v>
      </c>
      <c r="C9242" s="25">
        <v>44757</v>
      </c>
      <c r="D9242" s="26">
        <v>0.48238425925925926</v>
      </c>
      <c r="E9242" t="s">
        <v>30</v>
      </c>
      <c r="F9242" t="s">
        <v>941</v>
      </c>
      <c r="G9242" t="s">
        <v>955</v>
      </c>
      <c r="H9242" t="s">
        <v>763</v>
      </c>
      <c r="I9242" t="s">
        <v>1022</v>
      </c>
      <c r="K9242" s="88"/>
      <c r="L9242" s="3"/>
      <c r="M9242" s="19"/>
    </row>
    <row r="9243" spans="1:13" hidden="1" x14ac:dyDescent="0.3">
      <c r="A9243" s="9">
        <v>6751</v>
      </c>
      <c r="B9243" t="s">
        <v>410</v>
      </c>
      <c r="C9243" s="25">
        <v>44757</v>
      </c>
      <c r="D9243" s="26">
        <v>0.34519675925925924</v>
      </c>
      <c r="E9243" t="s">
        <v>30</v>
      </c>
      <c r="F9243" t="s">
        <v>942</v>
      </c>
      <c r="G9243" t="s">
        <v>491</v>
      </c>
      <c r="H9243" t="s">
        <v>763</v>
      </c>
      <c r="I9243" t="s">
        <v>1023</v>
      </c>
      <c r="K9243" s="88"/>
      <c r="L9243" s="3"/>
      <c r="M9243" s="46"/>
    </row>
    <row r="9244" spans="1:13" hidden="1" x14ac:dyDescent="0.3">
      <c r="A9244" s="9">
        <v>6765</v>
      </c>
      <c r="B9244" t="s">
        <v>510</v>
      </c>
      <c r="C9244" s="25">
        <v>44748</v>
      </c>
      <c r="D9244" s="26">
        <v>0.49571759259259257</v>
      </c>
      <c r="E9244" t="s">
        <v>30</v>
      </c>
      <c r="F9244" t="s">
        <v>175</v>
      </c>
      <c r="G9244" t="s">
        <v>172</v>
      </c>
      <c r="H9244" t="s">
        <v>132</v>
      </c>
      <c r="I9244" s="173">
        <v>433.31</v>
      </c>
      <c r="J9244" s="8"/>
      <c r="K9244" s="8"/>
      <c r="L9244" s="8"/>
      <c r="M9244" s="91"/>
    </row>
    <row r="9245" spans="1:13" hidden="1" x14ac:dyDescent="0.3">
      <c r="A9245" s="9">
        <v>6780</v>
      </c>
      <c r="B9245" t="s">
        <v>510</v>
      </c>
      <c r="C9245" s="25">
        <v>44749</v>
      </c>
      <c r="D9245" s="26">
        <v>0.49840277777777775</v>
      </c>
      <c r="E9245" t="s">
        <v>30</v>
      </c>
      <c r="F9245" t="s">
        <v>772</v>
      </c>
      <c r="G9245" t="s">
        <v>44</v>
      </c>
      <c r="H9245" t="s">
        <v>132</v>
      </c>
      <c r="I9245" s="173" t="s">
        <v>850</v>
      </c>
      <c r="J9245" s="8"/>
      <c r="K9245" s="8"/>
      <c r="L9245" s="8"/>
      <c r="M9245" s="91"/>
    </row>
    <row r="9246" spans="1:13" hidden="1" x14ac:dyDescent="0.3">
      <c r="A9246" s="9">
        <v>6758</v>
      </c>
      <c r="B9246" t="s">
        <v>510</v>
      </c>
      <c r="C9246" s="25">
        <v>44749</v>
      </c>
      <c r="D9246" s="26">
        <v>0.88431712962962961</v>
      </c>
      <c r="E9246" t="s">
        <v>30</v>
      </c>
      <c r="F9246" t="s">
        <v>488</v>
      </c>
      <c r="G9246" t="s">
        <v>489</v>
      </c>
      <c r="H9246" t="s">
        <v>132</v>
      </c>
      <c r="I9246" s="173" t="s">
        <v>849</v>
      </c>
      <c r="J9246" s="8"/>
      <c r="K9246" s="8"/>
      <c r="L9246" s="8"/>
      <c r="M9246" s="91"/>
    </row>
    <row r="9247" spans="1:13" hidden="1" x14ac:dyDescent="0.3">
      <c r="A9247" s="9">
        <v>6773</v>
      </c>
      <c r="B9247" t="s">
        <v>510</v>
      </c>
      <c r="C9247" s="25">
        <v>44750</v>
      </c>
      <c r="D9247" s="26">
        <v>4.7986111111111111E-2</v>
      </c>
      <c r="E9247" t="s">
        <v>30</v>
      </c>
      <c r="F9247" t="s">
        <v>210</v>
      </c>
      <c r="G9247" t="s">
        <v>211</v>
      </c>
      <c r="H9247" t="s">
        <v>132</v>
      </c>
      <c r="I9247" s="173" t="s">
        <v>848</v>
      </c>
      <c r="J9247" s="8"/>
      <c r="K9247" s="8"/>
      <c r="L9247" s="8"/>
      <c r="M9247" s="91"/>
    </row>
    <row r="9248" spans="1:13" hidden="1" x14ac:dyDescent="0.3">
      <c r="A9248" s="9">
        <v>6813</v>
      </c>
      <c r="B9248" t="s">
        <v>510</v>
      </c>
      <c r="C9248" s="25">
        <v>44750</v>
      </c>
      <c r="D9248" s="26">
        <v>0.69958333333333333</v>
      </c>
      <c r="E9248" t="s">
        <v>30</v>
      </c>
      <c r="F9248" t="s">
        <v>165</v>
      </c>
      <c r="G9248" t="s">
        <v>185</v>
      </c>
      <c r="H9248" t="s">
        <v>132</v>
      </c>
      <c r="I9248" s="173" t="s">
        <v>847</v>
      </c>
      <c r="J9248" s="8"/>
      <c r="K9248" s="8"/>
      <c r="L9248" s="8"/>
      <c r="M9248" s="91"/>
    </row>
    <row r="9249" spans="1:13" hidden="1" x14ac:dyDescent="0.3">
      <c r="A9249" s="9">
        <v>6755</v>
      </c>
      <c r="B9249" t="s">
        <v>510</v>
      </c>
      <c r="C9249" s="25">
        <v>44751</v>
      </c>
      <c r="D9249" s="26">
        <v>0.8536689814814814</v>
      </c>
      <c r="E9249" t="s">
        <v>30</v>
      </c>
      <c r="F9249" t="s">
        <v>210</v>
      </c>
      <c r="G9249" t="s">
        <v>211</v>
      </c>
      <c r="H9249" t="s">
        <v>132</v>
      </c>
      <c r="I9249" s="173" t="s">
        <v>846</v>
      </c>
      <c r="J9249" s="160">
        <f>433+145+108+272+116+231</f>
        <v>1305</v>
      </c>
      <c r="K9249" s="160"/>
      <c r="L9249" s="160">
        <v>3101</v>
      </c>
      <c r="M9249" s="149">
        <f>+J9249/L9249*100</f>
        <v>42.083198968074811</v>
      </c>
    </row>
    <row r="9250" spans="1:13" hidden="1" x14ac:dyDescent="0.3">
      <c r="A9250" s="9">
        <v>6797</v>
      </c>
      <c r="B9250" t="s">
        <v>510</v>
      </c>
      <c r="C9250" s="25">
        <v>44752</v>
      </c>
      <c r="D9250" s="26">
        <v>0.6080902777777778</v>
      </c>
      <c r="E9250" t="s">
        <v>30</v>
      </c>
      <c r="F9250" t="s">
        <v>169</v>
      </c>
      <c r="G9250" t="s">
        <v>196</v>
      </c>
      <c r="H9250" t="s">
        <v>132</v>
      </c>
      <c r="I9250" s="173" t="s">
        <v>800</v>
      </c>
      <c r="J9250" s="8"/>
      <c r="K9250" s="8"/>
      <c r="L9250" s="8"/>
      <c r="M9250" s="91"/>
    </row>
    <row r="9251" spans="1:13" hidden="1" x14ac:dyDescent="0.3">
      <c r="A9251" s="9">
        <v>6810</v>
      </c>
      <c r="B9251" t="s">
        <v>510</v>
      </c>
      <c r="C9251" s="25">
        <v>44752</v>
      </c>
      <c r="D9251" s="26">
        <v>0.6107407407407407</v>
      </c>
      <c r="E9251" t="s">
        <v>30</v>
      </c>
      <c r="F9251" t="s">
        <v>169</v>
      </c>
      <c r="G9251" t="s">
        <v>196</v>
      </c>
      <c r="H9251" t="s">
        <v>132</v>
      </c>
      <c r="I9251" s="173" t="s">
        <v>845</v>
      </c>
      <c r="J9251" s="8"/>
      <c r="K9251" s="8"/>
      <c r="L9251" s="8"/>
      <c r="M9251" s="91"/>
    </row>
    <row r="9252" spans="1:13" hidden="1" x14ac:dyDescent="0.3">
      <c r="A9252" s="9">
        <v>6811</v>
      </c>
      <c r="B9252" t="s">
        <v>510</v>
      </c>
      <c r="C9252" s="25">
        <v>44754</v>
      </c>
      <c r="D9252" s="26">
        <v>0.4535763888888889</v>
      </c>
      <c r="E9252" t="s">
        <v>30</v>
      </c>
      <c r="F9252" t="s">
        <v>878</v>
      </c>
      <c r="G9252" t="s">
        <v>392</v>
      </c>
      <c r="H9252" t="s">
        <v>132</v>
      </c>
      <c r="I9252" s="173" t="s">
        <v>927</v>
      </c>
      <c r="J9252" s="23"/>
      <c r="K9252" s="23"/>
      <c r="L9252" s="23"/>
      <c r="M9252" s="91"/>
    </row>
    <row r="9253" spans="1:13" hidden="1" x14ac:dyDescent="0.3">
      <c r="A9253" s="9">
        <v>6751</v>
      </c>
      <c r="B9253" t="s">
        <v>219</v>
      </c>
      <c r="C9253" s="25">
        <v>44756</v>
      </c>
      <c r="D9253" s="26">
        <v>0.38136574074074076</v>
      </c>
      <c r="E9253" t="s">
        <v>30</v>
      </c>
      <c r="F9253" t="s">
        <v>210</v>
      </c>
      <c r="G9253" t="s">
        <v>211</v>
      </c>
      <c r="H9253" t="s">
        <v>132</v>
      </c>
      <c r="I9253" s="173" t="s">
        <v>961</v>
      </c>
      <c r="J9253" s="231">
        <f>379+195+43+100</f>
        <v>717</v>
      </c>
      <c r="K9253" s="231"/>
      <c r="L9253" s="231">
        <v>1751</v>
      </c>
      <c r="M9253" s="149">
        <f>+J9253/L9253*100</f>
        <v>40.948029697315818</v>
      </c>
    </row>
    <row r="9254" spans="1:13" hidden="1" x14ac:dyDescent="0.3">
      <c r="A9254" s="9">
        <v>6751</v>
      </c>
      <c r="B9254" t="s">
        <v>219</v>
      </c>
      <c r="C9254" s="25">
        <v>44756</v>
      </c>
      <c r="D9254" s="26">
        <v>0.79726851851851854</v>
      </c>
      <c r="E9254" t="s">
        <v>30</v>
      </c>
      <c r="F9254" t="s">
        <v>165</v>
      </c>
      <c r="G9254" t="s">
        <v>185</v>
      </c>
      <c r="H9254" t="s">
        <v>132</v>
      </c>
      <c r="I9254" s="173" t="s">
        <v>960</v>
      </c>
      <c r="J9254" s="23"/>
      <c r="K9254" s="23"/>
      <c r="L9254" s="23"/>
      <c r="M9254" s="91"/>
    </row>
    <row r="9255" spans="1:13" hidden="1" x14ac:dyDescent="0.3">
      <c r="A9255" s="9">
        <v>6751</v>
      </c>
      <c r="B9255" t="s">
        <v>219</v>
      </c>
      <c r="C9255" s="25">
        <v>44757</v>
      </c>
      <c r="D9255" s="26">
        <v>0.80820601851851848</v>
      </c>
      <c r="E9255" t="s">
        <v>30</v>
      </c>
      <c r="F9255" t="s">
        <v>210</v>
      </c>
      <c r="G9255" t="s">
        <v>211</v>
      </c>
      <c r="H9255" t="s">
        <v>132</v>
      </c>
      <c r="I9255" s="173" t="s">
        <v>959</v>
      </c>
      <c r="J9255" s="23"/>
      <c r="K9255" s="23"/>
      <c r="L9255" s="23"/>
      <c r="M9255" s="91"/>
    </row>
    <row r="9256" spans="1:13" hidden="1" x14ac:dyDescent="0.3">
      <c r="A9256" s="9">
        <v>6751</v>
      </c>
      <c r="B9256" t="s">
        <v>219</v>
      </c>
      <c r="C9256" s="25">
        <v>44758</v>
      </c>
      <c r="D9256" s="26">
        <v>0.50428240740740737</v>
      </c>
      <c r="E9256" t="s">
        <v>30</v>
      </c>
      <c r="F9256" t="s">
        <v>293</v>
      </c>
      <c r="G9256" t="s">
        <v>196</v>
      </c>
      <c r="H9256" t="s">
        <v>132</v>
      </c>
      <c r="I9256" s="173" t="s">
        <v>958</v>
      </c>
      <c r="J9256" s="231">
        <f>162+243+279</f>
        <v>684</v>
      </c>
      <c r="K9256" s="151"/>
      <c r="L9256" s="151">
        <v>1583</v>
      </c>
      <c r="M9256" s="149">
        <f t="shared" ref="M9256" si="553">+J9256/L9256*100</f>
        <v>43.209096651926721</v>
      </c>
    </row>
    <row r="9257" spans="1:13" hidden="1" x14ac:dyDescent="0.3">
      <c r="B9257" t="s">
        <v>219</v>
      </c>
      <c r="C9257" s="25">
        <v>44761</v>
      </c>
      <c r="D9257" s="26">
        <v>0.73805555555555558</v>
      </c>
      <c r="E9257" t="s">
        <v>30</v>
      </c>
      <c r="F9257" t="s">
        <v>311</v>
      </c>
      <c r="G9257" t="s">
        <v>303</v>
      </c>
      <c r="H9257" t="s">
        <v>132</v>
      </c>
      <c r="I9257" s="160">
        <v>392.02</v>
      </c>
      <c r="J9257" s="8"/>
      <c r="K9257" s="8"/>
      <c r="L9257" s="8"/>
      <c r="M9257" s="254"/>
    </row>
    <row r="9258" spans="1:13" hidden="1" x14ac:dyDescent="0.3">
      <c r="B9258" t="s">
        <v>219</v>
      </c>
      <c r="C9258" s="25">
        <v>44762</v>
      </c>
      <c r="D9258" s="26">
        <v>0.41172453703703704</v>
      </c>
      <c r="E9258" t="s">
        <v>30</v>
      </c>
      <c r="F9258" t="s">
        <v>166</v>
      </c>
      <c r="G9258" t="s">
        <v>161</v>
      </c>
      <c r="H9258" t="s">
        <v>132</v>
      </c>
      <c r="I9258" s="160">
        <v>151.21</v>
      </c>
      <c r="J9258" s="8"/>
      <c r="K9258" s="8"/>
      <c r="L9258" s="8"/>
      <c r="M9258" s="254"/>
    </row>
    <row r="9259" spans="1:13" hidden="1" x14ac:dyDescent="0.3">
      <c r="B9259" t="s">
        <v>219</v>
      </c>
      <c r="C9259" s="25">
        <v>44763</v>
      </c>
      <c r="D9259" s="26">
        <v>0.38656249999999998</v>
      </c>
      <c r="E9259" t="s">
        <v>30</v>
      </c>
      <c r="F9259" t="s">
        <v>533</v>
      </c>
      <c r="G9259" t="s">
        <v>45</v>
      </c>
      <c r="H9259" t="s">
        <v>132</v>
      </c>
      <c r="I9259" s="160">
        <v>339.99</v>
      </c>
      <c r="J9259" s="8"/>
      <c r="K9259" s="8"/>
      <c r="L9259" s="8"/>
      <c r="M9259" s="254"/>
    </row>
    <row r="9260" spans="1:13" hidden="1" x14ac:dyDescent="0.3">
      <c r="B9260" t="s">
        <v>219</v>
      </c>
      <c r="C9260" s="25">
        <v>44764</v>
      </c>
      <c r="D9260" s="26">
        <v>0.47265046296296293</v>
      </c>
      <c r="E9260" t="s">
        <v>30</v>
      </c>
      <c r="F9260" t="s">
        <v>166</v>
      </c>
      <c r="G9260" t="s">
        <v>161</v>
      </c>
      <c r="H9260" t="s">
        <v>132</v>
      </c>
      <c r="I9260" s="160">
        <v>237.75</v>
      </c>
      <c r="J9260" s="8"/>
      <c r="K9260" s="8"/>
      <c r="L9260" s="8"/>
      <c r="M9260" s="254"/>
    </row>
    <row r="9261" spans="1:13" hidden="1" x14ac:dyDescent="0.3">
      <c r="B9261" t="s">
        <v>219</v>
      </c>
      <c r="C9261" s="25">
        <v>44764</v>
      </c>
      <c r="D9261" s="26">
        <v>0.87629629629629635</v>
      </c>
      <c r="E9261" t="s">
        <v>30</v>
      </c>
      <c r="F9261" t="s">
        <v>274</v>
      </c>
      <c r="G9261" t="s">
        <v>495</v>
      </c>
      <c r="H9261" t="s">
        <v>132</v>
      </c>
      <c r="I9261" s="160">
        <v>50.01</v>
      </c>
      <c r="J9261" s="8"/>
      <c r="K9261" s="8"/>
      <c r="L9261" s="8"/>
      <c r="M9261" s="254"/>
    </row>
    <row r="9262" spans="1:13" hidden="1" x14ac:dyDescent="0.3">
      <c r="B9262" t="s">
        <v>219</v>
      </c>
      <c r="C9262" s="25">
        <v>44764</v>
      </c>
      <c r="D9262" s="26">
        <v>0.9371990740740741</v>
      </c>
      <c r="E9262" t="s">
        <v>30</v>
      </c>
      <c r="F9262" t="s">
        <v>446</v>
      </c>
      <c r="G9262" t="s">
        <v>402</v>
      </c>
      <c r="H9262" t="s">
        <v>132</v>
      </c>
      <c r="I9262" s="160">
        <v>152.94999999999999</v>
      </c>
      <c r="J9262" s="8"/>
      <c r="K9262" s="8"/>
      <c r="L9262" s="8"/>
      <c r="M9262" s="254"/>
    </row>
    <row r="9263" spans="1:13" hidden="1" x14ac:dyDescent="0.3">
      <c r="B9263" t="s">
        <v>219</v>
      </c>
      <c r="C9263" s="25">
        <v>44766</v>
      </c>
      <c r="D9263" s="26">
        <v>0.56416666666666659</v>
      </c>
      <c r="E9263" t="s">
        <v>30</v>
      </c>
      <c r="F9263" t="s">
        <v>311</v>
      </c>
      <c r="G9263" t="s">
        <v>303</v>
      </c>
      <c r="H9263" t="s">
        <v>132</v>
      </c>
      <c r="I9263" s="160">
        <v>260.08999999999997</v>
      </c>
      <c r="J9263" s="8"/>
      <c r="K9263" s="8"/>
      <c r="L9263" s="8"/>
      <c r="M9263" s="254"/>
    </row>
    <row r="9264" spans="1:13" hidden="1" x14ac:dyDescent="0.3">
      <c r="B9264" t="s">
        <v>219</v>
      </c>
      <c r="C9264" s="25">
        <v>44766</v>
      </c>
      <c r="D9264" s="26">
        <v>0.84187499999999993</v>
      </c>
      <c r="E9264" t="s">
        <v>30</v>
      </c>
      <c r="F9264" t="s">
        <v>166</v>
      </c>
      <c r="G9264" t="s">
        <v>161</v>
      </c>
      <c r="H9264" t="s">
        <v>132</v>
      </c>
      <c r="I9264" s="160">
        <v>181.35</v>
      </c>
      <c r="J9264" s="8"/>
      <c r="K9264" s="8"/>
      <c r="L9264" s="8"/>
      <c r="M9264" s="254"/>
    </row>
    <row r="9265" spans="2:13" hidden="1" x14ac:dyDescent="0.3">
      <c r="B9265" t="s">
        <v>219</v>
      </c>
      <c r="C9265" s="25">
        <v>44767</v>
      </c>
      <c r="D9265" s="26">
        <v>0.76039351851851855</v>
      </c>
      <c r="E9265" t="s">
        <v>30</v>
      </c>
      <c r="F9265" t="s">
        <v>165</v>
      </c>
      <c r="G9265" t="s">
        <v>185</v>
      </c>
      <c r="H9265" t="s">
        <v>132</v>
      </c>
      <c r="I9265" s="160">
        <v>291.94</v>
      </c>
      <c r="J9265" s="8"/>
      <c r="K9265" s="8"/>
      <c r="L9265" s="8"/>
      <c r="M9265" s="254"/>
    </row>
    <row r="9266" spans="2:13" hidden="1" x14ac:dyDescent="0.3">
      <c r="B9266" t="s">
        <v>219</v>
      </c>
      <c r="C9266" s="25">
        <v>44769</v>
      </c>
      <c r="D9266" s="26">
        <v>0.38012731481481482</v>
      </c>
      <c r="E9266" t="s">
        <v>30</v>
      </c>
      <c r="F9266" t="s">
        <v>210</v>
      </c>
      <c r="G9266" t="s">
        <v>211</v>
      </c>
      <c r="H9266" t="s">
        <v>132</v>
      </c>
      <c r="I9266" s="160">
        <v>211.75</v>
      </c>
      <c r="J9266" s="160"/>
      <c r="K9266" s="160"/>
      <c r="L9266" s="160"/>
      <c r="M9266" s="150"/>
    </row>
    <row r="9267" spans="2:13" hidden="1" x14ac:dyDescent="0.3">
      <c r="B9267" t="s">
        <v>219</v>
      </c>
      <c r="C9267" s="25">
        <v>44771</v>
      </c>
      <c r="D9267" s="26">
        <v>0.34913194444444445</v>
      </c>
      <c r="E9267" t="s">
        <v>30</v>
      </c>
      <c r="F9267" t="s">
        <v>169</v>
      </c>
      <c r="G9267" t="s">
        <v>170</v>
      </c>
      <c r="H9267" t="s">
        <v>132</v>
      </c>
      <c r="I9267" s="160">
        <v>100</v>
      </c>
      <c r="J9267" s="8"/>
      <c r="K9267" s="8"/>
      <c r="L9267" s="8"/>
      <c r="M9267" s="254"/>
    </row>
    <row r="9268" spans="2:13" hidden="1" x14ac:dyDescent="0.3">
      <c r="B9268" t="s">
        <v>219</v>
      </c>
      <c r="C9268" s="25">
        <v>44771</v>
      </c>
      <c r="D9268" s="26">
        <v>0.59685185185185186</v>
      </c>
      <c r="E9268" t="s">
        <v>30</v>
      </c>
      <c r="F9268" t="s">
        <v>446</v>
      </c>
      <c r="G9268" t="s">
        <v>402</v>
      </c>
      <c r="H9268" t="s">
        <v>132</v>
      </c>
      <c r="I9268" s="160">
        <v>191.71</v>
      </c>
      <c r="J9268" s="8"/>
      <c r="K9268" s="8"/>
      <c r="L9268" s="8"/>
      <c r="M9268" s="254"/>
    </row>
    <row r="9269" spans="2:13" hidden="1" x14ac:dyDescent="0.3">
      <c r="B9269" t="s">
        <v>602</v>
      </c>
      <c r="C9269" s="25">
        <v>44749</v>
      </c>
      <c r="D9269" s="26">
        <v>2.9236111111111112E-2</v>
      </c>
      <c r="E9269" t="s">
        <v>30</v>
      </c>
      <c r="F9269" t="s">
        <v>343</v>
      </c>
      <c r="G9269" t="s">
        <v>344</v>
      </c>
      <c r="H9269" t="s">
        <v>131</v>
      </c>
      <c r="I9269" s="159">
        <v>100</v>
      </c>
      <c r="J9269" s="128"/>
      <c r="K9269" s="128"/>
      <c r="L9269" s="128"/>
      <c r="M9269" s="272"/>
    </row>
    <row r="9270" spans="2:13" hidden="1" x14ac:dyDescent="0.3">
      <c r="B9270" t="s">
        <v>602</v>
      </c>
      <c r="C9270" s="25">
        <v>44749</v>
      </c>
      <c r="D9270" s="26">
        <v>8.8587962962962966E-2</v>
      </c>
      <c r="E9270" t="s">
        <v>30</v>
      </c>
      <c r="F9270" t="s">
        <v>311</v>
      </c>
      <c r="G9270" t="s">
        <v>303</v>
      </c>
      <c r="H9270" t="s">
        <v>131</v>
      </c>
      <c r="I9270" s="173">
        <v>150</v>
      </c>
      <c r="J9270" s="236"/>
      <c r="K9270" s="236"/>
      <c r="L9270" s="236"/>
      <c r="M9270" s="91"/>
    </row>
    <row r="9271" spans="2:13" hidden="1" x14ac:dyDescent="0.3">
      <c r="B9271" t="s">
        <v>602</v>
      </c>
      <c r="C9271" s="25">
        <v>44749</v>
      </c>
      <c r="D9271" s="26">
        <v>0.50380787037037034</v>
      </c>
      <c r="E9271" t="s">
        <v>30</v>
      </c>
      <c r="F9271" t="s">
        <v>210</v>
      </c>
      <c r="G9271" t="s">
        <v>487</v>
      </c>
      <c r="H9271" t="s">
        <v>131</v>
      </c>
      <c r="I9271" s="173">
        <v>236.42</v>
      </c>
      <c r="J9271" s="236"/>
      <c r="K9271" s="236"/>
      <c r="L9271" s="236"/>
      <c r="M9271" s="91"/>
    </row>
    <row r="9272" spans="2:13" hidden="1" x14ac:dyDescent="0.3">
      <c r="B9272" t="s">
        <v>602</v>
      </c>
      <c r="C9272" s="25">
        <v>44749</v>
      </c>
      <c r="D9272" s="26">
        <v>0.55756944444444445</v>
      </c>
      <c r="E9272" t="s">
        <v>30</v>
      </c>
      <c r="F9272" t="s">
        <v>210</v>
      </c>
      <c r="G9272" t="s">
        <v>211</v>
      </c>
      <c r="H9272" t="s">
        <v>131</v>
      </c>
      <c r="I9272" s="173">
        <v>264.66000000000003</v>
      </c>
      <c r="J9272" s="236"/>
      <c r="K9272" s="236"/>
      <c r="L9272" s="236"/>
      <c r="M9272" s="91"/>
    </row>
    <row r="9273" spans="2:13" hidden="1" x14ac:dyDescent="0.3">
      <c r="B9273" t="s">
        <v>602</v>
      </c>
      <c r="C9273" s="25">
        <v>44751</v>
      </c>
      <c r="D9273" s="26">
        <v>0.45593750000000005</v>
      </c>
      <c r="E9273" t="s">
        <v>30</v>
      </c>
      <c r="F9273" t="s">
        <v>210</v>
      </c>
      <c r="G9273" t="s">
        <v>211</v>
      </c>
      <c r="H9273" t="s">
        <v>131</v>
      </c>
      <c r="I9273" s="173">
        <v>450.33</v>
      </c>
      <c r="J9273" s="173">
        <f>39+250+236+265+450</f>
        <v>1240</v>
      </c>
      <c r="K9273" s="173"/>
      <c r="L9273" s="173">
        <v>3858</v>
      </c>
      <c r="M9273" s="149">
        <f>+J9273/L9273*100</f>
        <v>32.141005702436502</v>
      </c>
    </row>
    <row r="9274" spans="2:13" hidden="1" x14ac:dyDescent="0.3">
      <c r="B9274" t="s">
        <v>602</v>
      </c>
      <c r="C9274" s="25">
        <v>44752</v>
      </c>
      <c r="D9274" s="26">
        <v>0.37767361111111114</v>
      </c>
      <c r="E9274" t="s">
        <v>30</v>
      </c>
      <c r="F9274" t="s">
        <v>293</v>
      </c>
      <c r="G9274" t="s">
        <v>196</v>
      </c>
      <c r="H9274" t="s">
        <v>131</v>
      </c>
      <c r="I9274" s="173">
        <v>148.07</v>
      </c>
      <c r="J9274" s="236"/>
      <c r="K9274" s="236"/>
      <c r="L9274" s="236"/>
      <c r="M9274" s="91"/>
    </row>
    <row r="9275" spans="2:13" hidden="1" x14ac:dyDescent="0.3">
      <c r="B9275" t="s">
        <v>602</v>
      </c>
      <c r="C9275" s="25">
        <v>44754</v>
      </c>
      <c r="D9275" s="26">
        <v>0.70084490740740746</v>
      </c>
      <c r="E9275" t="s">
        <v>30</v>
      </c>
      <c r="F9275" t="s">
        <v>343</v>
      </c>
      <c r="G9275" t="s">
        <v>344</v>
      </c>
      <c r="H9275" t="s">
        <v>131</v>
      </c>
      <c r="I9275" s="173">
        <v>100</v>
      </c>
      <c r="J9275" s="233"/>
      <c r="K9275" s="233"/>
      <c r="L9275" s="233"/>
      <c r="M9275" s="91"/>
    </row>
    <row r="9276" spans="2:13" hidden="1" x14ac:dyDescent="0.3">
      <c r="B9276" t="s">
        <v>602</v>
      </c>
      <c r="C9276" s="25">
        <v>44755</v>
      </c>
      <c r="D9276" s="26">
        <v>4.5717592592592589E-3</v>
      </c>
      <c r="E9276" t="s">
        <v>30</v>
      </c>
      <c r="F9276" t="s">
        <v>210</v>
      </c>
      <c r="G9276" t="s">
        <v>487</v>
      </c>
      <c r="H9276" t="s">
        <v>131</v>
      </c>
      <c r="I9276" s="173">
        <v>207.34</v>
      </c>
      <c r="J9276" s="233"/>
      <c r="K9276" s="233"/>
      <c r="L9276" s="233"/>
      <c r="M9276" s="91"/>
    </row>
    <row r="9277" spans="2:13" hidden="1" x14ac:dyDescent="0.3">
      <c r="B9277" t="s">
        <v>602</v>
      </c>
      <c r="C9277" s="25">
        <v>44755</v>
      </c>
      <c r="D9277" s="26">
        <v>7.0717592592592596E-2</v>
      </c>
      <c r="E9277" t="s">
        <v>30</v>
      </c>
      <c r="F9277" t="s">
        <v>210</v>
      </c>
      <c r="G9277" t="s">
        <v>211</v>
      </c>
      <c r="H9277" t="s">
        <v>131</v>
      </c>
      <c r="I9277" s="173">
        <v>247</v>
      </c>
      <c r="J9277" s="231">
        <f>247+207+100+148</f>
        <v>702</v>
      </c>
      <c r="K9277" s="231"/>
      <c r="L9277" s="231">
        <v>1799</v>
      </c>
      <c r="M9277" s="149">
        <f>+J9277/L9277*100</f>
        <v>39.021678710394667</v>
      </c>
    </row>
    <row r="9278" spans="2:13" hidden="1" x14ac:dyDescent="0.3">
      <c r="B9278" t="s">
        <v>602</v>
      </c>
      <c r="C9278" s="25">
        <v>44756</v>
      </c>
      <c r="D9278" s="26">
        <v>0.833125</v>
      </c>
      <c r="E9278" t="s">
        <v>30</v>
      </c>
      <c r="F9278" t="s">
        <v>210</v>
      </c>
      <c r="G9278" t="s">
        <v>211</v>
      </c>
      <c r="H9278" t="s">
        <v>131</v>
      </c>
      <c r="I9278" s="173">
        <v>343.92</v>
      </c>
      <c r="J9278" s="233"/>
      <c r="K9278" s="233"/>
      <c r="L9278" s="233"/>
      <c r="M9278" s="91"/>
    </row>
    <row r="9279" spans="2:13" hidden="1" x14ac:dyDescent="0.3">
      <c r="B9279" t="s">
        <v>602</v>
      </c>
      <c r="C9279" s="25">
        <v>44756</v>
      </c>
      <c r="D9279" s="26">
        <v>0.83922453703703714</v>
      </c>
      <c r="E9279" t="s">
        <v>30</v>
      </c>
      <c r="F9279" t="s">
        <v>210</v>
      </c>
      <c r="G9279" t="s">
        <v>211</v>
      </c>
      <c r="H9279" t="s">
        <v>131</v>
      </c>
      <c r="I9279" s="173">
        <v>147.69</v>
      </c>
      <c r="J9279" s="231">
        <f>148+344</f>
        <v>492</v>
      </c>
      <c r="K9279" s="231"/>
      <c r="L9279" s="231">
        <v>1123</v>
      </c>
      <c r="M9279" s="149">
        <f>+J9279/L9279*100</f>
        <v>43.811219946571683</v>
      </c>
    </row>
    <row r="9280" spans="2:13" hidden="1" x14ac:dyDescent="0.3">
      <c r="B9280" t="s">
        <v>602</v>
      </c>
      <c r="C9280" s="25">
        <v>44757</v>
      </c>
      <c r="D9280" s="26">
        <v>0.12015046296296296</v>
      </c>
      <c r="E9280" t="s">
        <v>30</v>
      </c>
      <c r="F9280" t="s">
        <v>293</v>
      </c>
      <c r="G9280" t="s">
        <v>196</v>
      </c>
      <c r="H9280" t="s">
        <v>131</v>
      </c>
      <c r="I9280" s="173">
        <v>140.33000000000001</v>
      </c>
      <c r="J9280" s="233"/>
      <c r="K9280" s="233"/>
      <c r="L9280" s="233"/>
      <c r="M9280" s="91"/>
    </row>
    <row r="9281" spans="2:13" hidden="1" x14ac:dyDescent="0.3">
      <c r="B9281" t="s">
        <v>602</v>
      </c>
      <c r="C9281" s="25">
        <v>44758</v>
      </c>
      <c r="D9281" s="26">
        <v>0.82150462962962967</v>
      </c>
      <c r="E9281" t="s">
        <v>30</v>
      </c>
      <c r="F9281" t="s">
        <v>343</v>
      </c>
      <c r="G9281" t="s">
        <v>344</v>
      </c>
      <c r="H9281" t="s">
        <v>131</v>
      </c>
      <c r="I9281" s="173">
        <v>100</v>
      </c>
      <c r="J9281" s="233"/>
      <c r="K9281" s="233"/>
      <c r="L9281" s="233"/>
      <c r="M9281" s="91"/>
    </row>
    <row r="9282" spans="2:13" hidden="1" x14ac:dyDescent="0.3">
      <c r="B9282" t="s">
        <v>602</v>
      </c>
      <c r="C9282" s="25">
        <v>44759</v>
      </c>
      <c r="D9282" s="26">
        <v>0.16620370370370371</v>
      </c>
      <c r="E9282" t="s">
        <v>30</v>
      </c>
      <c r="F9282" t="s">
        <v>210</v>
      </c>
      <c r="G9282" t="s">
        <v>211</v>
      </c>
      <c r="H9282" t="s">
        <v>131</v>
      </c>
      <c r="I9282" s="173">
        <v>452.78</v>
      </c>
      <c r="J9282" s="231">
        <f>453+100+140</f>
        <v>693</v>
      </c>
      <c r="K9282" s="231"/>
      <c r="L9282" s="231">
        <v>1758</v>
      </c>
      <c r="M9282" s="149">
        <f t="shared" ref="M9282" si="554">+J9282/L9282*100</f>
        <v>39.419795221843003</v>
      </c>
    </row>
    <row r="9283" spans="2:13" hidden="1" x14ac:dyDescent="0.3">
      <c r="B9283" t="s">
        <v>602</v>
      </c>
      <c r="C9283" s="25">
        <v>44760</v>
      </c>
      <c r="D9283" s="26">
        <v>0.36600694444444443</v>
      </c>
      <c r="E9283" t="s">
        <v>30</v>
      </c>
      <c r="F9283" t="s">
        <v>210</v>
      </c>
      <c r="G9283" t="s">
        <v>211</v>
      </c>
      <c r="H9283" t="s">
        <v>131</v>
      </c>
      <c r="I9283" s="160">
        <v>422.45</v>
      </c>
      <c r="J9283" s="8"/>
      <c r="K9283" s="8"/>
      <c r="L9283" s="8"/>
      <c r="M9283" s="254"/>
    </row>
    <row r="9284" spans="2:13" hidden="1" x14ac:dyDescent="0.3">
      <c r="B9284" t="s">
        <v>602</v>
      </c>
      <c r="C9284" s="25">
        <v>44761</v>
      </c>
      <c r="D9284" s="26">
        <v>0.90686342592592595</v>
      </c>
      <c r="E9284" t="s">
        <v>30</v>
      </c>
      <c r="F9284" t="s">
        <v>262</v>
      </c>
      <c r="G9284" t="s">
        <v>263</v>
      </c>
      <c r="H9284" t="s">
        <v>131</v>
      </c>
      <c r="I9284" s="160">
        <v>200.3</v>
      </c>
      <c r="J9284" s="8"/>
      <c r="K9284" s="8"/>
      <c r="L9284" s="8"/>
      <c r="M9284" s="254"/>
    </row>
    <row r="9285" spans="2:13" hidden="1" x14ac:dyDescent="0.3">
      <c r="B9285" t="s">
        <v>602</v>
      </c>
      <c r="C9285" s="25">
        <v>44762</v>
      </c>
      <c r="D9285" s="26">
        <v>0.40511574074074069</v>
      </c>
      <c r="E9285" t="s">
        <v>30</v>
      </c>
      <c r="F9285" t="s">
        <v>456</v>
      </c>
      <c r="G9285" t="s">
        <v>457</v>
      </c>
      <c r="H9285" t="s">
        <v>131</v>
      </c>
      <c r="I9285" s="160">
        <v>100</v>
      </c>
      <c r="J9285" s="8"/>
      <c r="K9285" s="8"/>
      <c r="L9285" s="8"/>
      <c r="M9285" s="254"/>
    </row>
    <row r="9286" spans="2:13" hidden="1" x14ac:dyDescent="0.3">
      <c r="B9286" t="s">
        <v>602</v>
      </c>
      <c r="C9286" s="25">
        <v>44762</v>
      </c>
      <c r="D9286" s="26">
        <v>0.63489583333333333</v>
      </c>
      <c r="E9286" t="s">
        <v>30</v>
      </c>
      <c r="F9286" t="s">
        <v>210</v>
      </c>
      <c r="G9286" t="s">
        <v>211</v>
      </c>
      <c r="H9286" t="s">
        <v>131</v>
      </c>
      <c r="I9286" s="160">
        <v>418.02</v>
      </c>
      <c r="J9286" s="8"/>
      <c r="K9286" s="8"/>
      <c r="L9286" s="8"/>
      <c r="M9286" s="254"/>
    </row>
    <row r="9287" spans="2:13" hidden="1" x14ac:dyDescent="0.3">
      <c r="B9287" t="s">
        <v>602</v>
      </c>
      <c r="C9287" s="25">
        <v>44763</v>
      </c>
      <c r="D9287" s="26">
        <v>0.55366898148148147</v>
      </c>
      <c r="E9287" t="s">
        <v>30</v>
      </c>
      <c r="F9287" t="s">
        <v>210</v>
      </c>
      <c r="G9287" t="s">
        <v>211</v>
      </c>
      <c r="H9287" t="s">
        <v>131</v>
      </c>
      <c r="I9287" s="160">
        <v>392.65</v>
      </c>
      <c r="J9287" s="160">
        <f>+I9287+I9286+I9285+I9284+I9283</f>
        <v>1533.42</v>
      </c>
      <c r="K9287" s="160"/>
      <c r="L9287" s="160">
        <v>1814</v>
      </c>
      <c r="M9287" s="150"/>
    </row>
    <row r="9288" spans="2:13" hidden="1" x14ac:dyDescent="0.3">
      <c r="B9288" t="s">
        <v>602</v>
      </c>
      <c r="C9288" s="25">
        <v>44764</v>
      </c>
      <c r="D9288" s="26">
        <v>0.32153935185185184</v>
      </c>
      <c r="E9288" t="s">
        <v>30</v>
      </c>
      <c r="F9288" t="s">
        <v>401</v>
      </c>
      <c r="G9288" t="s">
        <v>402</v>
      </c>
      <c r="H9288" t="s">
        <v>131</v>
      </c>
      <c r="I9288" s="160">
        <v>30.01</v>
      </c>
      <c r="J9288" s="8"/>
      <c r="K9288" s="8"/>
      <c r="L9288" s="8"/>
      <c r="M9288" s="254"/>
    </row>
    <row r="9289" spans="2:13" hidden="1" x14ac:dyDescent="0.3">
      <c r="B9289" t="s">
        <v>602</v>
      </c>
      <c r="C9289" s="25">
        <v>44770</v>
      </c>
      <c r="D9289" s="26">
        <v>0.12092592592592592</v>
      </c>
      <c r="E9289" t="s">
        <v>30</v>
      </c>
      <c r="F9289" t="s">
        <v>197</v>
      </c>
      <c r="G9289" t="s">
        <v>44</v>
      </c>
      <c r="H9289" t="s">
        <v>131</v>
      </c>
      <c r="I9289" s="160">
        <v>213.12</v>
      </c>
      <c r="J9289" s="8"/>
      <c r="K9289" s="8"/>
      <c r="L9289" s="8"/>
      <c r="M9289" s="254"/>
    </row>
    <row r="9290" spans="2:13" hidden="1" x14ac:dyDescent="0.3">
      <c r="B9290" t="s">
        <v>602</v>
      </c>
      <c r="C9290" s="25">
        <v>44770</v>
      </c>
      <c r="D9290" s="26">
        <v>0.17756944444444445</v>
      </c>
      <c r="E9290" t="s">
        <v>30</v>
      </c>
      <c r="F9290" t="s">
        <v>343</v>
      </c>
      <c r="G9290" t="s">
        <v>344</v>
      </c>
      <c r="H9290" t="s">
        <v>131</v>
      </c>
      <c r="I9290" s="160">
        <v>50</v>
      </c>
      <c r="J9290" s="8"/>
      <c r="K9290" s="8"/>
      <c r="L9290" s="8"/>
      <c r="M9290" s="254"/>
    </row>
    <row r="9291" spans="2:13" hidden="1" x14ac:dyDescent="0.3">
      <c r="B9291" t="s">
        <v>602</v>
      </c>
      <c r="C9291" s="25">
        <v>44770</v>
      </c>
      <c r="D9291" s="26">
        <v>0.69206018518518519</v>
      </c>
      <c r="E9291" t="s">
        <v>30</v>
      </c>
      <c r="F9291" t="s">
        <v>210</v>
      </c>
      <c r="G9291" t="s">
        <v>211</v>
      </c>
      <c r="H9291" t="s">
        <v>131</v>
      </c>
      <c r="I9291" s="160">
        <v>343.92</v>
      </c>
      <c r="J9291" s="8"/>
      <c r="K9291" s="8"/>
      <c r="L9291" s="8"/>
      <c r="M9291" s="254"/>
    </row>
    <row r="9292" spans="2:13" hidden="1" x14ac:dyDescent="0.3">
      <c r="B9292" t="s">
        <v>602</v>
      </c>
      <c r="C9292" s="25">
        <v>44770</v>
      </c>
      <c r="D9292" s="26">
        <v>0.69712962962962965</v>
      </c>
      <c r="E9292" t="s">
        <v>30</v>
      </c>
      <c r="F9292" t="s">
        <v>210</v>
      </c>
      <c r="G9292" t="s">
        <v>211</v>
      </c>
      <c r="H9292" t="s">
        <v>131</v>
      </c>
      <c r="I9292" s="160">
        <v>114.55</v>
      </c>
      <c r="J9292" s="160"/>
      <c r="K9292" s="160"/>
      <c r="L9292" s="160"/>
      <c r="M9292" s="150"/>
    </row>
    <row r="9293" spans="2:13" hidden="1" x14ac:dyDescent="0.3">
      <c r="B9293" t="s">
        <v>602</v>
      </c>
      <c r="C9293" s="25">
        <v>44771</v>
      </c>
      <c r="D9293" s="26">
        <v>0.8208333333333333</v>
      </c>
      <c r="E9293" t="s">
        <v>30</v>
      </c>
      <c r="F9293" t="s">
        <v>210</v>
      </c>
      <c r="G9293" t="s">
        <v>211</v>
      </c>
      <c r="H9293" t="s">
        <v>131</v>
      </c>
      <c r="I9293" s="160">
        <v>381.85</v>
      </c>
      <c r="J9293" s="8"/>
      <c r="K9293" s="8"/>
      <c r="L9293" s="8"/>
      <c r="M9293" s="254"/>
    </row>
    <row r="9294" spans="2:13" hidden="1" x14ac:dyDescent="0.3">
      <c r="B9294" t="s">
        <v>602</v>
      </c>
      <c r="C9294" s="25">
        <v>44772</v>
      </c>
      <c r="D9294" s="26">
        <v>0.73013888888888889</v>
      </c>
      <c r="E9294" t="s">
        <v>30</v>
      </c>
      <c r="F9294" t="s">
        <v>428</v>
      </c>
      <c r="G9294" t="s">
        <v>429</v>
      </c>
      <c r="H9294" t="s">
        <v>131</v>
      </c>
      <c r="I9294" s="160">
        <v>100.06</v>
      </c>
      <c r="J9294" s="8"/>
      <c r="K9294" s="8"/>
      <c r="L9294" s="8"/>
      <c r="M9294" s="254"/>
    </row>
    <row r="9295" spans="2:13" hidden="1" x14ac:dyDescent="0.3">
      <c r="B9295" t="s">
        <v>602</v>
      </c>
      <c r="C9295" s="25">
        <v>44772</v>
      </c>
      <c r="D9295" s="26">
        <v>0.73262731481481491</v>
      </c>
      <c r="E9295" t="s">
        <v>30</v>
      </c>
      <c r="F9295" t="s">
        <v>428</v>
      </c>
      <c r="G9295" t="s">
        <v>429</v>
      </c>
      <c r="H9295" t="s">
        <v>131</v>
      </c>
      <c r="I9295" s="160">
        <v>200.08</v>
      </c>
      <c r="J9295" s="8"/>
      <c r="K9295" s="8"/>
      <c r="L9295" s="8"/>
      <c r="M9295" s="254"/>
    </row>
    <row r="9296" spans="2:13" hidden="1" x14ac:dyDescent="0.3">
      <c r="B9296" t="s">
        <v>602</v>
      </c>
      <c r="C9296" s="25">
        <v>44773</v>
      </c>
      <c r="D9296" s="26">
        <v>0.88083333333333336</v>
      </c>
      <c r="E9296" t="s">
        <v>30</v>
      </c>
      <c r="F9296" t="s">
        <v>210</v>
      </c>
      <c r="G9296" t="s">
        <v>211</v>
      </c>
      <c r="H9296" t="s">
        <v>131</v>
      </c>
      <c r="I9296" s="160">
        <v>28.3</v>
      </c>
      <c r="J9296" s="8"/>
      <c r="K9296" s="8"/>
      <c r="L9296" s="8"/>
      <c r="M9296" s="254"/>
    </row>
    <row r="9297" spans="1:13" hidden="1" x14ac:dyDescent="0.3">
      <c r="B9297" t="s">
        <v>602</v>
      </c>
      <c r="C9297" s="25">
        <v>44773</v>
      </c>
      <c r="D9297" s="26">
        <v>0.90394675925925927</v>
      </c>
      <c r="E9297" t="s">
        <v>30</v>
      </c>
      <c r="F9297" t="s">
        <v>210</v>
      </c>
      <c r="G9297" t="s">
        <v>211</v>
      </c>
      <c r="H9297" t="s">
        <v>131</v>
      </c>
      <c r="I9297" s="160">
        <v>394.49</v>
      </c>
      <c r="J9297" s="160"/>
      <c r="K9297" s="160"/>
      <c r="L9297" s="160"/>
      <c r="M9297" s="150"/>
    </row>
    <row r="9298" spans="1:13" hidden="1" x14ac:dyDescent="0.3">
      <c r="A9298" s="9">
        <v>6751</v>
      </c>
      <c r="B9298" t="s">
        <v>273</v>
      </c>
      <c r="C9298" s="25">
        <v>44744</v>
      </c>
      <c r="D9298" s="26">
        <v>0.58627314814814813</v>
      </c>
      <c r="E9298" t="s">
        <v>30</v>
      </c>
      <c r="F9298" t="s">
        <v>541</v>
      </c>
      <c r="G9298" t="s">
        <v>542</v>
      </c>
      <c r="H9298" t="s">
        <v>120</v>
      </c>
      <c r="I9298" s="148">
        <v>100</v>
      </c>
      <c r="J9298"/>
      <c r="K9298">
        <v>80000</v>
      </c>
      <c r="L9298">
        <f t="shared" ref="L9298:L9299" si="555">+K9298-J9298</f>
        <v>80000</v>
      </c>
      <c r="M9298" s="132">
        <f>I9298/L9298*100</f>
        <v>0.125</v>
      </c>
    </row>
    <row r="9299" spans="1:13" hidden="1" x14ac:dyDescent="0.3">
      <c r="A9299" s="9">
        <v>6751</v>
      </c>
      <c r="B9299" t="s">
        <v>273</v>
      </c>
      <c r="C9299" s="25">
        <v>44744</v>
      </c>
      <c r="D9299" s="26">
        <v>0.92912037037037043</v>
      </c>
      <c r="E9299" t="s">
        <v>30</v>
      </c>
      <c r="F9299" t="s">
        <v>210</v>
      </c>
      <c r="G9299" t="s">
        <v>211</v>
      </c>
      <c r="H9299" t="s">
        <v>120</v>
      </c>
      <c r="I9299" s="148">
        <v>471.7</v>
      </c>
      <c r="J9299"/>
      <c r="K9299">
        <v>3548</v>
      </c>
      <c r="L9299">
        <f t="shared" si="555"/>
        <v>3548</v>
      </c>
      <c r="M9299" s="91">
        <f>I9299/L9299*100</f>
        <v>13.294813979706877</v>
      </c>
    </row>
    <row r="9300" spans="1:13" hidden="1" x14ac:dyDescent="0.3">
      <c r="A9300" s="9">
        <v>6751</v>
      </c>
      <c r="B9300" t="s">
        <v>273</v>
      </c>
      <c r="C9300" s="25">
        <v>44744</v>
      </c>
      <c r="D9300" s="26">
        <v>0.93737268518518524</v>
      </c>
      <c r="E9300" t="s">
        <v>30</v>
      </c>
      <c r="F9300" t="s">
        <v>210</v>
      </c>
      <c r="G9300" t="s">
        <v>211</v>
      </c>
      <c r="H9300" t="s">
        <v>120</v>
      </c>
      <c r="I9300" s="148">
        <v>69.97</v>
      </c>
      <c r="J9300" s="148">
        <f>69+472+100+368+185+345+340+428+158+254</f>
        <v>2719</v>
      </c>
      <c r="K9300" s="148">
        <v>3548</v>
      </c>
      <c r="L9300" s="148">
        <v>7338</v>
      </c>
      <c r="M9300" s="149">
        <f>+J9300/L9300*100</f>
        <v>37.053693104388117</v>
      </c>
    </row>
    <row r="9301" spans="1:13" hidden="1" x14ac:dyDescent="0.3">
      <c r="A9301" s="9">
        <v>6751</v>
      </c>
      <c r="B9301" t="s">
        <v>273</v>
      </c>
      <c r="C9301" s="25">
        <v>44745</v>
      </c>
      <c r="D9301" s="26">
        <v>0.64885416666666662</v>
      </c>
      <c r="E9301" t="s">
        <v>30</v>
      </c>
      <c r="F9301" t="s">
        <v>165</v>
      </c>
      <c r="G9301" t="s">
        <v>185</v>
      </c>
      <c r="H9301" t="s">
        <v>120</v>
      </c>
      <c r="I9301" s="148">
        <v>274.3</v>
      </c>
      <c r="J9301"/>
      <c r="K9301">
        <v>1234</v>
      </c>
      <c r="L9301">
        <f>+K9301-J9301</f>
        <v>1234</v>
      </c>
      <c r="M9301" s="91">
        <f>I9301/L9301*100</f>
        <v>22.228525121555919</v>
      </c>
    </row>
    <row r="9302" spans="1:13" hidden="1" x14ac:dyDescent="0.3">
      <c r="A9302" s="9">
        <v>6751</v>
      </c>
      <c r="B9302" t="s">
        <v>273</v>
      </c>
      <c r="C9302" s="25">
        <v>44745</v>
      </c>
      <c r="D9302" s="26">
        <v>0.94234953703703705</v>
      </c>
      <c r="E9302" t="s">
        <v>30</v>
      </c>
      <c r="F9302" t="s">
        <v>210</v>
      </c>
      <c r="G9302" t="s">
        <v>211</v>
      </c>
      <c r="H9302" t="s">
        <v>120</v>
      </c>
      <c r="I9302" s="148">
        <v>170.8</v>
      </c>
      <c r="J9302"/>
      <c r="K9302">
        <v>3548</v>
      </c>
      <c r="L9302">
        <f>+K9302-J9302</f>
        <v>3548</v>
      </c>
      <c r="M9302" s="91">
        <f>I9302/L9302*100</f>
        <v>4.813979706877114</v>
      </c>
    </row>
    <row r="9303" spans="1:13" hidden="1" x14ac:dyDescent="0.3">
      <c r="A9303" s="9">
        <v>6751</v>
      </c>
      <c r="B9303" t="s">
        <v>273</v>
      </c>
      <c r="C9303" s="25">
        <v>44746</v>
      </c>
      <c r="D9303" s="26">
        <v>0.6918171296296296</v>
      </c>
      <c r="E9303" t="s">
        <v>30</v>
      </c>
      <c r="F9303" t="s">
        <v>274</v>
      </c>
      <c r="G9303" t="s">
        <v>495</v>
      </c>
      <c r="H9303" t="s">
        <v>120</v>
      </c>
      <c r="I9303" s="148">
        <v>50.06</v>
      </c>
      <c r="J9303"/>
      <c r="K9303">
        <v>12345</v>
      </c>
      <c r="L9303">
        <f>+K9303-J9303</f>
        <v>12345</v>
      </c>
      <c r="M9303" s="91">
        <f>I9303/L9303*100</f>
        <v>0.40550830295666263</v>
      </c>
    </row>
    <row r="9304" spans="1:13" hidden="1" x14ac:dyDescent="0.3">
      <c r="A9304" s="9">
        <v>6751</v>
      </c>
      <c r="B9304" t="s">
        <v>273</v>
      </c>
      <c r="C9304" s="25">
        <v>44746</v>
      </c>
      <c r="D9304" s="26">
        <v>0.69349537037037035</v>
      </c>
      <c r="E9304" t="s">
        <v>30</v>
      </c>
      <c r="F9304" t="s">
        <v>274</v>
      </c>
      <c r="G9304" t="s">
        <v>495</v>
      </c>
      <c r="H9304" t="s">
        <v>120</v>
      </c>
      <c r="I9304" s="148">
        <v>139</v>
      </c>
      <c r="J9304"/>
      <c r="K9304">
        <v>12345</v>
      </c>
      <c r="L9304">
        <f>+K9304-J9304</f>
        <v>12345</v>
      </c>
      <c r="M9304" s="91">
        <f>I9304/L9304*100</f>
        <v>1.1259619279060349</v>
      </c>
    </row>
    <row r="9305" spans="1:13" hidden="1" x14ac:dyDescent="0.3">
      <c r="A9305" s="9">
        <v>6751</v>
      </c>
      <c r="B9305" t="s">
        <v>273</v>
      </c>
      <c r="C9305" s="25">
        <v>44747</v>
      </c>
      <c r="D9305" s="26">
        <v>0.8946412037037037</v>
      </c>
      <c r="E9305" t="s">
        <v>30</v>
      </c>
      <c r="F9305" t="s">
        <v>311</v>
      </c>
      <c r="G9305" t="s">
        <v>303</v>
      </c>
      <c r="H9305" t="s">
        <v>120</v>
      </c>
      <c r="I9305" s="148">
        <v>317.72000000000003</v>
      </c>
      <c r="J9305"/>
      <c r="K9305">
        <v>5000</v>
      </c>
      <c r="L9305">
        <f>+K9305-J9305</f>
        <v>5000</v>
      </c>
      <c r="M9305" s="91">
        <f>I9305/L9305*100</f>
        <v>6.3544</v>
      </c>
    </row>
    <row r="9306" spans="1:13" hidden="1" x14ac:dyDescent="0.3">
      <c r="A9306" s="9">
        <v>6751</v>
      </c>
      <c r="B9306" t="s">
        <v>273</v>
      </c>
      <c r="C9306" s="25">
        <v>44748</v>
      </c>
      <c r="D9306" s="26">
        <v>0.47072916666666664</v>
      </c>
      <c r="E9306" t="s">
        <v>30</v>
      </c>
      <c r="F9306" t="s">
        <v>210</v>
      </c>
      <c r="G9306" t="s">
        <v>211</v>
      </c>
      <c r="H9306" t="s">
        <v>120</v>
      </c>
      <c r="I9306" s="148">
        <v>205.53</v>
      </c>
      <c r="J9306" s="148">
        <f>205+317+139+50+170+274</f>
        <v>1155</v>
      </c>
      <c r="K9306" s="148">
        <v>3548</v>
      </c>
      <c r="L9306" s="148">
        <v>2758</v>
      </c>
      <c r="M9306" s="149">
        <f>+J9306/L9306*100</f>
        <v>41.878172588832484</v>
      </c>
    </row>
    <row r="9307" spans="1:13" hidden="1" x14ac:dyDescent="0.3">
      <c r="A9307" s="9">
        <v>6751</v>
      </c>
      <c r="B9307" t="s">
        <v>273</v>
      </c>
      <c r="C9307" s="25">
        <v>44749</v>
      </c>
      <c r="D9307" s="26">
        <v>0.41465277777777776</v>
      </c>
      <c r="E9307" t="s">
        <v>30</v>
      </c>
      <c r="F9307" t="s">
        <v>210</v>
      </c>
      <c r="G9307" t="s">
        <v>211</v>
      </c>
      <c r="H9307" t="s">
        <v>120</v>
      </c>
      <c r="I9307" s="159" t="s">
        <v>856</v>
      </c>
      <c r="J9307"/>
      <c r="K9307"/>
      <c r="L9307"/>
      <c r="M9307" s="91" t="e">
        <f>I9307/K9307*100</f>
        <v>#DIV/0!</v>
      </c>
    </row>
    <row r="9308" spans="1:13" hidden="1" x14ac:dyDescent="0.3">
      <c r="A9308" s="9">
        <v>6751</v>
      </c>
      <c r="B9308" t="s">
        <v>273</v>
      </c>
      <c r="C9308" s="25">
        <v>44749</v>
      </c>
      <c r="D9308" s="26">
        <v>0.75856481481481486</v>
      </c>
      <c r="E9308" t="s">
        <v>30</v>
      </c>
      <c r="F9308" t="s">
        <v>169</v>
      </c>
      <c r="G9308" t="s">
        <v>196</v>
      </c>
      <c r="H9308" t="s">
        <v>120</v>
      </c>
      <c r="I9308" s="159" t="s">
        <v>855</v>
      </c>
      <c r="J9308"/>
      <c r="K9308"/>
      <c r="L9308"/>
      <c r="M9308" s="91" t="e">
        <f>I9308/K9308*100</f>
        <v>#DIV/0!</v>
      </c>
    </row>
    <row r="9309" spans="1:13" hidden="1" x14ac:dyDescent="0.3">
      <c r="A9309" s="9">
        <v>6751</v>
      </c>
      <c r="B9309" t="s">
        <v>273</v>
      </c>
      <c r="C9309" s="25">
        <v>44750</v>
      </c>
      <c r="D9309" s="26">
        <v>0.99052083333333341</v>
      </c>
      <c r="E9309" t="s">
        <v>30</v>
      </c>
      <c r="F9309" t="s">
        <v>311</v>
      </c>
      <c r="G9309" t="s">
        <v>303</v>
      </c>
      <c r="H9309" t="s">
        <v>120</v>
      </c>
      <c r="I9309" s="159" t="s">
        <v>854</v>
      </c>
      <c r="J9309"/>
      <c r="K9309"/>
      <c r="L9309"/>
      <c r="M9309" s="91" t="e">
        <f>I9309/K9309*100</f>
        <v>#DIV/0!</v>
      </c>
    </row>
    <row r="9310" spans="1:13" hidden="1" x14ac:dyDescent="0.3">
      <c r="A9310" s="9">
        <v>6751</v>
      </c>
      <c r="B9310" t="s">
        <v>273</v>
      </c>
      <c r="C9310" s="25">
        <v>44751</v>
      </c>
      <c r="D9310" s="26">
        <v>0.50864583333333335</v>
      </c>
      <c r="E9310" t="s">
        <v>30</v>
      </c>
      <c r="F9310" t="s">
        <v>210</v>
      </c>
      <c r="G9310" t="s">
        <v>211</v>
      </c>
      <c r="H9310" t="s">
        <v>120</v>
      </c>
      <c r="I9310" s="159" t="s">
        <v>853</v>
      </c>
      <c r="J9310"/>
      <c r="K9310"/>
      <c r="L9310"/>
      <c r="M9310" s="91" t="e">
        <f>I9310/K9310*100</f>
        <v>#DIV/0!</v>
      </c>
    </row>
    <row r="9311" spans="1:13" hidden="1" x14ac:dyDescent="0.3">
      <c r="A9311" s="9">
        <v>6751</v>
      </c>
      <c r="B9311" t="s">
        <v>273</v>
      </c>
      <c r="C9311" s="25">
        <v>44752</v>
      </c>
      <c r="D9311" s="26">
        <v>0.42318287037037039</v>
      </c>
      <c r="E9311" t="s">
        <v>30</v>
      </c>
      <c r="F9311" t="s">
        <v>210</v>
      </c>
      <c r="G9311" t="s">
        <v>211</v>
      </c>
      <c r="H9311" t="s">
        <v>120</v>
      </c>
      <c r="I9311" s="159" t="s">
        <v>844</v>
      </c>
      <c r="J9311" s="148">
        <f>472+167+318+196+344</f>
        <v>1497</v>
      </c>
      <c r="K9311" s="148"/>
      <c r="L9311" s="148">
        <v>3647</v>
      </c>
      <c r="M9311" s="149">
        <f>+J9311/L9311*100</f>
        <v>41.047436248971756</v>
      </c>
    </row>
    <row r="9312" spans="1:13" hidden="1" x14ac:dyDescent="0.3">
      <c r="A9312" s="9">
        <v>6751</v>
      </c>
      <c r="B9312" t="s">
        <v>273</v>
      </c>
      <c r="C9312" s="25">
        <v>44752</v>
      </c>
      <c r="D9312" s="26">
        <v>0.67177083333333332</v>
      </c>
      <c r="E9312" t="s">
        <v>30</v>
      </c>
      <c r="F9312" t="s">
        <v>169</v>
      </c>
      <c r="G9312" t="s">
        <v>196</v>
      </c>
      <c r="H9312" t="s">
        <v>120</v>
      </c>
      <c r="I9312" s="159" t="s">
        <v>852</v>
      </c>
      <c r="J9312"/>
      <c r="K9312"/>
      <c r="L9312"/>
      <c r="M9312" s="91" t="e">
        <f>I9312/K9312*100</f>
        <v>#DIV/0!</v>
      </c>
    </row>
    <row r="9313" spans="1:13" hidden="1" x14ac:dyDescent="0.3">
      <c r="A9313" s="9">
        <v>6751</v>
      </c>
      <c r="B9313" t="s">
        <v>273</v>
      </c>
      <c r="C9313" s="25">
        <v>44753</v>
      </c>
      <c r="D9313" s="26">
        <v>0.86815972222222226</v>
      </c>
      <c r="E9313" t="s">
        <v>30</v>
      </c>
      <c r="F9313" t="s">
        <v>311</v>
      </c>
      <c r="G9313" t="s">
        <v>303</v>
      </c>
      <c r="H9313" t="s">
        <v>120</v>
      </c>
      <c r="I9313" s="159" t="s">
        <v>851</v>
      </c>
      <c r="K9313" s="3"/>
      <c r="L9313" s="3"/>
      <c r="M9313" s="91" t="e">
        <f>I9313/K9313*100</f>
        <v>#DIV/0!</v>
      </c>
    </row>
    <row r="9314" spans="1:13" hidden="1" x14ac:dyDescent="0.3">
      <c r="A9314" s="9">
        <v>6751</v>
      </c>
      <c r="B9314" t="s">
        <v>273</v>
      </c>
      <c r="C9314" s="25">
        <v>44754</v>
      </c>
      <c r="D9314" s="26">
        <v>0.43982638888888892</v>
      </c>
      <c r="E9314" t="s">
        <v>30</v>
      </c>
      <c r="F9314" t="s">
        <v>210</v>
      </c>
      <c r="G9314" t="s">
        <v>211</v>
      </c>
      <c r="H9314" t="s">
        <v>120</v>
      </c>
      <c r="I9314" s="159" t="s">
        <v>904</v>
      </c>
      <c r="J9314" s="287">
        <f>160+150+406</f>
        <v>716</v>
      </c>
      <c r="K9314" s="165"/>
      <c r="L9314" s="165">
        <v>1693</v>
      </c>
      <c r="M9314" s="150">
        <f>+J9314/L9314*100</f>
        <v>42.291789722386298</v>
      </c>
    </row>
    <row r="9315" spans="1:13" hidden="1" x14ac:dyDescent="0.3">
      <c r="A9315" s="9">
        <v>6751</v>
      </c>
      <c r="B9315" t="s">
        <v>273</v>
      </c>
      <c r="C9315" s="25">
        <v>44754</v>
      </c>
      <c r="D9315" s="26">
        <v>0.82660879629629624</v>
      </c>
      <c r="E9315" t="s">
        <v>30</v>
      </c>
      <c r="F9315" t="s">
        <v>876</v>
      </c>
      <c r="G9315" t="s">
        <v>279</v>
      </c>
      <c r="H9315" t="s">
        <v>120</v>
      </c>
      <c r="I9315" s="159" t="s">
        <v>903</v>
      </c>
      <c r="K9315" s="3"/>
      <c r="L9315" s="3"/>
      <c r="M9315" s="91" t="e">
        <f>I9315/K9315*100</f>
        <v>#DIV/0!</v>
      </c>
    </row>
    <row r="9316" spans="1:13" hidden="1" x14ac:dyDescent="0.3">
      <c r="A9316" s="9">
        <v>6751</v>
      </c>
      <c r="B9316" t="s">
        <v>273</v>
      </c>
      <c r="C9316" s="25">
        <v>44755</v>
      </c>
      <c r="D9316" s="26">
        <v>0.83851851851851855</v>
      </c>
      <c r="E9316" t="s">
        <v>30</v>
      </c>
      <c r="F9316" t="s">
        <v>202</v>
      </c>
      <c r="G9316" t="s">
        <v>203</v>
      </c>
      <c r="H9316" t="s">
        <v>120</v>
      </c>
      <c r="I9316" s="159" t="s">
        <v>1009</v>
      </c>
      <c r="K9316" s="88"/>
      <c r="L9316" s="3"/>
      <c r="M9316" s="91" t="e">
        <f>I9316/K9316*100</f>
        <v>#DIV/0!</v>
      </c>
    </row>
    <row r="9317" spans="1:13" hidden="1" x14ac:dyDescent="0.3">
      <c r="A9317" s="9">
        <v>6751</v>
      </c>
      <c r="B9317" t="s">
        <v>273</v>
      </c>
      <c r="C9317" s="25">
        <v>44756</v>
      </c>
      <c r="D9317" s="26">
        <v>0.67535879629629625</v>
      </c>
      <c r="E9317" t="s">
        <v>30</v>
      </c>
      <c r="F9317" t="s">
        <v>165</v>
      </c>
      <c r="G9317" t="s">
        <v>185</v>
      </c>
      <c r="H9317" t="s">
        <v>120</v>
      </c>
      <c r="I9317" s="159" t="s">
        <v>1008</v>
      </c>
      <c r="K9317" s="88"/>
      <c r="L9317" s="3"/>
      <c r="M9317" s="91" t="e">
        <f>I9317/K9317*100</f>
        <v>#DIV/0!</v>
      </c>
    </row>
    <row r="9318" spans="1:13" hidden="1" x14ac:dyDescent="0.3">
      <c r="A9318" s="9">
        <v>6751</v>
      </c>
      <c r="B9318" t="s">
        <v>273</v>
      </c>
      <c r="C9318" s="25">
        <v>44757</v>
      </c>
      <c r="D9318" s="26">
        <v>0.35775462962962962</v>
      </c>
      <c r="E9318" t="s">
        <v>30</v>
      </c>
      <c r="F9318" t="s">
        <v>774</v>
      </c>
      <c r="G9318" t="s">
        <v>161</v>
      </c>
      <c r="H9318" t="s">
        <v>120</v>
      </c>
      <c r="I9318" s="159" t="s">
        <v>1007</v>
      </c>
      <c r="J9318" s="287">
        <f>175+281+309+265</f>
        <v>1030</v>
      </c>
      <c r="K9318" s="165"/>
      <c r="L9318" s="165">
        <v>2588</v>
      </c>
      <c r="M9318" s="150">
        <f>+J9318/L9318*100</f>
        <v>39.799072642967545</v>
      </c>
    </row>
    <row r="9319" spans="1:13" hidden="1" x14ac:dyDescent="0.3">
      <c r="A9319" s="9">
        <v>6751</v>
      </c>
      <c r="B9319" t="s">
        <v>273</v>
      </c>
      <c r="C9319" s="25">
        <v>44757</v>
      </c>
      <c r="D9319" s="26">
        <v>0.6448032407407408</v>
      </c>
      <c r="E9319" t="s">
        <v>30</v>
      </c>
      <c r="F9319" t="s">
        <v>169</v>
      </c>
      <c r="G9319" t="s">
        <v>196</v>
      </c>
      <c r="H9319" t="s">
        <v>120</v>
      </c>
      <c r="I9319" s="159" t="s">
        <v>1006</v>
      </c>
      <c r="K9319" s="88"/>
      <c r="L9319" s="3"/>
      <c r="M9319" s="91" t="e">
        <f>I9319/K9319*100</f>
        <v>#DIV/0!</v>
      </c>
    </row>
    <row r="9320" spans="1:13" hidden="1" x14ac:dyDescent="0.3">
      <c r="B9320" t="s">
        <v>273</v>
      </c>
      <c r="C9320" s="25">
        <v>44767</v>
      </c>
      <c r="D9320" s="26">
        <v>0.92189814814814808</v>
      </c>
      <c r="E9320" t="s">
        <v>30</v>
      </c>
      <c r="F9320" t="s">
        <v>311</v>
      </c>
      <c r="G9320" t="s">
        <v>303</v>
      </c>
      <c r="H9320" t="s">
        <v>120</v>
      </c>
      <c r="I9320" s="148">
        <v>317.72000000000003</v>
      </c>
      <c r="J9320"/>
      <c r="K9320">
        <v>457847</v>
      </c>
      <c r="L9320">
        <f t="shared" ref="L9320:L9329" si="556">+K9320-J9320</f>
        <v>457847</v>
      </c>
      <c r="M9320" s="254">
        <f t="shared" ref="M9320:M9329" si="557">+J9320/L9320*100</f>
        <v>0</v>
      </c>
    </row>
    <row r="9321" spans="1:13" hidden="1" x14ac:dyDescent="0.3">
      <c r="B9321" t="s">
        <v>273</v>
      </c>
      <c r="C9321" s="25">
        <v>44768</v>
      </c>
      <c r="D9321" s="26">
        <v>0.59171296296296294</v>
      </c>
      <c r="E9321" t="s">
        <v>30</v>
      </c>
      <c r="F9321" t="s">
        <v>210</v>
      </c>
      <c r="G9321" t="s">
        <v>211</v>
      </c>
      <c r="H9321" t="s">
        <v>120</v>
      </c>
      <c r="I9321" s="148">
        <v>244.57</v>
      </c>
      <c r="J9321" s="148"/>
      <c r="K9321" s="148">
        <v>3548</v>
      </c>
      <c r="L9321" s="148">
        <f t="shared" si="556"/>
        <v>3548</v>
      </c>
      <c r="M9321" s="150">
        <f t="shared" si="557"/>
        <v>0</v>
      </c>
    </row>
    <row r="9322" spans="1:13" hidden="1" x14ac:dyDescent="0.3">
      <c r="B9322" t="s">
        <v>273</v>
      </c>
      <c r="C9322" s="25">
        <v>44769</v>
      </c>
      <c r="D9322" s="26">
        <v>0.43627314814814816</v>
      </c>
      <c r="E9322" t="s">
        <v>30</v>
      </c>
      <c r="F9322" t="s">
        <v>278</v>
      </c>
      <c r="G9322" t="s">
        <v>279</v>
      </c>
      <c r="H9322" t="s">
        <v>120</v>
      </c>
      <c r="I9322" s="148">
        <v>211.49</v>
      </c>
      <c r="J9322"/>
      <c r="K9322">
        <v>2500</v>
      </c>
      <c r="L9322">
        <f t="shared" si="556"/>
        <v>2500</v>
      </c>
      <c r="M9322" s="150">
        <f t="shared" si="557"/>
        <v>0</v>
      </c>
    </row>
    <row r="9323" spans="1:13" hidden="1" x14ac:dyDescent="0.3">
      <c r="B9323" t="s">
        <v>273</v>
      </c>
      <c r="C9323" s="25">
        <v>44769</v>
      </c>
      <c r="D9323" s="26">
        <v>0.77216435185185184</v>
      </c>
      <c r="E9323" t="s">
        <v>30</v>
      </c>
      <c r="F9323" t="s">
        <v>202</v>
      </c>
      <c r="G9323" t="s">
        <v>203</v>
      </c>
      <c r="H9323" t="s">
        <v>120</v>
      </c>
      <c r="I9323" s="148">
        <v>244.2</v>
      </c>
      <c r="J9323"/>
      <c r="K9323">
        <v>7890</v>
      </c>
      <c r="L9323">
        <f t="shared" si="556"/>
        <v>7890</v>
      </c>
      <c r="M9323" s="150">
        <f t="shared" si="557"/>
        <v>0</v>
      </c>
    </row>
    <row r="9324" spans="1:13" hidden="1" x14ac:dyDescent="0.3">
      <c r="B9324" t="s">
        <v>273</v>
      </c>
      <c r="C9324" s="25">
        <v>44770</v>
      </c>
      <c r="D9324" s="26">
        <v>0.53913194444444446</v>
      </c>
      <c r="E9324" t="s">
        <v>30</v>
      </c>
      <c r="F9324" t="s">
        <v>202</v>
      </c>
      <c r="G9324" t="s">
        <v>203</v>
      </c>
      <c r="H9324" t="s">
        <v>120</v>
      </c>
      <c r="I9324" s="148">
        <v>192.57</v>
      </c>
      <c r="J9324"/>
      <c r="K9324">
        <v>7890</v>
      </c>
      <c r="L9324">
        <f t="shared" si="556"/>
        <v>7890</v>
      </c>
      <c r="M9324" s="150">
        <f t="shared" si="557"/>
        <v>0</v>
      </c>
    </row>
    <row r="9325" spans="1:13" hidden="1" x14ac:dyDescent="0.3">
      <c r="B9325" t="s">
        <v>273</v>
      </c>
      <c r="C9325" s="25">
        <v>44771</v>
      </c>
      <c r="D9325" s="26">
        <v>5.7060185185185191E-3</v>
      </c>
      <c r="E9325" t="s">
        <v>30</v>
      </c>
      <c r="F9325" t="s">
        <v>165</v>
      </c>
      <c r="G9325" t="s">
        <v>185</v>
      </c>
      <c r="H9325" t="s">
        <v>120</v>
      </c>
      <c r="I9325" s="148">
        <v>264</v>
      </c>
      <c r="J9325"/>
      <c r="K9325">
        <v>1234</v>
      </c>
      <c r="L9325">
        <f t="shared" si="556"/>
        <v>1234</v>
      </c>
      <c r="M9325" s="150">
        <f t="shared" si="557"/>
        <v>0</v>
      </c>
    </row>
    <row r="9326" spans="1:13" hidden="1" x14ac:dyDescent="0.3">
      <c r="B9326" t="s">
        <v>273</v>
      </c>
      <c r="C9326" s="25">
        <v>44771</v>
      </c>
      <c r="D9326" s="26">
        <v>0.68892361111111111</v>
      </c>
      <c r="E9326" t="s">
        <v>30</v>
      </c>
      <c r="F9326" t="s">
        <v>210</v>
      </c>
      <c r="G9326" t="s">
        <v>211</v>
      </c>
      <c r="H9326" t="s">
        <v>120</v>
      </c>
      <c r="I9326" s="148">
        <v>147.09</v>
      </c>
      <c r="J9326" s="148"/>
      <c r="K9326" s="148">
        <v>3548</v>
      </c>
      <c r="L9326" s="148">
        <f t="shared" si="556"/>
        <v>3548</v>
      </c>
      <c r="M9326" s="150">
        <f t="shared" si="557"/>
        <v>0</v>
      </c>
    </row>
    <row r="9327" spans="1:13" hidden="1" x14ac:dyDescent="0.3">
      <c r="B9327" t="s">
        <v>273</v>
      </c>
      <c r="C9327" s="25">
        <v>44772</v>
      </c>
      <c r="D9327" s="26">
        <v>0.28858796296296296</v>
      </c>
      <c r="E9327" t="s">
        <v>30</v>
      </c>
      <c r="F9327" t="s">
        <v>274</v>
      </c>
      <c r="G9327" t="s">
        <v>495</v>
      </c>
      <c r="H9327" t="s">
        <v>120</v>
      </c>
      <c r="I9327" s="148">
        <v>194.88</v>
      </c>
      <c r="J9327"/>
      <c r="K9327">
        <v>123457</v>
      </c>
      <c r="L9327">
        <f t="shared" si="556"/>
        <v>123457</v>
      </c>
      <c r="M9327" s="150">
        <f t="shared" si="557"/>
        <v>0</v>
      </c>
    </row>
    <row r="9328" spans="1:13" hidden="1" x14ac:dyDescent="0.3">
      <c r="B9328" t="s">
        <v>273</v>
      </c>
      <c r="C9328" s="25">
        <v>44773</v>
      </c>
      <c r="D9328" s="26">
        <v>0.38762731481481483</v>
      </c>
      <c r="E9328" t="s">
        <v>30</v>
      </c>
      <c r="F9328" t="s">
        <v>311</v>
      </c>
      <c r="G9328" t="s">
        <v>303</v>
      </c>
      <c r="H9328" t="s">
        <v>120</v>
      </c>
      <c r="I9328" s="148">
        <v>150</v>
      </c>
      <c r="J9328"/>
      <c r="K9328">
        <v>1992</v>
      </c>
      <c r="L9328">
        <f t="shared" si="556"/>
        <v>1992</v>
      </c>
      <c r="M9328" s="150">
        <f t="shared" si="557"/>
        <v>0</v>
      </c>
    </row>
    <row r="9329" spans="1:13" hidden="1" x14ac:dyDescent="0.3">
      <c r="B9329" t="s">
        <v>273</v>
      </c>
      <c r="C9329" s="25">
        <v>44773</v>
      </c>
      <c r="D9329" s="26">
        <v>0.65319444444444441</v>
      </c>
      <c r="E9329" t="s">
        <v>30</v>
      </c>
      <c r="F9329" t="s">
        <v>210</v>
      </c>
      <c r="G9329" t="s">
        <v>211</v>
      </c>
      <c r="H9329" t="s">
        <v>120</v>
      </c>
      <c r="I9329" s="148">
        <v>356.52</v>
      </c>
      <c r="J9329" s="148"/>
      <c r="K9329" s="148">
        <v>354807</v>
      </c>
      <c r="L9329" s="148">
        <f t="shared" si="556"/>
        <v>354807</v>
      </c>
      <c r="M9329" s="198">
        <f t="shared" si="557"/>
        <v>0</v>
      </c>
    </row>
    <row r="9330" spans="1:13" hidden="1" x14ac:dyDescent="0.3">
      <c r="A9330" s="9">
        <v>6787</v>
      </c>
      <c r="B9330" t="s">
        <v>362</v>
      </c>
      <c r="C9330" s="25">
        <v>44743</v>
      </c>
      <c r="D9330" s="26">
        <v>0.3808449074074074</v>
      </c>
      <c r="E9330" t="s">
        <v>30</v>
      </c>
      <c r="F9330" t="s">
        <v>331</v>
      </c>
      <c r="G9330" t="s">
        <v>277</v>
      </c>
      <c r="H9330" t="s">
        <v>115</v>
      </c>
      <c r="I9330" s="173">
        <v>344.81</v>
      </c>
      <c r="J9330" s="236"/>
      <c r="K9330" s="236"/>
      <c r="L9330" s="236"/>
      <c r="M9330" s="91"/>
    </row>
    <row r="9331" spans="1:13" hidden="1" x14ac:dyDescent="0.3">
      <c r="A9331" s="9">
        <v>6788</v>
      </c>
      <c r="B9331" t="s">
        <v>362</v>
      </c>
      <c r="C9331" s="25">
        <v>44748</v>
      </c>
      <c r="D9331" s="26">
        <v>0.47462962962962968</v>
      </c>
      <c r="E9331" t="s">
        <v>30</v>
      </c>
      <c r="F9331" t="s">
        <v>210</v>
      </c>
      <c r="G9331" t="s">
        <v>211</v>
      </c>
      <c r="H9331" t="s">
        <v>115</v>
      </c>
      <c r="I9331" s="173">
        <v>419.81</v>
      </c>
      <c r="J9331" s="173">
        <f>388+446+179+198+648+504+344+419</f>
        <v>3126</v>
      </c>
      <c r="K9331" s="173"/>
      <c r="L9331" s="173">
        <v>6549</v>
      </c>
      <c r="M9331" s="149">
        <f>+J9331/L9331*100</f>
        <v>47.732478240952823</v>
      </c>
    </row>
    <row r="9332" spans="1:13" hidden="1" x14ac:dyDescent="0.3">
      <c r="A9332" s="9">
        <v>6812</v>
      </c>
      <c r="B9332" t="s">
        <v>362</v>
      </c>
      <c r="C9332" s="25">
        <v>44749</v>
      </c>
      <c r="D9332" s="26">
        <v>0.76388888888888884</v>
      </c>
      <c r="E9332" t="s">
        <v>30</v>
      </c>
      <c r="F9332" t="s">
        <v>210</v>
      </c>
      <c r="G9332" t="s">
        <v>211</v>
      </c>
      <c r="H9332" t="s">
        <v>115</v>
      </c>
      <c r="I9332" s="173" t="s">
        <v>861</v>
      </c>
      <c r="J9332" s="236"/>
      <c r="K9332" s="236"/>
      <c r="L9332" s="236"/>
      <c r="M9332" s="91"/>
    </row>
    <row r="9333" spans="1:13" hidden="1" x14ac:dyDescent="0.3">
      <c r="A9333" s="9">
        <v>6769</v>
      </c>
      <c r="B9333" t="s">
        <v>362</v>
      </c>
      <c r="C9333" s="25">
        <v>44749</v>
      </c>
      <c r="D9333" s="26">
        <v>0.77097222222222228</v>
      </c>
      <c r="E9333" t="s">
        <v>30</v>
      </c>
      <c r="F9333" t="s">
        <v>210</v>
      </c>
      <c r="G9333" t="s">
        <v>211</v>
      </c>
      <c r="H9333" t="s">
        <v>115</v>
      </c>
      <c r="I9333" s="173" t="s">
        <v>860</v>
      </c>
      <c r="J9333" s="236"/>
      <c r="K9333" s="236"/>
      <c r="L9333" s="236"/>
      <c r="M9333" s="91"/>
    </row>
    <row r="9334" spans="1:13" hidden="1" x14ac:dyDescent="0.3">
      <c r="A9334" s="9">
        <v>6774</v>
      </c>
      <c r="B9334" t="s">
        <v>362</v>
      </c>
      <c r="C9334" s="25">
        <v>44750</v>
      </c>
      <c r="D9334" s="26">
        <v>0.72638888888888886</v>
      </c>
      <c r="E9334" t="s">
        <v>30</v>
      </c>
      <c r="F9334" t="s">
        <v>784</v>
      </c>
      <c r="G9334" t="s">
        <v>535</v>
      </c>
      <c r="H9334" t="s">
        <v>115</v>
      </c>
      <c r="I9334" s="173" t="s">
        <v>859</v>
      </c>
      <c r="J9334" s="236"/>
      <c r="K9334" s="236"/>
      <c r="L9334" s="236"/>
      <c r="M9334" s="91"/>
    </row>
    <row r="9335" spans="1:13" hidden="1" x14ac:dyDescent="0.3">
      <c r="A9335" s="9">
        <v>6793</v>
      </c>
      <c r="B9335" t="s">
        <v>362</v>
      </c>
      <c r="C9335" s="25">
        <v>44751</v>
      </c>
      <c r="D9335" s="26">
        <v>0.75143518518518515</v>
      </c>
      <c r="E9335" t="s">
        <v>30</v>
      </c>
      <c r="F9335" t="s">
        <v>175</v>
      </c>
      <c r="G9335" t="s">
        <v>172</v>
      </c>
      <c r="H9335" t="s">
        <v>115</v>
      </c>
      <c r="I9335" s="173" t="s">
        <v>858</v>
      </c>
      <c r="J9335" s="236"/>
      <c r="K9335" s="236"/>
      <c r="L9335" s="236"/>
      <c r="M9335" s="91"/>
    </row>
    <row r="9336" spans="1:13" hidden="1" x14ac:dyDescent="0.3">
      <c r="A9336" s="9">
        <v>6794</v>
      </c>
      <c r="B9336" t="s">
        <v>362</v>
      </c>
      <c r="C9336" s="25">
        <v>44752</v>
      </c>
      <c r="D9336" s="26">
        <v>0.60730324074074071</v>
      </c>
      <c r="E9336" t="s">
        <v>30</v>
      </c>
      <c r="F9336" t="s">
        <v>210</v>
      </c>
      <c r="G9336" t="s">
        <v>211</v>
      </c>
      <c r="H9336" t="s">
        <v>115</v>
      </c>
      <c r="I9336" s="173" t="s">
        <v>857</v>
      </c>
      <c r="J9336" s="173">
        <f>24+447+372+125+326</f>
        <v>1294</v>
      </c>
      <c r="K9336" s="173"/>
      <c r="L9336" s="173">
        <v>2995</v>
      </c>
      <c r="M9336" s="149">
        <f>+J9336/L9336*100</f>
        <v>43.205342237061771</v>
      </c>
    </row>
    <row r="9337" spans="1:13" hidden="1" x14ac:dyDescent="0.3">
      <c r="A9337" s="9">
        <v>6795</v>
      </c>
      <c r="B9337" t="s">
        <v>362</v>
      </c>
      <c r="C9337" s="25">
        <v>44754</v>
      </c>
      <c r="D9337" s="26">
        <v>0.39699074074074076</v>
      </c>
      <c r="E9337" t="s">
        <v>30</v>
      </c>
      <c r="F9337" t="s">
        <v>210</v>
      </c>
      <c r="G9337" t="s">
        <v>211</v>
      </c>
      <c r="H9337" t="s">
        <v>115</v>
      </c>
      <c r="I9337" s="173" t="s">
        <v>801</v>
      </c>
      <c r="J9337" s="233"/>
      <c r="K9337" s="233"/>
      <c r="L9337" s="233"/>
      <c r="M9337" s="91"/>
    </row>
    <row r="9338" spans="1:13" hidden="1" x14ac:dyDescent="0.3">
      <c r="A9338" s="9">
        <v>6766</v>
      </c>
      <c r="B9338" t="s">
        <v>362</v>
      </c>
      <c r="C9338" s="25">
        <v>44754</v>
      </c>
      <c r="D9338" s="26">
        <v>0.40332175925925928</v>
      </c>
      <c r="E9338" t="s">
        <v>30</v>
      </c>
      <c r="F9338" t="s">
        <v>210</v>
      </c>
      <c r="G9338" t="s">
        <v>211</v>
      </c>
      <c r="H9338" t="s">
        <v>115</v>
      </c>
      <c r="I9338" s="173" t="s">
        <v>924</v>
      </c>
      <c r="J9338" s="233"/>
      <c r="K9338" s="233"/>
      <c r="L9338" s="233"/>
      <c r="M9338" s="91"/>
    </row>
    <row r="9339" spans="1:13" hidden="1" x14ac:dyDescent="0.3">
      <c r="A9339" s="9">
        <v>6767</v>
      </c>
      <c r="B9339" t="s">
        <v>362</v>
      </c>
      <c r="C9339" s="25">
        <v>44754</v>
      </c>
      <c r="D9339" s="26">
        <v>0.6869791666666667</v>
      </c>
      <c r="E9339" t="s">
        <v>30</v>
      </c>
      <c r="F9339" t="s">
        <v>169</v>
      </c>
      <c r="G9339" t="s">
        <v>196</v>
      </c>
      <c r="H9339" t="s">
        <v>115</v>
      </c>
      <c r="I9339" s="173" t="s">
        <v>923</v>
      </c>
      <c r="J9339" s="231">
        <f>447+24+187</f>
        <v>658</v>
      </c>
      <c r="K9339" s="231"/>
      <c r="L9339" s="231">
        <v>1456</v>
      </c>
      <c r="M9339" s="150">
        <f>+J9339/L9339*100</f>
        <v>45.192307692307693</v>
      </c>
    </row>
    <row r="9340" spans="1:13" hidden="1" x14ac:dyDescent="0.3">
      <c r="A9340" s="9">
        <v>6808</v>
      </c>
      <c r="B9340" t="s">
        <v>362</v>
      </c>
      <c r="C9340" s="25">
        <v>44755</v>
      </c>
      <c r="D9340" s="26">
        <v>0.50201388888888887</v>
      </c>
      <c r="E9340" t="s">
        <v>30</v>
      </c>
      <c r="F9340" t="s">
        <v>783</v>
      </c>
      <c r="G9340" t="s">
        <v>392</v>
      </c>
      <c r="H9340" t="s">
        <v>115</v>
      </c>
      <c r="I9340" s="173" t="s">
        <v>1046</v>
      </c>
      <c r="J9340" s="233"/>
      <c r="K9340" s="233"/>
      <c r="L9340" s="233"/>
      <c r="M9340" s="91"/>
    </row>
    <row r="9341" spans="1:13" hidden="1" x14ac:dyDescent="0.3">
      <c r="A9341" s="9">
        <v>6809</v>
      </c>
      <c r="B9341" t="s">
        <v>362</v>
      </c>
      <c r="C9341" s="25">
        <v>44756</v>
      </c>
      <c r="D9341" s="26">
        <v>0.71305555555555555</v>
      </c>
      <c r="E9341" t="s">
        <v>30</v>
      </c>
      <c r="F9341" t="s">
        <v>210</v>
      </c>
      <c r="G9341" t="s">
        <v>211</v>
      </c>
      <c r="H9341" t="s">
        <v>115</v>
      </c>
      <c r="I9341" s="173" t="s">
        <v>1045</v>
      </c>
      <c r="J9341" s="233"/>
      <c r="K9341" s="233"/>
      <c r="L9341" s="233"/>
      <c r="M9341" s="91"/>
    </row>
    <row r="9342" spans="1:13" hidden="1" x14ac:dyDescent="0.3">
      <c r="A9342" s="9">
        <v>6791</v>
      </c>
      <c r="B9342" t="s">
        <v>362</v>
      </c>
      <c r="C9342" s="25">
        <v>44757</v>
      </c>
      <c r="D9342" s="26">
        <v>0.67505787037037035</v>
      </c>
      <c r="E9342" t="s">
        <v>30</v>
      </c>
      <c r="F9342" t="s">
        <v>210</v>
      </c>
      <c r="G9342" t="s">
        <v>211</v>
      </c>
      <c r="H9342" t="s">
        <v>115</v>
      </c>
      <c r="I9342" s="173" t="s">
        <v>1044</v>
      </c>
      <c r="J9342" s="231">
        <f>446+365+197</f>
        <v>1008</v>
      </c>
      <c r="K9342" s="231"/>
      <c r="L9342" s="231">
        <v>2334</v>
      </c>
      <c r="M9342" s="150">
        <f>+J9342/L9342*100</f>
        <v>43.18766066838046</v>
      </c>
    </row>
    <row r="9343" spans="1:13" hidden="1" x14ac:dyDescent="0.3">
      <c r="A9343" s="9">
        <v>6792</v>
      </c>
      <c r="B9343" t="s">
        <v>362</v>
      </c>
      <c r="C9343" s="25">
        <v>44758</v>
      </c>
      <c r="D9343" s="26">
        <v>0.31089120370370371</v>
      </c>
      <c r="E9343" t="s">
        <v>30</v>
      </c>
      <c r="F9343" t="s">
        <v>446</v>
      </c>
      <c r="G9343" t="s">
        <v>402</v>
      </c>
      <c r="H9343" t="s">
        <v>115</v>
      </c>
      <c r="I9343" s="173" t="s">
        <v>1043</v>
      </c>
      <c r="J9343" s="233"/>
      <c r="K9343" s="233"/>
      <c r="L9343" s="233"/>
      <c r="M9343" s="91"/>
    </row>
    <row r="9344" spans="1:13" hidden="1" x14ac:dyDescent="0.3">
      <c r="B9344" t="s">
        <v>362</v>
      </c>
      <c r="C9344" s="25">
        <v>44761</v>
      </c>
      <c r="D9344" s="26">
        <v>0.3929050925925926</v>
      </c>
      <c r="E9344" t="s">
        <v>30</v>
      </c>
      <c r="F9344" t="s">
        <v>534</v>
      </c>
      <c r="G9344" t="s">
        <v>535</v>
      </c>
      <c r="H9344" t="s">
        <v>115</v>
      </c>
      <c r="I9344" s="160">
        <v>140.05000000000001</v>
      </c>
      <c r="J9344" s="8"/>
      <c r="K9344" s="8"/>
      <c r="L9344" s="8"/>
      <c r="M9344" s="254"/>
    </row>
    <row r="9345" spans="2:13" hidden="1" x14ac:dyDescent="0.3">
      <c r="B9345" t="s">
        <v>362</v>
      </c>
      <c r="C9345" s="25">
        <v>44762</v>
      </c>
      <c r="D9345" s="26">
        <v>0.62626157407407412</v>
      </c>
      <c r="E9345" t="s">
        <v>30</v>
      </c>
      <c r="F9345" t="s">
        <v>210</v>
      </c>
      <c r="G9345" t="s">
        <v>211</v>
      </c>
      <c r="H9345" t="s">
        <v>115</v>
      </c>
      <c r="I9345" s="160">
        <v>390.01</v>
      </c>
      <c r="J9345" s="160"/>
      <c r="K9345" s="160"/>
      <c r="L9345" s="160">
        <f t="shared" ref="L9345:L9353" si="558">+K9345-J9345</f>
        <v>0</v>
      </c>
      <c r="M9345" s="150" t="e">
        <f t="shared" ref="M9345:M9353" si="559">+J9345/L9345*100</f>
        <v>#DIV/0!</v>
      </c>
    </row>
    <row r="9346" spans="2:13" hidden="1" x14ac:dyDescent="0.3">
      <c r="B9346" t="s">
        <v>362</v>
      </c>
      <c r="C9346" s="25">
        <v>44763</v>
      </c>
      <c r="D9346" s="26">
        <v>0.61815972222222226</v>
      </c>
      <c r="E9346" t="s">
        <v>30</v>
      </c>
      <c r="F9346" t="s">
        <v>210</v>
      </c>
      <c r="G9346" t="s">
        <v>211</v>
      </c>
      <c r="H9346" t="s">
        <v>115</v>
      </c>
      <c r="I9346" s="160">
        <v>428.24</v>
      </c>
      <c r="J9346" s="8"/>
      <c r="K9346" s="8"/>
      <c r="L9346" s="8"/>
      <c r="M9346" s="254"/>
    </row>
    <row r="9347" spans="2:13" hidden="1" x14ac:dyDescent="0.3">
      <c r="B9347" t="s">
        <v>362</v>
      </c>
      <c r="C9347" s="25">
        <v>44763</v>
      </c>
      <c r="D9347" s="26">
        <v>0.8533912037037038</v>
      </c>
      <c r="E9347" t="s">
        <v>30</v>
      </c>
      <c r="F9347" t="s">
        <v>293</v>
      </c>
      <c r="G9347" t="s">
        <v>196</v>
      </c>
      <c r="H9347" t="s">
        <v>115</v>
      </c>
      <c r="I9347" s="160">
        <v>142.97999999999999</v>
      </c>
      <c r="J9347" s="8"/>
      <c r="K9347" s="8"/>
      <c r="L9347" s="8"/>
      <c r="M9347" s="254"/>
    </row>
    <row r="9348" spans="2:13" hidden="1" x14ac:dyDescent="0.3">
      <c r="B9348" t="s">
        <v>362</v>
      </c>
      <c r="C9348" s="25">
        <v>44764</v>
      </c>
      <c r="D9348" s="26">
        <v>0.46798611111111116</v>
      </c>
      <c r="E9348" t="s">
        <v>30</v>
      </c>
      <c r="F9348" t="s">
        <v>428</v>
      </c>
      <c r="G9348" t="s">
        <v>429</v>
      </c>
      <c r="H9348" t="s">
        <v>115</v>
      </c>
      <c r="I9348" s="160">
        <v>190.06</v>
      </c>
      <c r="J9348" s="8"/>
      <c r="K9348" s="8"/>
      <c r="L9348" s="8"/>
      <c r="M9348" s="254"/>
    </row>
    <row r="9349" spans="2:13" hidden="1" x14ac:dyDescent="0.3">
      <c r="B9349" t="s">
        <v>362</v>
      </c>
      <c r="C9349" s="25">
        <v>44765</v>
      </c>
      <c r="D9349" s="26">
        <v>0.76792824074074073</v>
      </c>
      <c r="E9349" t="s">
        <v>30</v>
      </c>
      <c r="F9349" t="s">
        <v>210</v>
      </c>
      <c r="G9349" t="s">
        <v>211</v>
      </c>
      <c r="H9349" t="s">
        <v>115</v>
      </c>
      <c r="I9349" s="160">
        <v>415.61</v>
      </c>
      <c r="J9349" s="160"/>
      <c r="K9349" s="160"/>
      <c r="L9349" s="160">
        <f t="shared" si="558"/>
        <v>0</v>
      </c>
      <c r="M9349" s="150" t="e">
        <f t="shared" si="559"/>
        <v>#DIV/0!</v>
      </c>
    </row>
    <row r="9350" spans="2:13" hidden="1" x14ac:dyDescent="0.3">
      <c r="B9350" t="s">
        <v>362</v>
      </c>
      <c r="C9350" s="25">
        <v>44766</v>
      </c>
      <c r="D9350" s="26">
        <v>0.80626157407407406</v>
      </c>
      <c r="E9350" t="s">
        <v>30</v>
      </c>
      <c r="F9350" t="s">
        <v>165</v>
      </c>
      <c r="G9350" t="s">
        <v>185</v>
      </c>
      <c r="H9350" t="s">
        <v>115</v>
      </c>
      <c r="I9350" s="160">
        <v>263.01</v>
      </c>
      <c r="J9350" s="8"/>
      <c r="K9350" s="8"/>
      <c r="L9350" s="8"/>
      <c r="M9350" s="254"/>
    </row>
    <row r="9351" spans="2:13" hidden="1" x14ac:dyDescent="0.3">
      <c r="B9351" t="s">
        <v>362</v>
      </c>
      <c r="C9351" s="25">
        <v>44767</v>
      </c>
      <c r="D9351" s="26">
        <v>0.74476851851851855</v>
      </c>
      <c r="E9351" t="s">
        <v>30</v>
      </c>
      <c r="F9351" t="s">
        <v>210</v>
      </c>
      <c r="G9351" t="s">
        <v>211</v>
      </c>
      <c r="H9351" t="s">
        <v>115</v>
      </c>
      <c r="I9351" s="160">
        <v>146.63999999999999</v>
      </c>
      <c r="J9351" s="8"/>
      <c r="K9351" s="8"/>
      <c r="L9351" s="8"/>
      <c r="M9351" s="254"/>
    </row>
    <row r="9352" spans="2:13" hidden="1" x14ac:dyDescent="0.3">
      <c r="B9352" t="s">
        <v>362</v>
      </c>
      <c r="C9352" s="25">
        <v>44767</v>
      </c>
      <c r="D9352" s="26">
        <v>0.74997685185185192</v>
      </c>
      <c r="E9352" t="s">
        <v>30</v>
      </c>
      <c r="F9352" t="s">
        <v>210</v>
      </c>
      <c r="G9352" t="s">
        <v>211</v>
      </c>
      <c r="H9352" t="s">
        <v>115</v>
      </c>
      <c r="I9352" s="160">
        <v>34.340000000000003</v>
      </c>
      <c r="J9352" s="8"/>
      <c r="K9352" s="8"/>
      <c r="L9352" s="8"/>
      <c r="M9352" s="254"/>
    </row>
    <row r="9353" spans="2:13" hidden="1" x14ac:dyDescent="0.3">
      <c r="B9353" t="s">
        <v>362</v>
      </c>
      <c r="C9353" s="25">
        <v>44768</v>
      </c>
      <c r="D9353" s="26">
        <v>0.4369791666666667</v>
      </c>
      <c r="E9353" t="s">
        <v>30</v>
      </c>
      <c r="F9353" t="s">
        <v>293</v>
      </c>
      <c r="G9353" t="s">
        <v>196</v>
      </c>
      <c r="H9353" t="s">
        <v>115</v>
      </c>
      <c r="I9353" s="160">
        <v>166.72</v>
      </c>
      <c r="J9353" s="160"/>
      <c r="K9353" s="160"/>
      <c r="L9353" s="160">
        <f t="shared" si="558"/>
        <v>0</v>
      </c>
      <c r="M9353" s="150" t="e">
        <f t="shared" si="559"/>
        <v>#DIV/0!</v>
      </c>
    </row>
    <row r="9354" spans="2:13" hidden="1" x14ac:dyDescent="0.3">
      <c r="B9354" t="s">
        <v>362</v>
      </c>
      <c r="C9354" s="25">
        <v>44770</v>
      </c>
      <c r="D9354" s="26">
        <v>0.45244212962962965</v>
      </c>
      <c r="E9354" t="s">
        <v>30</v>
      </c>
      <c r="F9354" t="s">
        <v>534</v>
      </c>
      <c r="G9354" t="s">
        <v>535</v>
      </c>
      <c r="H9354" t="s">
        <v>115</v>
      </c>
      <c r="I9354" s="160">
        <v>209.4</v>
      </c>
      <c r="J9354" s="8"/>
      <c r="K9354" s="8"/>
      <c r="L9354" s="8"/>
      <c r="M9354" s="254"/>
    </row>
    <row r="9355" spans="2:13" hidden="1" x14ac:dyDescent="0.3">
      <c r="B9355" t="s">
        <v>365</v>
      </c>
      <c r="C9355" s="25">
        <v>44743</v>
      </c>
      <c r="D9355" s="26">
        <v>6.0196759259259262E-2</v>
      </c>
      <c r="E9355" t="s">
        <v>30</v>
      </c>
      <c r="F9355" t="s">
        <v>165</v>
      </c>
      <c r="G9355" t="s">
        <v>185</v>
      </c>
      <c r="H9355" t="s">
        <v>112</v>
      </c>
      <c r="I9355" s="148">
        <v>263.58</v>
      </c>
      <c r="J9355"/>
      <c r="K9355" s="45"/>
      <c r="L9355"/>
      <c r="M9355" s="267"/>
    </row>
    <row r="9356" spans="2:13" hidden="1" x14ac:dyDescent="0.3">
      <c r="B9356" t="s">
        <v>365</v>
      </c>
      <c r="C9356" s="25">
        <v>44743</v>
      </c>
      <c r="D9356" s="26">
        <v>0.73450231481481476</v>
      </c>
      <c r="E9356" t="s">
        <v>30</v>
      </c>
      <c r="F9356" t="s">
        <v>210</v>
      </c>
      <c r="G9356" t="s">
        <v>211</v>
      </c>
      <c r="H9356" t="s">
        <v>112</v>
      </c>
      <c r="I9356" s="148">
        <v>166.47</v>
      </c>
      <c r="J9356"/>
      <c r="K9356" s="54"/>
      <c r="L9356"/>
      <c r="M9356" s="254"/>
    </row>
    <row r="9357" spans="2:13" hidden="1" x14ac:dyDescent="0.3">
      <c r="B9357" t="s">
        <v>365</v>
      </c>
      <c r="C9357" s="25">
        <v>44744</v>
      </c>
      <c r="D9357" s="26">
        <v>0.38452546296296292</v>
      </c>
      <c r="E9357" t="s">
        <v>30</v>
      </c>
      <c r="F9357" t="s">
        <v>169</v>
      </c>
      <c r="G9357" t="s">
        <v>196</v>
      </c>
      <c r="H9357" t="s">
        <v>112</v>
      </c>
      <c r="I9357" s="148">
        <v>175.7</v>
      </c>
      <c r="J9357"/>
      <c r="K9357" s="54"/>
      <c r="L9357"/>
      <c r="M9357" s="254"/>
    </row>
    <row r="9358" spans="2:13" hidden="1" x14ac:dyDescent="0.3">
      <c r="B9358" t="s">
        <v>365</v>
      </c>
      <c r="C9358" s="25">
        <v>44745</v>
      </c>
      <c r="D9358" s="26">
        <v>0.39436342592592594</v>
      </c>
      <c r="E9358" t="s">
        <v>30</v>
      </c>
      <c r="F9358" t="s">
        <v>197</v>
      </c>
      <c r="G9358" t="s">
        <v>44</v>
      </c>
      <c r="H9358" t="s">
        <v>112</v>
      </c>
      <c r="I9358" s="159">
        <v>134.77000000000001</v>
      </c>
      <c r="J9358" s="128"/>
      <c r="K9358" s="128"/>
      <c r="L9358" s="128"/>
      <c r="M9358" s="254"/>
    </row>
    <row r="9359" spans="2:13" hidden="1" x14ac:dyDescent="0.3">
      <c r="B9359" t="s">
        <v>365</v>
      </c>
      <c r="C9359" s="25">
        <v>44745</v>
      </c>
      <c r="D9359" s="26">
        <v>0.39788194444444441</v>
      </c>
      <c r="E9359" t="s">
        <v>30</v>
      </c>
      <c r="F9359" t="s">
        <v>197</v>
      </c>
      <c r="G9359" t="s">
        <v>44</v>
      </c>
      <c r="H9359" t="s">
        <v>112</v>
      </c>
      <c r="I9359" s="159">
        <v>99.36</v>
      </c>
      <c r="J9359" s="128"/>
      <c r="K9359" s="128"/>
      <c r="L9359" s="128"/>
      <c r="M9359" s="254"/>
    </row>
    <row r="9360" spans="2:13" hidden="1" x14ac:dyDescent="0.3">
      <c r="B9360" t="s">
        <v>365</v>
      </c>
      <c r="C9360" s="25">
        <v>44745</v>
      </c>
      <c r="D9360" s="26">
        <v>0.80003472222222216</v>
      </c>
      <c r="E9360" t="s">
        <v>30</v>
      </c>
      <c r="F9360" t="s">
        <v>210</v>
      </c>
      <c r="G9360" t="s">
        <v>211</v>
      </c>
      <c r="H9360" t="s">
        <v>112</v>
      </c>
      <c r="I9360" s="159">
        <v>355.93</v>
      </c>
      <c r="J9360" s="128"/>
      <c r="K9360" s="128"/>
      <c r="L9360" s="128"/>
      <c r="M9360" s="254"/>
    </row>
    <row r="9361" spans="2:13" hidden="1" x14ac:dyDescent="0.3">
      <c r="B9361" t="s">
        <v>365</v>
      </c>
      <c r="C9361" s="25">
        <v>44746</v>
      </c>
      <c r="D9361" s="26">
        <v>0.97666666666666668</v>
      </c>
      <c r="E9361" t="s">
        <v>30</v>
      </c>
      <c r="F9361" t="s">
        <v>210</v>
      </c>
      <c r="G9361" t="s">
        <v>211</v>
      </c>
      <c r="H9361" t="s">
        <v>112</v>
      </c>
      <c r="I9361" s="159">
        <v>436.6</v>
      </c>
      <c r="J9361" s="128"/>
      <c r="K9361" s="128"/>
      <c r="L9361" s="128"/>
      <c r="M9361" s="254"/>
    </row>
    <row r="9362" spans="2:13" hidden="1" x14ac:dyDescent="0.3">
      <c r="B9362" t="s">
        <v>365</v>
      </c>
      <c r="C9362" s="25">
        <v>44747</v>
      </c>
      <c r="D9362" s="26">
        <v>0.76667824074074076</v>
      </c>
      <c r="E9362" t="s">
        <v>30</v>
      </c>
      <c r="F9362" t="s">
        <v>169</v>
      </c>
      <c r="G9362" t="s">
        <v>196</v>
      </c>
      <c r="H9362" t="s">
        <v>112</v>
      </c>
      <c r="I9362" s="159">
        <v>189.14</v>
      </c>
      <c r="J9362" s="128"/>
      <c r="K9362" s="128"/>
      <c r="L9362" s="128"/>
      <c r="M9362" s="254"/>
    </row>
    <row r="9363" spans="2:13" hidden="1" x14ac:dyDescent="0.3">
      <c r="B9363" t="s">
        <v>365</v>
      </c>
      <c r="C9363" s="25">
        <v>44748</v>
      </c>
      <c r="D9363" s="26">
        <v>0.83601851851851849</v>
      </c>
      <c r="E9363" t="s">
        <v>30</v>
      </c>
      <c r="F9363" t="s">
        <v>197</v>
      </c>
      <c r="G9363" t="s">
        <v>44</v>
      </c>
      <c r="H9363" t="s">
        <v>112</v>
      </c>
      <c r="I9363" s="159">
        <f>99.36+203.71</f>
        <v>303.07</v>
      </c>
      <c r="J9363" s="159">
        <f>303+189+436+355+100+135+175+167+264+427</f>
        <v>2551</v>
      </c>
      <c r="K9363" s="159">
        <v>88440</v>
      </c>
      <c r="L9363" s="159">
        <v>5655</v>
      </c>
      <c r="M9363" s="150">
        <f>+J9363/L9363*100</f>
        <v>45.110521662245802</v>
      </c>
    </row>
    <row r="9364" spans="2:13" hidden="1" x14ac:dyDescent="0.3">
      <c r="B9364" t="s">
        <v>365</v>
      </c>
      <c r="C9364" s="25">
        <v>44749</v>
      </c>
      <c r="D9364" s="26">
        <v>0.51869212962962963</v>
      </c>
      <c r="E9364" t="s">
        <v>30</v>
      </c>
      <c r="F9364" t="s">
        <v>210</v>
      </c>
      <c r="G9364" t="s">
        <v>211</v>
      </c>
      <c r="H9364" t="s">
        <v>112</v>
      </c>
      <c r="I9364" s="159">
        <v>311.66000000000003</v>
      </c>
      <c r="J9364" s="128"/>
      <c r="K9364" s="128"/>
      <c r="L9364" s="128"/>
      <c r="M9364" s="254"/>
    </row>
    <row r="9365" spans="2:13" hidden="1" x14ac:dyDescent="0.3">
      <c r="B9365" t="s">
        <v>365</v>
      </c>
      <c r="C9365" s="25">
        <v>44749</v>
      </c>
      <c r="D9365" s="26">
        <v>0.9856597222222222</v>
      </c>
      <c r="E9365" t="s">
        <v>30</v>
      </c>
      <c r="F9365" t="s">
        <v>165</v>
      </c>
      <c r="G9365" t="s">
        <v>185</v>
      </c>
      <c r="H9365" t="s">
        <v>112</v>
      </c>
      <c r="I9365" s="159">
        <v>274.75</v>
      </c>
      <c r="J9365" s="128"/>
      <c r="K9365" s="128"/>
      <c r="L9365" s="128"/>
      <c r="M9365" s="254"/>
    </row>
    <row r="9366" spans="2:13" hidden="1" x14ac:dyDescent="0.3">
      <c r="B9366" t="s">
        <v>365</v>
      </c>
      <c r="C9366" s="25">
        <v>44751</v>
      </c>
      <c r="D9366" s="26">
        <v>0.91839120370370375</v>
      </c>
      <c r="E9366" t="s">
        <v>30</v>
      </c>
      <c r="F9366" t="s">
        <v>210</v>
      </c>
      <c r="G9366" t="s">
        <v>211</v>
      </c>
      <c r="H9366" t="s">
        <v>112</v>
      </c>
      <c r="I9366" s="159">
        <v>256.2</v>
      </c>
      <c r="J9366" s="159">
        <f>275+312+256</f>
        <v>843</v>
      </c>
      <c r="K9366" s="159"/>
      <c r="L9366" s="159">
        <v>1746</v>
      </c>
      <c r="M9366" s="150">
        <f>+J9366/L9366*100</f>
        <v>48.281786941580755</v>
      </c>
    </row>
    <row r="9367" spans="2:13" hidden="1" x14ac:dyDescent="0.3">
      <c r="B9367" t="s">
        <v>365</v>
      </c>
      <c r="C9367" s="25">
        <v>44753</v>
      </c>
      <c r="D9367" s="26">
        <v>0.35722222222222227</v>
      </c>
      <c r="E9367" t="s">
        <v>30</v>
      </c>
      <c r="F9367" t="s">
        <v>169</v>
      </c>
      <c r="G9367" t="s">
        <v>196</v>
      </c>
      <c r="H9367" t="s">
        <v>112</v>
      </c>
      <c r="I9367" s="173">
        <v>162.46</v>
      </c>
      <c r="J9367" s="233"/>
      <c r="K9367" s="260"/>
      <c r="L9367" s="233"/>
      <c r="M9367" s="254"/>
    </row>
    <row r="9368" spans="2:13" hidden="1" x14ac:dyDescent="0.3">
      <c r="B9368" t="s">
        <v>365</v>
      </c>
      <c r="C9368" s="25">
        <v>44757</v>
      </c>
      <c r="D9368" s="26">
        <v>0.94028935185185192</v>
      </c>
      <c r="E9368" t="s">
        <v>30</v>
      </c>
      <c r="F9368" t="s">
        <v>953</v>
      </c>
      <c r="G9368" t="s">
        <v>542</v>
      </c>
      <c r="H9368" t="s">
        <v>112</v>
      </c>
      <c r="I9368" s="173">
        <v>100</v>
      </c>
      <c r="J9368" s="233"/>
      <c r="K9368" s="260"/>
      <c r="L9368" s="233"/>
      <c r="M9368" s="254"/>
    </row>
    <row r="9369" spans="2:13" hidden="1" x14ac:dyDescent="0.3">
      <c r="B9369" t="s">
        <v>365</v>
      </c>
      <c r="C9369" s="25">
        <v>44758</v>
      </c>
      <c r="D9369" s="26">
        <v>0.40945601851851854</v>
      </c>
      <c r="E9369" t="s">
        <v>30</v>
      </c>
      <c r="F9369" t="s">
        <v>311</v>
      </c>
      <c r="G9369" t="s">
        <v>303</v>
      </c>
      <c r="H9369" t="s">
        <v>112</v>
      </c>
      <c r="I9369" s="173">
        <v>345.56</v>
      </c>
      <c r="J9369" s="231">
        <f>345+100+162</f>
        <v>607</v>
      </c>
      <c r="K9369" s="231"/>
      <c r="L9369" s="231">
        <v>1336</v>
      </c>
      <c r="M9369" s="150">
        <f>+J9369/L9369*100</f>
        <v>45.434131736526943</v>
      </c>
    </row>
    <row r="9370" spans="2:13" hidden="1" x14ac:dyDescent="0.3">
      <c r="B9370" t="s">
        <v>365</v>
      </c>
      <c r="C9370" s="25">
        <v>44758</v>
      </c>
      <c r="D9370" s="26">
        <v>0.72928240740740735</v>
      </c>
      <c r="E9370" t="s">
        <v>30</v>
      </c>
      <c r="F9370" t="s">
        <v>210</v>
      </c>
      <c r="G9370" t="s">
        <v>211</v>
      </c>
      <c r="H9370" t="s">
        <v>112</v>
      </c>
      <c r="I9370" s="173">
        <v>247.75</v>
      </c>
      <c r="J9370" s="233"/>
      <c r="K9370" s="260"/>
      <c r="L9370" s="233"/>
      <c r="M9370" s="254"/>
    </row>
    <row r="9371" spans="2:13" hidden="1" x14ac:dyDescent="0.3">
      <c r="B9371" t="s">
        <v>365</v>
      </c>
      <c r="C9371" s="25">
        <v>44759</v>
      </c>
      <c r="D9371" s="26">
        <v>0.96945601851851848</v>
      </c>
      <c r="E9371" t="s">
        <v>30</v>
      </c>
      <c r="F9371" t="s">
        <v>210</v>
      </c>
      <c r="G9371" t="s">
        <v>211</v>
      </c>
      <c r="H9371" t="s">
        <v>112</v>
      </c>
      <c r="I9371" s="173">
        <v>438.87</v>
      </c>
      <c r="J9371" s="231">
        <f>439+248</f>
        <v>687</v>
      </c>
      <c r="K9371" s="231"/>
      <c r="L9371" s="231">
        <v>1497</v>
      </c>
      <c r="M9371" s="254">
        <f t="shared" ref="M9371:M9378" si="560">+J9371/L9371*100</f>
        <v>45.891783567134269</v>
      </c>
    </row>
    <row r="9372" spans="2:13" hidden="1" x14ac:dyDescent="0.3">
      <c r="B9372" t="s">
        <v>365</v>
      </c>
      <c r="C9372" s="25">
        <v>44760</v>
      </c>
      <c r="D9372" s="26">
        <v>0.7710300925925927</v>
      </c>
      <c r="E9372" t="s">
        <v>30</v>
      </c>
      <c r="F9372" t="s">
        <v>169</v>
      </c>
      <c r="G9372" t="s">
        <v>196</v>
      </c>
      <c r="H9372" t="s">
        <v>112</v>
      </c>
      <c r="I9372" s="160">
        <v>174.78</v>
      </c>
      <c r="J9372" s="8"/>
      <c r="K9372" s="8">
        <v>93541</v>
      </c>
      <c r="L9372" s="8">
        <f>+K9372-J9372</f>
        <v>93541</v>
      </c>
      <c r="M9372" s="254">
        <f t="shared" si="560"/>
        <v>0</v>
      </c>
    </row>
    <row r="9373" spans="2:13" hidden="1" x14ac:dyDescent="0.3">
      <c r="B9373" t="s">
        <v>365</v>
      </c>
      <c r="C9373" s="25">
        <v>44761</v>
      </c>
      <c r="D9373" s="26">
        <v>0.42233796296296294</v>
      </c>
      <c r="E9373" t="s">
        <v>30</v>
      </c>
      <c r="F9373" t="s">
        <v>428</v>
      </c>
      <c r="G9373" t="s">
        <v>429</v>
      </c>
      <c r="H9373" t="s">
        <v>112</v>
      </c>
      <c r="I9373" s="160">
        <v>100.13</v>
      </c>
      <c r="J9373" s="8"/>
      <c r="K9373" s="8">
        <v>93980</v>
      </c>
      <c r="L9373" s="8">
        <f>+K9373-J9373</f>
        <v>93980</v>
      </c>
      <c r="M9373" s="254">
        <f t="shared" si="560"/>
        <v>0</v>
      </c>
    </row>
    <row r="9374" spans="2:13" hidden="1" x14ac:dyDescent="0.3">
      <c r="B9374" t="s">
        <v>365</v>
      </c>
      <c r="C9374" s="25">
        <v>44761</v>
      </c>
      <c r="D9374" s="26">
        <v>0.42473379629629626</v>
      </c>
      <c r="E9374" t="s">
        <v>30</v>
      </c>
      <c r="F9374" t="s">
        <v>428</v>
      </c>
      <c r="G9374" t="s">
        <v>429</v>
      </c>
      <c r="H9374" t="s">
        <v>112</v>
      </c>
      <c r="I9374" s="160">
        <v>90.39</v>
      </c>
      <c r="J9374" s="8"/>
      <c r="K9374" s="8"/>
      <c r="L9374" s="8"/>
      <c r="M9374" s="254" t="e">
        <f t="shared" si="560"/>
        <v>#DIV/0!</v>
      </c>
    </row>
    <row r="9375" spans="2:13" hidden="1" x14ac:dyDescent="0.3">
      <c r="B9375" t="s">
        <v>365</v>
      </c>
      <c r="C9375" s="25">
        <v>44767</v>
      </c>
      <c r="D9375" s="26">
        <v>0.98994212962962969</v>
      </c>
      <c r="E9375" t="s">
        <v>30</v>
      </c>
      <c r="F9375" t="s">
        <v>197</v>
      </c>
      <c r="G9375" t="s">
        <v>44</v>
      </c>
      <c r="H9375" t="s">
        <v>112</v>
      </c>
      <c r="I9375" s="160">
        <v>229.08</v>
      </c>
      <c r="J9375" s="160">
        <f>229+90+100+175</f>
        <v>594</v>
      </c>
      <c r="K9375" s="160"/>
      <c r="L9375" s="160">
        <v>1583</v>
      </c>
      <c r="M9375" s="150">
        <f t="shared" si="560"/>
        <v>37.523689197725837</v>
      </c>
    </row>
    <row r="9376" spans="2:13" hidden="1" x14ac:dyDescent="0.3">
      <c r="B9376" t="s">
        <v>365</v>
      </c>
      <c r="C9376" s="25">
        <v>44768</v>
      </c>
      <c r="D9376" s="26">
        <v>0.82385416666666667</v>
      </c>
      <c r="E9376" t="s">
        <v>30</v>
      </c>
      <c r="F9376" t="s">
        <v>210</v>
      </c>
      <c r="G9376" t="s">
        <v>211</v>
      </c>
      <c r="H9376" t="s">
        <v>112</v>
      </c>
      <c r="I9376" s="160">
        <v>285.87</v>
      </c>
      <c r="J9376" s="8"/>
      <c r="K9376" s="279">
        <v>95239</v>
      </c>
      <c r="L9376" s="279">
        <f t="shared" ref="L9376:L9381" si="561">+K9376-J9376</f>
        <v>95239</v>
      </c>
      <c r="M9376" s="254">
        <f t="shared" si="560"/>
        <v>0</v>
      </c>
    </row>
    <row r="9377" spans="2:13" hidden="1" x14ac:dyDescent="0.3">
      <c r="B9377" t="s">
        <v>365</v>
      </c>
      <c r="C9377" s="25">
        <v>44770</v>
      </c>
      <c r="D9377" s="26">
        <v>0.30487268518518518</v>
      </c>
      <c r="E9377" t="s">
        <v>30</v>
      </c>
      <c r="F9377" t="s">
        <v>210</v>
      </c>
      <c r="G9377" t="s">
        <v>211</v>
      </c>
      <c r="H9377" t="s">
        <v>112</v>
      </c>
      <c r="I9377" s="160">
        <v>453.75</v>
      </c>
      <c r="J9377" s="160"/>
      <c r="K9377" s="160">
        <v>96310</v>
      </c>
      <c r="L9377" s="160">
        <f t="shared" si="561"/>
        <v>96310</v>
      </c>
      <c r="M9377" s="150">
        <f t="shared" si="560"/>
        <v>0</v>
      </c>
    </row>
    <row r="9378" spans="2:13" hidden="1" x14ac:dyDescent="0.3">
      <c r="B9378" t="s">
        <v>365</v>
      </c>
      <c r="C9378" s="25">
        <v>44771</v>
      </c>
      <c r="D9378" s="26">
        <v>0.32644675925925926</v>
      </c>
      <c r="E9378" t="s">
        <v>30</v>
      </c>
      <c r="F9378" t="s">
        <v>331</v>
      </c>
      <c r="G9378" t="s">
        <v>277</v>
      </c>
      <c r="H9378" t="s">
        <v>112</v>
      </c>
      <c r="I9378" s="8">
        <v>294.72000000000003</v>
      </c>
      <c r="J9378" s="279"/>
      <c r="K9378" s="279">
        <v>97109</v>
      </c>
      <c r="L9378" s="279">
        <f t="shared" si="561"/>
        <v>97109</v>
      </c>
      <c r="M9378" s="254">
        <f t="shared" si="560"/>
        <v>0</v>
      </c>
    </row>
    <row r="9379" spans="2:13" hidden="1" x14ac:dyDescent="0.3">
      <c r="B9379" t="s">
        <v>576</v>
      </c>
      <c r="C9379" s="25">
        <v>44743</v>
      </c>
      <c r="D9379" s="26">
        <v>0.62097222222222226</v>
      </c>
      <c r="E9379" t="s">
        <v>30</v>
      </c>
      <c r="F9379" t="s">
        <v>210</v>
      </c>
      <c r="G9379" t="s">
        <v>211</v>
      </c>
      <c r="H9379" t="s">
        <v>117</v>
      </c>
      <c r="I9379" s="160">
        <v>339.12</v>
      </c>
      <c r="J9379" s="8"/>
      <c r="K9379" s="8">
        <v>552025</v>
      </c>
      <c r="L9379" s="8">
        <f t="shared" si="561"/>
        <v>552025</v>
      </c>
      <c r="M9379" s="91">
        <f>I9379/L9379*100</f>
        <v>6.1432000362302432E-2</v>
      </c>
    </row>
    <row r="9380" spans="2:13" hidden="1" x14ac:dyDescent="0.3">
      <c r="B9380" t="s">
        <v>576</v>
      </c>
      <c r="C9380" s="25">
        <v>44744</v>
      </c>
      <c r="D9380" s="26">
        <v>0.90410879629629637</v>
      </c>
      <c r="E9380" t="s">
        <v>30</v>
      </c>
      <c r="F9380" t="s">
        <v>210</v>
      </c>
      <c r="G9380" t="s">
        <v>211</v>
      </c>
      <c r="H9380" t="s">
        <v>117</v>
      </c>
      <c r="I9380" s="173">
        <v>426.23</v>
      </c>
      <c r="J9380" s="8"/>
      <c r="K9380" s="8">
        <v>8460</v>
      </c>
      <c r="L9380" s="8">
        <f t="shared" si="561"/>
        <v>8460</v>
      </c>
      <c r="M9380" s="91">
        <f>I9380/L9380*100</f>
        <v>5.0381796690307334</v>
      </c>
    </row>
    <row r="9381" spans="2:13" hidden="1" x14ac:dyDescent="0.3">
      <c r="B9381" t="s">
        <v>576</v>
      </c>
      <c r="C9381" s="25">
        <v>44746</v>
      </c>
      <c r="D9381" s="26">
        <v>0.31064814814814817</v>
      </c>
      <c r="E9381" t="s">
        <v>30</v>
      </c>
      <c r="F9381" t="s">
        <v>274</v>
      </c>
      <c r="G9381" t="s">
        <v>495</v>
      </c>
      <c r="H9381" t="s">
        <v>117</v>
      </c>
      <c r="I9381" s="173">
        <v>50.03</v>
      </c>
      <c r="J9381" s="8"/>
      <c r="K9381" s="8">
        <v>550222</v>
      </c>
      <c r="L9381" s="8">
        <f t="shared" si="561"/>
        <v>550222</v>
      </c>
      <c r="M9381" s="91">
        <f>I9381/L9381*100</f>
        <v>9.0926934946258062E-3</v>
      </c>
    </row>
    <row r="9382" spans="2:13" hidden="1" x14ac:dyDescent="0.3">
      <c r="B9382" t="s">
        <v>576</v>
      </c>
      <c r="C9382" s="25">
        <v>44746</v>
      </c>
      <c r="D9382" s="26">
        <v>0.56410879629629629</v>
      </c>
      <c r="E9382" t="s">
        <v>30</v>
      </c>
      <c r="F9382" t="s">
        <v>770</v>
      </c>
      <c r="G9382" t="s">
        <v>390</v>
      </c>
      <c r="H9382" t="s">
        <v>117</v>
      </c>
      <c r="I9382" s="173">
        <v>230.31</v>
      </c>
      <c r="J9382" s="160">
        <f>230+50+427+339+255+130+255+321+267+370+330</f>
        <v>2974</v>
      </c>
      <c r="K9382" s="160">
        <v>222055</v>
      </c>
      <c r="L9382" s="160">
        <v>8505</v>
      </c>
      <c r="M9382" s="149">
        <f>+J9382/L9382*100</f>
        <v>34.967666078777185</v>
      </c>
    </row>
    <row r="9383" spans="2:13" hidden="1" x14ac:dyDescent="0.3">
      <c r="B9383" t="s">
        <v>576</v>
      </c>
      <c r="C9383" s="25">
        <v>44751</v>
      </c>
      <c r="D9383" s="26">
        <v>0.65071759259259265</v>
      </c>
      <c r="E9383" t="s">
        <v>30</v>
      </c>
      <c r="F9383" t="s">
        <v>210</v>
      </c>
      <c r="G9383" t="s">
        <v>211</v>
      </c>
      <c r="H9383" t="s">
        <v>117</v>
      </c>
      <c r="I9383" s="159">
        <v>359.25</v>
      </c>
      <c r="J9383"/>
      <c r="K9383"/>
      <c r="L9383"/>
      <c r="M9383" s="91" t="e">
        <f>I9383/K9383*100</f>
        <v>#DIV/0!</v>
      </c>
    </row>
    <row r="9384" spans="2:13" hidden="1" x14ac:dyDescent="0.3">
      <c r="B9384" t="s">
        <v>576</v>
      </c>
      <c r="C9384" s="25">
        <v>44753</v>
      </c>
      <c r="D9384" s="26">
        <v>0.49714120370370374</v>
      </c>
      <c r="E9384" t="s">
        <v>30</v>
      </c>
      <c r="F9384" t="s">
        <v>274</v>
      </c>
      <c r="G9384" t="s">
        <v>495</v>
      </c>
      <c r="H9384" t="s">
        <v>117</v>
      </c>
      <c r="I9384" s="159">
        <v>50.01</v>
      </c>
      <c r="K9384" s="3"/>
      <c r="L9384" s="3"/>
      <c r="M9384" s="91" t="e">
        <f>I9384/K9384*100</f>
        <v>#DIV/0!</v>
      </c>
    </row>
    <row r="9385" spans="2:13" hidden="1" x14ac:dyDescent="0.3">
      <c r="B9385" t="s">
        <v>576</v>
      </c>
      <c r="C9385" s="25">
        <v>44753</v>
      </c>
      <c r="D9385" s="26">
        <v>0.68273148148148144</v>
      </c>
      <c r="E9385" t="s">
        <v>30</v>
      </c>
      <c r="F9385" t="s">
        <v>881</v>
      </c>
      <c r="G9385" t="s">
        <v>277</v>
      </c>
      <c r="H9385" t="s">
        <v>117</v>
      </c>
      <c r="I9385" s="159">
        <v>192.07</v>
      </c>
      <c r="J9385" s="287">
        <f>359+50+192</f>
        <v>601</v>
      </c>
      <c r="K9385" s="287"/>
      <c r="L9385" s="287">
        <v>2736</v>
      </c>
      <c r="M9385" s="173">
        <f>+J9385/L9385*100</f>
        <v>21.966374269005847</v>
      </c>
    </row>
    <row r="9386" spans="2:13" hidden="1" x14ac:dyDescent="0.3">
      <c r="B9386" t="s">
        <v>576</v>
      </c>
      <c r="C9386" s="25">
        <v>44755</v>
      </c>
      <c r="D9386" s="26">
        <v>6.5624999999999998E-3</v>
      </c>
      <c r="E9386" t="s">
        <v>30</v>
      </c>
      <c r="F9386" t="s">
        <v>210</v>
      </c>
      <c r="G9386" t="s">
        <v>211</v>
      </c>
      <c r="H9386" t="s">
        <v>117</v>
      </c>
      <c r="I9386" s="159">
        <v>359.65</v>
      </c>
      <c r="K9386" s="88"/>
      <c r="L9386" s="3"/>
      <c r="M9386" s="91" t="e">
        <f>I9386/K9386*100</f>
        <v>#DIV/0!</v>
      </c>
    </row>
    <row r="9387" spans="2:13" hidden="1" x14ac:dyDescent="0.3">
      <c r="B9387" t="s">
        <v>576</v>
      </c>
      <c r="C9387" s="25">
        <v>44756</v>
      </c>
      <c r="D9387" s="26">
        <v>0.4047337962962963</v>
      </c>
      <c r="E9387" t="s">
        <v>30</v>
      </c>
      <c r="F9387" t="s">
        <v>210</v>
      </c>
      <c r="G9387" t="s">
        <v>211</v>
      </c>
      <c r="H9387" t="s">
        <v>117</v>
      </c>
      <c r="I9387" s="159">
        <v>382.61</v>
      </c>
      <c r="J9387" s="287">
        <f>383+360</f>
        <v>743</v>
      </c>
      <c r="K9387" s="165"/>
      <c r="L9387" s="165">
        <v>2000</v>
      </c>
      <c r="M9387" s="150">
        <f>+J9387/L9387*100</f>
        <v>37.15</v>
      </c>
    </row>
    <row r="9388" spans="2:13" hidden="1" x14ac:dyDescent="0.3">
      <c r="B9388" t="s">
        <v>576</v>
      </c>
      <c r="C9388" s="25">
        <v>44756</v>
      </c>
      <c r="D9388" s="26">
        <v>0.91658564814814814</v>
      </c>
      <c r="E9388" t="s">
        <v>30</v>
      </c>
      <c r="F9388" t="s">
        <v>169</v>
      </c>
      <c r="G9388" t="s">
        <v>196</v>
      </c>
      <c r="H9388" t="s">
        <v>117</v>
      </c>
      <c r="I9388" s="159">
        <v>100</v>
      </c>
      <c r="K9388" s="88"/>
      <c r="L9388" s="3"/>
      <c r="M9388" s="91" t="e">
        <f>I9388/K9388*100</f>
        <v>#DIV/0!</v>
      </c>
    </row>
    <row r="9389" spans="2:13" hidden="1" x14ac:dyDescent="0.3">
      <c r="B9389" t="s">
        <v>576</v>
      </c>
      <c r="C9389" s="25">
        <v>44756</v>
      </c>
      <c r="D9389" s="26">
        <v>0.92432870370370368</v>
      </c>
      <c r="E9389" t="s">
        <v>30</v>
      </c>
      <c r="F9389" t="s">
        <v>169</v>
      </c>
      <c r="G9389" t="s">
        <v>196</v>
      </c>
      <c r="H9389" t="s">
        <v>117</v>
      </c>
      <c r="I9389" s="173">
        <v>52.49</v>
      </c>
      <c r="J9389" s="23"/>
      <c r="K9389" s="90"/>
      <c r="L9389" s="23"/>
      <c r="M9389" s="91" t="e">
        <f>I9389/K9389*100</f>
        <v>#DIV/0!</v>
      </c>
    </row>
    <row r="9390" spans="2:13" hidden="1" x14ac:dyDescent="0.3">
      <c r="B9390" t="s">
        <v>576</v>
      </c>
      <c r="C9390" s="25">
        <v>44757</v>
      </c>
      <c r="D9390" s="26">
        <v>0.45099537037037035</v>
      </c>
      <c r="E9390" t="s">
        <v>30</v>
      </c>
      <c r="F9390" t="s">
        <v>770</v>
      </c>
      <c r="G9390" t="s">
        <v>390</v>
      </c>
      <c r="H9390" t="s">
        <v>117</v>
      </c>
      <c r="I9390" s="173">
        <v>135.93</v>
      </c>
      <c r="J9390" s="23"/>
      <c r="K9390" s="90"/>
      <c r="L9390" s="23"/>
      <c r="M9390" s="91" t="e">
        <f>I9390/K9390*100</f>
        <v>#DIV/0!</v>
      </c>
    </row>
    <row r="9391" spans="2:13" hidden="1" x14ac:dyDescent="0.3">
      <c r="B9391" t="s">
        <v>576</v>
      </c>
      <c r="C9391" s="25">
        <v>44758</v>
      </c>
      <c r="D9391" s="26">
        <v>0.69997685185185177</v>
      </c>
      <c r="E9391" t="s">
        <v>30</v>
      </c>
      <c r="F9391" t="s">
        <v>210</v>
      </c>
      <c r="G9391" t="s">
        <v>211</v>
      </c>
      <c r="H9391" t="s">
        <v>117</v>
      </c>
      <c r="I9391" s="173">
        <v>369.11</v>
      </c>
      <c r="J9391" s="23"/>
      <c r="K9391" s="90"/>
      <c r="L9391" s="23"/>
      <c r="M9391" s="91" t="e">
        <f>I9391/K9391*100</f>
        <v>#DIV/0!</v>
      </c>
    </row>
    <row r="9392" spans="2:13" hidden="1" x14ac:dyDescent="0.3">
      <c r="B9392" t="s">
        <v>576</v>
      </c>
      <c r="C9392" s="25">
        <v>44759</v>
      </c>
      <c r="D9392" s="26">
        <v>0.76186342592592593</v>
      </c>
      <c r="E9392" t="s">
        <v>30</v>
      </c>
      <c r="F9392" t="s">
        <v>210</v>
      </c>
      <c r="G9392" t="s">
        <v>211</v>
      </c>
      <c r="H9392" t="s">
        <v>117</v>
      </c>
      <c r="I9392" s="173">
        <v>383.3</v>
      </c>
      <c r="J9392" s="231">
        <f>383+369+135+52+100</f>
        <v>1039</v>
      </c>
      <c r="K9392" s="151"/>
      <c r="L9392" s="151">
        <v>2802</v>
      </c>
      <c r="M9392" s="149">
        <f t="shared" ref="M9392:M9401" si="562">+J9392/L9392*100</f>
        <v>37.080656673804427</v>
      </c>
    </row>
    <row r="9393" spans="1:13" hidden="1" x14ac:dyDescent="0.3">
      <c r="B9393" t="s">
        <v>576</v>
      </c>
      <c r="C9393" s="25">
        <v>44760</v>
      </c>
      <c r="D9393" s="26">
        <v>0.98030092592592588</v>
      </c>
      <c r="E9393" t="s">
        <v>30</v>
      </c>
      <c r="F9393" t="s">
        <v>428</v>
      </c>
      <c r="G9393" t="s">
        <v>429</v>
      </c>
      <c r="H9393" t="s">
        <v>117</v>
      </c>
      <c r="I9393" s="160">
        <v>267.41000000000003</v>
      </c>
      <c r="J9393" s="8"/>
      <c r="K9393" s="8">
        <v>789789</v>
      </c>
      <c r="L9393" s="8">
        <f t="shared" ref="L9393:L9406" si="563">+K9393-J9393</f>
        <v>789789</v>
      </c>
      <c r="M9393" s="254">
        <f t="shared" si="562"/>
        <v>0</v>
      </c>
    </row>
    <row r="9394" spans="1:13" hidden="1" x14ac:dyDescent="0.3">
      <c r="B9394" t="s">
        <v>576</v>
      </c>
      <c r="C9394" s="25">
        <v>44765</v>
      </c>
      <c r="D9394" s="26">
        <v>0.89692129629629624</v>
      </c>
      <c r="E9394" t="s">
        <v>30</v>
      </c>
      <c r="F9394" t="s">
        <v>210</v>
      </c>
      <c r="G9394" t="s">
        <v>211</v>
      </c>
      <c r="H9394" t="s">
        <v>117</v>
      </c>
      <c r="I9394" s="160">
        <v>386.37</v>
      </c>
      <c r="J9394" s="160"/>
      <c r="K9394" s="160">
        <v>8460</v>
      </c>
      <c r="L9394" s="160">
        <f t="shared" si="563"/>
        <v>8460</v>
      </c>
      <c r="M9394" s="150">
        <f t="shared" si="562"/>
        <v>0</v>
      </c>
    </row>
    <row r="9395" spans="1:13" hidden="1" x14ac:dyDescent="0.3">
      <c r="B9395" t="s">
        <v>576</v>
      </c>
      <c r="C9395" s="25">
        <v>44766</v>
      </c>
      <c r="D9395" s="26">
        <v>0.99876157407407407</v>
      </c>
      <c r="E9395" t="s">
        <v>30</v>
      </c>
      <c r="F9395" t="s">
        <v>210</v>
      </c>
      <c r="G9395" t="s">
        <v>211</v>
      </c>
      <c r="H9395" t="s">
        <v>117</v>
      </c>
      <c r="I9395" s="160">
        <v>386.76</v>
      </c>
      <c r="J9395" s="8"/>
      <c r="K9395" s="8">
        <v>8460</v>
      </c>
      <c r="L9395" s="8">
        <f t="shared" si="563"/>
        <v>8460</v>
      </c>
      <c r="M9395" s="254">
        <f t="shared" si="562"/>
        <v>0</v>
      </c>
    </row>
    <row r="9396" spans="1:13" hidden="1" x14ac:dyDescent="0.3">
      <c r="B9396" t="s">
        <v>576</v>
      </c>
      <c r="C9396" s="25">
        <v>44767</v>
      </c>
      <c r="D9396" s="26">
        <v>0.46945601851851854</v>
      </c>
      <c r="E9396" t="s">
        <v>30</v>
      </c>
      <c r="F9396" t="s">
        <v>169</v>
      </c>
      <c r="G9396" t="s">
        <v>196</v>
      </c>
      <c r="H9396" t="s">
        <v>117</v>
      </c>
      <c r="I9396" s="160">
        <v>150.07</v>
      </c>
      <c r="J9396" s="8"/>
      <c r="K9396" s="8">
        <v>866556</v>
      </c>
      <c r="L9396" s="8">
        <f t="shared" si="563"/>
        <v>866556</v>
      </c>
      <c r="M9396" s="254">
        <f t="shared" si="562"/>
        <v>0</v>
      </c>
    </row>
    <row r="9397" spans="1:13" hidden="1" x14ac:dyDescent="0.3">
      <c r="B9397" t="s">
        <v>576</v>
      </c>
      <c r="C9397" s="25">
        <v>44769</v>
      </c>
      <c r="D9397" s="26">
        <v>0.46121527777777777</v>
      </c>
      <c r="E9397" t="s">
        <v>30</v>
      </c>
      <c r="F9397" t="s">
        <v>197</v>
      </c>
      <c r="G9397" t="s">
        <v>44</v>
      </c>
      <c r="H9397" t="s">
        <v>117</v>
      </c>
      <c r="I9397" s="160">
        <v>134.77000000000001</v>
      </c>
      <c r="J9397" s="8"/>
      <c r="K9397" s="8">
        <v>998888</v>
      </c>
      <c r="L9397" s="8">
        <f t="shared" si="563"/>
        <v>998888</v>
      </c>
      <c r="M9397" s="254">
        <f t="shared" si="562"/>
        <v>0</v>
      </c>
    </row>
    <row r="9398" spans="1:13" hidden="1" x14ac:dyDescent="0.3">
      <c r="B9398" t="s">
        <v>576</v>
      </c>
      <c r="C9398" s="25">
        <v>44769</v>
      </c>
      <c r="D9398" s="26">
        <v>0.81883101851851858</v>
      </c>
      <c r="E9398" t="s">
        <v>30</v>
      </c>
      <c r="F9398" t="s">
        <v>210</v>
      </c>
      <c r="G9398" t="s">
        <v>211</v>
      </c>
      <c r="H9398" t="s">
        <v>117</v>
      </c>
      <c r="I9398" s="160">
        <v>400.75</v>
      </c>
      <c r="J9398" s="160"/>
      <c r="K9398" s="160">
        <v>8460</v>
      </c>
      <c r="L9398" s="160">
        <f t="shared" si="563"/>
        <v>8460</v>
      </c>
      <c r="M9398" s="150">
        <f t="shared" si="562"/>
        <v>0</v>
      </c>
    </row>
    <row r="9399" spans="1:13" hidden="1" x14ac:dyDescent="0.3">
      <c r="B9399" t="s">
        <v>576</v>
      </c>
      <c r="C9399" s="25">
        <v>44771</v>
      </c>
      <c r="D9399" s="26">
        <v>0.88667824074074064</v>
      </c>
      <c r="E9399" t="s">
        <v>30</v>
      </c>
      <c r="F9399" t="s">
        <v>210</v>
      </c>
      <c r="G9399" t="s">
        <v>211</v>
      </c>
      <c r="H9399" t="s">
        <v>117</v>
      </c>
      <c r="I9399" s="160">
        <v>399.65</v>
      </c>
      <c r="J9399" s="8"/>
      <c r="K9399" s="8">
        <v>8460</v>
      </c>
      <c r="L9399" s="8">
        <f t="shared" si="563"/>
        <v>8460</v>
      </c>
      <c r="M9399" s="254">
        <f t="shared" si="562"/>
        <v>0</v>
      </c>
    </row>
    <row r="9400" spans="1:13" hidden="1" x14ac:dyDescent="0.3">
      <c r="B9400" t="s">
        <v>576</v>
      </c>
      <c r="C9400" s="25">
        <v>44772</v>
      </c>
      <c r="D9400" s="26">
        <v>0.40261574074074075</v>
      </c>
      <c r="E9400" t="s">
        <v>30</v>
      </c>
      <c r="F9400" t="s">
        <v>293</v>
      </c>
      <c r="G9400" t="s">
        <v>196</v>
      </c>
      <c r="H9400" t="s">
        <v>117</v>
      </c>
      <c r="I9400" s="160">
        <v>137.66999999999999</v>
      </c>
      <c r="J9400" s="8"/>
      <c r="K9400" s="8">
        <v>9856</v>
      </c>
      <c r="L9400" s="8">
        <f t="shared" si="563"/>
        <v>9856</v>
      </c>
      <c r="M9400" s="254">
        <f t="shared" si="562"/>
        <v>0</v>
      </c>
    </row>
    <row r="9401" spans="1:13" hidden="1" x14ac:dyDescent="0.3">
      <c r="B9401" t="s">
        <v>576</v>
      </c>
      <c r="C9401" s="25">
        <v>44772</v>
      </c>
      <c r="D9401" s="26">
        <v>0.86420138888888898</v>
      </c>
      <c r="E9401" t="s">
        <v>30</v>
      </c>
      <c r="F9401" t="s">
        <v>428</v>
      </c>
      <c r="G9401" t="s">
        <v>429</v>
      </c>
      <c r="H9401" t="s">
        <v>117</v>
      </c>
      <c r="I9401" s="160">
        <v>100.01</v>
      </c>
      <c r="J9401" s="8"/>
      <c r="K9401" s="8">
        <v>250150</v>
      </c>
      <c r="L9401" s="8">
        <f t="shared" si="563"/>
        <v>250150</v>
      </c>
      <c r="M9401" s="254">
        <f t="shared" si="562"/>
        <v>0</v>
      </c>
    </row>
    <row r="9402" spans="1:13" hidden="1" x14ac:dyDescent="0.3">
      <c r="A9402" s="9">
        <v>6751</v>
      </c>
      <c r="B9402" t="s">
        <v>328</v>
      </c>
      <c r="C9402" s="25">
        <v>44743</v>
      </c>
      <c r="D9402" s="26">
        <v>0.25215277777777778</v>
      </c>
      <c r="E9402" t="s">
        <v>30</v>
      </c>
      <c r="F9402" t="s">
        <v>210</v>
      </c>
      <c r="G9402" t="s">
        <v>211</v>
      </c>
      <c r="H9402" t="s">
        <v>138</v>
      </c>
      <c r="I9402" s="160">
        <v>442.24</v>
      </c>
      <c r="J9402" s="8"/>
      <c r="K9402" s="8">
        <v>910042</v>
      </c>
      <c r="L9402" s="8">
        <f t="shared" si="563"/>
        <v>910042</v>
      </c>
      <c r="M9402" s="91">
        <f>I9402/L9402*100</f>
        <v>4.8595559325833315E-2</v>
      </c>
    </row>
    <row r="9403" spans="1:13" hidden="1" x14ac:dyDescent="0.3">
      <c r="A9403" s="9">
        <v>6751</v>
      </c>
      <c r="B9403" t="s">
        <v>328</v>
      </c>
      <c r="C9403" s="25">
        <v>44743</v>
      </c>
      <c r="D9403" s="26">
        <v>0.94156249999999997</v>
      </c>
      <c r="E9403" t="s">
        <v>30</v>
      </c>
      <c r="F9403" t="s">
        <v>165</v>
      </c>
      <c r="G9403" t="s">
        <v>185</v>
      </c>
      <c r="H9403" t="s">
        <v>138</v>
      </c>
      <c r="I9403" s="160">
        <v>100</v>
      </c>
      <c r="J9403" s="8"/>
      <c r="K9403" s="8">
        <v>1234</v>
      </c>
      <c r="L9403" s="8">
        <f t="shared" si="563"/>
        <v>1234</v>
      </c>
      <c r="M9403" s="91">
        <f>I9403/L9403*100</f>
        <v>8.1037277147487838</v>
      </c>
    </row>
    <row r="9404" spans="1:13" hidden="1" x14ac:dyDescent="0.3">
      <c r="A9404" s="9">
        <v>6751</v>
      </c>
      <c r="B9404" t="s">
        <v>328</v>
      </c>
      <c r="C9404" s="25">
        <v>44744</v>
      </c>
      <c r="D9404" s="26">
        <v>0.92708333333333337</v>
      </c>
      <c r="E9404" t="s">
        <v>30</v>
      </c>
      <c r="F9404" t="s">
        <v>210</v>
      </c>
      <c r="G9404" t="s">
        <v>211</v>
      </c>
      <c r="H9404" t="s">
        <v>138</v>
      </c>
      <c r="I9404" s="160">
        <v>442.03</v>
      </c>
      <c r="J9404" s="8"/>
      <c r="K9404" s="8">
        <v>911164</v>
      </c>
      <c r="L9404" s="8">
        <f t="shared" si="563"/>
        <v>911164</v>
      </c>
      <c r="M9404" s="91">
        <f>I9404/L9404*100</f>
        <v>4.8512671703447453E-2</v>
      </c>
    </row>
    <row r="9405" spans="1:13" hidden="1" x14ac:dyDescent="0.3">
      <c r="A9405" s="9">
        <v>6751</v>
      </c>
      <c r="B9405" t="s">
        <v>328</v>
      </c>
      <c r="C9405" s="25">
        <v>44746</v>
      </c>
      <c r="D9405" s="26">
        <v>0.49090277777777774</v>
      </c>
      <c r="E9405" t="s">
        <v>30</v>
      </c>
      <c r="F9405" t="s">
        <v>169</v>
      </c>
      <c r="G9405" t="s">
        <v>196</v>
      </c>
      <c r="H9405" t="s">
        <v>138</v>
      </c>
      <c r="I9405" s="173">
        <v>168.03</v>
      </c>
      <c r="J9405" s="8"/>
      <c r="K9405" s="8">
        <v>9852</v>
      </c>
      <c r="L9405" s="8">
        <f t="shared" si="563"/>
        <v>9852</v>
      </c>
      <c r="M9405" s="91">
        <f>I9405/L9405*100</f>
        <v>1.7055420219244821</v>
      </c>
    </row>
    <row r="9406" spans="1:13" hidden="1" x14ac:dyDescent="0.3">
      <c r="A9406" s="9">
        <v>6751</v>
      </c>
      <c r="B9406" t="s">
        <v>328</v>
      </c>
      <c r="C9406" s="25">
        <v>44747</v>
      </c>
      <c r="D9406" s="26">
        <v>0.72755787037037034</v>
      </c>
      <c r="E9406" t="s">
        <v>30</v>
      </c>
      <c r="F9406" t="s">
        <v>541</v>
      </c>
      <c r="G9406" t="s">
        <v>542</v>
      </c>
      <c r="H9406" t="s">
        <v>138</v>
      </c>
      <c r="I9406" s="173">
        <v>200.03</v>
      </c>
      <c r="J9406" s="8"/>
      <c r="K9406" s="8">
        <v>912048</v>
      </c>
      <c r="L9406" s="8">
        <f t="shared" si="563"/>
        <v>912048</v>
      </c>
      <c r="M9406" s="91">
        <f>I9406/L9406*100</f>
        <v>2.1931959721418173E-2</v>
      </c>
    </row>
    <row r="9407" spans="1:13" hidden="1" x14ac:dyDescent="0.3">
      <c r="A9407" s="9">
        <v>6751</v>
      </c>
      <c r="B9407" t="s">
        <v>328</v>
      </c>
      <c r="C9407" s="25">
        <v>44748</v>
      </c>
      <c r="D9407" s="26">
        <v>5.3703703703703698E-2</v>
      </c>
      <c r="E9407" t="s">
        <v>30</v>
      </c>
      <c r="F9407" t="s">
        <v>210</v>
      </c>
      <c r="G9407" t="s">
        <v>211</v>
      </c>
      <c r="H9407" t="s">
        <v>138</v>
      </c>
      <c r="I9407" s="173">
        <v>357.34</v>
      </c>
      <c r="J9407" s="160">
        <f>357+200+168+442+100+442</f>
        <v>1709</v>
      </c>
      <c r="K9407" s="160">
        <v>912945</v>
      </c>
      <c r="L9407" s="160">
        <v>3761</v>
      </c>
      <c r="M9407" s="149">
        <f>+J9407/L9407*100</f>
        <v>45.440042541877162</v>
      </c>
    </row>
    <row r="9408" spans="1:13" hidden="1" x14ac:dyDescent="0.3">
      <c r="A9408" s="9">
        <v>6751</v>
      </c>
      <c r="B9408" t="s">
        <v>328</v>
      </c>
      <c r="C9408" s="25">
        <v>44749</v>
      </c>
      <c r="D9408" s="26">
        <v>6.6238425925925923E-2</v>
      </c>
      <c r="E9408" t="s">
        <v>30</v>
      </c>
      <c r="F9408" t="s">
        <v>210</v>
      </c>
      <c r="G9408" t="s">
        <v>211</v>
      </c>
      <c r="H9408" t="s">
        <v>138</v>
      </c>
      <c r="I9408" s="173" t="s">
        <v>864</v>
      </c>
      <c r="J9408" s="8"/>
      <c r="K9408" s="8"/>
      <c r="L9408" s="8"/>
      <c r="M9408" s="91" t="e">
        <f>I9408/K9408*100</f>
        <v>#DIV/0!</v>
      </c>
    </row>
    <row r="9409" spans="1:13" hidden="1" x14ac:dyDescent="0.3">
      <c r="A9409" s="9">
        <v>6751</v>
      </c>
      <c r="B9409" t="s">
        <v>328</v>
      </c>
      <c r="C9409" s="25">
        <v>44751</v>
      </c>
      <c r="D9409" s="26">
        <v>2.4340277777777777E-2</v>
      </c>
      <c r="E9409" t="s">
        <v>30</v>
      </c>
      <c r="F9409" t="s">
        <v>492</v>
      </c>
      <c r="G9409" t="s">
        <v>44</v>
      </c>
      <c r="H9409" t="s">
        <v>138</v>
      </c>
      <c r="I9409" s="173" t="s">
        <v>863</v>
      </c>
      <c r="J9409" s="23"/>
      <c r="K9409" s="90"/>
      <c r="L9409" s="23"/>
      <c r="M9409" s="91" t="e">
        <f>I9409/K9409*100</f>
        <v>#DIV/0!</v>
      </c>
    </row>
    <row r="9410" spans="1:13" hidden="1" x14ac:dyDescent="0.3">
      <c r="A9410" s="9">
        <v>6751</v>
      </c>
      <c r="B9410" t="s">
        <v>328</v>
      </c>
      <c r="C9410" s="25">
        <v>44751</v>
      </c>
      <c r="D9410" s="26">
        <v>0.67819444444444443</v>
      </c>
      <c r="E9410" t="s">
        <v>30</v>
      </c>
      <c r="F9410" t="s">
        <v>210</v>
      </c>
      <c r="G9410" t="s">
        <v>211</v>
      </c>
      <c r="H9410" t="s">
        <v>138</v>
      </c>
      <c r="I9410" s="173" t="s">
        <v>862</v>
      </c>
      <c r="J9410" s="160">
        <f>435+438+284</f>
        <v>1157</v>
      </c>
      <c r="K9410" s="160"/>
      <c r="L9410" s="160">
        <v>2756</v>
      </c>
      <c r="M9410" s="149">
        <f>+J9410/L9410*100</f>
        <v>41.981132075471699</v>
      </c>
    </row>
    <row r="9411" spans="1:13" hidden="1" x14ac:dyDescent="0.3">
      <c r="A9411" s="9">
        <v>6751</v>
      </c>
      <c r="B9411" t="s">
        <v>328</v>
      </c>
      <c r="C9411" s="25">
        <v>44753</v>
      </c>
      <c r="D9411" s="26">
        <v>3.3703703703703701E-2</v>
      </c>
      <c r="E9411" t="s">
        <v>30</v>
      </c>
      <c r="F9411" t="s">
        <v>210</v>
      </c>
      <c r="G9411" t="s">
        <v>211</v>
      </c>
      <c r="H9411" t="s">
        <v>138</v>
      </c>
      <c r="I9411" s="173" t="s">
        <v>907</v>
      </c>
      <c r="J9411" s="23"/>
      <c r="K9411" s="90"/>
      <c r="L9411" s="23"/>
      <c r="M9411" s="91" t="e">
        <f>I9411/K9411*100</f>
        <v>#DIV/0!</v>
      </c>
    </row>
    <row r="9412" spans="1:13" hidden="1" x14ac:dyDescent="0.3">
      <c r="A9412" s="9">
        <v>6751</v>
      </c>
      <c r="B9412" t="s">
        <v>328</v>
      </c>
      <c r="C9412" s="25">
        <v>44754</v>
      </c>
      <c r="D9412" s="26">
        <v>0.13503472222222221</v>
      </c>
      <c r="E9412" t="s">
        <v>30</v>
      </c>
      <c r="F9412" t="s">
        <v>262</v>
      </c>
      <c r="G9412" t="s">
        <v>263</v>
      </c>
      <c r="H9412" t="s">
        <v>138</v>
      </c>
      <c r="I9412" s="173" t="s">
        <v>906</v>
      </c>
      <c r="J9412" s="23"/>
      <c r="K9412" s="90"/>
      <c r="L9412" s="23"/>
      <c r="M9412" s="91" t="e">
        <f>I9412/K9412*100</f>
        <v>#DIV/0!</v>
      </c>
    </row>
    <row r="9413" spans="1:13" hidden="1" x14ac:dyDescent="0.3">
      <c r="A9413" s="9">
        <v>6751</v>
      </c>
      <c r="B9413" t="s">
        <v>328</v>
      </c>
      <c r="C9413" s="25">
        <v>44754</v>
      </c>
      <c r="D9413" s="26">
        <v>0.55181712962962959</v>
      </c>
      <c r="E9413" t="s">
        <v>30</v>
      </c>
      <c r="F9413" t="s">
        <v>878</v>
      </c>
      <c r="G9413" t="s">
        <v>392</v>
      </c>
      <c r="H9413" t="s">
        <v>138</v>
      </c>
      <c r="I9413" s="173" t="s">
        <v>905</v>
      </c>
      <c r="J9413" s="231">
        <f>435+200+168</f>
        <v>803</v>
      </c>
      <c r="K9413" s="151"/>
      <c r="L9413" s="151">
        <v>2000</v>
      </c>
      <c r="M9413" s="149">
        <f t="shared" ref="M9413:M9421" si="564">+J9413/L9413*100</f>
        <v>40.150000000000006</v>
      </c>
    </row>
    <row r="9414" spans="1:13" hidden="1" x14ac:dyDescent="0.3">
      <c r="B9414" t="s">
        <v>328</v>
      </c>
      <c r="C9414" s="25">
        <v>44761</v>
      </c>
      <c r="D9414" s="26">
        <v>0.15165509259259261</v>
      </c>
      <c r="E9414" t="s">
        <v>30</v>
      </c>
      <c r="F9414" t="s">
        <v>210</v>
      </c>
      <c r="G9414" t="s">
        <v>211</v>
      </c>
      <c r="H9414" t="s">
        <v>138</v>
      </c>
      <c r="I9414" s="160">
        <v>395.4</v>
      </c>
      <c r="J9414" s="8"/>
      <c r="K9414" s="8">
        <v>956559</v>
      </c>
      <c r="L9414" s="8">
        <f t="shared" ref="L9414:L9420" si="565">+K9414-J9414</f>
        <v>956559</v>
      </c>
      <c r="M9414" s="254">
        <f t="shared" si="564"/>
        <v>0</v>
      </c>
    </row>
    <row r="9415" spans="1:13" hidden="1" x14ac:dyDescent="0.3">
      <c r="B9415" t="s">
        <v>328</v>
      </c>
      <c r="C9415" s="25">
        <v>44762</v>
      </c>
      <c r="D9415" s="26">
        <v>8.0914351851851848E-2</v>
      </c>
      <c r="E9415" t="s">
        <v>30</v>
      </c>
      <c r="F9415" t="s">
        <v>165</v>
      </c>
      <c r="G9415" t="s">
        <v>185</v>
      </c>
      <c r="H9415" t="s">
        <v>138</v>
      </c>
      <c r="I9415" s="160">
        <v>284.45999999999998</v>
      </c>
      <c r="J9415" s="8"/>
      <c r="K9415" s="8">
        <v>919095</v>
      </c>
      <c r="L9415" s="8">
        <f t="shared" si="565"/>
        <v>919095</v>
      </c>
      <c r="M9415" s="254">
        <f t="shared" si="564"/>
        <v>0</v>
      </c>
    </row>
    <row r="9416" spans="1:13" hidden="1" x14ac:dyDescent="0.3">
      <c r="B9416" t="s">
        <v>328</v>
      </c>
      <c r="C9416" s="25">
        <v>44762</v>
      </c>
      <c r="D9416" s="26">
        <v>0.83494212962962966</v>
      </c>
      <c r="E9416" t="s">
        <v>30</v>
      </c>
      <c r="F9416" t="s">
        <v>210</v>
      </c>
      <c r="G9416" t="s">
        <v>211</v>
      </c>
      <c r="H9416" t="s">
        <v>138</v>
      </c>
      <c r="I9416" s="160">
        <v>258.22000000000003</v>
      </c>
      <c r="J9416" s="160"/>
      <c r="K9416" s="160">
        <v>919702</v>
      </c>
      <c r="L9416" s="160">
        <f t="shared" si="565"/>
        <v>919702</v>
      </c>
      <c r="M9416" s="150">
        <f t="shared" si="564"/>
        <v>0</v>
      </c>
    </row>
    <row r="9417" spans="1:13" hidden="1" x14ac:dyDescent="0.3">
      <c r="B9417" t="s">
        <v>328</v>
      </c>
      <c r="C9417" s="25">
        <v>44765</v>
      </c>
      <c r="D9417" s="26">
        <v>4.6365740740740742E-2</v>
      </c>
      <c r="E9417" t="s">
        <v>30</v>
      </c>
      <c r="F9417" t="s">
        <v>492</v>
      </c>
      <c r="G9417" t="s">
        <v>44</v>
      </c>
      <c r="H9417" t="s">
        <v>138</v>
      </c>
      <c r="I9417" s="160">
        <v>322.89999999999998</v>
      </c>
      <c r="J9417" s="8"/>
      <c r="K9417" s="8">
        <v>920891</v>
      </c>
      <c r="L9417" s="8">
        <f t="shared" si="565"/>
        <v>920891</v>
      </c>
      <c r="M9417" s="254">
        <f t="shared" si="564"/>
        <v>0</v>
      </c>
    </row>
    <row r="9418" spans="1:13" hidden="1" x14ac:dyDescent="0.3">
      <c r="B9418" t="s">
        <v>328</v>
      </c>
      <c r="C9418" s="25">
        <v>44765</v>
      </c>
      <c r="D9418" s="26">
        <v>0.7700231481481481</v>
      </c>
      <c r="E9418" t="s">
        <v>30</v>
      </c>
      <c r="F9418" t="s">
        <v>210</v>
      </c>
      <c r="G9418" t="s">
        <v>211</v>
      </c>
      <c r="H9418" t="s">
        <v>138</v>
      </c>
      <c r="I9418" s="160">
        <v>388.68</v>
      </c>
      <c r="J9418" s="160"/>
      <c r="K9418" s="160">
        <v>921428</v>
      </c>
      <c r="L9418" s="160">
        <f t="shared" si="565"/>
        <v>921428</v>
      </c>
      <c r="M9418" s="150">
        <f t="shared" si="564"/>
        <v>0</v>
      </c>
    </row>
    <row r="9419" spans="1:13" hidden="1" x14ac:dyDescent="0.3">
      <c r="B9419" t="s">
        <v>328</v>
      </c>
      <c r="C9419" s="25">
        <v>44766</v>
      </c>
      <c r="D9419" s="26">
        <v>0.91869212962962965</v>
      </c>
      <c r="E9419" t="s">
        <v>30</v>
      </c>
      <c r="F9419" t="s">
        <v>210</v>
      </c>
      <c r="G9419" t="s">
        <v>211</v>
      </c>
      <c r="H9419" t="s">
        <v>138</v>
      </c>
      <c r="I9419" s="160">
        <v>437.4</v>
      </c>
      <c r="J9419" s="8"/>
      <c r="K9419" s="8">
        <v>922545</v>
      </c>
      <c r="L9419" s="8">
        <f t="shared" si="565"/>
        <v>922545</v>
      </c>
      <c r="M9419" s="254">
        <f t="shared" si="564"/>
        <v>0</v>
      </c>
    </row>
    <row r="9420" spans="1:13" hidden="1" x14ac:dyDescent="0.3">
      <c r="B9420" t="s">
        <v>328</v>
      </c>
      <c r="C9420" s="25">
        <v>44769</v>
      </c>
      <c r="D9420" s="26">
        <v>0.67038194444444443</v>
      </c>
      <c r="E9420" t="s">
        <v>30</v>
      </c>
      <c r="F9420" t="s">
        <v>391</v>
      </c>
      <c r="G9420" t="s">
        <v>392</v>
      </c>
      <c r="H9420" t="s">
        <v>138</v>
      </c>
      <c r="I9420" s="160">
        <v>413.25</v>
      </c>
      <c r="J9420" s="8"/>
      <c r="K9420" s="8">
        <v>9899</v>
      </c>
      <c r="L9420" s="8">
        <f t="shared" si="565"/>
        <v>9899</v>
      </c>
      <c r="M9420" s="150">
        <f t="shared" si="564"/>
        <v>0</v>
      </c>
    </row>
    <row r="9421" spans="1:13" hidden="1" x14ac:dyDescent="0.3">
      <c r="A9421" s="9">
        <v>6751</v>
      </c>
      <c r="B9421" t="s">
        <v>349</v>
      </c>
      <c r="C9421" s="25">
        <v>44743</v>
      </c>
      <c r="D9421" s="26">
        <v>0.39956018518518516</v>
      </c>
      <c r="E9421" t="s">
        <v>30</v>
      </c>
      <c r="F9421" t="s">
        <v>331</v>
      </c>
      <c r="G9421" t="s">
        <v>277</v>
      </c>
      <c r="H9421" t="s">
        <v>122</v>
      </c>
      <c r="I9421" s="173">
        <v>291</v>
      </c>
      <c r="J9421" s="160">
        <f>134+45+450+291</f>
        <v>920</v>
      </c>
      <c r="K9421" s="160">
        <v>700000</v>
      </c>
      <c r="L9421" s="160">
        <v>2730</v>
      </c>
      <c r="M9421" s="149">
        <f t="shared" si="564"/>
        <v>33.699633699633701</v>
      </c>
    </row>
    <row r="9422" spans="1:13" hidden="1" x14ac:dyDescent="0.3">
      <c r="B9422" t="s">
        <v>267</v>
      </c>
      <c r="C9422" s="25">
        <v>44750</v>
      </c>
      <c r="D9422" s="26">
        <v>0.97000000000000008</v>
      </c>
      <c r="E9422" t="s">
        <v>30</v>
      </c>
      <c r="F9422" t="s">
        <v>210</v>
      </c>
      <c r="G9422" t="s">
        <v>211</v>
      </c>
      <c r="H9422" t="s">
        <v>122</v>
      </c>
      <c r="I9422" s="173">
        <v>426.66</v>
      </c>
      <c r="J9422" s="8"/>
      <c r="K9422" s="8"/>
      <c r="L9422" s="8"/>
      <c r="M9422" s="91" t="e">
        <f>I9422/K9422*100</f>
        <v>#DIV/0!</v>
      </c>
    </row>
    <row r="9423" spans="1:13" hidden="1" x14ac:dyDescent="0.3">
      <c r="B9423" t="s">
        <v>267</v>
      </c>
      <c r="C9423" s="25">
        <v>44752</v>
      </c>
      <c r="D9423" s="26">
        <v>4.2615740740740739E-2</v>
      </c>
      <c r="E9423" t="s">
        <v>30</v>
      </c>
      <c r="F9423" t="s">
        <v>210</v>
      </c>
      <c r="G9423" t="s">
        <v>211</v>
      </c>
      <c r="H9423" t="s">
        <v>122</v>
      </c>
      <c r="I9423" s="173">
        <v>375.95</v>
      </c>
      <c r="J9423" s="160">
        <f>427+376</f>
        <v>803</v>
      </c>
      <c r="K9423" s="160"/>
      <c r="L9423" s="160">
        <v>1850</v>
      </c>
      <c r="M9423" s="149">
        <f>+J9423/L9423*100</f>
        <v>43.405405405405403</v>
      </c>
    </row>
    <row r="9424" spans="1:13" hidden="1" x14ac:dyDescent="0.3">
      <c r="B9424" t="s">
        <v>935</v>
      </c>
      <c r="C9424" s="25">
        <v>44756</v>
      </c>
      <c r="D9424" s="26">
        <v>0.43579861111111112</v>
      </c>
      <c r="E9424" t="s">
        <v>30</v>
      </c>
      <c r="F9424" t="s">
        <v>783</v>
      </c>
      <c r="G9424" t="s">
        <v>392</v>
      </c>
      <c r="H9424" t="s">
        <v>122</v>
      </c>
      <c r="I9424" s="173">
        <v>369.61</v>
      </c>
      <c r="J9424" s="23"/>
      <c r="K9424" s="90"/>
      <c r="L9424" s="23"/>
      <c r="M9424" s="91" t="e">
        <f>I9424/K9424*100</f>
        <v>#DIV/0!</v>
      </c>
    </row>
    <row r="9425" spans="2:13" hidden="1" x14ac:dyDescent="0.3">
      <c r="B9425" t="s">
        <v>935</v>
      </c>
      <c r="C9425" s="25">
        <v>44757</v>
      </c>
      <c r="D9425" s="26">
        <v>0.65694444444444444</v>
      </c>
      <c r="E9425" t="s">
        <v>30</v>
      </c>
      <c r="F9425" t="s">
        <v>210</v>
      </c>
      <c r="G9425" t="s">
        <v>211</v>
      </c>
      <c r="H9425" t="s">
        <v>122</v>
      </c>
      <c r="I9425" s="173">
        <v>411.5</v>
      </c>
      <c r="J9425" s="261">
        <f>411+370</f>
        <v>781</v>
      </c>
      <c r="K9425" s="261"/>
      <c r="L9425" s="231">
        <v>1830</v>
      </c>
      <c r="M9425" s="150">
        <f t="shared" ref="M9425:M9434" si="566">+J9425/L9425*100</f>
        <v>42.677595628415297</v>
      </c>
    </row>
    <row r="9426" spans="2:13" hidden="1" x14ac:dyDescent="0.3">
      <c r="B9426" t="s">
        <v>935</v>
      </c>
      <c r="C9426" s="25">
        <v>44760</v>
      </c>
      <c r="D9426" s="26">
        <v>0.89662037037037035</v>
      </c>
      <c r="E9426" t="s">
        <v>30</v>
      </c>
      <c r="F9426" t="s">
        <v>210</v>
      </c>
      <c r="G9426" t="s">
        <v>211</v>
      </c>
      <c r="H9426" t="s">
        <v>122</v>
      </c>
      <c r="I9426" s="160">
        <v>444.72</v>
      </c>
      <c r="J9426" s="8"/>
      <c r="K9426" s="8">
        <v>653057</v>
      </c>
      <c r="L9426" s="8">
        <f t="shared" ref="L9426:L9437" si="567">+K9426-J9426</f>
        <v>653057</v>
      </c>
      <c r="M9426" s="254">
        <f t="shared" si="566"/>
        <v>0</v>
      </c>
    </row>
    <row r="9427" spans="2:13" hidden="1" x14ac:dyDescent="0.3">
      <c r="B9427" t="s">
        <v>935</v>
      </c>
      <c r="C9427" s="25">
        <v>44762</v>
      </c>
      <c r="D9427" s="26">
        <v>0.60542824074074075</v>
      </c>
      <c r="E9427" t="s">
        <v>30</v>
      </c>
      <c r="F9427" t="s">
        <v>205</v>
      </c>
      <c r="G9427" t="s">
        <v>206</v>
      </c>
      <c r="H9427" t="s">
        <v>122</v>
      </c>
      <c r="I9427" s="160">
        <v>100</v>
      </c>
      <c r="J9427" s="8"/>
      <c r="K9427" s="8">
        <v>654149</v>
      </c>
      <c r="L9427" s="8">
        <f t="shared" si="567"/>
        <v>654149</v>
      </c>
      <c r="M9427" s="254">
        <f t="shared" si="566"/>
        <v>0</v>
      </c>
    </row>
    <row r="9428" spans="2:13" hidden="1" x14ac:dyDescent="0.3">
      <c r="B9428" t="s">
        <v>935</v>
      </c>
      <c r="C9428" s="25">
        <v>44763</v>
      </c>
      <c r="D9428" s="26">
        <v>0.49675925925925929</v>
      </c>
      <c r="E9428" t="s">
        <v>30</v>
      </c>
      <c r="F9428" t="s">
        <v>175</v>
      </c>
      <c r="G9428" t="s">
        <v>172</v>
      </c>
      <c r="H9428" t="s">
        <v>122</v>
      </c>
      <c r="I9428" s="160">
        <v>362.27</v>
      </c>
      <c r="J9428" s="8"/>
      <c r="K9428" s="8">
        <v>654276</v>
      </c>
      <c r="L9428" s="8">
        <f t="shared" si="567"/>
        <v>654276</v>
      </c>
      <c r="M9428" s="254">
        <f t="shared" si="566"/>
        <v>0</v>
      </c>
    </row>
    <row r="9429" spans="2:13" hidden="1" x14ac:dyDescent="0.3">
      <c r="B9429" t="s">
        <v>935</v>
      </c>
      <c r="C9429" s="25">
        <v>44764</v>
      </c>
      <c r="D9429" s="26">
        <v>0.59311342592592597</v>
      </c>
      <c r="E9429" t="s">
        <v>30</v>
      </c>
      <c r="F9429" t="s">
        <v>166</v>
      </c>
      <c r="G9429" t="s">
        <v>161</v>
      </c>
      <c r="H9429" t="s">
        <v>122</v>
      </c>
      <c r="I9429" s="160">
        <v>308.38</v>
      </c>
      <c r="J9429" s="160"/>
      <c r="K9429" s="160">
        <v>655036</v>
      </c>
      <c r="L9429" s="160">
        <f t="shared" si="567"/>
        <v>655036</v>
      </c>
      <c r="M9429" s="150">
        <f t="shared" si="566"/>
        <v>0</v>
      </c>
    </row>
    <row r="9430" spans="2:13" hidden="1" x14ac:dyDescent="0.3">
      <c r="B9430" t="s">
        <v>935</v>
      </c>
      <c r="C9430" s="25">
        <v>44765</v>
      </c>
      <c r="D9430" s="26">
        <v>0.51423611111111112</v>
      </c>
      <c r="E9430" t="s">
        <v>30</v>
      </c>
      <c r="F9430" t="s">
        <v>165</v>
      </c>
      <c r="G9430" t="s">
        <v>185</v>
      </c>
      <c r="H9430" t="s">
        <v>122</v>
      </c>
      <c r="I9430" s="160">
        <v>293.07</v>
      </c>
      <c r="J9430" s="8"/>
      <c r="K9430" s="8">
        <v>655663</v>
      </c>
      <c r="L9430" s="8">
        <f t="shared" si="567"/>
        <v>655663</v>
      </c>
      <c r="M9430" s="254">
        <f t="shared" si="566"/>
        <v>0</v>
      </c>
    </row>
    <row r="9431" spans="2:13" hidden="1" x14ac:dyDescent="0.3">
      <c r="B9431" t="s">
        <v>935</v>
      </c>
      <c r="C9431" s="25">
        <v>44766</v>
      </c>
      <c r="D9431" s="26">
        <v>0.72378472222222223</v>
      </c>
      <c r="E9431" t="s">
        <v>30</v>
      </c>
      <c r="F9431" t="s">
        <v>169</v>
      </c>
      <c r="G9431" t="s">
        <v>196</v>
      </c>
      <c r="H9431" t="s">
        <v>122</v>
      </c>
      <c r="I9431" s="160">
        <v>292.01</v>
      </c>
      <c r="J9431" s="8"/>
      <c r="K9431" s="8">
        <v>656648</v>
      </c>
      <c r="L9431" s="8">
        <f t="shared" si="567"/>
        <v>656648</v>
      </c>
      <c r="M9431" s="254">
        <f t="shared" si="566"/>
        <v>0</v>
      </c>
    </row>
    <row r="9432" spans="2:13" hidden="1" x14ac:dyDescent="0.3">
      <c r="B9432" t="s">
        <v>935</v>
      </c>
      <c r="C9432" s="25">
        <v>44769</v>
      </c>
      <c r="D9432" s="26">
        <v>0.75383101851851853</v>
      </c>
      <c r="E9432" t="s">
        <v>30</v>
      </c>
      <c r="F9432" t="s">
        <v>166</v>
      </c>
      <c r="G9432" t="s">
        <v>161</v>
      </c>
      <c r="H9432" t="s">
        <v>122</v>
      </c>
      <c r="I9432" s="160">
        <v>10.01</v>
      </c>
      <c r="J9432" s="160"/>
      <c r="K9432" s="160">
        <v>1234</v>
      </c>
      <c r="L9432" s="160">
        <f t="shared" si="567"/>
        <v>1234</v>
      </c>
      <c r="M9432" s="150">
        <f t="shared" si="566"/>
        <v>0</v>
      </c>
    </row>
    <row r="9433" spans="2:13" hidden="1" x14ac:dyDescent="0.3">
      <c r="B9433" t="s">
        <v>935</v>
      </c>
      <c r="C9433" s="25">
        <v>44769</v>
      </c>
      <c r="D9433" s="26">
        <v>0.77902777777777776</v>
      </c>
      <c r="E9433" t="s">
        <v>30</v>
      </c>
      <c r="F9433" t="s">
        <v>166</v>
      </c>
      <c r="G9433" t="s">
        <v>161</v>
      </c>
      <c r="H9433" t="s">
        <v>122</v>
      </c>
      <c r="I9433" s="160">
        <v>591.79</v>
      </c>
      <c r="J9433" s="8"/>
      <c r="K9433" s="8">
        <v>658020</v>
      </c>
      <c r="L9433" s="8">
        <f t="shared" si="567"/>
        <v>658020</v>
      </c>
      <c r="M9433" s="254">
        <f t="shared" si="566"/>
        <v>0</v>
      </c>
    </row>
    <row r="9434" spans="2:13" hidden="1" x14ac:dyDescent="0.3">
      <c r="B9434" t="s">
        <v>935</v>
      </c>
      <c r="C9434" s="25">
        <v>44771</v>
      </c>
      <c r="D9434" s="26">
        <v>0.4271875</v>
      </c>
      <c r="E9434" t="s">
        <v>30</v>
      </c>
      <c r="F9434" t="s">
        <v>210</v>
      </c>
      <c r="G9434" t="s">
        <v>211</v>
      </c>
      <c r="H9434" t="s">
        <v>122</v>
      </c>
      <c r="I9434" s="160">
        <v>466.26</v>
      </c>
      <c r="J9434" s="160"/>
      <c r="K9434" s="160">
        <v>5315</v>
      </c>
      <c r="L9434" s="160">
        <f t="shared" si="567"/>
        <v>5315</v>
      </c>
      <c r="M9434" s="150">
        <f t="shared" si="566"/>
        <v>0</v>
      </c>
    </row>
    <row r="9435" spans="2:13" hidden="1" x14ac:dyDescent="0.3">
      <c r="B9435" t="s">
        <v>198</v>
      </c>
      <c r="C9435" s="25">
        <v>44743</v>
      </c>
      <c r="D9435" s="26">
        <v>0.6451041666666667</v>
      </c>
      <c r="E9435" t="s">
        <v>30</v>
      </c>
      <c r="F9435" t="s">
        <v>210</v>
      </c>
      <c r="G9435" t="s">
        <v>211</v>
      </c>
      <c r="H9435" t="s">
        <v>126</v>
      </c>
      <c r="I9435" s="160">
        <v>324.27</v>
      </c>
      <c r="J9435" s="8"/>
      <c r="K9435" s="8">
        <v>990547</v>
      </c>
      <c r="L9435" s="8">
        <f t="shared" si="567"/>
        <v>990547</v>
      </c>
      <c r="M9435" s="254">
        <f>I9435/L9435*100</f>
        <v>3.2736457734968659E-2</v>
      </c>
    </row>
    <row r="9436" spans="2:13" hidden="1" x14ac:dyDescent="0.3">
      <c r="B9436" t="s">
        <v>198</v>
      </c>
      <c r="C9436" s="25">
        <v>44744</v>
      </c>
      <c r="D9436" s="26">
        <v>0.79006944444444438</v>
      </c>
      <c r="E9436" t="s">
        <v>30</v>
      </c>
      <c r="F9436" t="s">
        <v>175</v>
      </c>
      <c r="G9436" t="s">
        <v>172</v>
      </c>
      <c r="H9436" t="s">
        <v>126</v>
      </c>
      <c r="I9436" s="160">
        <v>315.81</v>
      </c>
      <c r="J9436" s="8"/>
      <c r="K9436" s="8">
        <v>991472</v>
      </c>
      <c r="L9436" s="8">
        <f t="shared" si="567"/>
        <v>991472</v>
      </c>
      <c r="M9436" s="254">
        <f>I9436/L9436*100</f>
        <v>3.1852639308018786E-2</v>
      </c>
    </row>
    <row r="9437" spans="2:13" hidden="1" x14ac:dyDescent="0.3">
      <c r="B9437" t="s">
        <v>198</v>
      </c>
      <c r="C9437" s="25">
        <v>44745</v>
      </c>
      <c r="D9437" s="26">
        <v>0.89408564814814817</v>
      </c>
      <c r="E9437" t="s">
        <v>30</v>
      </c>
      <c r="F9437" t="s">
        <v>210</v>
      </c>
      <c r="G9437" t="s">
        <v>211</v>
      </c>
      <c r="H9437" t="s">
        <v>126</v>
      </c>
      <c r="I9437" s="160">
        <v>327.83</v>
      </c>
      <c r="J9437" s="8"/>
      <c r="K9437" s="8">
        <v>992311</v>
      </c>
      <c r="L9437" s="8">
        <f t="shared" si="567"/>
        <v>992311</v>
      </c>
      <c r="M9437" s="254">
        <f>I9437/L9437*100</f>
        <v>3.30370216595402E-2</v>
      </c>
    </row>
    <row r="9438" spans="2:13" hidden="1" x14ac:dyDescent="0.3">
      <c r="B9438" t="s">
        <v>198</v>
      </c>
      <c r="C9438" s="25">
        <v>44748</v>
      </c>
      <c r="D9438" s="26">
        <v>0.98401620370370368</v>
      </c>
      <c r="E9438" t="s">
        <v>30</v>
      </c>
      <c r="F9438" t="s">
        <v>210</v>
      </c>
      <c r="G9438" t="s">
        <v>211</v>
      </c>
      <c r="H9438" t="s">
        <v>126</v>
      </c>
      <c r="I9438" s="160">
        <v>474.79</v>
      </c>
      <c r="J9438" s="160">
        <f>200+132+366+324+315+327+474</f>
        <v>2138</v>
      </c>
      <c r="K9438" s="160">
        <v>993461</v>
      </c>
      <c r="L9438" s="160">
        <v>5646</v>
      </c>
      <c r="M9438" s="150">
        <f>+J9438/L9438*100</f>
        <v>37.867516826071558</v>
      </c>
    </row>
    <row r="9439" spans="2:13" hidden="1" x14ac:dyDescent="0.3">
      <c r="B9439" t="s">
        <v>198</v>
      </c>
      <c r="C9439" s="25">
        <v>44754</v>
      </c>
      <c r="D9439" s="26">
        <v>0.91908564814814808</v>
      </c>
      <c r="E9439" t="s">
        <v>30</v>
      </c>
      <c r="F9439" t="s">
        <v>175</v>
      </c>
      <c r="G9439" t="s">
        <v>172</v>
      </c>
      <c r="H9439" t="s">
        <v>126</v>
      </c>
      <c r="I9439" s="173">
        <v>359.46</v>
      </c>
      <c r="J9439" s="23"/>
      <c r="K9439" s="90"/>
      <c r="L9439" s="23"/>
      <c r="M9439" s="254"/>
    </row>
    <row r="9440" spans="2:13" hidden="1" x14ac:dyDescent="0.3">
      <c r="B9440" t="s">
        <v>198</v>
      </c>
      <c r="C9440" s="25">
        <v>44756</v>
      </c>
      <c r="D9440" s="26">
        <v>0.5348842592592592</v>
      </c>
      <c r="E9440" t="s">
        <v>30</v>
      </c>
      <c r="F9440" t="s">
        <v>210</v>
      </c>
      <c r="G9440" t="s">
        <v>211</v>
      </c>
      <c r="H9440" t="s">
        <v>126</v>
      </c>
      <c r="I9440" s="173">
        <v>340.04</v>
      </c>
      <c r="J9440" s="23"/>
      <c r="K9440" s="90"/>
      <c r="L9440" s="23"/>
      <c r="M9440" s="254"/>
    </row>
    <row r="9441" spans="2:13" hidden="1" x14ac:dyDescent="0.3">
      <c r="B9441" t="s">
        <v>198</v>
      </c>
      <c r="C9441" s="25">
        <v>44758</v>
      </c>
      <c r="D9441" s="26">
        <v>0.12063657407407408</v>
      </c>
      <c r="E9441" t="s">
        <v>30</v>
      </c>
      <c r="F9441" t="s">
        <v>210</v>
      </c>
      <c r="G9441" t="s">
        <v>211</v>
      </c>
      <c r="H9441" t="s">
        <v>126</v>
      </c>
      <c r="I9441" s="173">
        <v>442.56</v>
      </c>
      <c r="J9441" s="231">
        <f>442+340+359</f>
        <v>1141</v>
      </c>
      <c r="K9441" s="231"/>
      <c r="L9441" s="231">
        <v>2817</v>
      </c>
      <c r="M9441" s="150">
        <f t="shared" ref="M9441:M9450" si="568">+J9441/L9441*100</f>
        <v>40.504082357117497</v>
      </c>
    </row>
    <row r="9442" spans="2:13" hidden="1" x14ac:dyDescent="0.3">
      <c r="B9442" t="s">
        <v>198</v>
      </c>
      <c r="C9442" s="25">
        <v>44760</v>
      </c>
      <c r="D9442" s="26">
        <v>0.46427083333333335</v>
      </c>
      <c r="E9442" t="s">
        <v>30</v>
      </c>
      <c r="F9442" t="s">
        <v>391</v>
      </c>
      <c r="G9442" t="s">
        <v>392</v>
      </c>
      <c r="H9442" t="s">
        <v>126</v>
      </c>
      <c r="I9442" s="160">
        <v>320.23</v>
      </c>
      <c r="J9442" s="8"/>
      <c r="K9442" s="8">
        <v>997211</v>
      </c>
      <c r="L9442" s="8">
        <f t="shared" ref="L9442:L9453" si="569">+K9442-J9442</f>
        <v>997211</v>
      </c>
      <c r="M9442" s="254">
        <f t="shared" si="568"/>
        <v>0</v>
      </c>
    </row>
    <row r="9443" spans="2:13" hidden="1" x14ac:dyDescent="0.3">
      <c r="B9443" t="s">
        <v>198</v>
      </c>
      <c r="C9443" s="25">
        <v>44761</v>
      </c>
      <c r="D9443" s="26">
        <v>0.90136574074074083</v>
      </c>
      <c r="E9443" t="s">
        <v>30</v>
      </c>
      <c r="F9443" t="s">
        <v>210</v>
      </c>
      <c r="G9443" t="s">
        <v>211</v>
      </c>
      <c r="H9443" t="s">
        <v>126</v>
      </c>
      <c r="I9443" s="160">
        <v>362.13</v>
      </c>
      <c r="J9443" s="8"/>
      <c r="K9443" s="8">
        <v>998071</v>
      </c>
      <c r="L9443" s="8">
        <f t="shared" si="569"/>
        <v>998071</v>
      </c>
      <c r="M9443" s="254">
        <f t="shared" si="568"/>
        <v>0</v>
      </c>
    </row>
    <row r="9444" spans="2:13" hidden="1" x14ac:dyDescent="0.3">
      <c r="B9444" t="s">
        <v>198</v>
      </c>
      <c r="C9444" s="25">
        <v>44763</v>
      </c>
      <c r="D9444" s="26">
        <v>0.94825231481481476</v>
      </c>
      <c r="E9444" t="s">
        <v>30</v>
      </c>
      <c r="F9444" t="s">
        <v>210</v>
      </c>
      <c r="G9444" t="s">
        <v>211</v>
      </c>
      <c r="H9444" t="s">
        <v>126</v>
      </c>
      <c r="I9444" s="160">
        <v>447.09</v>
      </c>
      <c r="J9444" s="8"/>
      <c r="K9444" s="8">
        <v>999236</v>
      </c>
      <c r="L9444" s="8">
        <f t="shared" si="569"/>
        <v>999236</v>
      </c>
      <c r="M9444" s="254">
        <f t="shared" si="568"/>
        <v>0</v>
      </c>
    </row>
    <row r="9445" spans="2:13" hidden="1" x14ac:dyDescent="0.3">
      <c r="B9445" t="s">
        <v>198</v>
      </c>
      <c r="C9445" s="25">
        <v>44763</v>
      </c>
      <c r="D9445" s="26">
        <v>0.95802083333333332</v>
      </c>
      <c r="E9445" t="s">
        <v>30</v>
      </c>
      <c r="F9445" t="s">
        <v>210</v>
      </c>
      <c r="G9445" t="s">
        <v>211</v>
      </c>
      <c r="H9445" t="s">
        <v>126</v>
      </c>
      <c r="I9445" s="160">
        <v>49.5</v>
      </c>
      <c r="J9445" s="160"/>
      <c r="K9445" s="160">
        <v>999236</v>
      </c>
      <c r="L9445" s="160">
        <f t="shared" si="569"/>
        <v>999236</v>
      </c>
      <c r="M9445" s="150">
        <f t="shared" si="568"/>
        <v>0</v>
      </c>
    </row>
    <row r="9446" spans="2:13" hidden="1" x14ac:dyDescent="0.3">
      <c r="B9446" t="s">
        <v>198</v>
      </c>
      <c r="C9446" s="25">
        <v>44765</v>
      </c>
      <c r="D9446" s="26">
        <v>0.603449074074074</v>
      </c>
      <c r="E9446" t="s">
        <v>30</v>
      </c>
      <c r="F9446" t="s">
        <v>175</v>
      </c>
      <c r="G9446" t="s">
        <v>172</v>
      </c>
      <c r="H9446" t="s">
        <v>126</v>
      </c>
      <c r="I9446" s="160">
        <v>327.81</v>
      </c>
      <c r="J9446" s="8"/>
      <c r="K9446" s="8">
        <v>186</v>
      </c>
      <c r="L9446" s="8">
        <f t="shared" si="569"/>
        <v>186</v>
      </c>
      <c r="M9446" s="254">
        <f t="shared" si="568"/>
        <v>0</v>
      </c>
    </row>
    <row r="9447" spans="2:13" hidden="1" x14ac:dyDescent="0.3">
      <c r="B9447" t="s">
        <v>198</v>
      </c>
      <c r="C9447" s="25">
        <v>44770</v>
      </c>
      <c r="D9447" s="26">
        <v>0.29074074074074074</v>
      </c>
      <c r="E9447" t="s">
        <v>30</v>
      </c>
      <c r="F9447" t="s">
        <v>210</v>
      </c>
      <c r="G9447" t="s">
        <v>211</v>
      </c>
      <c r="H9447" t="s">
        <v>126</v>
      </c>
      <c r="I9447" s="160">
        <v>393.57</v>
      </c>
      <c r="J9447" s="8"/>
      <c r="K9447" s="8">
        <v>1063</v>
      </c>
      <c r="L9447" s="8">
        <f t="shared" si="569"/>
        <v>1063</v>
      </c>
      <c r="M9447" s="254">
        <f t="shared" si="568"/>
        <v>0</v>
      </c>
    </row>
    <row r="9448" spans="2:13" hidden="1" x14ac:dyDescent="0.3">
      <c r="B9448" t="s">
        <v>198</v>
      </c>
      <c r="C9448" s="25">
        <v>44771</v>
      </c>
      <c r="D9448" s="26">
        <v>0.38483796296296297</v>
      </c>
      <c r="E9448" t="s">
        <v>30</v>
      </c>
      <c r="F9448" t="s">
        <v>210</v>
      </c>
      <c r="G9448" t="s">
        <v>211</v>
      </c>
      <c r="H9448" t="s">
        <v>126</v>
      </c>
      <c r="I9448" s="160">
        <v>400.03</v>
      </c>
      <c r="J9448" s="160"/>
      <c r="K9448" s="160">
        <v>2135</v>
      </c>
      <c r="L9448" s="160">
        <f t="shared" si="569"/>
        <v>2135</v>
      </c>
      <c r="M9448" s="150">
        <f t="shared" si="568"/>
        <v>0</v>
      </c>
    </row>
    <row r="9449" spans="2:13" hidden="1" x14ac:dyDescent="0.3">
      <c r="B9449" t="s">
        <v>198</v>
      </c>
      <c r="C9449" s="25">
        <v>44772</v>
      </c>
      <c r="D9449" s="26">
        <v>0.79708333333333325</v>
      </c>
      <c r="E9449" t="s">
        <v>30</v>
      </c>
      <c r="F9449" t="s">
        <v>175</v>
      </c>
      <c r="G9449" t="s">
        <v>172</v>
      </c>
      <c r="H9449" t="s">
        <v>126</v>
      </c>
      <c r="I9449" s="160">
        <v>342.36</v>
      </c>
      <c r="J9449" s="8"/>
      <c r="K9449" s="8">
        <v>3226</v>
      </c>
      <c r="L9449" s="8">
        <f t="shared" si="569"/>
        <v>3226</v>
      </c>
      <c r="M9449" s="254">
        <f t="shared" si="568"/>
        <v>0</v>
      </c>
    </row>
    <row r="9450" spans="2:13" hidden="1" x14ac:dyDescent="0.3">
      <c r="B9450" t="s">
        <v>198</v>
      </c>
      <c r="C9450" s="25">
        <v>44773</v>
      </c>
      <c r="D9450" s="26">
        <v>0.81906249999999992</v>
      </c>
      <c r="E9450" t="s">
        <v>30</v>
      </c>
      <c r="F9450" t="s">
        <v>210</v>
      </c>
      <c r="G9450" t="s">
        <v>211</v>
      </c>
      <c r="H9450" t="s">
        <v>126</v>
      </c>
      <c r="I9450" s="160">
        <v>328.41</v>
      </c>
      <c r="J9450" s="160"/>
      <c r="K9450" s="160">
        <v>4065</v>
      </c>
      <c r="L9450" s="160">
        <f t="shared" si="569"/>
        <v>4065</v>
      </c>
      <c r="M9450" s="150">
        <f t="shared" si="568"/>
        <v>0</v>
      </c>
    </row>
    <row r="9451" spans="2:13" hidden="1" x14ac:dyDescent="0.3">
      <c r="B9451" t="s">
        <v>636</v>
      </c>
      <c r="C9451" s="25">
        <v>44743</v>
      </c>
      <c r="D9451" s="26">
        <v>0.30584490740740738</v>
      </c>
      <c r="E9451" t="s">
        <v>30</v>
      </c>
      <c r="F9451" t="s">
        <v>165</v>
      </c>
      <c r="G9451" t="s">
        <v>185</v>
      </c>
      <c r="H9451" t="s">
        <v>133</v>
      </c>
      <c r="I9451" s="173">
        <v>337.01</v>
      </c>
      <c r="J9451" s="236"/>
      <c r="K9451" s="236">
        <v>1234</v>
      </c>
      <c r="L9451" s="236">
        <f t="shared" si="569"/>
        <v>1234</v>
      </c>
      <c r="M9451" s="91">
        <f>I9451/L9451*100</f>
        <v>27.310372771474878</v>
      </c>
    </row>
    <row r="9452" spans="2:13" hidden="1" x14ac:dyDescent="0.3">
      <c r="B9452" t="s">
        <v>636</v>
      </c>
      <c r="C9452" s="25">
        <v>44743</v>
      </c>
      <c r="D9452" s="26">
        <v>0.96208333333333329</v>
      </c>
      <c r="E9452" t="s">
        <v>30</v>
      </c>
      <c r="F9452" t="s">
        <v>166</v>
      </c>
      <c r="G9452" t="s">
        <v>161</v>
      </c>
      <c r="H9452" t="s">
        <v>133</v>
      </c>
      <c r="I9452" s="173">
        <v>175.27</v>
      </c>
      <c r="J9452" s="236"/>
      <c r="K9452" s="236">
        <v>1234</v>
      </c>
      <c r="L9452" s="236">
        <f t="shared" si="569"/>
        <v>1234</v>
      </c>
      <c r="M9452" s="91">
        <f>I9452/L9452*100</f>
        <v>14.203403565640196</v>
      </c>
    </row>
    <row r="9453" spans="2:13" hidden="1" x14ac:dyDescent="0.3">
      <c r="B9453" t="s">
        <v>636</v>
      </c>
      <c r="C9453" s="25">
        <v>44744</v>
      </c>
      <c r="D9453" s="26">
        <v>0.64474537037037039</v>
      </c>
      <c r="E9453" t="s">
        <v>30</v>
      </c>
      <c r="F9453" t="s">
        <v>169</v>
      </c>
      <c r="G9453" t="s">
        <v>196</v>
      </c>
      <c r="H9453" t="s">
        <v>133</v>
      </c>
      <c r="I9453" s="173">
        <v>128.84</v>
      </c>
      <c r="J9453" s="236"/>
      <c r="K9453" s="236">
        <v>866663</v>
      </c>
      <c r="L9453" s="236">
        <f t="shared" si="569"/>
        <v>866663</v>
      </c>
      <c r="M9453" s="91">
        <f>I9453/L9453*100</f>
        <v>1.4866216741686214E-2</v>
      </c>
    </row>
    <row r="9454" spans="2:13" hidden="1" x14ac:dyDescent="0.3">
      <c r="B9454" t="s">
        <v>636</v>
      </c>
      <c r="C9454" s="25">
        <v>44745</v>
      </c>
      <c r="D9454" s="26">
        <v>0.90790509259259267</v>
      </c>
      <c r="E9454" t="s">
        <v>30</v>
      </c>
      <c r="F9454" t="s">
        <v>262</v>
      </c>
      <c r="G9454" t="s">
        <v>263</v>
      </c>
      <c r="H9454" t="s">
        <v>133</v>
      </c>
      <c r="I9454" s="173">
        <v>163.32</v>
      </c>
      <c r="J9454" s="173">
        <f>163+128+175+337+363+134+158+151+298</f>
        <v>1907</v>
      </c>
      <c r="K9454" s="173">
        <v>12345</v>
      </c>
      <c r="L9454" s="173">
        <v>4834</v>
      </c>
      <c r="M9454" s="149">
        <f>+J9454/L9454*100</f>
        <v>39.449731071576331</v>
      </c>
    </row>
    <row r="9455" spans="2:13" hidden="1" x14ac:dyDescent="0.3">
      <c r="B9455" t="s">
        <v>636</v>
      </c>
      <c r="C9455" s="25">
        <v>44758</v>
      </c>
      <c r="D9455" s="26">
        <v>0.7125462962962964</v>
      </c>
      <c r="E9455" t="s">
        <v>30</v>
      </c>
      <c r="F9455" t="s">
        <v>772</v>
      </c>
      <c r="G9455" t="s">
        <v>44</v>
      </c>
      <c r="H9455" t="s">
        <v>133</v>
      </c>
      <c r="I9455" s="173">
        <v>134.77000000000001</v>
      </c>
      <c r="J9455" s="233"/>
      <c r="K9455" s="260"/>
      <c r="L9455" s="233"/>
      <c r="M9455" s="254"/>
    </row>
    <row r="9456" spans="2:13" hidden="1" x14ac:dyDescent="0.3">
      <c r="B9456" t="s">
        <v>636</v>
      </c>
      <c r="C9456" s="25">
        <v>44759</v>
      </c>
      <c r="D9456" s="26">
        <v>0.41776620370370371</v>
      </c>
      <c r="E9456" t="s">
        <v>30</v>
      </c>
      <c r="F9456" t="s">
        <v>774</v>
      </c>
      <c r="G9456" t="s">
        <v>161</v>
      </c>
      <c r="H9456" t="s">
        <v>133</v>
      </c>
      <c r="I9456" s="159">
        <v>329.58</v>
      </c>
      <c r="J9456" s="287">
        <f>329+135</f>
        <v>464</v>
      </c>
      <c r="K9456" s="287"/>
      <c r="L9456" s="287">
        <v>862</v>
      </c>
      <c r="M9456" s="150"/>
    </row>
    <row r="9457" spans="2:13" hidden="1" x14ac:dyDescent="0.3">
      <c r="B9457" t="s">
        <v>636</v>
      </c>
      <c r="C9457" s="25">
        <v>44759</v>
      </c>
      <c r="D9457" s="26">
        <v>0.96866898148148151</v>
      </c>
      <c r="E9457" t="s">
        <v>30</v>
      </c>
      <c r="F9457" t="s">
        <v>165</v>
      </c>
      <c r="G9457" t="s">
        <v>185</v>
      </c>
      <c r="H9457" t="s">
        <v>133</v>
      </c>
      <c r="I9457" s="173">
        <v>321.94</v>
      </c>
      <c r="J9457" s="233"/>
      <c r="K9457" s="260"/>
      <c r="L9457" s="233"/>
      <c r="M9457" s="254"/>
    </row>
    <row r="9458" spans="2:13" hidden="1" x14ac:dyDescent="0.3">
      <c r="B9458" t="s">
        <v>636</v>
      </c>
      <c r="C9458" s="25">
        <v>44760</v>
      </c>
      <c r="D9458" s="26">
        <v>0.58425925925925926</v>
      </c>
      <c r="E9458" t="s">
        <v>30</v>
      </c>
      <c r="F9458" t="s">
        <v>202</v>
      </c>
      <c r="G9458" t="s">
        <v>203</v>
      </c>
      <c r="H9458" t="s">
        <v>133</v>
      </c>
      <c r="I9458" s="160">
        <v>179.31</v>
      </c>
      <c r="J9458" s="8"/>
      <c r="K9458" s="8">
        <v>12345</v>
      </c>
      <c r="L9458" s="8">
        <f t="shared" ref="L9458:L9475" si="570">+K9458-J9458</f>
        <v>12345</v>
      </c>
      <c r="M9458" s="254">
        <f t="shared" ref="M9458:M9475" si="571">+J9458/L9458*100</f>
        <v>0</v>
      </c>
    </row>
    <row r="9459" spans="2:13" hidden="1" x14ac:dyDescent="0.3">
      <c r="B9459" t="s">
        <v>636</v>
      </c>
      <c r="C9459" s="25">
        <v>44761</v>
      </c>
      <c r="D9459" s="26">
        <v>0.5366319444444444</v>
      </c>
      <c r="E9459" t="s">
        <v>30</v>
      </c>
      <c r="F9459" t="s">
        <v>202</v>
      </c>
      <c r="G9459" t="s">
        <v>203</v>
      </c>
      <c r="H9459" t="s">
        <v>133</v>
      </c>
      <c r="I9459" s="160">
        <v>150</v>
      </c>
      <c r="J9459" s="8"/>
      <c r="K9459" s="8">
        <v>800000</v>
      </c>
      <c r="L9459" s="8">
        <f t="shared" si="570"/>
        <v>800000</v>
      </c>
      <c r="M9459" s="254">
        <f t="shared" si="571"/>
        <v>0</v>
      </c>
    </row>
    <row r="9460" spans="2:13" hidden="1" x14ac:dyDescent="0.3">
      <c r="B9460" t="s">
        <v>636</v>
      </c>
      <c r="C9460" s="25">
        <v>44762</v>
      </c>
      <c r="D9460" s="26">
        <v>0.17885416666666668</v>
      </c>
      <c r="E9460" t="s">
        <v>30</v>
      </c>
      <c r="F9460" t="s">
        <v>165</v>
      </c>
      <c r="G9460" t="s">
        <v>185</v>
      </c>
      <c r="H9460" t="s">
        <v>133</v>
      </c>
      <c r="I9460" s="160">
        <v>285.93</v>
      </c>
      <c r="J9460" s="8"/>
      <c r="K9460" s="8">
        <v>12345</v>
      </c>
      <c r="L9460" s="8">
        <f t="shared" si="570"/>
        <v>12345</v>
      </c>
      <c r="M9460" s="254">
        <f t="shared" si="571"/>
        <v>0</v>
      </c>
    </row>
    <row r="9461" spans="2:13" hidden="1" x14ac:dyDescent="0.3">
      <c r="B9461" t="s">
        <v>636</v>
      </c>
      <c r="C9461" s="25">
        <v>44762</v>
      </c>
      <c r="D9461" s="26">
        <v>0.70309027777777777</v>
      </c>
      <c r="E9461" t="s">
        <v>30</v>
      </c>
      <c r="F9461" t="s">
        <v>210</v>
      </c>
      <c r="G9461" t="s">
        <v>211</v>
      </c>
      <c r="H9461" t="s">
        <v>133</v>
      </c>
      <c r="I9461" s="160">
        <v>170.57</v>
      </c>
      <c r="J9461" s="160"/>
      <c r="K9461" s="160">
        <v>767207</v>
      </c>
      <c r="L9461" s="160">
        <f t="shared" si="570"/>
        <v>767207</v>
      </c>
      <c r="M9461" s="150">
        <f t="shared" si="571"/>
        <v>0</v>
      </c>
    </row>
    <row r="9462" spans="2:13" hidden="1" x14ac:dyDescent="0.3">
      <c r="B9462" t="s">
        <v>636</v>
      </c>
      <c r="C9462" s="25">
        <v>44764</v>
      </c>
      <c r="D9462" s="26">
        <v>0.44914351851851847</v>
      </c>
      <c r="E9462" t="s">
        <v>30</v>
      </c>
      <c r="F9462" t="s">
        <v>169</v>
      </c>
      <c r="G9462" t="s">
        <v>196</v>
      </c>
      <c r="H9462" t="s">
        <v>133</v>
      </c>
      <c r="I9462" s="160">
        <v>165.47</v>
      </c>
      <c r="J9462" s="8"/>
      <c r="K9462" s="8">
        <v>98568</v>
      </c>
      <c r="L9462" s="8">
        <f t="shared" si="570"/>
        <v>98568</v>
      </c>
      <c r="M9462" s="254">
        <f t="shared" si="571"/>
        <v>0</v>
      </c>
    </row>
    <row r="9463" spans="2:13" hidden="1" x14ac:dyDescent="0.3">
      <c r="B9463" t="s">
        <v>636</v>
      </c>
      <c r="C9463" s="25">
        <v>44764</v>
      </c>
      <c r="D9463" s="26">
        <v>0.91475694444444444</v>
      </c>
      <c r="E9463" t="s">
        <v>30</v>
      </c>
      <c r="F9463" t="s">
        <v>262</v>
      </c>
      <c r="G9463" t="s">
        <v>263</v>
      </c>
      <c r="H9463" t="s">
        <v>133</v>
      </c>
      <c r="I9463" s="160">
        <v>163.37</v>
      </c>
      <c r="J9463" s="8"/>
      <c r="K9463" s="8">
        <v>1234</v>
      </c>
      <c r="L9463" s="8">
        <f t="shared" si="570"/>
        <v>1234</v>
      </c>
      <c r="M9463" s="254">
        <f t="shared" si="571"/>
        <v>0</v>
      </c>
    </row>
    <row r="9464" spans="2:13" hidden="1" x14ac:dyDescent="0.3">
      <c r="B9464" t="s">
        <v>636</v>
      </c>
      <c r="C9464" s="25">
        <v>44765</v>
      </c>
      <c r="D9464" s="26">
        <v>0.85908564814814825</v>
      </c>
      <c r="E9464" t="s">
        <v>30</v>
      </c>
      <c r="F9464" t="s">
        <v>197</v>
      </c>
      <c r="G9464" t="s">
        <v>44</v>
      </c>
      <c r="H9464" t="s">
        <v>133</v>
      </c>
      <c r="I9464" s="160">
        <v>134.77000000000001</v>
      </c>
      <c r="J9464" s="8"/>
      <c r="K9464" s="8">
        <v>888999</v>
      </c>
      <c r="L9464" s="8">
        <f t="shared" si="570"/>
        <v>888999</v>
      </c>
      <c r="M9464" s="254">
        <f t="shared" si="571"/>
        <v>0</v>
      </c>
    </row>
    <row r="9465" spans="2:13" hidden="1" x14ac:dyDescent="0.3">
      <c r="B9465" t="s">
        <v>636</v>
      </c>
      <c r="C9465" s="25">
        <v>44766</v>
      </c>
      <c r="D9465" s="26">
        <v>0.63726851851851851</v>
      </c>
      <c r="E9465" t="s">
        <v>30</v>
      </c>
      <c r="F9465" t="s">
        <v>166</v>
      </c>
      <c r="G9465" t="s">
        <v>161</v>
      </c>
      <c r="H9465" t="s">
        <v>133</v>
      </c>
      <c r="I9465" s="160">
        <v>262.39999999999998</v>
      </c>
      <c r="J9465" s="160"/>
      <c r="K9465" s="160">
        <v>1234</v>
      </c>
      <c r="L9465" s="160">
        <f t="shared" si="570"/>
        <v>1234</v>
      </c>
      <c r="M9465" s="150">
        <f t="shared" si="571"/>
        <v>0</v>
      </c>
    </row>
    <row r="9466" spans="2:13" hidden="1" x14ac:dyDescent="0.3">
      <c r="B9466" t="s">
        <v>636</v>
      </c>
      <c r="C9466" s="25">
        <v>44767</v>
      </c>
      <c r="D9466" s="26">
        <v>0.17886574074074071</v>
      </c>
      <c r="E9466" t="s">
        <v>30</v>
      </c>
      <c r="F9466" t="s">
        <v>165</v>
      </c>
      <c r="G9466" t="s">
        <v>185</v>
      </c>
      <c r="H9466" t="s">
        <v>133</v>
      </c>
      <c r="I9466" s="160">
        <v>66.31</v>
      </c>
      <c r="J9466" s="8"/>
      <c r="K9466" s="8">
        <v>12345</v>
      </c>
      <c r="L9466" s="8">
        <f t="shared" si="570"/>
        <v>12345</v>
      </c>
      <c r="M9466" s="254">
        <f t="shared" si="571"/>
        <v>0</v>
      </c>
    </row>
    <row r="9467" spans="2:13" hidden="1" x14ac:dyDescent="0.3">
      <c r="B9467" t="s">
        <v>636</v>
      </c>
      <c r="C9467" s="25">
        <v>44767</v>
      </c>
      <c r="D9467" s="26">
        <v>0.18851851851851853</v>
      </c>
      <c r="E9467" t="s">
        <v>30</v>
      </c>
      <c r="F9467" t="s">
        <v>165</v>
      </c>
      <c r="G9467" t="s">
        <v>185</v>
      </c>
      <c r="H9467" t="s">
        <v>133</v>
      </c>
      <c r="I9467" s="160">
        <v>245.98</v>
      </c>
      <c r="J9467" s="8"/>
      <c r="K9467" s="8">
        <v>12345</v>
      </c>
      <c r="L9467" s="8">
        <f t="shared" si="570"/>
        <v>12345</v>
      </c>
      <c r="M9467" s="254">
        <f t="shared" si="571"/>
        <v>0</v>
      </c>
    </row>
    <row r="9468" spans="2:13" hidden="1" x14ac:dyDescent="0.3">
      <c r="B9468" t="s">
        <v>636</v>
      </c>
      <c r="C9468" s="25">
        <v>44767</v>
      </c>
      <c r="D9468" s="26">
        <v>0.79652777777777783</v>
      </c>
      <c r="E9468" t="s">
        <v>30</v>
      </c>
      <c r="F9468" t="s">
        <v>210</v>
      </c>
      <c r="G9468" t="s">
        <v>211</v>
      </c>
      <c r="H9468" t="s">
        <v>133</v>
      </c>
      <c r="I9468" s="160">
        <v>167.71</v>
      </c>
      <c r="J9468" s="160"/>
      <c r="K9468" s="160">
        <v>4672</v>
      </c>
      <c r="L9468" s="160">
        <f t="shared" si="570"/>
        <v>4672</v>
      </c>
      <c r="M9468" s="150">
        <f t="shared" si="571"/>
        <v>0</v>
      </c>
    </row>
    <row r="9469" spans="2:13" hidden="1" x14ac:dyDescent="0.3">
      <c r="B9469" t="s">
        <v>636</v>
      </c>
      <c r="C9469" s="25">
        <v>44768</v>
      </c>
      <c r="D9469" s="26">
        <v>0.80004629629629631</v>
      </c>
      <c r="E9469" t="s">
        <v>30</v>
      </c>
      <c r="F9469" t="s">
        <v>274</v>
      </c>
      <c r="G9469" t="s">
        <v>495</v>
      </c>
      <c r="H9469" t="s">
        <v>133</v>
      </c>
      <c r="I9469" s="160">
        <v>100.04</v>
      </c>
      <c r="J9469" s="8"/>
      <c r="K9469" s="8">
        <v>1258</v>
      </c>
      <c r="L9469" s="8">
        <f t="shared" si="570"/>
        <v>1258</v>
      </c>
      <c r="M9469" s="254">
        <f t="shared" si="571"/>
        <v>0</v>
      </c>
    </row>
    <row r="9470" spans="2:13" hidden="1" x14ac:dyDescent="0.3">
      <c r="B9470" t="s">
        <v>636</v>
      </c>
      <c r="C9470" s="25">
        <v>44769</v>
      </c>
      <c r="D9470" s="26">
        <v>0.56688657407407406</v>
      </c>
      <c r="E9470" t="s">
        <v>30</v>
      </c>
      <c r="F9470" t="s">
        <v>175</v>
      </c>
      <c r="G9470" t="s">
        <v>172</v>
      </c>
      <c r="H9470" t="s">
        <v>133</v>
      </c>
      <c r="I9470" s="160">
        <v>269.73</v>
      </c>
      <c r="J9470" s="8"/>
      <c r="K9470" s="8">
        <v>12345</v>
      </c>
      <c r="L9470" s="8">
        <f t="shared" si="570"/>
        <v>12345</v>
      </c>
      <c r="M9470" s="254">
        <f t="shared" si="571"/>
        <v>0</v>
      </c>
    </row>
    <row r="9471" spans="2:13" hidden="1" x14ac:dyDescent="0.3">
      <c r="B9471" t="s">
        <v>636</v>
      </c>
      <c r="C9471" s="25">
        <v>44770</v>
      </c>
      <c r="D9471" s="26">
        <v>0.66886574074074068</v>
      </c>
      <c r="E9471" t="s">
        <v>30</v>
      </c>
      <c r="F9471" t="s">
        <v>197</v>
      </c>
      <c r="G9471" t="s">
        <v>44</v>
      </c>
      <c r="H9471" t="s">
        <v>133</v>
      </c>
      <c r="I9471" s="160">
        <v>134.77000000000001</v>
      </c>
      <c r="J9471" s="8"/>
      <c r="K9471" s="8">
        <v>888999</v>
      </c>
      <c r="L9471" s="8">
        <f t="shared" si="570"/>
        <v>888999</v>
      </c>
      <c r="M9471" s="254">
        <f t="shared" si="571"/>
        <v>0</v>
      </c>
    </row>
    <row r="9472" spans="2:13" hidden="1" x14ac:dyDescent="0.3">
      <c r="B9472" t="s">
        <v>636</v>
      </c>
      <c r="C9472" s="25">
        <v>44771</v>
      </c>
      <c r="D9472" s="26">
        <v>1.8506944444444444E-2</v>
      </c>
      <c r="E9472" t="s">
        <v>30</v>
      </c>
      <c r="F9472" t="s">
        <v>166</v>
      </c>
      <c r="G9472" t="s">
        <v>161</v>
      </c>
      <c r="H9472" t="s">
        <v>133</v>
      </c>
      <c r="I9472" s="160">
        <v>100.3</v>
      </c>
      <c r="J9472" s="160"/>
      <c r="K9472" s="160">
        <v>1234</v>
      </c>
      <c r="L9472" s="160">
        <f t="shared" si="570"/>
        <v>1234</v>
      </c>
      <c r="M9472" s="150">
        <f t="shared" si="571"/>
        <v>0</v>
      </c>
    </row>
    <row r="9473" spans="2:13" hidden="1" x14ac:dyDescent="0.3">
      <c r="B9473" t="s">
        <v>636</v>
      </c>
      <c r="C9473" s="25">
        <v>44771</v>
      </c>
      <c r="D9473" s="26">
        <v>0.7394560185185185</v>
      </c>
      <c r="E9473" t="s">
        <v>30</v>
      </c>
      <c r="F9473" t="s">
        <v>165</v>
      </c>
      <c r="G9473" t="s">
        <v>185</v>
      </c>
      <c r="H9473" t="s">
        <v>133</v>
      </c>
      <c r="I9473" s="160">
        <v>473.74</v>
      </c>
      <c r="J9473" s="8"/>
      <c r="K9473" s="8">
        <v>1500</v>
      </c>
      <c r="L9473" s="8">
        <f t="shared" si="570"/>
        <v>1500</v>
      </c>
      <c r="M9473" s="254">
        <f t="shared" si="571"/>
        <v>0</v>
      </c>
    </row>
    <row r="9474" spans="2:13" hidden="1" x14ac:dyDescent="0.3">
      <c r="B9474" t="s">
        <v>636</v>
      </c>
      <c r="C9474" s="25">
        <v>44772</v>
      </c>
      <c r="D9474" s="26">
        <v>0.83385416666666667</v>
      </c>
      <c r="E9474" t="s">
        <v>30</v>
      </c>
      <c r="F9474" t="s">
        <v>165</v>
      </c>
      <c r="G9474" t="s">
        <v>185</v>
      </c>
      <c r="H9474" t="s">
        <v>133</v>
      </c>
      <c r="I9474" s="160">
        <v>205.94</v>
      </c>
      <c r="J9474" s="8"/>
      <c r="K9474" s="8">
        <v>1234</v>
      </c>
      <c r="L9474" s="8">
        <f t="shared" si="570"/>
        <v>1234</v>
      </c>
      <c r="M9474" s="254">
        <f t="shared" si="571"/>
        <v>0</v>
      </c>
    </row>
    <row r="9475" spans="2:13" hidden="1" x14ac:dyDescent="0.3">
      <c r="B9475" t="s">
        <v>636</v>
      </c>
      <c r="C9475" s="25">
        <v>44773</v>
      </c>
      <c r="D9475" s="26">
        <v>0.8784143518518519</v>
      </c>
      <c r="E9475" t="s">
        <v>30</v>
      </c>
      <c r="F9475" t="s">
        <v>210</v>
      </c>
      <c r="G9475" t="s">
        <v>211</v>
      </c>
      <c r="H9475" t="s">
        <v>133</v>
      </c>
      <c r="I9475" s="160">
        <v>158.33000000000001</v>
      </c>
      <c r="J9475" s="160"/>
      <c r="K9475" s="160">
        <v>4672</v>
      </c>
      <c r="L9475" s="160">
        <f t="shared" si="570"/>
        <v>4672</v>
      </c>
      <c r="M9475" s="150">
        <f t="shared" si="571"/>
        <v>0</v>
      </c>
    </row>
    <row r="9476" spans="2:13" hidden="1" x14ac:dyDescent="0.3">
      <c r="B9476" t="s">
        <v>416</v>
      </c>
      <c r="C9476" s="25">
        <v>44743</v>
      </c>
      <c r="D9476" s="26">
        <v>0.66310185185185189</v>
      </c>
      <c r="E9476" t="s">
        <v>30</v>
      </c>
      <c r="F9476" t="s">
        <v>166</v>
      </c>
      <c r="G9476" t="s">
        <v>161</v>
      </c>
      <c r="H9476" t="s">
        <v>282</v>
      </c>
      <c r="I9476" s="173">
        <v>226.02</v>
      </c>
      <c r="J9476" s="236"/>
      <c r="K9476" s="236"/>
      <c r="L9476" s="236"/>
      <c r="M9476" s="254"/>
    </row>
    <row r="9477" spans="2:13" hidden="1" x14ac:dyDescent="0.3">
      <c r="B9477" t="s">
        <v>416</v>
      </c>
      <c r="C9477" s="25">
        <v>44744</v>
      </c>
      <c r="D9477" s="26">
        <v>0.70083333333333331</v>
      </c>
      <c r="E9477" t="s">
        <v>30</v>
      </c>
      <c r="F9477" t="s">
        <v>175</v>
      </c>
      <c r="G9477" t="s">
        <v>172</v>
      </c>
      <c r="H9477" t="s">
        <v>282</v>
      </c>
      <c r="I9477" s="173">
        <v>318.68</v>
      </c>
      <c r="J9477" s="236"/>
      <c r="K9477" s="236"/>
      <c r="L9477" s="236"/>
      <c r="M9477" s="254"/>
    </row>
    <row r="9478" spans="2:13" hidden="1" x14ac:dyDescent="0.3">
      <c r="B9478" t="s">
        <v>416</v>
      </c>
      <c r="C9478" s="25">
        <v>44745</v>
      </c>
      <c r="D9478" s="26">
        <v>0.92555555555555558</v>
      </c>
      <c r="E9478" t="s">
        <v>30</v>
      </c>
      <c r="F9478" t="s">
        <v>210</v>
      </c>
      <c r="G9478" t="s">
        <v>211</v>
      </c>
      <c r="H9478" t="s">
        <v>282</v>
      </c>
      <c r="I9478" s="173">
        <v>357.83</v>
      </c>
      <c r="J9478" s="236"/>
      <c r="K9478" s="236"/>
      <c r="L9478" s="236"/>
      <c r="M9478" s="254"/>
    </row>
    <row r="9479" spans="2:13" hidden="1" x14ac:dyDescent="0.3">
      <c r="B9479" t="s">
        <v>416</v>
      </c>
      <c r="C9479" s="25">
        <v>44747</v>
      </c>
      <c r="D9479" s="26">
        <v>6.0243055555555557E-2</v>
      </c>
      <c r="E9479" t="s">
        <v>30</v>
      </c>
      <c r="F9479" t="s">
        <v>210</v>
      </c>
      <c r="G9479" t="s">
        <v>211</v>
      </c>
      <c r="H9479" t="s">
        <v>282</v>
      </c>
      <c r="I9479" s="173">
        <v>447.84</v>
      </c>
      <c r="J9479" s="173">
        <f>447+357+318+226+308+270+63+438+502</f>
        <v>2929</v>
      </c>
      <c r="K9479" s="173">
        <v>1613</v>
      </c>
      <c r="L9479" s="173">
        <v>6871</v>
      </c>
      <c r="M9479" s="150">
        <f>+J9479/L9479*100</f>
        <v>42.628438364139136</v>
      </c>
    </row>
    <row r="9480" spans="2:13" hidden="1" x14ac:dyDescent="0.3">
      <c r="B9480" t="s">
        <v>416</v>
      </c>
      <c r="C9480" s="25">
        <v>44747</v>
      </c>
      <c r="D9480" s="26">
        <v>0.62096064814814811</v>
      </c>
      <c r="E9480" t="s">
        <v>30</v>
      </c>
      <c r="F9480" t="s">
        <v>169</v>
      </c>
      <c r="G9480" t="s">
        <v>196</v>
      </c>
      <c r="H9480" t="s">
        <v>282</v>
      </c>
      <c r="I9480" s="173">
        <v>183.83</v>
      </c>
      <c r="J9480" s="236"/>
      <c r="K9480" s="236"/>
      <c r="L9480" s="236"/>
      <c r="M9480" s="254"/>
    </row>
    <row r="9481" spans="2:13" hidden="1" x14ac:dyDescent="0.3">
      <c r="B9481" t="s">
        <v>416</v>
      </c>
      <c r="C9481" s="25">
        <v>44749</v>
      </c>
      <c r="D9481" s="26">
        <v>0.71346064814814814</v>
      </c>
      <c r="E9481" t="s">
        <v>30</v>
      </c>
      <c r="F9481" t="s">
        <v>772</v>
      </c>
      <c r="G9481" t="s">
        <v>44</v>
      </c>
      <c r="H9481" t="s">
        <v>282</v>
      </c>
      <c r="I9481" s="173">
        <v>120.65</v>
      </c>
      <c r="J9481" s="236"/>
      <c r="K9481" s="236"/>
      <c r="L9481" s="236"/>
      <c r="M9481" s="254"/>
    </row>
    <row r="9482" spans="2:13" hidden="1" x14ac:dyDescent="0.3">
      <c r="B9482" t="s">
        <v>416</v>
      </c>
      <c r="C9482" s="25">
        <v>44750</v>
      </c>
      <c r="D9482" s="26">
        <v>0.5038541666666666</v>
      </c>
      <c r="E9482" t="s">
        <v>30</v>
      </c>
      <c r="F9482" t="s">
        <v>774</v>
      </c>
      <c r="G9482" t="s">
        <v>161</v>
      </c>
      <c r="H9482" t="s">
        <v>282</v>
      </c>
      <c r="I9482" s="173">
        <v>333.33</v>
      </c>
      <c r="J9482" s="236"/>
      <c r="K9482" s="236"/>
      <c r="L9482" s="236"/>
      <c r="M9482" s="254"/>
    </row>
    <row r="9483" spans="2:13" hidden="1" x14ac:dyDescent="0.3">
      <c r="B9483" t="s">
        <v>416</v>
      </c>
      <c r="C9483" s="25">
        <v>44750</v>
      </c>
      <c r="D9483" s="26">
        <v>0.51172453703703702</v>
      </c>
      <c r="E9483" t="s">
        <v>30</v>
      </c>
      <c r="F9483" t="s">
        <v>774</v>
      </c>
      <c r="G9483" t="s">
        <v>161</v>
      </c>
      <c r="H9483" t="s">
        <v>282</v>
      </c>
      <c r="I9483" s="173">
        <v>103.48</v>
      </c>
      <c r="J9483" s="173">
        <f>184+121+333+103</f>
        <v>741</v>
      </c>
      <c r="K9483" s="173"/>
      <c r="L9483" s="173">
        <v>1722</v>
      </c>
      <c r="M9483" s="150">
        <f>+J9483/L9483*100</f>
        <v>43.031358885017426</v>
      </c>
    </row>
    <row r="9484" spans="2:13" hidden="1" x14ac:dyDescent="0.3">
      <c r="B9484" t="s">
        <v>416</v>
      </c>
      <c r="C9484" s="25">
        <v>44751</v>
      </c>
      <c r="D9484" s="26">
        <v>0.82229166666666664</v>
      </c>
      <c r="E9484" t="s">
        <v>30</v>
      </c>
      <c r="F9484" t="s">
        <v>210</v>
      </c>
      <c r="G9484" t="s">
        <v>211</v>
      </c>
      <c r="H9484" t="s">
        <v>282</v>
      </c>
      <c r="I9484" s="173">
        <v>471.7</v>
      </c>
      <c r="J9484" s="236"/>
      <c r="K9484" s="236"/>
      <c r="L9484" s="236"/>
      <c r="M9484" s="254"/>
    </row>
    <row r="9485" spans="2:13" hidden="1" x14ac:dyDescent="0.3">
      <c r="B9485" t="s">
        <v>416</v>
      </c>
      <c r="C9485" s="25">
        <v>44752</v>
      </c>
      <c r="D9485" s="26">
        <v>0.59777777777777785</v>
      </c>
      <c r="E9485" t="s">
        <v>30</v>
      </c>
      <c r="F9485" t="s">
        <v>169</v>
      </c>
      <c r="G9485" t="s">
        <v>196</v>
      </c>
      <c r="H9485" t="s">
        <v>282</v>
      </c>
      <c r="I9485" s="173">
        <v>181.56</v>
      </c>
      <c r="J9485" s="173">
        <f>418+181</f>
        <v>599</v>
      </c>
      <c r="K9485" s="173"/>
      <c r="L9485" s="173">
        <v>1462</v>
      </c>
      <c r="M9485" s="150">
        <f>+J9485/L9485*100</f>
        <v>40.971272229822162</v>
      </c>
    </row>
    <row r="9486" spans="2:13" hidden="1" x14ac:dyDescent="0.3">
      <c r="B9486" t="s">
        <v>416</v>
      </c>
      <c r="C9486" s="25">
        <v>44755</v>
      </c>
      <c r="D9486" s="26">
        <v>6.1018518518518521E-2</v>
      </c>
      <c r="E9486" t="s">
        <v>30</v>
      </c>
      <c r="F9486" t="s">
        <v>772</v>
      </c>
      <c r="G9486" t="s">
        <v>44</v>
      </c>
      <c r="H9486" t="s">
        <v>282</v>
      </c>
      <c r="I9486" s="159">
        <v>313.81</v>
      </c>
      <c r="J9486" s="233"/>
      <c r="K9486" s="233"/>
      <c r="L9486" s="233"/>
      <c r="M9486" s="254"/>
    </row>
    <row r="9487" spans="2:13" hidden="1" x14ac:dyDescent="0.3">
      <c r="B9487" t="s">
        <v>416</v>
      </c>
      <c r="C9487" s="25">
        <v>44755</v>
      </c>
      <c r="D9487" s="26">
        <v>0.59858796296296302</v>
      </c>
      <c r="E9487" t="s">
        <v>30</v>
      </c>
      <c r="F9487" t="s">
        <v>774</v>
      </c>
      <c r="G9487" t="s">
        <v>161</v>
      </c>
      <c r="H9487" t="s">
        <v>282</v>
      </c>
      <c r="I9487" s="310">
        <v>315.83</v>
      </c>
      <c r="J9487" s="233"/>
      <c r="K9487" s="233"/>
      <c r="L9487" s="233"/>
      <c r="M9487" s="254"/>
    </row>
    <row r="9488" spans="2:13" hidden="1" x14ac:dyDescent="0.3">
      <c r="B9488" t="s">
        <v>416</v>
      </c>
      <c r="C9488" s="25">
        <v>44756</v>
      </c>
      <c r="D9488" s="26">
        <v>0.60952546296296295</v>
      </c>
      <c r="E9488" t="s">
        <v>30</v>
      </c>
      <c r="F9488" t="s">
        <v>165</v>
      </c>
      <c r="G9488" t="s">
        <v>185</v>
      </c>
      <c r="H9488" t="s">
        <v>282</v>
      </c>
      <c r="I9488" s="310">
        <v>326.56</v>
      </c>
      <c r="J9488" s="233"/>
      <c r="K9488" s="233"/>
      <c r="L9488" s="233"/>
      <c r="M9488" s="254"/>
    </row>
    <row r="9489" spans="2:13" hidden="1" x14ac:dyDescent="0.3">
      <c r="B9489" t="s">
        <v>416</v>
      </c>
      <c r="C9489" s="25">
        <v>44756</v>
      </c>
      <c r="D9489" s="26">
        <v>0.90681712962962957</v>
      </c>
      <c r="E9489" t="s">
        <v>30</v>
      </c>
      <c r="F9489" t="s">
        <v>210</v>
      </c>
      <c r="G9489" t="s">
        <v>211</v>
      </c>
      <c r="H9489" t="s">
        <v>282</v>
      </c>
      <c r="I9489" s="173">
        <v>150.58000000000001</v>
      </c>
      <c r="J9489" s="231">
        <f>150+326+316+314</f>
        <v>1106</v>
      </c>
      <c r="K9489" s="231"/>
      <c r="L9489" s="231">
        <v>2583</v>
      </c>
      <c r="M9489" s="150">
        <f>+J9489/L9489*100</f>
        <v>42.818428184281842</v>
      </c>
    </row>
    <row r="9490" spans="2:13" hidden="1" x14ac:dyDescent="0.3">
      <c r="B9490" t="s">
        <v>416</v>
      </c>
      <c r="C9490" s="25">
        <v>44757</v>
      </c>
      <c r="D9490" s="26">
        <v>0.93896990740740749</v>
      </c>
      <c r="E9490" t="s">
        <v>30</v>
      </c>
      <c r="F9490" t="s">
        <v>428</v>
      </c>
      <c r="G9490" t="s">
        <v>429</v>
      </c>
      <c r="H9490" t="s">
        <v>282</v>
      </c>
      <c r="I9490" s="173">
        <v>102.29</v>
      </c>
      <c r="J9490" s="233"/>
      <c r="K9490" s="233"/>
      <c r="L9490" s="233"/>
      <c r="M9490" s="254"/>
    </row>
    <row r="9491" spans="2:13" hidden="1" x14ac:dyDescent="0.3">
      <c r="B9491" t="s">
        <v>416</v>
      </c>
      <c r="C9491" s="25">
        <v>44757</v>
      </c>
      <c r="D9491" s="26">
        <v>0.94273148148148145</v>
      </c>
      <c r="E9491" t="s">
        <v>30</v>
      </c>
      <c r="F9491" t="s">
        <v>428</v>
      </c>
      <c r="G9491" t="s">
        <v>429</v>
      </c>
      <c r="H9491" t="s">
        <v>282</v>
      </c>
      <c r="I9491" s="173">
        <v>210.46</v>
      </c>
      <c r="J9491" s="233"/>
      <c r="K9491" s="233"/>
      <c r="L9491" s="233"/>
      <c r="M9491" s="254"/>
    </row>
    <row r="9492" spans="2:13" hidden="1" x14ac:dyDescent="0.3">
      <c r="B9492" t="s">
        <v>416</v>
      </c>
      <c r="C9492" s="25">
        <v>44759</v>
      </c>
      <c r="D9492" s="26">
        <v>0.68171296296296291</v>
      </c>
      <c r="E9492" t="s">
        <v>30</v>
      </c>
      <c r="F9492" t="s">
        <v>774</v>
      </c>
      <c r="G9492" t="s">
        <v>161</v>
      </c>
      <c r="H9492" t="s">
        <v>282</v>
      </c>
      <c r="I9492" s="173">
        <v>454.47</v>
      </c>
      <c r="J9492" s="231">
        <f>454+240+102</f>
        <v>796</v>
      </c>
      <c r="K9492" s="231"/>
      <c r="L9492" s="231">
        <v>1838</v>
      </c>
      <c r="M9492" s="150">
        <f t="shared" ref="M9492:M9507" si="572">+J9492/L9492*100</f>
        <v>43.307943416757347</v>
      </c>
    </row>
    <row r="9493" spans="2:13" hidden="1" x14ac:dyDescent="0.3">
      <c r="B9493" t="s">
        <v>416</v>
      </c>
      <c r="C9493" s="25">
        <v>44760</v>
      </c>
      <c r="D9493" s="26">
        <v>0.79030092592592593</v>
      </c>
      <c r="E9493" t="s">
        <v>30</v>
      </c>
      <c r="F9493" t="s">
        <v>533</v>
      </c>
      <c r="G9493" t="s">
        <v>45</v>
      </c>
      <c r="H9493" t="s">
        <v>282</v>
      </c>
      <c r="I9493" s="160">
        <v>342.3</v>
      </c>
      <c r="J9493" s="8"/>
      <c r="K9493" s="8"/>
      <c r="L9493" s="8"/>
      <c r="M9493" s="254"/>
    </row>
    <row r="9494" spans="2:13" hidden="1" x14ac:dyDescent="0.3">
      <c r="B9494" t="s">
        <v>416</v>
      </c>
      <c r="C9494" s="25">
        <v>44761</v>
      </c>
      <c r="D9494" s="26">
        <v>0.88874999999999993</v>
      </c>
      <c r="E9494" t="s">
        <v>30</v>
      </c>
      <c r="F9494" t="s">
        <v>210</v>
      </c>
      <c r="G9494" t="s">
        <v>211</v>
      </c>
      <c r="H9494" t="s">
        <v>282</v>
      </c>
      <c r="I9494" s="160">
        <v>223.44</v>
      </c>
      <c r="J9494" s="160"/>
      <c r="K9494" s="160">
        <v>1613</v>
      </c>
      <c r="L9494" s="160">
        <f t="shared" ref="L9494:L9507" si="573">+K9494-J9494</f>
        <v>1613</v>
      </c>
      <c r="M9494" s="150">
        <f t="shared" si="572"/>
        <v>0</v>
      </c>
    </row>
    <row r="9495" spans="2:13" hidden="1" x14ac:dyDescent="0.3">
      <c r="B9495" t="s">
        <v>416</v>
      </c>
      <c r="C9495" s="25">
        <v>44763</v>
      </c>
      <c r="D9495" s="26">
        <v>0.45516203703703706</v>
      </c>
      <c r="E9495" t="s">
        <v>30</v>
      </c>
      <c r="F9495" t="s">
        <v>428</v>
      </c>
      <c r="G9495" t="s">
        <v>429</v>
      </c>
      <c r="H9495" t="s">
        <v>282</v>
      </c>
      <c r="I9495" s="160">
        <v>100.03</v>
      </c>
      <c r="J9495" s="8"/>
      <c r="K9495" s="8"/>
      <c r="L9495" s="8"/>
      <c r="M9495" s="254"/>
    </row>
    <row r="9496" spans="2:13" hidden="1" x14ac:dyDescent="0.3">
      <c r="B9496" t="s">
        <v>416</v>
      </c>
      <c r="C9496" s="25">
        <v>44763</v>
      </c>
      <c r="D9496" s="26">
        <v>0.45771990740740742</v>
      </c>
      <c r="E9496" t="s">
        <v>30</v>
      </c>
      <c r="F9496" t="s">
        <v>428</v>
      </c>
      <c r="G9496" t="s">
        <v>429</v>
      </c>
      <c r="H9496" t="s">
        <v>282</v>
      </c>
      <c r="I9496" s="160">
        <v>103.87</v>
      </c>
      <c r="J9496" s="8"/>
      <c r="K9496" s="8"/>
      <c r="L9496" s="8"/>
      <c r="M9496" s="254"/>
    </row>
    <row r="9497" spans="2:13" hidden="1" x14ac:dyDescent="0.3">
      <c r="B9497" t="s">
        <v>416</v>
      </c>
      <c r="C9497" s="25">
        <v>44764</v>
      </c>
      <c r="D9497" s="26">
        <v>0.39664351851851848</v>
      </c>
      <c r="E9497" t="s">
        <v>30</v>
      </c>
      <c r="F9497" t="s">
        <v>197</v>
      </c>
      <c r="G9497" t="s">
        <v>44</v>
      </c>
      <c r="H9497" t="s">
        <v>282</v>
      </c>
      <c r="I9497" s="160">
        <v>134.77000000000001</v>
      </c>
      <c r="J9497" s="8"/>
      <c r="K9497" s="8"/>
      <c r="L9497" s="8"/>
      <c r="M9497" s="254"/>
    </row>
    <row r="9498" spans="2:13" hidden="1" x14ac:dyDescent="0.3">
      <c r="B9498" t="s">
        <v>416</v>
      </c>
      <c r="C9498" s="25">
        <v>44764</v>
      </c>
      <c r="D9498" s="26">
        <v>0.40256944444444448</v>
      </c>
      <c r="E9498" t="s">
        <v>30</v>
      </c>
      <c r="F9498" t="s">
        <v>197</v>
      </c>
      <c r="G9498" t="s">
        <v>44</v>
      </c>
      <c r="H9498" t="s">
        <v>282</v>
      </c>
      <c r="I9498" s="160">
        <v>164.93</v>
      </c>
      <c r="J9498" s="8"/>
      <c r="K9498" s="8"/>
      <c r="L9498" s="8"/>
      <c r="M9498" s="254"/>
    </row>
    <row r="9499" spans="2:13" hidden="1" x14ac:dyDescent="0.3">
      <c r="B9499" t="s">
        <v>416</v>
      </c>
      <c r="C9499" s="25">
        <v>44764</v>
      </c>
      <c r="D9499" s="26">
        <v>0.86828703703703702</v>
      </c>
      <c r="E9499" t="s">
        <v>30</v>
      </c>
      <c r="F9499" t="s">
        <v>210</v>
      </c>
      <c r="G9499" t="s">
        <v>211</v>
      </c>
      <c r="H9499" t="s">
        <v>282</v>
      </c>
      <c r="I9499" s="160">
        <v>235</v>
      </c>
      <c r="J9499" s="8"/>
      <c r="K9499" s="8"/>
      <c r="L9499" s="8"/>
      <c r="M9499" s="254"/>
    </row>
    <row r="9500" spans="2:13" hidden="1" x14ac:dyDescent="0.3">
      <c r="B9500" t="s">
        <v>416</v>
      </c>
      <c r="C9500" s="25">
        <v>44766</v>
      </c>
      <c r="D9500" s="26">
        <v>0.80658564814814815</v>
      </c>
      <c r="E9500" t="s">
        <v>30</v>
      </c>
      <c r="F9500" t="s">
        <v>210</v>
      </c>
      <c r="G9500" t="s">
        <v>211</v>
      </c>
      <c r="H9500" t="s">
        <v>282</v>
      </c>
      <c r="I9500" s="160">
        <v>75.42</v>
      </c>
      <c r="J9500" s="160"/>
      <c r="K9500" s="160">
        <v>1613</v>
      </c>
      <c r="L9500" s="160">
        <f t="shared" si="573"/>
        <v>1613</v>
      </c>
      <c r="M9500" s="150">
        <f t="shared" si="572"/>
        <v>0</v>
      </c>
    </row>
    <row r="9501" spans="2:13" hidden="1" x14ac:dyDescent="0.3">
      <c r="B9501" t="s">
        <v>416</v>
      </c>
      <c r="C9501" s="25">
        <v>44768</v>
      </c>
      <c r="D9501" s="26">
        <v>0.57210648148148147</v>
      </c>
      <c r="E9501" t="s">
        <v>30</v>
      </c>
      <c r="F9501" t="s">
        <v>428</v>
      </c>
      <c r="G9501" t="s">
        <v>429</v>
      </c>
      <c r="H9501" t="s">
        <v>282</v>
      </c>
      <c r="I9501" s="160">
        <v>100.19</v>
      </c>
      <c r="J9501" s="8"/>
      <c r="K9501" s="8"/>
      <c r="L9501" s="8"/>
      <c r="M9501" s="254"/>
    </row>
    <row r="9502" spans="2:13" hidden="1" x14ac:dyDescent="0.3">
      <c r="B9502" t="s">
        <v>416</v>
      </c>
      <c r="C9502" s="25">
        <v>44768</v>
      </c>
      <c r="D9502" s="26">
        <v>0.57417824074074075</v>
      </c>
      <c r="E9502" t="s">
        <v>30</v>
      </c>
      <c r="F9502" t="s">
        <v>428</v>
      </c>
      <c r="G9502" t="s">
        <v>429</v>
      </c>
      <c r="H9502" t="s">
        <v>282</v>
      </c>
      <c r="I9502" s="160">
        <f>211.13+200.01</f>
        <v>411.14</v>
      </c>
      <c r="J9502" s="8"/>
      <c r="K9502" s="8"/>
      <c r="L9502" s="8"/>
      <c r="M9502" s="254"/>
    </row>
    <row r="9503" spans="2:13" hidden="1" x14ac:dyDescent="0.3">
      <c r="B9503" t="s">
        <v>416</v>
      </c>
      <c r="C9503" s="25">
        <v>44769</v>
      </c>
      <c r="D9503" s="26">
        <v>0.6975231481481482</v>
      </c>
      <c r="E9503" t="s">
        <v>30</v>
      </c>
      <c r="F9503" t="s">
        <v>210</v>
      </c>
      <c r="G9503" t="s">
        <v>211</v>
      </c>
      <c r="H9503" t="s">
        <v>282</v>
      </c>
      <c r="I9503" s="160">
        <v>278.06</v>
      </c>
      <c r="J9503" s="8"/>
      <c r="K9503" s="8"/>
      <c r="L9503" s="8"/>
      <c r="M9503" s="254"/>
    </row>
    <row r="9504" spans="2:13" hidden="1" x14ac:dyDescent="0.3">
      <c r="B9504" t="s">
        <v>416</v>
      </c>
      <c r="C9504" s="25">
        <v>44770</v>
      </c>
      <c r="D9504" s="26">
        <v>0.73674768518518519</v>
      </c>
      <c r="E9504" t="s">
        <v>30</v>
      </c>
      <c r="F9504" t="s">
        <v>210</v>
      </c>
      <c r="G9504" t="s">
        <v>211</v>
      </c>
      <c r="H9504" t="s">
        <v>282</v>
      </c>
      <c r="I9504" s="160">
        <v>400.03</v>
      </c>
      <c r="J9504" s="160"/>
      <c r="K9504" s="160">
        <v>1613</v>
      </c>
      <c r="L9504" s="160">
        <f t="shared" si="573"/>
        <v>1613</v>
      </c>
      <c r="M9504" s="150">
        <f t="shared" si="572"/>
        <v>0</v>
      </c>
    </row>
    <row r="9505" spans="1:13" hidden="1" x14ac:dyDescent="0.3">
      <c r="B9505" t="s">
        <v>416</v>
      </c>
      <c r="C9505" s="25">
        <v>44771</v>
      </c>
      <c r="D9505" s="26">
        <v>0.75928240740740749</v>
      </c>
      <c r="E9505" t="s">
        <v>30</v>
      </c>
      <c r="F9505" t="s">
        <v>545</v>
      </c>
      <c r="G9505" t="s">
        <v>546</v>
      </c>
      <c r="H9505" t="s">
        <v>282</v>
      </c>
      <c r="I9505" s="160">
        <v>288.17</v>
      </c>
      <c r="J9505" s="8"/>
      <c r="K9505" s="8"/>
      <c r="L9505" s="8"/>
      <c r="M9505" s="254"/>
    </row>
    <row r="9506" spans="1:13" hidden="1" x14ac:dyDescent="0.3">
      <c r="B9506" t="s">
        <v>416</v>
      </c>
      <c r="C9506" s="25">
        <v>44772</v>
      </c>
      <c r="D9506" s="26">
        <v>0.80512731481481481</v>
      </c>
      <c r="E9506" t="s">
        <v>30</v>
      </c>
      <c r="F9506" t="s">
        <v>197</v>
      </c>
      <c r="G9506" t="s">
        <v>44</v>
      </c>
      <c r="H9506" t="s">
        <v>282</v>
      </c>
      <c r="I9506" s="160">
        <f>82.3+134.77</f>
        <v>217.07</v>
      </c>
      <c r="J9506" s="8"/>
      <c r="K9506" s="8"/>
      <c r="L9506" s="8"/>
      <c r="M9506" s="254"/>
    </row>
    <row r="9507" spans="1:13" hidden="1" x14ac:dyDescent="0.3">
      <c r="B9507" t="s">
        <v>416</v>
      </c>
      <c r="C9507" s="25">
        <v>44773</v>
      </c>
      <c r="D9507" s="26">
        <v>0.59333333333333338</v>
      </c>
      <c r="E9507" t="s">
        <v>30</v>
      </c>
      <c r="F9507" t="s">
        <v>166</v>
      </c>
      <c r="G9507" t="s">
        <v>161</v>
      </c>
      <c r="H9507" t="s">
        <v>282</v>
      </c>
      <c r="I9507" s="160">
        <v>230.17</v>
      </c>
      <c r="J9507" s="160"/>
      <c r="K9507" s="160">
        <v>1234</v>
      </c>
      <c r="L9507" s="160">
        <f t="shared" si="573"/>
        <v>1234</v>
      </c>
      <c r="M9507" s="150">
        <f t="shared" si="572"/>
        <v>0</v>
      </c>
    </row>
    <row r="9508" spans="1:13" hidden="1" x14ac:dyDescent="0.3">
      <c r="A9508" s="9">
        <v>6751</v>
      </c>
      <c r="B9508" t="s">
        <v>276</v>
      </c>
      <c r="C9508" s="25">
        <v>44750</v>
      </c>
      <c r="D9508" s="26">
        <v>0.86663194444444447</v>
      </c>
      <c r="E9508" t="s">
        <v>30</v>
      </c>
      <c r="F9508" t="s">
        <v>772</v>
      </c>
      <c r="G9508" t="s">
        <v>44</v>
      </c>
      <c r="H9508" t="s">
        <v>135</v>
      </c>
      <c r="I9508" s="173" t="s">
        <v>867</v>
      </c>
      <c r="J9508" s="8"/>
      <c r="K9508" s="8"/>
      <c r="L9508" s="8"/>
      <c r="M9508" s="91"/>
    </row>
    <row r="9509" spans="1:13" hidden="1" x14ac:dyDescent="0.3">
      <c r="A9509" s="9">
        <v>6751</v>
      </c>
      <c r="B9509" t="s">
        <v>276</v>
      </c>
      <c r="C9509" s="25">
        <v>44751</v>
      </c>
      <c r="D9509" s="26">
        <v>0.47912037037037036</v>
      </c>
      <c r="E9509" t="s">
        <v>30</v>
      </c>
      <c r="F9509" t="s">
        <v>210</v>
      </c>
      <c r="G9509" t="s">
        <v>211</v>
      </c>
      <c r="H9509" t="s">
        <v>135</v>
      </c>
      <c r="I9509" s="173" t="s">
        <v>866</v>
      </c>
      <c r="J9509" s="160">
        <f>215+118+254+442</f>
        <v>1029</v>
      </c>
      <c r="K9509" s="160"/>
      <c r="L9509" s="160">
        <v>2764</v>
      </c>
      <c r="M9509" s="149">
        <f>+J9509/L9509*100</f>
        <v>37.228654124457307</v>
      </c>
    </row>
    <row r="9510" spans="1:13" hidden="1" x14ac:dyDescent="0.3">
      <c r="A9510" s="9">
        <v>6751</v>
      </c>
      <c r="B9510" t="s">
        <v>276</v>
      </c>
      <c r="C9510" s="25">
        <v>44753</v>
      </c>
      <c r="D9510" s="26">
        <v>0.70327546296296306</v>
      </c>
      <c r="E9510" t="s">
        <v>30</v>
      </c>
      <c r="F9510" t="s">
        <v>165</v>
      </c>
      <c r="G9510" t="s">
        <v>185</v>
      </c>
      <c r="H9510" t="s">
        <v>135</v>
      </c>
      <c r="I9510" s="173" t="s">
        <v>902</v>
      </c>
      <c r="J9510" s="23"/>
      <c r="K9510" s="23"/>
      <c r="L9510" s="23"/>
      <c r="M9510" s="254"/>
    </row>
    <row r="9511" spans="1:13" hidden="1" x14ac:dyDescent="0.3">
      <c r="A9511" s="9">
        <v>6751</v>
      </c>
      <c r="B9511" t="s">
        <v>276</v>
      </c>
      <c r="C9511" s="25">
        <v>44755</v>
      </c>
      <c r="D9511" s="26">
        <v>0.73721064814814818</v>
      </c>
      <c r="E9511" t="s">
        <v>30</v>
      </c>
      <c r="F9511" t="s">
        <v>165</v>
      </c>
      <c r="G9511" t="s">
        <v>185</v>
      </c>
      <c r="H9511" t="s">
        <v>135</v>
      </c>
      <c r="I9511" s="173" t="s">
        <v>1005</v>
      </c>
      <c r="J9511" s="23"/>
      <c r="K9511" s="23"/>
      <c r="L9511" s="23"/>
      <c r="M9511" s="254"/>
    </row>
    <row r="9512" spans="1:13" hidden="1" x14ac:dyDescent="0.3">
      <c r="A9512" s="9">
        <v>6751</v>
      </c>
      <c r="B9512" t="s">
        <v>276</v>
      </c>
      <c r="C9512" s="25">
        <v>44759</v>
      </c>
      <c r="D9512" s="26">
        <v>8.6562500000000001E-2</v>
      </c>
      <c r="E9512" t="s">
        <v>30</v>
      </c>
      <c r="F9512" t="s">
        <v>937</v>
      </c>
      <c r="G9512" t="s">
        <v>336</v>
      </c>
      <c r="H9512" t="s">
        <v>135</v>
      </c>
      <c r="I9512" s="173" t="s">
        <v>1004</v>
      </c>
      <c r="J9512" s="231">
        <f>396+390+432</f>
        <v>1218</v>
      </c>
      <c r="K9512" s="151"/>
      <c r="L9512" s="151">
        <v>2926</v>
      </c>
      <c r="M9512" s="150">
        <f t="shared" ref="M9512" si="574">+J9512/L9512*100</f>
        <v>41.626794258373209</v>
      </c>
    </row>
    <row r="9513" spans="1:13" hidden="1" x14ac:dyDescent="0.3">
      <c r="B9513" t="s">
        <v>276</v>
      </c>
      <c r="C9513" s="25">
        <v>44760</v>
      </c>
      <c r="D9513" s="26">
        <v>0.79178240740740735</v>
      </c>
      <c r="E9513" t="s">
        <v>30</v>
      </c>
      <c r="F9513" t="s">
        <v>278</v>
      </c>
      <c r="G9513" t="s">
        <v>279</v>
      </c>
      <c r="H9513" t="s">
        <v>135</v>
      </c>
      <c r="I9513" s="160">
        <v>345.33</v>
      </c>
      <c r="J9513" s="8"/>
      <c r="K9513" s="8"/>
      <c r="L9513" s="8"/>
      <c r="M9513" s="254"/>
    </row>
    <row r="9514" spans="1:13" hidden="1" x14ac:dyDescent="0.3">
      <c r="B9514" t="s">
        <v>276</v>
      </c>
      <c r="C9514" s="25">
        <v>44761</v>
      </c>
      <c r="D9514" s="26">
        <v>0.52217592592592588</v>
      </c>
      <c r="E9514" t="s">
        <v>30</v>
      </c>
      <c r="F9514" t="s">
        <v>210</v>
      </c>
      <c r="G9514" t="s">
        <v>211</v>
      </c>
      <c r="H9514" t="s">
        <v>135</v>
      </c>
      <c r="I9514" s="160">
        <v>263.3</v>
      </c>
      <c r="J9514" s="160"/>
      <c r="K9514" s="160"/>
      <c r="L9514" s="160"/>
      <c r="M9514" s="150"/>
    </row>
    <row r="9515" spans="1:13" hidden="1" x14ac:dyDescent="0.3">
      <c r="B9515" t="s">
        <v>276</v>
      </c>
      <c r="C9515" s="25">
        <v>44762</v>
      </c>
      <c r="D9515" s="26">
        <v>0.10984953703703704</v>
      </c>
      <c r="E9515" t="s">
        <v>30</v>
      </c>
      <c r="F9515" t="s">
        <v>262</v>
      </c>
      <c r="G9515" t="s">
        <v>263</v>
      </c>
      <c r="H9515" t="s">
        <v>135</v>
      </c>
      <c r="I9515" s="160">
        <v>200.36</v>
      </c>
      <c r="J9515" s="8"/>
      <c r="K9515" s="8"/>
      <c r="L9515" s="8"/>
      <c r="M9515" s="254"/>
    </row>
    <row r="9516" spans="1:13" hidden="1" x14ac:dyDescent="0.3">
      <c r="B9516" t="s">
        <v>276</v>
      </c>
      <c r="C9516" s="25">
        <v>44763</v>
      </c>
      <c r="D9516" s="26">
        <v>2.7233796296296298E-2</v>
      </c>
      <c r="E9516" t="s">
        <v>30</v>
      </c>
      <c r="F9516" t="s">
        <v>197</v>
      </c>
      <c r="G9516" t="s">
        <v>44</v>
      </c>
      <c r="H9516" t="s">
        <v>135</v>
      </c>
      <c r="I9516" s="160">
        <v>99.36</v>
      </c>
      <c r="J9516" s="8"/>
      <c r="K9516" s="8"/>
      <c r="L9516" s="8"/>
      <c r="M9516" s="254"/>
    </row>
    <row r="9517" spans="1:13" hidden="1" x14ac:dyDescent="0.3">
      <c r="B9517" t="s">
        <v>276</v>
      </c>
      <c r="C9517" s="25">
        <v>44763</v>
      </c>
      <c r="D9517" s="26">
        <v>0.5841319444444445</v>
      </c>
      <c r="E9517" t="s">
        <v>30</v>
      </c>
      <c r="F9517" t="s">
        <v>210</v>
      </c>
      <c r="G9517" t="s">
        <v>211</v>
      </c>
      <c r="H9517" t="s">
        <v>135</v>
      </c>
      <c r="I9517" s="160">
        <v>415.68</v>
      </c>
      <c r="J9517" s="160"/>
      <c r="K9517" s="160"/>
      <c r="L9517" s="160"/>
      <c r="M9517" s="150"/>
    </row>
    <row r="9518" spans="1:13" hidden="1" x14ac:dyDescent="0.3">
      <c r="B9518" t="s">
        <v>276</v>
      </c>
      <c r="C9518" s="25">
        <v>44764</v>
      </c>
      <c r="D9518" s="26">
        <v>0.52093749999999994</v>
      </c>
      <c r="E9518" t="s">
        <v>30</v>
      </c>
      <c r="F9518" t="s">
        <v>210</v>
      </c>
      <c r="G9518" t="s">
        <v>211</v>
      </c>
      <c r="H9518" t="s">
        <v>135</v>
      </c>
      <c r="I9518" s="160">
        <v>408.6</v>
      </c>
      <c r="J9518" s="8"/>
      <c r="K9518" s="8"/>
      <c r="L9518" s="8"/>
      <c r="M9518" s="254"/>
    </row>
    <row r="9519" spans="1:13" hidden="1" x14ac:dyDescent="0.3">
      <c r="B9519" t="s">
        <v>276</v>
      </c>
      <c r="C9519" s="25">
        <v>44765</v>
      </c>
      <c r="D9519" s="26">
        <v>0.56192129629629628</v>
      </c>
      <c r="E9519" t="s">
        <v>30</v>
      </c>
      <c r="F9519" t="s">
        <v>428</v>
      </c>
      <c r="G9519" t="s">
        <v>429</v>
      </c>
      <c r="H9519" t="s">
        <v>135</v>
      </c>
      <c r="I9519" s="160">
        <v>100.03</v>
      </c>
      <c r="J9519" s="8"/>
      <c r="K9519" s="8"/>
      <c r="L9519" s="8"/>
      <c r="M9519" s="254"/>
    </row>
    <row r="9520" spans="1:13" hidden="1" x14ac:dyDescent="0.3">
      <c r="B9520" t="s">
        <v>276</v>
      </c>
      <c r="C9520" s="25">
        <v>44765</v>
      </c>
      <c r="D9520" s="26">
        <v>0.56540509259259253</v>
      </c>
      <c r="E9520" t="s">
        <v>30</v>
      </c>
      <c r="F9520" t="s">
        <v>428</v>
      </c>
      <c r="G9520" t="s">
        <v>429</v>
      </c>
      <c r="H9520" t="s">
        <v>135</v>
      </c>
      <c r="I9520" s="160">
        <v>101.04</v>
      </c>
      <c r="J9520" s="8"/>
      <c r="K9520" s="8"/>
      <c r="L9520" s="8"/>
      <c r="M9520" s="254"/>
    </row>
    <row r="9521" spans="2:13" hidden="1" x14ac:dyDescent="0.3">
      <c r="B9521" t="s">
        <v>276</v>
      </c>
      <c r="C9521" s="25">
        <v>44765</v>
      </c>
      <c r="D9521" s="26">
        <v>0.96246527777777768</v>
      </c>
      <c r="E9521" t="s">
        <v>30</v>
      </c>
      <c r="F9521" t="s">
        <v>197</v>
      </c>
      <c r="G9521" t="s">
        <v>44</v>
      </c>
      <c r="H9521" t="s">
        <v>135</v>
      </c>
      <c r="I9521" s="160">
        <v>153.51</v>
      </c>
      <c r="J9521" s="8"/>
      <c r="K9521" s="8"/>
      <c r="L9521" s="8"/>
      <c r="M9521" s="254"/>
    </row>
    <row r="9522" spans="2:13" hidden="1" x14ac:dyDescent="0.3">
      <c r="B9522" t="s">
        <v>276</v>
      </c>
      <c r="C9522" s="25">
        <v>44766</v>
      </c>
      <c r="D9522" s="26">
        <v>0.56938657407407411</v>
      </c>
      <c r="E9522" t="s">
        <v>30</v>
      </c>
      <c r="F9522" t="s">
        <v>210</v>
      </c>
      <c r="G9522" t="s">
        <v>211</v>
      </c>
      <c r="H9522" t="s">
        <v>135</v>
      </c>
      <c r="I9522" s="160">
        <v>371.1</v>
      </c>
      <c r="J9522" s="160"/>
      <c r="K9522" s="160"/>
      <c r="L9522" s="160"/>
      <c r="M9522" s="150"/>
    </row>
    <row r="9523" spans="2:13" hidden="1" x14ac:dyDescent="0.3">
      <c r="B9523" t="s">
        <v>276</v>
      </c>
      <c r="C9523" s="25">
        <v>44767</v>
      </c>
      <c r="D9523" s="26">
        <v>0.77891203703703704</v>
      </c>
      <c r="E9523" t="s">
        <v>30</v>
      </c>
      <c r="F9523" t="s">
        <v>210</v>
      </c>
      <c r="G9523" t="s">
        <v>211</v>
      </c>
      <c r="H9523" t="s">
        <v>135</v>
      </c>
      <c r="I9523" s="160">
        <v>205.53</v>
      </c>
      <c r="J9523" s="8"/>
      <c r="K9523" s="8"/>
      <c r="L9523" s="8"/>
      <c r="M9523" s="254"/>
    </row>
    <row r="9524" spans="2:13" hidden="1" x14ac:dyDescent="0.3">
      <c r="B9524" t="s">
        <v>276</v>
      </c>
      <c r="C9524" s="25">
        <v>44767</v>
      </c>
      <c r="D9524" s="26">
        <v>0.78880787037037037</v>
      </c>
      <c r="E9524" t="s">
        <v>30</v>
      </c>
      <c r="F9524" t="s">
        <v>210</v>
      </c>
      <c r="G9524" t="s">
        <v>211</v>
      </c>
      <c r="H9524" t="s">
        <v>135</v>
      </c>
      <c r="I9524" s="160">
        <v>202.77</v>
      </c>
      <c r="J9524" s="8"/>
      <c r="K9524" s="8"/>
      <c r="L9524" s="8"/>
      <c r="M9524" s="254"/>
    </row>
    <row r="9525" spans="2:13" hidden="1" x14ac:dyDescent="0.3">
      <c r="B9525" t="s">
        <v>276</v>
      </c>
      <c r="C9525" s="25">
        <v>44768</v>
      </c>
      <c r="D9525" s="26">
        <v>0.70489583333333339</v>
      </c>
      <c r="E9525" t="s">
        <v>30</v>
      </c>
      <c r="F9525" t="s">
        <v>391</v>
      </c>
      <c r="G9525" t="s">
        <v>392</v>
      </c>
      <c r="H9525" t="s">
        <v>135</v>
      </c>
      <c r="I9525" s="160">
        <v>318.77</v>
      </c>
      <c r="J9525" s="8"/>
      <c r="K9525" s="8"/>
      <c r="L9525" s="8"/>
      <c r="M9525" s="254"/>
    </row>
    <row r="9526" spans="2:13" hidden="1" x14ac:dyDescent="0.3">
      <c r="B9526" t="s">
        <v>276</v>
      </c>
      <c r="C9526" s="25">
        <v>44769</v>
      </c>
      <c r="D9526" s="26">
        <v>0.86390046296296286</v>
      </c>
      <c r="E9526" t="s">
        <v>30</v>
      </c>
      <c r="F9526" t="s">
        <v>210</v>
      </c>
      <c r="G9526" t="s">
        <v>211</v>
      </c>
      <c r="H9526" t="s">
        <v>135</v>
      </c>
      <c r="I9526" s="160">
        <v>417.49</v>
      </c>
      <c r="J9526" s="160"/>
      <c r="K9526" s="160"/>
      <c r="L9526" s="160"/>
      <c r="M9526" s="150"/>
    </row>
    <row r="9527" spans="2:13" hidden="1" x14ac:dyDescent="0.3">
      <c r="B9527" t="s">
        <v>276</v>
      </c>
      <c r="C9527" s="25">
        <v>44771</v>
      </c>
      <c r="D9527" s="26">
        <v>0.40894675925925927</v>
      </c>
      <c r="E9527" t="s">
        <v>30</v>
      </c>
      <c r="F9527" t="s">
        <v>210</v>
      </c>
      <c r="G9527" t="s">
        <v>211</v>
      </c>
      <c r="H9527" t="s">
        <v>135</v>
      </c>
      <c r="I9527" s="160">
        <v>427.22</v>
      </c>
      <c r="J9527" s="8"/>
      <c r="K9527" s="8"/>
      <c r="L9527" s="8"/>
      <c r="M9527" s="254"/>
    </row>
    <row r="9528" spans="2:13" hidden="1" x14ac:dyDescent="0.3">
      <c r="B9528" t="s">
        <v>276</v>
      </c>
      <c r="C9528" s="25">
        <v>44771</v>
      </c>
      <c r="D9528" s="26">
        <v>0.93440972222222218</v>
      </c>
      <c r="E9528" t="s">
        <v>30</v>
      </c>
      <c r="F9528" t="s">
        <v>619</v>
      </c>
      <c r="G9528" t="s">
        <v>620</v>
      </c>
      <c r="H9528" t="s">
        <v>135</v>
      </c>
      <c r="I9528" s="160">
        <v>162.27000000000001</v>
      </c>
      <c r="J9528" s="8"/>
      <c r="K9528" s="8"/>
      <c r="L9528" s="8"/>
      <c r="M9528" s="267"/>
    </row>
    <row r="9529" spans="2:13" hidden="1" x14ac:dyDescent="0.3">
      <c r="B9529" t="s">
        <v>200</v>
      </c>
      <c r="C9529" s="25">
        <v>44743</v>
      </c>
      <c r="D9529" s="26">
        <v>0.24837962962962964</v>
      </c>
      <c r="E9529" t="s">
        <v>30</v>
      </c>
      <c r="F9529" t="s">
        <v>165</v>
      </c>
      <c r="G9529" t="s">
        <v>185</v>
      </c>
      <c r="H9529" t="s">
        <v>123</v>
      </c>
      <c r="I9529" s="160">
        <v>273.97000000000003</v>
      </c>
      <c r="J9529" s="8"/>
      <c r="K9529" s="8"/>
      <c r="L9529" s="8"/>
      <c r="M9529" s="91"/>
    </row>
    <row r="9530" spans="2:13" hidden="1" x14ac:dyDescent="0.3">
      <c r="B9530" t="s">
        <v>200</v>
      </c>
      <c r="C9530" s="25">
        <v>44743</v>
      </c>
      <c r="D9530" s="26">
        <v>0.54921296296296296</v>
      </c>
      <c r="E9530" t="s">
        <v>30</v>
      </c>
      <c r="F9530" t="s">
        <v>210</v>
      </c>
      <c r="G9530" t="s">
        <v>211</v>
      </c>
      <c r="H9530" t="s">
        <v>123</v>
      </c>
      <c r="I9530" s="160">
        <v>166.98</v>
      </c>
      <c r="J9530" s="8"/>
      <c r="K9530" s="8"/>
      <c r="L9530" s="8"/>
      <c r="M9530" s="91"/>
    </row>
    <row r="9531" spans="2:13" hidden="1" x14ac:dyDescent="0.3">
      <c r="B9531" t="s">
        <v>200</v>
      </c>
      <c r="C9531" s="25">
        <v>44744</v>
      </c>
      <c r="D9531" s="26">
        <v>0.92851851851851841</v>
      </c>
      <c r="E9531" t="s">
        <v>30</v>
      </c>
      <c r="F9531" t="s">
        <v>197</v>
      </c>
      <c r="G9531" t="s">
        <v>44</v>
      </c>
      <c r="H9531" t="s">
        <v>123</v>
      </c>
      <c r="I9531" s="160">
        <v>134.77000000000001</v>
      </c>
      <c r="J9531" s="8"/>
      <c r="K9531" s="8"/>
      <c r="L9531" s="8"/>
      <c r="M9531" s="91"/>
    </row>
    <row r="9532" spans="2:13" hidden="1" x14ac:dyDescent="0.3">
      <c r="B9532" t="s">
        <v>200</v>
      </c>
      <c r="C9532" s="25">
        <v>44744</v>
      </c>
      <c r="D9532" s="26">
        <v>0.93166666666666664</v>
      </c>
      <c r="E9532" t="s">
        <v>30</v>
      </c>
      <c r="F9532" t="s">
        <v>197</v>
      </c>
      <c r="G9532" t="s">
        <v>44</v>
      </c>
      <c r="H9532" t="s">
        <v>123</v>
      </c>
      <c r="I9532" s="160">
        <v>99.36</v>
      </c>
      <c r="J9532" s="8"/>
      <c r="K9532" s="8"/>
      <c r="L9532" s="8"/>
      <c r="M9532" s="91"/>
    </row>
    <row r="9533" spans="2:13" hidden="1" x14ac:dyDescent="0.3">
      <c r="B9533" t="s">
        <v>200</v>
      </c>
      <c r="C9533" s="25">
        <v>44745</v>
      </c>
      <c r="D9533" s="26">
        <v>0.29342592592592592</v>
      </c>
      <c r="E9533" t="s">
        <v>30</v>
      </c>
      <c r="F9533" t="s">
        <v>210</v>
      </c>
      <c r="G9533" t="s">
        <v>211</v>
      </c>
      <c r="H9533" t="s">
        <v>123</v>
      </c>
      <c r="I9533" s="148">
        <v>458.3</v>
      </c>
      <c r="J9533"/>
      <c r="K9533"/>
      <c r="L9533"/>
      <c r="M9533" s="91"/>
    </row>
    <row r="9534" spans="2:13" hidden="1" x14ac:dyDescent="0.3">
      <c r="B9534" t="s">
        <v>200</v>
      </c>
      <c r="C9534" s="25">
        <v>44746</v>
      </c>
      <c r="D9534" s="26">
        <v>0.23996527777777776</v>
      </c>
      <c r="E9534" t="s">
        <v>30</v>
      </c>
      <c r="F9534" t="s">
        <v>210</v>
      </c>
      <c r="G9534" t="s">
        <v>211</v>
      </c>
      <c r="H9534" t="s">
        <v>123</v>
      </c>
      <c r="I9534" s="148">
        <v>364.21</v>
      </c>
      <c r="J9534"/>
      <c r="K9534"/>
      <c r="L9534"/>
      <c r="M9534" s="91"/>
    </row>
    <row r="9535" spans="2:13" hidden="1" x14ac:dyDescent="0.3">
      <c r="B9535" t="s">
        <v>200</v>
      </c>
      <c r="C9535" s="25">
        <v>44747</v>
      </c>
      <c r="D9535" s="26">
        <v>0.84622685185185187</v>
      </c>
      <c r="E9535" t="s">
        <v>30</v>
      </c>
      <c r="F9535" t="s">
        <v>197</v>
      </c>
      <c r="G9535" t="s">
        <v>44</v>
      </c>
      <c r="H9535" t="s">
        <v>123</v>
      </c>
      <c r="I9535" s="148">
        <v>99.36</v>
      </c>
      <c r="J9535"/>
      <c r="K9535"/>
      <c r="L9535"/>
      <c r="M9535" s="139"/>
    </row>
    <row r="9536" spans="2:13" hidden="1" x14ac:dyDescent="0.3">
      <c r="B9536" t="s">
        <v>200</v>
      </c>
      <c r="C9536" s="25">
        <v>44747</v>
      </c>
      <c r="D9536" s="26">
        <v>0.9304513888888889</v>
      </c>
      <c r="E9536" t="s">
        <v>30</v>
      </c>
      <c r="F9536" t="s">
        <v>343</v>
      </c>
      <c r="G9536" t="s">
        <v>344</v>
      </c>
      <c r="H9536" t="s">
        <v>123</v>
      </c>
      <c r="I9536" s="160">
        <v>100</v>
      </c>
      <c r="J9536" s="8"/>
      <c r="K9536" s="8"/>
      <c r="L9536" s="8"/>
      <c r="M9536" s="91"/>
    </row>
    <row r="9537" spans="2:13" hidden="1" x14ac:dyDescent="0.3">
      <c r="B9537" t="s">
        <v>200</v>
      </c>
      <c r="C9537" s="25">
        <v>44748</v>
      </c>
      <c r="D9537" s="26">
        <v>0.16133101851851853</v>
      </c>
      <c r="E9537" t="s">
        <v>30</v>
      </c>
      <c r="F9537" t="s">
        <v>490</v>
      </c>
      <c r="G9537" t="s">
        <v>487</v>
      </c>
      <c r="H9537" t="s">
        <v>123</v>
      </c>
      <c r="I9537" s="160">
        <v>100</v>
      </c>
      <c r="J9537" s="8"/>
      <c r="K9537" s="8"/>
      <c r="L9537" s="8"/>
      <c r="M9537" s="91"/>
    </row>
    <row r="9538" spans="2:13" hidden="1" x14ac:dyDescent="0.3">
      <c r="B9538" t="s">
        <v>200</v>
      </c>
      <c r="C9538" s="25">
        <v>44748</v>
      </c>
      <c r="D9538" s="26">
        <v>0.21505787037037039</v>
      </c>
      <c r="E9538" t="s">
        <v>30</v>
      </c>
      <c r="F9538" t="s">
        <v>210</v>
      </c>
      <c r="G9538" t="s">
        <v>211</v>
      </c>
      <c r="H9538" t="s">
        <v>123</v>
      </c>
      <c r="I9538" s="164">
        <v>389.33</v>
      </c>
      <c r="J9538" s="164">
        <f>390+200+100+365+459+100+134+166+275+281+494</f>
        <v>2964</v>
      </c>
      <c r="K9538" s="164">
        <v>5473</v>
      </c>
      <c r="L9538" s="247">
        <v>6923</v>
      </c>
      <c r="M9538" s="237">
        <f>+J9538/L9538*100</f>
        <v>42.813809042322696</v>
      </c>
    </row>
    <row r="9539" spans="2:13" hidden="1" x14ac:dyDescent="0.3">
      <c r="B9539" t="s">
        <v>200</v>
      </c>
      <c r="C9539" s="25">
        <v>44749</v>
      </c>
      <c r="D9539" s="26">
        <v>0.7571296296296296</v>
      </c>
      <c r="E9539" t="s">
        <v>30</v>
      </c>
      <c r="F9539" t="s">
        <v>210</v>
      </c>
      <c r="G9539" t="s">
        <v>211</v>
      </c>
      <c r="H9539" t="s">
        <v>123</v>
      </c>
      <c r="I9539" s="173">
        <v>446.38</v>
      </c>
      <c r="J9539" s="8"/>
      <c r="K9539" s="8"/>
      <c r="L9539" s="8"/>
      <c r="M9539" s="91"/>
    </row>
    <row r="9540" spans="2:13" hidden="1" x14ac:dyDescent="0.3">
      <c r="B9540" t="s">
        <v>200</v>
      </c>
      <c r="C9540" s="25">
        <v>44750</v>
      </c>
      <c r="D9540" s="26">
        <v>0.49636574074074075</v>
      </c>
      <c r="E9540" t="s">
        <v>30</v>
      </c>
      <c r="F9540" t="s">
        <v>775</v>
      </c>
      <c r="G9540" t="s">
        <v>263</v>
      </c>
      <c r="H9540" t="s">
        <v>123</v>
      </c>
      <c r="I9540" s="173">
        <v>161.72999999999999</v>
      </c>
      <c r="J9540" s="8"/>
      <c r="K9540" s="8"/>
      <c r="L9540" s="8"/>
      <c r="M9540" s="91"/>
    </row>
    <row r="9541" spans="2:13" hidden="1" x14ac:dyDescent="0.3">
      <c r="B9541" t="s">
        <v>200</v>
      </c>
      <c r="C9541" s="25">
        <v>44751</v>
      </c>
      <c r="D9541" s="26">
        <v>0.29689814814814813</v>
      </c>
      <c r="E9541" t="s">
        <v>30</v>
      </c>
      <c r="F9541" t="s">
        <v>343</v>
      </c>
      <c r="G9541" t="s">
        <v>344</v>
      </c>
      <c r="H9541" t="s">
        <v>123</v>
      </c>
      <c r="I9541" s="173">
        <v>100</v>
      </c>
      <c r="J9541" s="8"/>
      <c r="K9541" s="8"/>
      <c r="L9541" s="8"/>
      <c r="M9541" s="91"/>
    </row>
    <row r="9542" spans="2:13" hidden="1" x14ac:dyDescent="0.3">
      <c r="B9542" t="s">
        <v>200</v>
      </c>
      <c r="C9542" s="25">
        <v>44751</v>
      </c>
      <c r="D9542" s="26">
        <v>0.81877314814814817</v>
      </c>
      <c r="E9542" t="s">
        <v>30</v>
      </c>
      <c r="F9542" t="s">
        <v>210</v>
      </c>
      <c r="G9542" t="s">
        <v>211</v>
      </c>
      <c r="H9542" t="s">
        <v>123</v>
      </c>
      <c r="I9542" s="173">
        <v>415.68</v>
      </c>
      <c r="J9542" s="160">
        <f>446+162+100+416</f>
        <v>1124</v>
      </c>
      <c r="K9542" s="160"/>
      <c r="L9542" s="160">
        <v>2717</v>
      </c>
      <c r="M9542" s="149">
        <f>+J9542/L9542*100</f>
        <v>41.369157158630841</v>
      </c>
    </row>
    <row r="9543" spans="2:13" hidden="1" x14ac:dyDescent="0.3">
      <c r="B9543" t="s">
        <v>200</v>
      </c>
      <c r="C9543" s="25">
        <v>44752</v>
      </c>
      <c r="D9543" s="26">
        <v>0.60160879629629627</v>
      </c>
      <c r="E9543" t="s">
        <v>30</v>
      </c>
      <c r="F9543" t="s">
        <v>165</v>
      </c>
      <c r="G9543" t="s">
        <v>185</v>
      </c>
      <c r="H9543" t="s">
        <v>123</v>
      </c>
      <c r="I9543" s="173">
        <v>264.37</v>
      </c>
      <c r="J9543" s="23"/>
      <c r="K9543" s="23"/>
      <c r="L9543" s="23"/>
      <c r="M9543" s="91"/>
    </row>
    <row r="9544" spans="2:13" hidden="1" x14ac:dyDescent="0.3">
      <c r="B9544" t="s">
        <v>200</v>
      </c>
      <c r="C9544" s="25">
        <v>44753</v>
      </c>
      <c r="D9544" s="26">
        <v>1.9606481481481482E-2</v>
      </c>
      <c r="E9544" t="s">
        <v>30</v>
      </c>
      <c r="F9544" t="s">
        <v>210</v>
      </c>
      <c r="G9544" t="s">
        <v>211</v>
      </c>
      <c r="H9544" t="s">
        <v>123</v>
      </c>
      <c r="I9544" s="173">
        <v>159.69</v>
      </c>
      <c r="J9544" s="23"/>
      <c r="K9544" s="23"/>
      <c r="L9544" s="23"/>
      <c r="M9544" s="91"/>
    </row>
    <row r="9545" spans="2:13" hidden="1" x14ac:dyDescent="0.3">
      <c r="B9545" t="s">
        <v>200</v>
      </c>
      <c r="C9545" s="25">
        <v>44754</v>
      </c>
      <c r="D9545" s="26">
        <v>2.1759259259259258E-3</v>
      </c>
      <c r="E9545" t="s">
        <v>30</v>
      </c>
      <c r="F9545" t="s">
        <v>428</v>
      </c>
      <c r="G9545" t="s">
        <v>429</v>
      </c>
      <c r="H9545" t="s">
        <v>123</v>
      </c>
      <c r="I9545" s="173">
        <v>100.06</v>
      </c>
      <c r="J9545" s="23"/>
      <c r="K9545" s="23"/>
      <c r="L9545" s="23"/>
      <c r="M9545" s="91"/>
    </row>
    <row r="9546" spans="2:13" hidden="1" x14ac:dyDescent="0.3">
      <c r="B9546" t="s">
        <v>200</v>
      </c>
      <c r="C9546" s="25">
        <v>44754</v>
      </c>
      <c r="D9546" s="26">
        <v>4.3749999999999995E-3</v>
      </c>
      <c r="E9546" t="s">
        <v>30</v>
      </c>
      <c r="F9546" t="s">
        <v>428</v>
      </c>
      <c r="G9546" t="s">
        <v>429</v>
      </c>
      <c r="H9546" t="s">
        <v>123</v>
      </c>
      <c r="I9546" s="173">
        <v>101.18</v>
      </c>
      <c r="J9546" s="23"/>
      <c r="K9546" s="23"/>
      <c r="L9546" s="23"/>
      <c r="M9546" s="91"/>
    </row>
    <row r="9547" spans="2:13" hidden="1" x14ac:dyDescent="0.3">
      <c r="B9547" t="s">
        <v>200</v>
      </c>
      <c r="C9547" s="25">
        <v>44754</v>
      </c>
      <c r="D9547" s="26">
        <v>0.36071759259259256</v>
      </c>
      <c r="E9547" t="s">
        <v>30</v>
      </c>
      <c r="F9547" t="s">
        <v>428</v>
      </c>
      <c r="G9547" t="s">
        <v>429</v>
      </c>
      <c r="H9547" t="s">
        <v>123</v>
      </c>
      <c r="I9547" s="173">
        <v>100.06</v>
      </c>
      <c r="J9547" s="23"/>
      <c r="K9547" s="23"/>
      <c r="L9547" s="23"/>
      <c r="M9547" s="91"/>
    </row>
    <row r="9548" spans="2:13" hidden="1" x14ac:dyDescent="0.3">
      <c r="B9548" t="s">
        <v>200</v>
      </c>
      <c r="C9548" s="25">
        <v>44755</v>
      </c>
      <c r="D9548" s="26">
        <v>0.85993055555555553</v>
      </c>
      <c r="E9548" t="s">
        <v>30</v>
      </c>
      <c r="F9548" t="s">
        <v>210</v>
      </c>
      <c r="G9548" t="s">
        <v>211</v>
      </c>
      <c r="H9548" t="s">
        <v>123</v>
      </c>
      <c r="I9548" s="173">
        <v>477.11</v>
      </c>
      <c r="J9548" s="231">
        <f>477+100+101+100+160+264</f>
        <v>1202</v>
      </c>
      <c r="K9548" s="231"/>
      <c r="L9548" s="231">
        <v>2976</v>
      </c>
      <c r="M9548" s="149">
        <f>+J9548/L9548*100</f>
        <v>40.38978494623656</v>
      </c>
    </row>
    <row r="9549" spans="2:13" hidden="1" x14ac:dyDescent="0.3">
      <c r="B9549" t="s">
        <v>200</v>
      </c>
      <c r="C9549" s="25">
        <v>44756</v>
      </c>
      <c r="D9549" s="26">
        <v>0.61576388888888889</v>
      </c>
      <c r="E9549" t="s">
        <v>30</v>
      </c>
      <c r="F9549" t="s">
        <v>165</v>
      </c>
      <c r="G9549" t="s">
        <v>185</v>
      </c>
      <c r="H9549" t="s">
        <v>123</v>
      </c>
      <c r="I9549" s="173">
        <v>258.14</v>
      </c>
      <c r="J9549" s="23"/>
      <c r="K9549" s="23"/>
      <c r="L9549" s="23"/>
      <c r="M9549" s="91"/>
    </row>
    <row r="9550" spans="2:13" hidden="1" x14ac:dyDescent="0.3">
      <c r="B9550" t="s">
        <v>200</v>
      </c>
      <c r="C9550" s="25">
        <v>44757</v>
      </c>
      <c r="D9550" s="26">
        <v>0.77190972222222232</v>
      </c>
      <c r="E9550" t="s">
        <v>30</v>
      </c>
      <c r="F9550" t="s">
        <v>210</v>
      </c>
      <c r="G9550" t="s">
        <v>211</v>
      </c>
      <c r="H9550" t="s">
        <v>123</v>
      </c>
      <c r="I9550" s="173">
        <v>260.42</v>
      </c>
      <c r="J9550" s="231">
        <f>260+258</f>
        <v>518</v>
      </c>
      <c r="K9550" s="231"/>
      <c r="L9550" s="231">
        <v>1120</v>
      </c>
      <c r="M9550" s="149">
        <f>+J9550/L9550*100</f>
        <v>46.25</v>
      </c>
    </row>
    <row r="9551" spans="2:13" hidden="1" x14ac:dyDescent="0.3">
      <c r="B9551" t="s">
        <v>200</v>
      </c>
      <c r="C9551" s="25">
        <v>44758</v>
      </c>
      <c r="D9551" s="26">
        <v>0.34604166666666664</v>
      </c>
      <c r="E9551" t="s">
        <v>30</v>
      </c>
      <c r="F9551" t="s">
        <v>169</v>
      </c>
      <c r="G9551" t="s">
        <v>196</v>
      </c>
      <c r="H9551" t="s">
        <v>123</v>
      </c>
      <c r="I9551" s="173">
        <v>100</v>
      </c>
      <c r="J9551" s="23"/>
      <c r="K9551" s="23"/>
      <c r="L9551" s="23"/>
      <c r="M9551" s="91"/>
    </row>
    <row r="9552" spans="2:13" hidden="1" x14ac:dyDescent="0.3">
      <c r="B9552" t="s">
        <v>200</v>
      </c>
      <c r="C9552" s="25">
        <v>44758</v>
      </c>
      <c r="D9552" s="26">
        <v>0.64436342592592599</v>
      </c>
      <c r="E9552" t="s">
        <v>30</v>
      </c>
      <c r="F9552" t="s">
        <v>428</v>
      </c>
      <c r="G9552" t="s">
        <v>429</v>
      </c>
      <c r="H9552" t="s">
        <v>123</v>
      </c>
      <c r="I9552" s="173">
        <v>100.44</v>
      </c>
      <c r="J9552" s="23"/>
      <c r="K9552" s="23"/>
      <c r="L9552" s="23"/>
      <c r="M9552" s="91"/>
    </row>
    <row r="9553" spans="2:13" hidden="1" x14ac:dyDescent="0.3">
      <c r="B9553" t="s">
        <v>200</v>
      </c>
      <c r="C9553" s="25">
        <v>44758</v>
      </c>
      <c r="D9553" s="26">
        <v>0.64724537037037033</v>
      </c>
      <c r="E9553" t="s">
        <v>30</v>
      </c>
      <c r="F9553" t="s">
        <v>428</v>
      </c>
      <c r="G9553" t="s">
        <v>429</v>
      </c>
      <c r="H9553" t="s">
        <v>123</v>
      </c>
      <c r="I9553" s="173">
        <v>100.33</v>
      </c>
      <c r="J9553" s="23"/>
      <c r="K9553" s="23"/>
      <c r="L9553" s="23"/>
      <c r="M9553" s="91"/>
    </row>
    <row r="9554" spans="2:13" hidden="1" x14ac:dyDescent="0.3">
      <c r="B9554" t="s">
        <v>200</v>
      </c>
      <c r="C9554" s="25">
        <v>44759</v>
      </c>
      <c r="D9554" s="26">
        <v>0.38262731481481477</v>
      </c>
      <c r="E9554" t="s">
        <v>30</v>
      </c>
      <c r="F9554" t="s">
        <v>772</v>
      </c>
      <c r="G9554" t="s">
        <v>44</v>
      </c>
      <c r="H9554" t="s">
        <v>123</v>
      </c>
      <c r="I9554" s="173">
        <v>100</v>
      </c>
      <c r="J9554" s="23"/>
      <c r="K9554" s="23"/>
      <c r="L9554" s="23"/>
      <c r="M9554" s="91"/>
    </row>
    <row r="9555" spans="2:13" hidden="1" x14ac:dyDescent="0.3">
      <c r="B9555" t="s">
        <v>200</v>
      </c>
      <c r="C9555" s="25">
        <v>44759</v>
      </c>
      <c r="D9555" s="26">
        <v>0.80699074074074073</v>
      </c>
      <c r="E9555" t="s">
        <v>30</v>
      </c>
      <c r="F9555" t="s">
        <v>210</v>
      </c>
      <c r="G9555" t="s">
        <v>211</v>
      </c>
      <c r="H9555" t="s">
        <v>123</v>
      </c>
      <c r="I9555" s="173">
        <v>422.48</v>
      </c>
      <c r="J9555" s="231">
        <f>422+400</f>
        <v>822</v>
      </c>
      <c r="K9555" s="151"/>
      <c r="L9555" s="231">
        <v>1915</v>
      </c>
      <c r="M9555" s="149">
        <f t="shared" ref="M9555" si="575">+J9555/L9555*100</f>
        <v>42.924281984334208</v>
      </c>
    </row>
    <row r="9556" spans="2:13" hidden="1" x14ac:dyDescent="0.3">
      <c r="B9556" t="s">
        <v>200</v>
      </c>
      <c r="C9556" s="25">
        <v>44760</v>
      </c>
      <c r="D9556" s="26">
        <v>0.47151620370370373</v>
      </c>
      <c r="E9556" t="s">
        <v>30</v>
      </c>
      <c r="F9556" t="s">
        <v>165</v>
      </c>
      <c r="G9556" t="s">
        <v>185</v>
      </c>
      <c r="H9556" t="s">
        <v>123</v>
      </c>
      <c r="I9556" s="160">
        <v>268.32</v>
      </c>
      <c r="J9556" s="8"/>
      <c r="K9556" s="8"/>
      <c r="L9556" s="8"/>
      <c r="M9556" s="254"/>
    </row>
    <row r="9557" spans="2:13" hidden="1" x14ac:dyDescent="0.3">
      <c r="B9557" t="s">
        <v>200</v>
      </c>
      <c r="C9557" s="25">
        <v>44761</v>
      </c>
      <c r="D9557" s="26">
        <v>0.84040509259259266</v>
      </c>
      <c r="E9557" t="s">
        <v>30</v>
      </c>
      <c r="F9557" t="s">
        <v>210</v>
      </c>
      <c r="G9557" t="s">
        <v>211</v>
      </c>
      <c r="H9557" t="s">
        <v>123</v>
      </c>
      <c r="I9557" s="160">
        <v>266.79000000000002</v>
      </c>
      <c r="J9557" s="160"/>
      <c r="K9557" s="160"/>
      <c r="L9557" s="160"/>
      <c r="M9557" s="150"/>
    </row>
    <row r="9558" spans="2:13" hidden="1" x14ac:dyDescent="0.3">
      <c r="B9558" t="s">
        <v>200</v>
      </c>
      <c r="C9558" s="25">
        <v>44762</v>
      </c>
      <c r="D9558" s="26">
        <v>0.58990740740740744</v>
      </c>
      <c r="E9558" t="s">
        <v>30</v>
      </c>
      <c r="F9558" t="s">
        <v>428</v>
      </c>
      <c r="G9558" t="s">
        <v>429</v>
      </c>
      <c r="H9558" t="s">
        <v>123</v>
      </c>
      <c r="I9558" s="160">
        <v>208.6</v>
      </c>
      <c r="J9558" s="8"/>
      <c r="K9558" s="8"/>
      <c r="L9558" s="8"/>
      <c r="M9558" s="254"/>
    </row>
    <row r="9559" spans="2:13" hidden="1" x14ac:dyDescent="0.3">
      <c r="B9559" t="s">
        <v>200</v>
      </c>
      <c r="C9559" s="25">
        <v>44762</v>
      </c>
      <c r="D9559" s="26">
        <v>0.59820601851851851</v>
      </c>
      <c r="E9559" t="s">
        <v>30</v>
      </c>
      <c r="F9559" t="s">
        <v>428</v>
      </c>
      <c r="G9559" t="s">
        <v>429</v>
      </c>
      <c r="H9559" t="s">
        <v>123</v>
      </c>
      <c r="I9559" s="160">
        <v>100</v>
      </c>
      <c r="J9559" s="8"/>
      <c r="K9559" s="8"/>
      <c r="L9559" s="8"/>
      <c r="M9559" s="254"/>
    </row>
    <row r="9560" spans="2:13" hidden="1" x14ac:dyDescent="0.3">
      <c r="B9560" t="s">
        <v>200</v>
      </c>
      <c r="C9560" s="25">
        <v>44770</v>
      </c>
      <c r="D9560" s="26">
        <v>0.18949074074074077</v>
      </c>
      <c r="E9560" t="s">
        <v>30</v>
      </c>
      <c r="F9560" t="s">
        <v>197</v>
      </c>
      <c r="G9560" t="s">
        <v>44</v>
      </c>
      <c r="H9560" t="s">
        <v>123</v>
      </c>
      <c r="I9560" s="160">
        <v>100</v>
      </c>
      <c r="J9560" s="8"/>
      <c r="K9560" s="8"/>
      <c r="L9560" s="8"/>
      <c r="M9560" s="254"/>
    </row>
    <row r="9561" spans="2:13" hidden="1" x14ac:dyDescent="0.3">
      <c r="B9561" t="s">
        <v>200</v>
      </c>
      <c r="C9561" s="25">
        <v>44770</v>
      </c>
      <c r="D9561" s="26">
        <v>0.24364583333333334</v>
      </c>
      <c r="E9561" t="s">
        <v>30</v>
      </c>
      <c r="F9561" t="s">
        <v>343</v>
      </c>
      <c r="G9561" t="s">
        <v>344</v>
      </c>
      <c r="H9561" t="s">
        <v>123</v>
      </c>
      <c r="I9561" s="160">
        <v>50</v>
      </c>
      <c r="J9561" s="8"/>
      <c r="K9561" s="8"/>
      <c r="L9561" s="8"/>
      <c r="M9561" s="254"/>
    </row>
    <row r="9562" spans="2:13" hidden="1" x14ac:dyDescent="0.3">
      <c r="B9562" t="s">
        <v>200</v>
      </c>
      <c r="C9562" s="25">
        <v>44770</v>
      </c>
      <c r="D9562" s="26">
        <v>0.2910300925925926</v>
      </c>
      <c r="E9562" t="s">
        <v>30</v>
      </c>
      <c r="F9562" t="s">
        <v>311</v>
      </c>
      <c r="G9562" t="s">
        <v>303</v>
      </c>
      <c r="H9562" t="s">
        <v>123</v>
      </c>
      <c r="I9562" s="160">
        <v>150</v>
      </c>
      <c r="J9562" s="8"/>
      <c r="K9562" s="8"/>
      <c r="L9562" s="8"/>
      <c r="M9562" s="254"/>
    </row>
    <row r="9563" spans="2:13" hidden="1" x14ac:dyDescent="0.3">
      <c r="B9563" t="s">
        <v>200</v>
      </c>
      <c r="C9563" s="25">
        <v>44770</v>
      </c>
      <c r="D9563" s="26">
        <v>0.54752314814814818</v>
      </c>
      <c r="E9563" t="s">
        <v>30</v>
      </c>
      <c r="F9563" t="s">
        <v>210</v>
      </c>
      <c r="G9563" t="s">
        <v>211</v>
      </c>
      <c r="H9563" t="s">
        <v>123</v>
      </c>
      <c r="I9563" s="160">
        <v>381.6</v>
      </c>
      <c r="J9563" s="160"/>
      <c r="K9563" s="160"/>
      <c r="L9563" s="160"/>
      <c r="M9563" s="150"/>
    </row>
    <row r="9564" spans="2:13" hidden="1" x14ac:dyDescent="0.3">
      <c r="B9564" t="s">
        <v>200</v>
      </c>
      <c r="C9564" s="25">
        <v>44770</v>
      </c>
      <c r="D9564" s="26">
        <v>0.9900578703703703</v>
      </c>
      <c r="E9564" t="s">
        <v>30</v>
      </c>
      <c r="F9564" t="s">
        <v>165</v>
      </c>
      <c r="G9564" t="s">
        <v>185</v>
      </c>
      <c r="H9564" t="s">
        <v>123</v>
      </c>
      <c r="I9564" s="160">
        <v>270.64999999999998</v>
      </c>
      <c r="J9564" s="8"/>
      <c r="K9564" s="8"/>
      <c r="L9564" s="8"/>
      <c r="M9564" s="254"/>
    </row>
    <row r="9565" spans="2:13" hidden="1" x14ac:dyDescent="0.3">
      <c r="B9565" t="s">
        <v>200</v>
      </c>
      <c r="C9565" s="25">
        <v>44771</v>
      </c>
      <c r="D9565" s="26">
        <v>0.33493055555555556</v>
      </c>
      <c r="E9565" t="s">
        <v>30</v>
      </c>
      <c r="F9565" t="s">
        <v>210</v>
      </c>
      <c r="G9565" t="s">
        <v>211</v>
      </c>
      <c r="H9565" t="s">
        <v>123</v>
      </c>
      <c r="I9565" s="160">
        <v>170.76</v>
      </c>
      <c r="J9565" s="160"/>
      <c r="K9565" s="160"/>
      <c r="L9565" s="160"/>
      <c r="M9565" s="150"/>
    </row>
    <row r="9566" spans="2:13" hidden="1" x14ac:dyDescent="0.3">
      <c r="B9566" t="s">
        <v>200</v>
      </c>
      <c r="C9566" s="25">
        <v>44771</v>
      </c>
      <c r="D9566" s="26">
        <v>0.71355324074074078</v>
      </c>
      <c r="E9566" t="s">
        <v>30</v>
      </c>
      <c r="F9566" t="s">
        <v>169</v>
      </c>
      <c r="G9566" t="s">
        <v>196</v>
      </c>
      <c r="H9566" t="s">
        <v>123</v>
      </c>
      <c r="I9566" s="160">
        <v>100</v>
      </c>
      <c r="J9566" s="8"/>
      <c r="K9566" s="8"/>
      <c r="L9566" s="8"/>
      <c r="M9566" s="254"/>
    </row>
    <row r="9567" spans="2:13" hidden="1" x14ac:dyDescent="0.3">
      <c r="B9567" t="s">
        <v>200</v>
      </c>
      <c r="C9567" s="25">
        <v>44772</v>
      </c>
      <c r="D9567" s="26">
        <v>7.0023148148148154E-3</v>
      </c>
      <c r="E9567" t="s">
        <v>30</v>
      </c>
      <c r="F9567" t="s">
        <v>428</v>
      </c>
      <c r="G9567" t="s">
        <v>429</v>
      </c>
      <c r="H9567" t="s">
        <v>123</v>
      </c>
      <c r="I9567" s="160">
        <v>100.43</v>
      </c>
      <c r="J9567" s="8"/>
      <c r="K9567" s="8"/>
      <c r="L9567" s="8"/>
      <c r="M9567" s="254"/>
    </row>
    <row r="9568" spans="2:13" hidden="1" x14ac:dyDescent="0.3">
      <c r="B9568" t="s">
        <v>200</v>
      </c>
      <c r="C9568" s="25">
        <v>44772</v>
      </c>
      <c r="D9568" s="26">
        <v>8.8888888888888889E-3</v>
      </c>
      <c r="E9568" t="s">
        <v>30</v>
      </c>
      <c r="F9568" t="s">
        <v>428</v>
      </c>
      <c r="G9568" t="s">
        <v>429</v>
      </c>
      <c r="H9568" t="s">
        <v>123</v>
      </c>
      <c r="I9568" s="160">
        <v>100.22</v>
      </c>
      <c r="J9568" s="8"/>
      <c r="K9568" s="8"/>
      <c r="L9568" s="8"/>
      <c r="M9568" s="254"/>
    </row>
    <row r="9569" spans="2:13" hidden="1" x14ac:dyDescent="0.3">
      <c r="B9569" t="s">
        <v>200</v>
      </c>
      <c r="C9569" s="25">
        <v>44772</v>
      </c>
      <c r="D9569" s="26">
        <v>0.89030092592592591</v>
      </c>
      <c r="E9569" t="s">
        <v>30</v>
      </c>
      <c r="F9569" t="s">
        <v>343</v>
      </c>
      <c r="G9569" t="s">
        <v>344</v>
      </c>
      <c r="H9569" t="s">
        <v>123</v>
      </c>
      <c r="I9569" s="160">
        <v>50</v>
      </c>
      <c r="J9569" s="8"/>
      <c r="K9569" s="8"/>
      <c r="L9569" s="8"/>
      <c r="M9569" s="254"/>
    </row>
    <row r="9570" spans="2:13" hidden="1" x14ac:dyDescent="0.3">
      <c r="B9570" t="s">
        <v>200</v>
      </c>
      <c r="C9570" s="25">
        <v>44772</v>
      </c>
      <c r="D9570" s="26">
        <v>0.89559027777777767</v>
      </c>
      <c r="E9570" t="s">
        <v>30</v>
      </c>
      <c r="F9570" t="s">
        <v>343</v>
      </c>
      <c r="G9570" t="s">
        <v>344</v>
      </c>
      <c r="H9570" t="s">
        <v>123</v>
      </c>
      <c r="I9570" s="160">
        <v>60.58</v>
      </c>
      <c r="J9570" s="8"/>
      <c r="K9570" s="8"/>
      <c r="L9570" s="8"/>
      <c r="M9570" s="254"/>
    </row>
    <row r="9571" spans="2:13" hidden="1" x14ac:dyDescent="0.3">
      <c r="B9571" t="s">
        <v>200</v>
      </c>
      <c r="C9571" s="25">
        <v>44773</v>
      </c>
      <c r="D9571" s="26">
        <v>0.17798611111111109</v>
      </c>
      <c r="E9571" t="s">
        <v>30</v>
      </c>
      <c r="F9571" t="s">
        <v>210</v>
      </c>
      <c r="G9571" t="s">
        <v>211</v>
      </c>
      <c r="H9571" t="s">
        <v>123</v>
      </c>
      <c r="I9571" s="160">
        <v>331.18</v>
      </c>
      <c r="J9571" s="160"/>
      <c r="K9571" s="160"/>
      <c r="L9571" s="160"/>
      <c r="M9571" s="150"/>
    </row>
    <row r="9572" spans="2:13" hidden="1" x14ac:dyDescent="0.3">
      <c r="B9572" t="s">
        <v>200</v>
      </c>
      <c r="C9572" s="25">
        <v>44773</v>
      </c>
      <c r="D9572" s="26">
        <v>0.8636921296296296</v>
      </c>
      <c r="E9572" t="s">
        <v>30</v>
      </c>
      <c r="F9572" t="s">
        <v>165</v>
      </c>
      <c r="G9572" t="s">
        <v>185</v>
      </c>
      <c r="H9572" t="s">
        <v>123</v>
      </c>
      <c r="I9572" s="160">
        <v>248.18</v>
      </c>
      <c r="J9572" s="8"/>
      <c r="K9572" s="8"/>
      <c r="L9572" s="8"/>
      <c r="M9572" s="254"/>
    </row>
    <row r="9573" spans="2:13" hidden="1" x14ac:dyDescent="0.3">
      <c r="B9573" t="s">
        <v>284</v>
      </c>
      <c r="C9573" s="25">
        <v>44744</v>
      </c>
      <c r="D9573" s="26">
        <v>0.35841435185185189</v>
      </c>
      <c r="E9573" t="s">
        <v>30</v>
      </c>
      <c r="F9573" t="s">
        <v>262</v>
      </c>
      <c r="G9573" t="s">
        <v>263</v>
      </c>
      <c r="H9573" t="s">
        <v>7</v>
      </c>
      <c r="I9573" s="173">
        <v>100.59</v>
      </c>
      <c r="J9573" s="8"/>
      <c r="K9573" s="8"/>
      <c r="L9573" s="8"/>
      <c r="M9573" s="91"/>
    </row>
    <row r="9574" spans="2:13" hidden="1" x14ac:dyDescent="0.3">
      <c r="B9574" t="s">
        <v>284</v>
      </c>
      <c r="C9574" s="25">
        <v>44744</v>
      </c>
      <c r="D9574" s="26">
        <v>0.36107638888888888</v>
      </c>
      <c r="E9574" t="s">
        <v>30</v>
      </c>
      <c r="F9574" t="s">
        <v>262</v>
      </c>
      <c r="G9574" t="s">
        <v>263</v>
      </c>
      <c r="H9574" t="s">
        <v>7</v>
      </c>
      <c r="I9574" s="173">
        <v>200</v>
      </c>
      <c r="J9574" s="236"/>
      <c r="K9574" s="236"/>
      <c r="L9574" s="236"/>
      <c r="M9574" s="250"/>
    </row>
    <row r="9575" spans="2:13" hidden="1" x14ac:dyDescent="0.3">
      <c r="B9575" t="s">
        <v>284</v>
      </c>
      <c r="C9575" s="25">
        <v>44748</v>
      </c>
      <c r="D9575" s="26">
        <v>0.74013888888888879</v>
      </c>
      <c r="E9575" t="s">
        <v>30</v>
      </c>
      <c r="F9575" t="s">
        <v>518</v>
      </c>
      <c r="G9575" t="s">
        <v>172</v>
      </c>
      <c r="H9575" t="s">
        <v>7</v>
      </c>
      <c r="I9575" s="173">
        <v>86.79</v>
      </c>
      <c r="J9575" s="236"/>
      <c r="K9575" s="236"/>
      <c r="L9575" s="236"/>
      <c r="M9575" s="250"/>
    </row>
    <row r="9576" spans="2:13" hidden="1" x14ac:dyDescent="0.3">
      <c r="B9576" t="s">
        <v>284</v>
      </c>
      <c r="C9576" s="25">
        <v>44749</v>
      </c>
      <c r="D9576" s="26">
        <v>0.77230324074074075</v>
      </c>
      <c r="E9576" t="s">
        <v>30</v>
      </c>
      <c r="F9576" t="s">
        <v>210</v>
      </c>
      <c r="G9576" t="s">
        <v>211</v>
      </c>
      <c r="H9576" t="s">
        <v>7</v>
      </c>
      <c r="I9576" s="173">
        <v>390.5</v>
      </c>
      <c r="J9576" s="236"/>
      <c r="K9576" s="236"/>
      <c r="L9576" s="236"/>
      <c r="M9576" s="250"/>
    </row>
    <row r="9577" spans="2:13" hidden="1" x14ac:dyDescent="0.3">
      <c r="B9577" t="s">
        <v>284</v>
      </c>
      <c r="C9577" s="25">
        <v>44750</v>
      </c>
      <c r="D9577" s="26">
        <v>0.70780092592592592</v>
      </c>
      <c r="E9577" t="s">
        <v>30</v>
      </c>
      <c r="F9577" t="s">
        <v>165</v>
      </c>
      <c r="G9577" t="s">
        <v>185</v>
      </c>
      <c r="H9577" t="s">
        <v>7</v>
      </c>
      <c r="I9577" s="173">
        <v>151.88</v>
      </c>
      <c r="J9577" s="236"/>
      <c r="K9577" s="236"/>
      <c r="L9577" s="236"/>
      <c r="M9577" s="250"/>
    </row>
    <row r="9578" spans="2:13" hidden="1" x14ac:dyDescent="0.3">
      <c r="B9578" t="s">
        <v>284</v>
      </c>
      <c r="C9578" s="25">
        <v>44751</v>
      </c>
      <c r="D9578" s="26">
        <v>0.81396990740740749</v>
      </c>
      <c r="E9578" t="s">
        <v>30</v>
      </c>
      <c r="F9578" t="s">
        <v>210</v>
      </c>
      <c r="G9578" t="s">
        <v>211</v>
      </c>
      <c r="H9578" t="s">
        <v>7</v>
      </c>
      <c r="I9578" s="173">
        <v>406.3</v>
      </c>
      <c r="J9578" s="173">
        <f>100+200+87+390+152+406</f>
        <v>1335</v>
      </c>
      <c r="K9578" s="173"/>
      <c r="L9578" s="173">
        <v>2880</v>
      </c>
      <c r="M9578" s="149">
        <f>+J9578/L9578*100</f>
        <v>46.354166666666671</v>
      </c>
    </row>
    <row r="9579" spans="2:13" hidden="1" x14ac:dyDescent="0.3">
      <c r="B9579" t="s">
        <v>284</v>
      </c>
      <c r="C9579" s="25">
        <v>44752</v>
      </c>
      <c r="D9579" s="26">
        <v>0.6196990740740741</v>
      </c>
      <c r="E9579" t="s">
        <v>30</v>
      </c>
      <c r="F9579" t="s">
        <v>169</v>
      </c>
      <c r="G9579" t="s">
        <v>196</v>
      </c>
      <c r="H9579" t="s">
        <v>7</v>
      </c>
      <c r="I9579" s="173">
        <v>154.66999999999999</v>
      </c>
      <c r="J9579" s="236"/>
      <c r="K9579" s="236"/>
      <c r="L9579" s="236"/>
      <c r="M9579" s="250"/>
    </row>
    <row r="9580" spans="2:13" hidden="1" x14ac:dyDescent="0.3">
      <c r="B9580" t="s">
        <v>284</v>
      </c>
      <c r="C9580" s="25">
        <v>44754</v>
      </c>
      <c r="D9580" s="26">
        <v>0.43224537037037036</v>
      </c>
      <c r="E9580" t="s">
        <v>30</v>
      </c>
      <c r="F9580" t="s">
        <v>518</v>
      </c>
      <c r="G9580" t="s">
        <v>172</v>
      </c>
      <c r="H9580" t="s">
        <v>7</v>
      </c>
      <c r="I9580" s="173">
        <v>276.77</v>
      </c>
      <c r="J9580" s="231">
        <f>155+277</f>
        <v>432</v>
      </c>
      <c r="K9580" s="231"/>
      <c r="L9580" s="231">
        <v>1089</v>
      </c>
      <c r="M9580" s="150">
        <f>+J9580/L9580*100</f>
        <v>39.669421487603309</v>
      </c>
    </row>
    <row r="9581" spans="2:13" hidden="1" x14ac:dyDescent="0.3">
      <c r="B9581" t="s">
        <v>284</v>
      </c>
      <c r="C9581" s="25">
        <v>44755</v>
      </c>
      <c r="D9581" s="26">
        <v>0.3291203703703704</v>
      </c>
      <c r="E9581" t="s">
        <v>30</v>
      </c>
      <c r="F9581" t="s">
        <v>210</v>
      </c>
      <c r="G9581" t="s">
        <v>211</v>
      </c>
      <c r="H9581" t="s">
        <v>7</v>
      </c>
      <c r="I9581" s="173">
        <v>322.91000000000003</v>
      </c>
      <c r="J9581" s="23"/>
      <c r="K9581" s="23"/>
      <c r="L9581" s="23"/>
      <c r="M9581" s="254"/>
    </row>
    <row r="9582" spans="2:13" hidden="1" x14ac:dyDescent="0.3">
      <c r="B9582" t="s">
        <v>284</v>
      </c>
      <c r="C9582" s="25">
        <v>44755</v>
      </c>
      <c r="D9582" s="26">
        <v>0.71778935185185189</v>
      </c>
      <c r="E9582" t="s">
        <v>30</v>
      </c>
      <c r="F9582" t="s">
        <v>780</v>
      </c>
      <c r="G9582" t="s">
        <v>279</v>
      </c>
      <c r="H9582" t="s">
        <v>7</v>
      </c>
      <c r="I9582" s="173">
        <v>253.05</v>
      </c>
      <c r="J9582" s="23"/>
      <c r="K9582" s="23"/>
      <c r="L9582" s="23"/>
      <c r="M9582" s="254"/>
    </row>
    <row r="9583" spans="2:13" hidden="1" x14ac:dyDescent="0.3">
      <c r="B9583" t="s">
        <v>284</v>
      </c>
      <c r="C9583" s="25">
        <v>44756</v>
      </c>
      <c r="D9583" s="26">
        <v>0.62699074074074079</v>
      </c>
      <c r="E9583" t="s">
        <v>30</v>
      </c>
      <c r="F9583" t="s">
        <v>776</v>
      </c>
      <c r="G9583" t="s">
        <v>337</v>
      </c>
      <c r="H9583" t="s">
        <v>7</v>
      </c>
      <c r="I9583" s="173">
        <v>202.32</v>
      </c>
      <c r="J9583" s="23"/>
      <c r="K9583" s="23"/>
      <c r="L9583" s="23"/>
      <c r="M9583" s="254"/>
    </row>
    <row r="9584" spans="2:13" hidden="1" x14ac:dyDescent="0.3">
      <c r="B9584" t="s">
        <v>284</v>
      </c>
      <c r="C9584" s="25">
        <v>44757</v>
      </c>
      <c r="D9584" s="26">
        <v>0.75518518518518529</v>
      </c>
      <c r="E9584" t="s">
        <v>30</v>
      </c>
      <c r="F9584" t="s">
        <v>165</v>
      </c>
      <c r="G9584" t="s">
        <v>185</v>
      </c>
      <c r="H9584" t="s">
        <v>7</v>
      </c>
      <c r="I9584" s="173">
        <v>400.08</v>
      </c>
      <c r="J9584" s="23"/>
      <c r="K9584" s="23"/>
      <c r="L9584" s="23"/>
      <c r="M9584" s="254"/>
    </row>
    <row r="9585" spans="1:13" hidden="1" x14ac:dyDescent="0.3">
      <c r="B9585" t="s">
        <v>284</v>
      </c>
      <c r="C9585" s="25">
        <v>44758</v>
      </c>
      <c r="D9585" s="26">
        <v>0.63893518518518522</v>
      </c>
      <c r="E9585" t="s">
        <v>30</v>
      </c>
      <c r="F9585" t="s">
        <v>210</v>
      </c>
      <c r="G9585" t="s">
        <v>211</v>
      </c>
      <c r="H9585" t="s">
        <v>7</v>
      </c>
      <c r="I9585" s="173">
        <v>157.19999999999999</v>
      </c>
      <c r="J9585" s="231">
        <f>157+400+202+253+323</f>
        <v>1335</v>
      </c>
      <c r="K9585" s="151"/>
      <c r="L9585" s="231">
        <v>3233</v>
      </c>
      <c r="M9585" s="150">
        <f>+J9585/L9585*100</f>
        <v>41.292916795545928</v>
      </c>
    </row>
    <row r="9586" spans="1:13" hidden="1" x14ac:dyDescent="0.3">
      <c r="B9586" t="s">
        <v>284</v>
      </c>
      <c r="C9586" s="25">
        <v>44759</v>
      </c>
      <c r="D9586" s="26">
        <v>0.41453703703703698</v>
      </c>
      <c r="E9586" t="s">
        <v>30</v>
      </c>
      <c r="F9586" t="s">
        <v>169</v>
      </c>
      <c r="G9586" t="s">
        <v>196</v>
      </c>
      <c r="H9586" t="s">
        <v>7</v>
      </c>
      <c r="I9586" s="173">
        <v>199.91</v>
      </c>
      <c r="J9586" s="23"/>
      <c r="K9586" s="8"/>
      <c r="L9586" s="23"/>
      <c r="M9586" s="254"/>
    </row>
    <row r="9587" spans="1:13" hidden="1" x14ac:dyDescent="0.3">
      <c r="B9587" t="s">
        <v>284</v>
      </c>
      <c r="C9587" s="25">
        <v>44760</v>
      </c>
      <c r="D9587" s="26">
        <v>0.64533564814814814</v>
      </c>
      <c r="E9587" t="s">
        <v>30</v>
      </c>
      <c r="F9587" t="s">
        <v>428</v>
      </c>
      <c r="G9587" t="s">
        <v>429</v>
      </c>
      <c r="H9587" t="s">
        <v>7</v>
      </c>
      <c r="I9587" s="160">
        <v>100.01</v>
      </c>
      <c r="J9587" s="8"/>
      <c r="K9587" s="8"/>
      <c r="L9587" s="8"/>
      <c r="M9587" s="254"/>
    </row>
    <row r="9588" spans="1:13" hidden="1" x14ac:dyDescent="0.3">
      <c r="B9588" t="s">
        <v>284</v>
      </c>
      <c r="C9588" s="25">
        <v>44760</v>
      </c>
      <c r="D9588" s="26">
        <v>0.64739583333333328</v>
      </c>
      <c r="E9588" t="s">
        <v>30</v>
      </c>
      <c r="F9588" t="s">
        <v>428</v>
      </c>
      <c r="G9588" t="s">
        <v>429</v>
      </c>
      <c r="H9588" t="s">
        <v>7</v>
      </c>
      <c r="I9588" s="160">
        <v>171.97</v>
      </c>
      <c r="J9588" s="8"/>
      <c r="K9588" s="8"/>
      <c r="L9588" s="8"/>
      <c r="M9588" s="254"/>
    </row>
    <row r="9589" spans="1:13" hidden="1" x14ac:dyDescent="0.3">
      <c r="B9589" t="s">
        <v>284</v>
      </c>
      <c r="C9589" s="25">
        <v>44765</v>
      </c>
      <c r="D9589" s="26">
        <v>0.64006944444444447</v>
      </c>
      <c r="E9589" t="s">
        <v>30</v>
      </c>
      <c r="F9589" t="s">
        <v>166</v>
      </c>
      <c r="G9589" t="s">
        <v>161</v>
      </c>
      <c r="H9589" t="s">
        <v>7</v>
      </c>
      <c r="I9589" s="160">
        <v>373.23</v>
      </c>
      <c r="J9589" s="160"/>
      <c r="K9589" s="160"/>
      <c r="L9589" s="160"/>
      <c r="M9589" s="150"/>
    </row>
    <row r="9590" spans="1:13" hidden="1" x14ac:dyDescent="0.3">
      <c r="B9590" t="s">
        <v>284</v>
      </c>
      <c r="C9590" s="25">
        <v>44766</v>
      </c>
      <c r="D9590" s="26">
        <v>0.45879629629629631</v>
      </c>
      <c r="E9590" t="s">
        <v>30</v>
      </c>
      <c r="F9590" t="s">
        <v>165</v>
      </c>
      <c r="G9590" t="s">
        <v>185</v>
      </c>
      <c r="H9590" t="s">
        <v>7</v>
      </c>
      <c r="I9590" s="160">
        <v>156.71</v>
      </c>
      <c r="J9590" s="8"/>
      <c r="K9590" s="8"/>
      <c r="L9590" s="8"/>
      <c r="M9590" s="254"/>
    </row>
    <row r="9591" spans="1:13" hidden="1" x14ac:dyDescent="0.3">
      <c r="B9591" t="s">
        <v>284</v>
      </c>
      <c r="C9591" s="25">
        <v>44766</v>
      </c>
      <c r="D9591" s="26">
        <v>0.89517361111111116</v>
      </c>
      <c r="E9591" t="s">
        <v>30</v>
      </c>
      <c r="F9591" t="s">
        <v>210</v>
      </c>
      <c r="G9591" t="s">
        <v>211</v>
      </c>
      <c r="H9591" t="s">
        <v>7</v>
      </c>
      <c r="I9591" s="160">
        <v>329.56</v>
      </c>
      <c r="J9591" s="160"/>
      <c r="K9591" s="160"/>
      <c r="L9591" s="160"/>
      <c r="M9591" s="150"/>
    </row>
    <row r="9592" spans="1:13" hidden="1" x14ac:dyDescent="0.3">
      <c r="B9592" t="s">
        <v>284</v>
      </c>
      <c r="C9592" s="25">
        <v>44767</v>
      </c>
      <c r="D9592" s="26">
        <v>0.69516203703703694</v>
      </c>
      <c r="E9592" t="s">
        <v>30</v>
      </c>
      <c r="F9592" t="s">
        <v>169</v>
      </c>
      <c r="G9592" t="s">
        <v>196</v>
      </c>
      <c r="H9592" t="s">
        <v>7</v>
      </c>
      <c r="I9592" s="160">
        <v>188.07</v>
      </c>
      <c r="J9592" s="8"/>
      <c r="K9592" s="8"/>
      <c r="L9592" s="8"/>
      <c r="M9592" s="254"/>
    </row>
    <row r="9593" spans="1:13" hidden="1" x14ac:dyDescent="0.3">
      <c r="B9593" t="s">
        <v>284</v>
      </c>
      <c r="C9593" s="25">
        <v>44768</v>
      </c>
      <c r="D9593" s="26">
        <v>0.75847222222222221</v>
      </c>
      <c r="E9593" t="s">
        <v>30</v>
      </c>
      <c r="F9593" t="s">
        <v>391</v>
      </c>
      <c r="G9593" t="s">
        <v>392</v>
      </c>
      <c r="H9593" t="s">
        <v>7</v>
      </c>
      <c r="I9593" s="160">
        <v>201.09</v>
      </c>
      <c r="J9593" s="8"/>
      <c r="K9593" s="8"/>
      <c r="L9593" s="8"/>
      <c r="M9593" s="254"/>
    </row>
    <row r="9594" spans="1:13" hidden="1" x14ac:dyDescent="0.3">
      <c r="B9594" t="s">
        <v>284</v>
      </c>
      <c r="C9594" s="25">
        <v>44770</v>
      </c>
      <c r="D9594" s="26">
        <v>0.73637731481481483</v>
      </c>
      <c r="E9594" t="s">
        <v>30</v>
      </c>
      <c r="F9594" t="s">
        <v>210</v>
      </c>
      <c r="G9594" t="s">
        <v>211</v>
      </c>
      <c r="H9594" t="s">
        <v>7</v>
      </c>
      <c r="I9594" s="160">
        <v>404.42</v>
      </c>
      <c r="J9594" s="160"/>
      <c r="K9594" s="160"/>
      <c r="L9594" s="160"/>
      <c r="M9594" s="150"/>
    </row>
    <row r="9595" spans="1:13" hidden="1" x14ac:dyDescent="0.3">
      <c r="B9595" t="s">
        <v>284</v>
      </c>
      <c r="C9595" s="25">
        <v>44771</v>
      </c>
      <c r="D9595" s="26">
        <v>0.54113425925925929</v>
      </c>
      <c r="E9595" t="s">
        <v>30</v>
      </c>
      <c r="F9595" t="s">
        <v>165</v>
      </c>
      <c r="G9595" t="s">
        <v>185</v>
      </c>
      <c r="H9595" t="s">
        <v>7</v>
      </c>
      <c r="I9595" s="160">
        <v>132.04</v>
      </c>
      <c r="J9595" s="8"/>
      <c r="K9595" s="8"/>
      <c r="L9595" s="8"/>
      <c r="M9595" s="254"/>
    </row>
    <row r="9596" spans="1:13" hidden="1" x14ac:dyDescent="0.3">
      <c r="B9596" t="s">
        <v>284</v>
      </c>
      <c r="C9596" s="25">
        <v>44772</v>
      </c>
      <c r="D9596" s="26">
        <v>0.74089120370370365</v>
      </c>
      <c r="E9596" t="s">
        <v>30</v>
      </c>
      <c r="F9596" t="s">
        <v>165</v>
      </c>
      <c r="G9596" t="s">
        <v>185</v>
      </c>
      <c r="H9596" t="s">
        <v>7</v>
      </c>
      <c r="I9596" s="160">
        <v>319.01</v>
      </c>
      <c r="J9596" s="8"/>
      <c r="K9596" s="8"/>
      <c r="L9596" s="8"/>
      <c r="M9596" s="254"/>
    </row>
    <row r="9597" spans="1:13" hidden="1" x14ac:dyDescent="0.3">
      <c r="A9597" s="9">
        <v>6751</v>
      </c>
      <c r="B9597" t="s">
        <v>625</v>
      </c>
      <c r="C9597" s="25">
        <v>44743</v>
      </c>
      <c r="D9597" s="26">
        <v>0.81016203703703704</v>
      </c>
      <c r="E9597" t="s">
        <v>30</v>
      </c>
      <c r="F9597" t="s">
        <v>197</v>
      </c>
      <c r="G9597" t="s">
        <v>44</v>
      </c>
      <c r="H9597" t="s">
        <v>8</v>
      </c>
      <c r="I9597" s="160">
        <v>134.77000000000001</v>
      </c>
      <c r="J9597" s="8"/>
      <c r="K9597" s="8">
        <v>855626</v>
      </c>
      <c r="L9597" s="8">
        <f t="shared" ref="L9597:L9600" si="576">+K9597-J9597</f>
        <v>855626</v>
      </c>
      <c r="M9597" s="91">
        <f>I9597/L9597*100</f>
        <v>1.5751040758462228E-2</v>
      </c>
    </row>
    <row r="9598" spans="1:13" hidden="1" x14ac:dyDescent="0.3">
      <c r="A9598" s="9">
        <v>6751</v>
      </c>
      <c r="B9598" t="s">
        <v>625</v>
      </c>
      <c r="C9598" s="25">
        <v>44744</v>
      </c>
      <c r="D9598" s="26">
        <v>0.31680555555555556</v>
      </c>
      <c r="E9598" t="s">
        <v>30</v>
      </c>
      <c r="F9598" t="s">
        <v>197</v>
      </c>
      <c r="G9598" t="s">
        <v>44</v>
      </c>
      <c r="H9598" t="s">
        <v>8</v>
      </c>
      <c r="I9598" s="160">
        <v>134.77000000000001</v>
      </c>
      <c r="J9598" s="8"/>
      <c r="K9598" s="8">
        <v>855628</v>
      </c>
      <c r="L9598" s="8">
        <f t="shared" si="576"/>
        <v>855628</v>
      </c>
      <c r="M9598" s="91">
        <f>I9598/L9598*100</f>
        <v>1.5751003940965E-2</v>
      </c>
    </row>
    <row r="9599" spans="1:13" hidden="1" x14ac:dyDescent="0.3">
      <c r="A9599" s="9">
        <v>6751</v>
      </c>
      <c r="B9599" t="s">
        <v>625</v>
      </c>
      <c r="C9599" s="25">
        <v>44744</v>
      </c>
      <c r="D9599" s="26">
        <v>0.80982638888888892</v>
      </c>
      <c r="E9599" t="s">
        <v>30</v>
      </c>
      <c r="F9599" t="s">
        <v>166</v>
      </c>
      <c r="G9599" t="s">
        <v>161</v>
      </c>
      <c r="H9599" t="s">
        <v>8</v>
      </c>
      <c r="I9599" s="173">
        <v>247.65</v>
      </c>
      <c r="J9599" s="8"/>
      <c r="K9599" s="8">
        <v>856142</v>
      </c>
      <c r="L9599" s="8">
        <f t="shared" si="576"/>
        <v>856142</v>
      </c>
      <c r="M9599" s="91">
        <f>I9599/L9599*100</f>
        <v>2.8926276248566241E-2</v>
      </c>
    </row>
    <row r="9600" spans="1:13" hidden="1" x14ac:dyDescent="0.3">
      <c r="A9600" s="9">
        <v>6751</v>
      </c>
      <c r="B9600" t="s">
        <v>625</v>
      </c>
      <c r="C9600" s="25">
        <v>44745</v>
      </c>
      <c r="D9600" s="26">
        <v>0.54513888888888895</v>
      </c>
      <c r="E9600" t="s">
        <v>30</v>
      </c>
      <c r="F9600" t="s">
        <v>165</v>
      </c>
      <c r="G9600" t="s">
        <v>185</v>
      </c>
      <c r="H9600" t="s">
        <v>8</v>
      </c>
      <c r="I9600" s="173">
        <v>284.20999999999998</v>
      </c>
      <c r="J9600" s="8"/>
      <c r="K9600" s="8">
        <v>856738</v>
      </c>
      <c r="L9600" s="8">
        <f t="shared" si="576"/>
        <v>856738</v>
      </c>
      <c r="M9600" s="91">
        <f>I9600/L9600*100</f>
        <v>3.3173502284245593E-2</v>
      </c>
    </row>
    <row r="9601" spans="1:13" hidden="1" x14ac:dyDescent="0.3">
      <c r="A9601" s="9">
        <v>6751</v>
      </c>
      <c r="B9601" t="s">
        <v>625</v>
      </c>
      <c r="C9601" s="25">
        <v>44746</v>
      </c>
      <c r="D9601" s="26">
        <v>0.35309027777777779</v>
      </c>
      <c r="E9601" t="s">
        <v>30</v>
      </c>
      <c r="F9601" t="s">
        <v>210</v>
      </c>
      <c r="G9601" t="s">
        <v>211</v>
      </c>
      <c r="H9601" t="s">
        <v>8</v>
      </c>
      <c r="I9601" s="173">
        <v>182.19</v>
      </c>
      <c r="J9601" s="160">
        <f>182+284+247+134+134+155+87+286+177+155+304+264</f>
        <v>2409</v>
      </c>
      <c r="K9601" s="160">
        <v>857290</v>
      </c>
      <c r="L9601" s="160">
        <v>6082</v>
      </c>
      <c r="M9601" s="149">
        <f>+J9601/L9601*100</f>
        <v>39.608681354817492</v>
      </c>
    </row>
    <row r="9602" spans="1:13" hidden="1" x14ac:dyDescent="0.3">
      <c r="A9602" s="9">
        <v>6751</v>
      </c>
      <c r="B9602" t="s">
        <v>625</v>
      </c>
      <c r="C9602" s="25">
        <v>44746</v>
      </c>
      <c r="D9602" s="26">
        <v>0.70478009259259267</v>
      </c>
      <c r="E9602" t="s">
        <v>30</v>
      </c>
      <c r="F9602" t="s">
        <v>169</v>
      </c>
      <c r="G9602" t="s">
        <v>196</v>
      </c>
      <c r="H9602" t="s">
        <v>8</v>
      </c>
      <c r="I9602" s="173">
        <v>158.22</v>
      </c>
      <c r="J9602" s="8"/>
      <c r="K9602" s="8">
        <v>857775</v>
      </c>
      <c r="L9602" s="8">
        <f>+K9602-J9602</f>
        <v>857775</v>
      </c>
      <c r="M9602" s="91">
        <f>I9602/L9602*100</f>
        <v>1.8445396520066451E-2</v>
      </c>
    </row>
    <row r="9603" spans="1:13" hidden="1" x14ac:dyDescent="0.3">
      <c r="A9603" s="9">
        <v>6751</v>
      </c>
      <c r="B9603" t="s">
        <v>625</v>
      </c>
      <c r="C9603" s="25">
        <v>44748</v>
      </c>
      <c r="D9603" s="26">
        <v>0.42371527777777779</v>
      </c>
      <c r="E9603" t="s">
        <v>30</v>
      </c>
      <c r="F9603" t="s">
        <v>343</v>
      </c>
      <c r="G9603" t="s">
        <v>344</v>
      </c>
      <c r="H9603" t="s">
        <v>8</v>
      </c>
      <c r="I9603" s="173">
        <v>100</v>
      </c>
      <c r="J9603" s="8"/>
      <c r="K9603" s="8"/>
      <c r="L9603" s="8"/>
      <c r="M9603" s="91"/>
    </row>
    <row r="9604" spans="1:13" hidden="1" x14ac:dyDescent="0.3">
      <c r="A9604" s="9">
        <v>6751</v>
      </c>
      <c r="B9604" t="s">
        <v>625</v>
      </c>
      <c r="C9604" s="25">
        <v>44748</v>
      </c>
      <c r="D9604" s="26">
        <v>0.48651620370370369</v>
      </c>
      <c r="E9604" t="s">
        <v>30</v>
      </c>
      <c r="F9604" t="s">
        <v>311</v>
      </c>
      <c r="G9604" t="s">
        <v>303</v>
      </c>
      <c r="H9604" t="s">
        <v>8</v>
      </c>
      <c r="I9604" s="173">
        <v>280.57</v>
      </c>
      <c r="J9604" s="8"/>
      <c r="K9604" s="8"/>
      <c r="L9604" s="8"/>
      <c r="M9604" s="91"/>
    </row>
    <row r="9605" spans="1:13" hidden="1" x14ac:dyDescent="0.3">
      <c r="A9605" s="9">
        <v>6751</v>
      </c>
      <c r="B9605" t="s">
        <v>625</v>
      </c>
      <c r="C9605" s="25">
        <v>44748</v>
      </c>
      <c r="D9605" s="26">
        <v>0.78675925925925927</v>
      </c>
      <c r="E9605" t="s">
        <v>30</v>
      </c>
      <c r="F9605" t="s">
        <v>166</v>
      </c>
      <c r="G9605" t="s">
        <v>161</v>
      </c>
      <c r="H9605" t="s">
        <v>8</v>
      </c>
      <c r="I9605" s="173">
        <v>154.55000000000001</v>
      </c>
      <c r="J9605" s="8"/>
      <c r="K9605" s="8"/>
      <c r="L9605" s="8"/>
      <c r="M9605" s="91"/>
    </row>
    <row r="9606" spans="1:13" hidden="1" x14ac:dyDescent="0.3">
      <c r="A9606" s="9">
        <v>6751</v>
      </c>
      <c r="B9606" t="s">
        <v>625</v>
      </c>
      <c r="C9606" s="25">
        <v>44749</v>
      </c>
      <c r="D9606" s="26">
        <v>0.66714120370370367</v>
      </c>
      <c r="E9606" t="s">
        <v>30</v>
      </c>
      <c r="F9606" t="s">
        <v>165</v>
      </c>
      <c r="G9606" t="s">
        <v>185</v>
      </c>
      <c r="H9606" t="s">
        <v>8</v>
      </c>
      <c r="I9606" s="173" t="s">
        <v>873</v>
      </c>
      <c r="J9606" s="8"/>
      <c r="K9606" s="8"/>
      <c r="L9606" s="8"/>
      <c r="M9606" s="91"/>
    </row>
    <row r="9607" spans="1:13" hidden="1" x14ac:dyDescent="0.3">
      <c r="A9607" s="9">
        <v>6751</v>
      </c>
      <c r="B9607" t="s">
        <v>625</v>
      </c>
      <c r="C9607" s="25">
        <v>44750</v>
      </c>
      <c r="D9607" s="26">
        <v>0.46673611111111107</v>
      </c>
      <c r="E9607" t="s">
        <v>30</v>
      </c>
      <c r="F9607" t="s">
        <v>774</v>
      </c>
      <c r="G9607" t="s">
        <v>161</v>
      </c>
      <c r="H9607" t="s">
        <v>8</v>
      </c>
      <c r="I9607" s="173" t="s">
        <v>872</v>
      </c>
      <c r="J9607" s="160">
        <f>158+100+280+154+311+200</f>
        <v>1203</v>
      </c>
      <c r="K9607" s="160"/>
      <c r="L9607" s="160">
        <v>2903</v>
      </c>
      <c r="M9607" s="149">
        <f>+J9607/L9607*100</f>
        <v>41.439889769204271</v>
      </c>
    </row>
    <row r="9608" spans="1:13" hidden="1" x14ac:dyDescent="0.3">
      <c r="A9608" s="9">
        <v>6751</v>
      </c>
      <c r="B9608" t="s">
        <v>625</v>
      </c>
      <c r="C9608" s="25">
        <v>44750</v>
      </c>
      <c r="D9608" s="26">
        <v>0.75513888888888892</v>
      </c>
      <c r="E9608" t="s">
        <v>30</v>
      </c>
      <c r="F9608" t="s">
        <v>169</v>
      </c>
      <c r="G9608" t="s">
        <v>196</v>
      </c>
      <c r="H9608" t="s">
        <v>8</v>
      </c>
      <c r="I9608" s="173" t="s">
        <v>871</v>
      </c>
      <c r="J9608" s="8"/>
      <c r="K9608" s="8"/>
      <c r="L9608" s="8"/>
      <c r="M9608" s="91"/>
    </row>
    <row r="9609" spans="1:13" hidden="1" x14ac:dyDescent="0.3">
      <c r="A9609" s="9">
        <v>6751</v>
      </c>
      <c r="B9609" t="s">
        <v>625</v>
      </c>
      <c r="C9609" s="25">
        <v>44751</v>
      </c>
      <c r="D9609" s="26">
        <v>0.43192129629629633</v>
      </c>
      <c r="E9609" t="s">
        <v>30</v>
      </c>
      <c r="F9609" t="s">
        <v>775</v>
      </c>
      <c r="G9609" t="s">
        <v>263</v>
      </c>
      <c r="H9609" t="s">
        <v>8</v>
      </c>
      <c r="I9609" s="173" t="s">
        <v>870</v>
      </c>
      <c r="J9609" s="8"/>
      <c r="K9609" s="8"/>
      <c r="L9609" s="8"/>
      <c r="M9609" s="91"/>
    </row>
    <row r="9610" spans="1:13" hidden="1" x14ac:dyDescent="0.3">
      <c r="A9610" s="9">
        <v>6751</v>
      </c>
      <c r="B9610" t="s">
        <v>625</v>
      </c>
      <c r="C9610" s="25">
        <v>44751</v>
      </c>
      <c r="D9610" s="26">
        <v>0.86267361111111107</v>
      </c>
      <c r="E9610" t="s">
        <v>30</v>
      </c>
      <c r="F9610" t="s">
        <v>772</v>
      </c>
      <c r="G9610" t="s">
        <v>44</v>
      </c>
      <c r="H9610" t="s">
        <v>8</v>
      </c>
      <c r="I9610" s="173" t="s">
        <v>869</v>
      </c>
      <c r="J9610" s="8"/>
      <c r="K9610" s="8"/>
      <c r="L9610" s="8"/>
      <c r="M9610" s="91"/>
    </row>
    <row r="9611" spans="1:13" hidden="1" x14ac:dyDescent="0.3">
      <c r="A9611" s="9">
        <v>6751</v>
      </c>
      <c r="B9611" t="s">
        <v>625</v>
      </c>
      <c r="C9611" s="25">
        <v>44752</v>
      </c>
      <c r="D9611" s="26">
        <v>0.7537152777777778</v>
      </c>
      <c r="E9611" t="s">
        <v>30</v>
      </c>
      <c r="F9611" t="s">
        <v>210</v>
      </c>
      <c r="G9611" t="s">
        <v>211</v>
      </c>
      <c r="H9611" t="s">
        <v>8</v>
      </c>
      <c r="I9611" s="173" t="s">
        <v>868</v>
      </c>
      <c r="J9611" s="160">
        <f>159+157+118+288</f>
        <v>722</v>
      </c>
      <c r="K9611" s="160"/>
      <c r="L9611" s="160">
        <v>1637</v>
      </c>
      <c r="M9611" s="149">
        <f>+J9611/L9611*100</f>
        <v>44.105070250458155</v>
      </c>
    </row>
    <row r="9612" spans="1:13" hidden="1" x14ac:dyDescent="0.3">
      <c r="A9612" s="9">
        <v>6751</v>
      </c>
      <c r="B9612" t="s">
        <v>625</v>
      </c>
      <c r="C9612" s="25">
        <v>44753</v>
      </c>
      <c r="D9612" s="26">
        <v>0.55679398148148151</v>
      </c>
      <c r="E9612" t="s">
        <v>30</v>
      </c>
      <c r="F9612" t="s">
        <v>533</v>
      </c>
      <c r="G9612" t="s">
        <v>45</v>
      </c>
      <c r="H9612" t="s">
        <v>8</v>
      </c>
      <c r="I9612" s="173" t="s">
        <v>894</v>
      </c>
      <c r="J9612" s="23"/>
      <c r="K9612" s="23"/>
      <c r="L9612" s="23"/>
      <c r="M9612" s="254"/>
    </row>
    <row r="9613" spans="1:13" hidden="1" x14ac:dyDescent="0.3">
      <c r="A9613" s="9">
        <v>6751</v>
      </c>
      <c r="B9613" t="s">
        <v>625</v>
      </c>
      <c r="C9613" s="25">
        <v>44754</v>
      </c>
      <c r="D9613" s="26">
        <v>0.77929398148148143</v>
      </c>
      <c r="E9613" t="s">
        <v>30</v>
      </c>
      <c r="F9613" t="s">
        <v>210</v>
      </c>
      <c r="G9613" t="s">
        <v>211</v>
      </c>
      <c r="H9613" t="s">
        <v>8</v>
      </c>
      <c r="I9613" s="173" t="s">
        <v>893</v>
      </c>
      <c r="J9613" s="231">
        <f>238+236</f>
        <v>474</v>
      </c>
      <c r="K9613" s="151"/>
      <c r="L9613" s="151">
        <v>921</v>
      </c>
      <c r="M9613" s="150">
        <f>+J9613/L9613*100</f>
        <v>51.465798045602604</v>
      </c>
    </row>
    <row r="9614" spans="1:13" hidden="1" x14ac:dyDescent="0.3">
      <c r="A9614" s="9">
        <v>6751</v>
      </c>
      <c r="B9614" t="s">
        <v>625</v>
      </c>
      <c r="C9614" s="25">
        <v>44755</v>
      </c>
      <c r="D9614" s="26">
        <v>0.42201388888888891</v>
      </c>
      <c r="E9614" t="s">
        <v>30</v>
      </c>
      <c r="F9614" t="s">
        <v>169</v>
      </c>
      <c r="G9614" t="s">
        <v>196</v>
      </c>
      <c r="H9614" t="s">
        <v>8</v>
      </c>
      <c r="I9614" s="173" t="s">
        <v>989</v>
      </c>
      <c r="J9614" s="8"/>
      <c r="K9614" s="8"/>
      <c r="L9614" s="8"/>
      <c r="M9614" s="254"/>
    </row>
    <row r="9615" spans="1:13" hidden="1" x14ac:dyDescent="0.3">
      <c r="B9615" t="s">
        <v>625</v>
      </c>
      <c r="C9615" s="25">
        <v>44763</v>
      </c>
      <c r="D9615" s="26">
        <v>0.40876157407407404</v>
      </c>
      <c r="E9615" t="s">
        <v>30</v>
      </c>
      <c r="F9615" t="s">
        <v>175</v>
      </c>
      <c r="G9615" t="s">
        <v>172</v>
      </c>
      <c r="H9615" t="s">
        <v>8</v>
      </c>
      <c r="I9615" s="160">
        <v>227.08</v>
      </c>
      <c r="J9615" s="8"/>
      <c r="K9615" s="8"/>
      <c r="L9615" s="8"/>
      <c r="M9615" s="254"/>
    </row>
    <row r="9616" spans="1:13" hidden="1" x14ac:dyDescent="0.3">
      <c r="B9616" t="s">
        <v>625</v>
      </c>
      <c r="C9616" s="25">
        <v>44763</v>
      </c>
      <c r="D9616" s="26">
        <v>0.76310185185185186</v>
      </c>
      <c r="E9616" t="s">
        <v>30</v>
      </c>
      <c r="F9616" t="s">
        <v>311</v>
      </c>
      <c r="G9616" t="s">
        <v>303</v>
      </c>
      <c r="H9616" t="s">
        <v>8</v>
      </c>
      <c r="I9616" s="160">
        <v>177.8</v>
      </c>
      <c r="J9616" s="8"/>
      <c r="K9616" s="8"/>
      <c r="L9616" s="8"/>
      <c r="M9616" s="254"/>
    </row>
    <row r="9617" spans="2:13" hidden="1" x14ac:dyDescent="0.3">
      <c r="B9617" t="s">
        <v>625</v>
      </c>
      <c r="C9617" s="25">
        <v>44764</v>
      </c>
      <c r="D9617" s="26">
        <v>0.35817129629629635</v>
      </c>
      <c r="E9617" t="s">
        <v>30</v>
      </c>
      <c r="F9617" t="s">
        <v>166</v>
      </c>
      <c r="G9617" t="s">
        <v>161</v>
      </c>
      <c r="H9617" t="s">
        <v>8</v>
      </c>
      <c r="I9617" s="160">
        <v>160.78</v>
      </c>
      <c r="J9617" s="160"/>
      <c r="K9617" s="160"/>
      <c r="L9617" s="160"/>
      <c r="M9617" s="150"/>
    </row>
    <row r="9618" spans="2:13" hidden="1" x14ac:dyDescent="0.3">
      <c r="B9618" t="s">
        <v>625</v>
      </c>
      <c r="C9618" s="25">
        <v>44764</v>
      </c>
      <c r="D9618" s="26">
        <v>0.81474537037037031</v>
      </c>
      <c r="E9618" t="s">
        <v>30</v>
      </c>
      <c r="F9618" t="s">
        <v>165</v>
      </c>
      <c r="G9618" t="s">
        <v>185</v>
      </c>
      <c r="H9618" t="s">
        <v>8</v>
      </c>
      <c r="I9618" s="160">
        <v>297.02</v>
      </c>
      <c r="J9618" s="8"/>
      <c r="K9618" s="8"/>
      <c r="L9618" s="8"/>
      <c r="M9618" s="254"/>
    </row>
    <row r="9619" spans="2:13" hidden="1" x14ac:dyDescent="0.3">
      <c r="B9619" t="s">
        <v>625</v>
      </c>
      <c r="C9619" s="25">
        <v>44765</v>
      </c>
      <c r="D9619" s="26">
        <v>0.70994212962962966</v>
      </c>
      <c r="E9619" t="s">
        <v>30</v>
      </c>
      <c r="F9619" t="s">
        <v>165</v>
      </c>
      <c r="G9619" t="s">
        <v>185</v>
      </c>
      <c r="H9619" t="s">
        <v>8</v>
      </c>
      <c r="I9619" s="160">
        <v>206.76</v>
      </c>
      <c r="J9619" s="8"/>
      <c r="K9619" s="8"/>
      <c r="L9619" s="8"/>
      <c r="M9619" s="254"/>
    </row>
    <row r="9620" spans="2:13" hidden="1" x14ac:dyDescent="0.3">
      <c r="B9620" t="s">
        <v>625</v>
      </c>
      <c r="C9620" s="25">
        <v>44766</v>
      </c>
      <c r="D9620" s="26">
        <v>0.43280092592592595</v>
      </c>
      <c r="E9620" t="s">
        <v>30</v>
      </c>
      <c r="F9620" t="s">
        <v>210</v>
      </c>
      <c r="G9620" t="s">
        <v>211</v>
      </c>
      <c r="H9620" t="s">
        <v>8</v>
      </c>
      <c r="I9620" s="160">
        <v>163.33000000000001</v>
      </c>
      <c r="J9620" s="160"/>
      <c r="K9620" s="160"/>
      <c r="L9620" s="160"/>
      <c r="M9620" s="150"/>
    </row>
    <row r="9621" spans="2:13" hidden="1" x14ac:dyDescent="0.3">
      <c r="B9621" t="s">
        <v>625</v>
      </c>
      <c r="C9621" s="25">
        <v>44766</v>
      </c>
      <c r="D9621" s="26">
        <v>0.71574074074074068</v>
      </c>
      <c r="E9621" t="s">
        <v>30</v>
      </c>
      <c r="F9621" t="s">
        <v>169</v>
      </c>
      <c r="G9621" t="s">
        <v>196</v>
      </c>
      <c r="H9621" t="s">
        <v>8</v>
      </c>
      <c r="I9621" s="160">
        <v>173.73</v>
      </c>
      <c r="J9621" s="8"/>
      <c r="K9621" s="8"/>
      <c r="L9621" s="8"/>
      <c r="M9621" s="254"/>
    </row>
    <row r="9622" spans="2:13" hidden="1" x14ac:dyDescent="0.3">
      <c r="B9622" t="s">
        <v>625</v>
      </c>
      <c r="C9622" s="25">
        <v>44768</v>
      </c>
      <c r="D9622" s="26">
        <v>0.39311342592592591</v>
      </c>
      <c r="E9622" t="s">
        <v>30</v>
      </c>
      <c r="F9622" t="s">
        <v>197</v>
      </c>
      <c r="G9622" t="s">
        <v>44</v>
      </c>
      <c r="H9622" t="s">
        <v>8</v>
      </c>
      <c r="I9622" s="160">
        <v>99.36</v>
      </c>
      <c r="J9622" s="8"/>
      <c r="K9622" s="8"/>
      <c r="L9622" s="8"/>
      <c r="M9622" s="254"/>
    </row>
    <row r="9623" spans="2:13" hidden="1" x14ac:dyDescent="0.3">
      <c r="B9623" t="s">
        <v>625</v>
      </c>
      <c r="C9623" s="25">
        <v>44768</v>
      </c>
      <c r="D9623" s="26">
        <v>0.49234953703703704</v>
      </c>
      <c r="E9623" t="s">
        <v>30</v>
      </c>
      <c r="F9623" t="s">
        <v>311</v>
      </c>
      <c r="G9623" t="s">
        <v>303</v>
      </c>
      <c r="H9623" t="s">
        <v>8</v>
      </c>
      <c r="I9623" s="160">
        <v>304.86</v>
      </c>
      <c r="J9623" s="8"/>
      <c r="K9623" s="8"/>
      <c r="L9623" s="8"/>
      <c r="M9623" s="254"/>
    </row>
    <row r="9624" spans="2:13" hidden="1" x14ac:dyDescent="0.3">
      <c r="B9624" t="s">
        <v>625</v>
      </c>
      <c r="C9624" s="25">
        <v>44768</v>
      </c>
      <c r="D9624" s="26">
        <v>0.70884259259259252</v>
      </c>
      <c r="E9624" t="s">
        <v>30</v>
      </c>
      <c r="F9624" t="s">
        <v>166</v>
      </c>
      <c r="G9624" t="s">
        <v>161</v>
      </c>
      <c r="H9624" t="s">
        <v>8</v>
      </c>
      <c r="I9624" s="160">
        <v>163.81</v>
      </c>
      <c r="J9624" s="160"/>
      <c r="K9624" s="160"/>
      <c r="L9624" s="160"/>
      <c r="M9624" s="150"/>
    </row>
    <row r="9625" spans="2:13" hidden="1" x14ac:dyDescent="0.3">
      <c r="B9625" t="s">
        <v>625</v>
      </c>
      <c r="C9625" s="25">
        <v>44769</v>
      </c>
      <c r="D9625" s="26">
        <v>0.50520833333333337</v>
      </c>
      <c r="E9625" t="s">
        <v>30</v>
      </c>
      <c r="F9625" t="s">
        <v>165</v>
      </c>
      <c r="G9625" t="s">
        <v>185</v>
      </c>
      <c r="H9625" t="s">
        <v>8</v>
      </c>
      <c r="I9625" s="160">
        <v>328.6</v>
      </c>
      <c r="J9625" s="8"/>
      <c r="K9625" s="8"/>
      <c r="L9625" s="8"/>
      <c r="M9625" s="254"/>
    </row>
    <row r="9626" spans="2:13" hidden="1" x14ac:dyDescent="0.3">
      <c r="B9626" t="s">
        <v>625</v>
      </c>
      <c r="C9626" s="25">
        <v>44769</v>
      </c>
      <c r="D9626" s="26">
        <v>0.82681712962962972</v>
      </c>
      <c r="E9626" t="s">
        <v>30</v>
      </c>
      <c r="F9626" t="s">
        <v>210</v>
      </c>
      <c r="G9626" t="s">
        <v>211</v>
      </c>
      <c r="H9626" t="s">
        <v>8</v>
      </c>
      <c r="I9626" s="160">
        <v>52.54</v>
      </c>
      <c r="J9626" s="8"/>
      <c r="K9626" s="8"/>
      <c r="L9626" s="8"/>
      <c r="M9626" s="254"/>
    </row>
    <row r="9627" spans="2:13" hidden="1" x14ac:dyDescent="0.3">
      <c r="B9627" t="s">
        <v>625</v>
      </c>
      <c r="C9627" s="25">
        <v>44769</v>
      </c>
      <c r="D9627" s="26">
        <v>0.83711805555555552</v>
      </c>
      <c r="E9627" t="s">
        <v>30</v>
      </c>
      <c r="F9627" t="s">
        <v>210</v>
      </c>
      <c r="G9627" t="s">
        <v>211</v>
      </c>
      <c r="H9627" t="s">
        <v>8</v>
      </c>
      <c r="I9627" s="160">
        <v>102.31</v>
      </c>
      <c r="J9627" s="160"/>
      <c r="K9627" s="160"/>
      <c r="L9627" s="160"/>
      <c r="M9627" s="150"/>
    </row>
    <row r="9628" spans="2:13" hidden="1" x14ac:dyDescent="0.3">
      <c r="B9628" t="s">
        <v>625</v>
      </c>
      <c r="C9628" s="25">
        <v>44770</v>
      </c>
      <c r="D9628" s="26">
        <v>0.96096064814814808</v>
      </c>
      <c r="E9628" t="s">
        <v>30</v>
      </c>
      <c r="F9628" t="s">
        <v>428</v>
      </c>
      <c r="G9628" t="s">
        <v>429</v>
      </c>
      <c r="H9628" t="s">
        <v>8</v>
      </c>
      <c r="I9628" s="160">
        <v>101.11</v>
      </c>
      <c r="J9628" s="8"/>
      <c r="K9628" s="8"/>
      <c r="L9628" s="8"/>
      <c r="M9628" s="254"/>
    </row>
    <row r="9629" spans="2:13" hidden="1" x14ac:dyDescent="0.3">
      <c r="B9629" t="s">
        <v>625</v>
      </c>
      <c r="C9629" s="25">
        <v>44770</v>
      </c>
      <c r="D9629" s="26">
        <v>0.96347222222222229</v>
      </c>
      <c r="E9629" t="s">
        <v>30</v>
      </c>
      <c r="F9629" t="s">
        <v>428</v>
      </c>
      <c r="G9629" t="s">
        <v>429</v>
      </c>
      <c r="H9629" t="s">
        <v>8</v>
      </c>
      <c r="I9629" s="160">
        <v>201.45</v>
      </c>
      <c r="J9629" s="8"/>
      <c r="K9629" s="8"/>
      <c r="L9629" s="8"/>
      <c r="M9629" s="254"/>
    </row>
    <row r="9630" spans="2:13" hidden="1" x14ac:dyDescent="0.3">
      <c r="B9630" t="s">
        <v>625</v>
      </c>
      <c r="C9630" s="25">
        <v>44771</v>
      </c>
      <c r="D9630" s="26">
        <v>0.38027777777777777</v>
      </c>
      <c r="E9630" t="s">
        <v>30</v>
      </c>
      <c r="F9630" t="s">
        <v>428</v>
      </c>
      <c r="G9630" t="s">
        <v>429</v>
      </c>
      <c r="H9630" t="s">
        <v>8</v>
      </c>
      <c r="I9630" s="160">
        <v>56.55</v>
      </c>
      <c r="J9630" s="8"/>
      <c r="K9630" s="8"/>
      <c r="L9630" s="8"/>
      <c r="M9630" s="254"/>
    </row>
    <row r="9631" spans="2:13" hidden="1" x14ac:dyDescent="0.3">
      <c r="B9631" t="s">
        <v>625</v>
      </c>
      <c r="C9631" s="25">
        <v>44771</v>
      </c>
      <c r="D9631" s="26">
        <v>0.91418981481481476</v>
      </c>
      <c r="E9631" t="s">
        <v>30</v>
      </c>
      <c r="F9631" t="s">
        <v>197</v>
      </c>
      <c r="G9631" t="s">
        <v>44</v>
      </c>
      <c r="H9631" t="s">
        <v>8</v>
      </c>
      <c r="I9631" s="160">
        <v>178.86</v>
      </c>
      <c r="J9631" s="8"/>
      <c r="K9631" s="8"/>
      <c r="L9631" s="8"/>
      <c r="M9631" s="254"/>
    </row>
    <row r="9632" spans="2:13" hidden="1" x14ac:dyDescent="0.3">
      <c r="B9632" t="s">
        <v>625</v>
      </c>
      <c r="C9632" s="25">
        <v>44772</v>
      </c>
      <c r="D9632" s="26">
        <v>0.4831597222222222</v>
      </c>
      <c r="E9632" t="s">
        <v>30</v>
      </c>
      <c r="F9632" t="s">
        <v>166</v>
      </c>
      <c r="G9632" t="s">
        <v>161</v>
      </c>
      <c r="H9632" t="s">
        <v>8</v>
      </c>
      <c r="I9632" s="160">
        <v>228.38</v>
      </c>
      <c r="J9632" s="8"/>
      <c r="K9632" s="8"/>
      <c r="L9632" s="8"/>
      <c r="M9632" s="254"/>
    </row>
    <row r="9633" spans="1:13" hidden="1" x14ac:dyDescent="0.3">
      <c r="B9633" t="s">
        <v>625</v>
      </c>
      <c r="C9633" s="25">
        <v>44773</v>
      </c>
      <c r="D9633" s="26">
        <v>0.66630787037037031</v>
      </c>
      <c r="E9633" t="s">
        <v>30</v>
      </c>
      <c r="F9633" t="s">
        <v>210</v>
      </c>
      <c r="G9633" t="s">
        <v>211</v>
      </c>
      <c r="H9633" t="s">
        <v>8</v>
      </c>
      <c r="I9633" s="160">
        <v>407.73</v>
      </c>
      <c r="J9633" s="160"/>
      <c r="K9633" s="160"/>
      <c r="L9633" s="160"/>
      <c r="M9633" s="150"/>
    </row>
    <row r="9634" spans="1:13" hidden="1" x14ac:dyDescent="0.3">
      <c r="B9634" t="s">
        <v>625</v>
      </c>
      <c r="C9634" s="25">
        <v>44773</v>
      </c>
      <c r="D9634" s="26">
        <v>0.93821759259259263</v>
      </c>
      <c r="E9634" t="s">
        <v>30</v>
      </c>
      <c r="F9634" t="s">
        <v>293</v>
      </c>
      <c r="G9634" t="s">
        <v>196</v>
      </c>
      <c r="H9634" t="s">
        <v>8</v>
      </c>
      <c r="I9634" s="160">
        <v>142.54</v>
      </c>
      <c r="J9634" s="8"/>
      <c r="K9634" s="8"/>
      <c r="L9634" s="8"/>
      <c r="M9634" s="254"/>
    </row>
    <row r="9635" spans="1:13" hidden="1" x14ac:dyDescent="0.3">
      <c r="A9635" s="9">
        <v>6751</v>
      </c>
      <c r="B9635" t="s">
        <v>286</v>
      </c>
      <c r="C9635" s="25">
        <v>44743</v>
      </c>
      <c r="D9635" s="26">
        <v>0.70800925925925917</v>
      </c>
      <c r="E9635" t="s">
        <v>30</v>
      </c>
      <c r="F9635" t="s">
        <v>210</v>
      </c>
      <c r="G9635" t="s">
        <v>211</v>
      </c>
      <c r="H9635" t="s">
        <v>287</v>
      </c>
      <c r="I9635" s="160">
        <v>343.92</v>
      </c>
      <c r="J9635" s="8"/>
      <c r="K9635" s="8"/>
      <c r="L9635" s="8"/>
      <c r="M9635" s="91"/>
    </row>
    <row r="9636" spans="1:13" hidden="1" x14ac:dyDescent="0.3">
      <c r="A9636" s="9">
        <v>6751</v>
      </c>
      <c r="B9636" t="s">
        <v>286</v>
      </c>
      <c r="C9636" s="25">
        <v>44743</v>
      </c>
      <c r="D9636" s="26">
        <v>0.7143518518518519</v>
      </c>
      <c r="E9636" t="s">
        <v>30</v>
      </c>
      <c r="F9636" t="s">
        <v>210</v>
      </c>
      <c r="G9636" t="s">
        <v>211</v>
      </c>
      <c r="H9636" t="s">
        <v>287</v>
      </c>
      <c r="I9636" s="160">
        <v>38.14</v>
      </c>
      <c r="J9636" s="8"/>
      <c r="K9636" s="8"/>
      <c r="L9636" s="8"/>
      <c r="M9636" s="91"/>
    </row>
    <row r="9637" spans="1:13" hidden="1" x14ac:dyDescent="0.3">
      <c r="A9637" s="9">
        <v>6751</v>
      </c>
      <c r="B9637" t="s">
        <v>286</v>
      </c>
      <c r="C9637" s="25">
        <v>44744</v>
      </c>
      <c r="D9637" s="26">
        <v>0.90557870370370364</v>
      </c>
      <c r="E9637" t="s">
        <v>30</v>
      </c>
      <c r="F9637" t="s">
        <v>210</v>
      </c>
      <c r="G9637" t="s">
        <v>211</v>
      </c>
      <c r="H9637" t="s">
        <v>287</v>
      </c>
      <c r="I9637" s="160">
        <v>432.8</v>
      </c>
      <c r="J9637" s="8"/>
      <c r="K9637" s="8"/>
      <c r="L9637" s="8"/>
      <c r="M9637" s="91"/>
    </row>
    <row r="9638" spans="1:13" hidden="1" x14ac:dyDescent="0.3">
      <c r="A9638" s="9">
        <v>6751</v>
      </c>
      <c r="B9638" t="s">
        <v>286</v>
      </c>
      <c r="C9638" s="25">
        <v>44746</v>
      </c>
      <c r="D9638" s="26">
        <v>0.34922453703703704</v>
      </c>
      <c r="E9638" t="s">
        <v>30</v>
      </c>
      <c r="F9638" t="s">
        <v>169</v>
      </c>
      <c r="G9638" t="s">
        <v>196</v>
      </c>
      <c r="H9638" t="s">
        <v>287</v>
      </c>
      <c r="I9638" s="160">
        <v>155.01</v>
      </c>
      <c r="J9638" s="8"/>
      <c r="K9638" s="8"/>
      <c r="L9638" s="8"/>
      <c r="M9638" s="91"/>
    </row>
    <row r="9639" spans="1:13" hidden="1" x14ac:dyDescent="0.3">
      <c r="A9639" s="9">
        <v>6751</v>
      </c>
      <c r="B9639" t="s">
        <v>286</v>
      </c>
      <c r="C9639" s="25">
        <v>44747</v>
      </c>
      <c r="D9639" s="26">
        <v>0.42332175925925924</v>
      </c>
      <c r="E9639" t="s">
        <v>30</v>
      </c>
      <c r="F9639" t="s">
        <v>197</v>
      </c>
      <c r="G9639" t="s">
        <v>44</v>
      </c>
      <c r="H9639" t="s">
        <v>287</v>
      </c>
      <c r="I9639" s="160">
        <v>134.77000000000001</v>
      </c>
      <c r="J9639" s="8"/>
      <c r="K9639" s="8"/>
      <c r="L9639" s="8"/>
      <c r="M9639" s="91"/>
    </row>
    <row r="9640" spans="1:13" hidden="1" x14ac:dyDescent="0.3">
      <c r="A9640" s="9">
        <v>6751</v>
      </c>
      <c r="B9640" t="s">
        <v>286</v>
      </c>
      <c r="C9640" s="25">
        <v>44747</v>
      </c>
      <c r="D9640" s="26">
        <v>0.87046296296296299</v>
      </c>
      <c r="E9640" t="s">
        <v>30</v>
      </c>
      <c r="F9640" t="s">
        <v>210</v>
      </c>
      <c r="G9640" t="s">
        <v>211</v>
      </c>
      <c r="H9640" t="s">
        <v>287</v>
      </c>
      <c r="I9640" s="160">
        <v>409.44</v>
      </c>
      <c r="J9640" s="8"/>
      <c r="K9640" s="8"/>
      <c r="L9640" s="8"/>
      <c r="M9640" s="91"/>
    </row>
    <row r="9641" spans="1:13" hidden="1" x14ac:dyDescent="0.3">
      <c r="A9641" s="9">
        <v>6751</v>
      </c>
      <c r="B9641" t="s">
        <v>286</v>
      </c>
      <c r="C9641" s="25">
        <v>44748</v>
      </c>
      <c r="D9641" s="26">
        <v>0.96591435185185182</v>
      </c>
      <c r="E9641" t="s">
        <v>30</v>
      </c>
      <c r="F9641" t="s">
        <v>210</v>
      </c>
      <c r="G9641" t="s">
        <v>211</v>
      </c>
      <c r="H9641" t="s">
        <v>287</v>
      </c>
      <c r="I9641" s="160">
        <v>425.65</v>
      </c>
      <c r="J9641" s="160">
        <f>425+409+134+155+432+38+343+297+146+259+367+275</f>
        <v>3280</v>
      </c>
      <c r="K9641" s="160">
        <v>740515</v>
      </c>
      <c r="L9641" s="160">
        <v>8356</v>
      </c>
      <c r="M9641" s="149">
        <f>+J9641/L9641*100</f>
        <v>39.253231211105792</v>
      </c>
    </row>
    <row r="9642" spans="1:13" hidden="1" x14ac:dyDescent="0.3">
      <c r="A9642" s="9">
        <v>6751</v>
      </c>
      <c r="B9642" t="s">
        <v>286</v>
      </c>
      <c r="C9642" s="25">
        <v>44750</v>
      </c>
      <c r="D9642" s="26">
        <v>0.39450231481481479</v>
      </c>
      <c r="E9642" t="s">
        <v>30</v>
      </c>
      <c r="F9642" t="s">
        <v>784</v>
      </c>
      <c r="G9642" t="s">
        <v>535</v>
      </c>
      <c r="H9642" t="s">
        <v>287</v>
      </c>
      <c r="I9642" s="173" t="s">
        <v>874</v>
      </c>
      <c r="J9642" s="8"/>
      <c r="K9642" s="8"/>
      <c r="L9642" s="8"/>
      <c r="M9642" s="91"/>
    </row>
    <row r="9643" spans="1:13" hidden="1" x14ac:dyDescent="0.3">
      <c r="A9643" s="9">
        <v>6751</v>
      </c>
      <c r="B9643" t="s">
        <v>286</v>
      </c>
      <c r="C9643" s="25">
        <v>44759</v>
      </c>
      <c r="D9643" s="26">
        <v>0.39976851851851852</v>
      </c>
      <c r="E9643" t="s">
        <v>30</v>
      </c>
      <c r="F9643" t="s">
        <v>210</v>
      </c>
      <c r="G9643" t="s">
        <v>211</v>
      </c>
      <c r="H9643" t="s">
        <v>287</v>
      </c>
      <c r="I9643" s="173" t="s">
        <v>1031</v>
      </c>
      <c r="J9643" s="231">
        <f>415+327</f>
        <v>742</v>
      </c>
      <c r="K9643" s="151"/>
      <c r="L9643" s="151">
        <v>1790</v>
      </c>
      <c r="M9643" s="149">
        <f>+J9643/L9643*100</f>
        <v>41.452513966480446</v>
      </c>
    </row>
    <row r="9644" spans="1:13" hidden="1" x14ac:dyDescent="0.3">
      <c r="A9644" s="9">
        <v>6751</v>
      </c>
      <c r="B9644" t="s">
        <v>286</v>
      </c>
      <c r="C9644" s="25">
        <v>44759</v>
      </c>
      <c r="D9644" s="26">
        <v>0.8378472222222223</v>
      </c>
      <c r="E9644" t="s">
        <v>30</v>
      </c>
      <c r="F9644" t="s">
        <v>165</v>
      </c>
      <c r="G9644" t="s">
        <v>185</v>
      </c>
      <c r="H9644" t="s">
        <v>287</v>
      </c>
      <c r="I9644" s="173" t="s">
        <v>1030</v>
      </c>
      <c r="J9644" s="23"/>
      <c r="K9644" s="23"/>
      <c r="L9644" s="23"/>
      <c r="M9644" s="91"/>
    </row>
    <row r="9645" spans="1:13" hidden="1" x14ac:dyDescent="0.3">
      <c r="B9645" t="s">
        <v>286</v>
      </c>
      <c r="C9645" s="25">
        <v>44760</v>
      </c>
      <c r="D9645" s="26">
        <v>0.47438657407407409</v>
      </c>
      <c r="E9645" t="s">
        <v>30</v>
      </c>
      <c r="F9645" t="s">
        <v>202</v>
      </c>
      <c r="G9645" t="s">
        <v>203</v>
      </c>
      <c r="H9645" t="s">
        <v>287</v>
      </c>
      <c r="I9645" s="160">
        <v>165.5</v>
      </c>
      <c r="J9645" s="8"/>
      <c r="K9645" s="8"/>
      <c r="L9645" s="8"/>
      <c r="M9645" s="254"/>
    </row>
    <row r="9646" spans="1:13" hidden="1" x14ac:dyDescent="0.3">
      <c r="B9646" t="s">
        <v>286</v>
      </c>
      <c r="C9646" s="25">
        <v>44761</v>
      </c>
      <c r="D9646" s="26">
        <v>0.67251157407407414</v>
      </c>
      <c r="E9646" t="s">
        <v>30</v>
      </c>
      <c r="F9646" t="s">
        <v>165</v>
      </c>
      <c r="G9646" t="s">
        <v>185</v>
      </c>
      <c r="H9646" t="s">
        <v>287</v>
      </c>
      <c r="I9646" s="160">
        <v>344.56</v>
      </c>
      <c r="J9646" s="8"/>
      <c r="K9646" s="8"/>
      <c r="L9646" s="8"/>
      <c r="M9646" s="254"/>
    </row>
    <row r="9647" spans="1:13" hidden="1" x14ac:dyDescent="0.3">
      <c r="B9647" t="s">
        <v>286</v>
      </c>
      <c r="C9647" s="25">
        <v>44761</v>
      </c>
      <c r="D9647" s="26">
        <v>0.67760416666666667</v>
      </c>
      <c r="E9647" t="s">
        <v>30</v>
      </c>
      <c r="F9647" t="s">
        <v>165</v>
      </c>
      <c r="G9647" t="s">
        <v>185</v>
      </c>
      <c r="H9647" t="s">
        <v>287</v>
      </c>
      <c r="I9647" s="160">
        <v>80.23</v>
      </c>
      <c r="J9647" s="8"/>
      <c r="K9647" s="8"/>
      <c r="L9647" s="8"/>
      <c r="M9647" s="254"/>
    </row>
    <row r="9648" spans="1:13" hidden="1" x14ac:dyDescent="0.3">
      <c r="B9648" t="s">
        <v>286</v>
      </c>
      <c r="C9648" s="25">
        <v>44761</v>
      </c>
      <c r="D9648" s="26">
        <v>0.98121527777777784</v>
      </c>
      <c r="E9648" t="s">
        <v>30</v>
      </c>
      <c r="F9648" t="s">
        <v>210</v>
      </c>
      <c r="G9648" t="s">
        <v>211</v>
      </c>
      <c r="H9648" t="s">
        <v>287</v>
      </c>
      <c r="I9648" s="160">
        <v>159.22999999999999</v>
      </c>
      <c r="J9648" s="160"/>
      <c r="K9648" s="160"/>
      <c r="L9648" s="160"/>
      <c r="M9648" s="150"/>
    </row>
    <row r="9649" spans="2:13" hidden="1" x14ac:dyDescent="0.3">
      <c r="B9649" t="s">
        <v>286</v>
      </c>
      <c r="C9649" s="25">
        <v>44763</v>
      </c>
      <c r="D9649" s="26">
        <v>0.42454861111111114</v>
      </c>
      <c r="E9649" t="s">
        <v>30</v>
      </c>
      <c r="F9649" t="s">
        <v>534</v>
      </c>
      <c r="G9649" t="s">
        <v>535</v>
      </c>
      <c r="H9649" t="s">
        <v>287</v>
      </c>
      <c r="I9649" s="160">
        <v>329.41</v>
      </c>
      <c r="J9649" s="8"/>
      <c r="K9649" s="8"/>
      <c r="L9649" s="8"/>
      <c r="M9649" s="254"/>
    </row>
    <row r="9650" spans="2:13" hidden="1" x14ac:dyDescent="0.3">
      <c r="B9650" t="s">
        <v>286</v>
      </c>
      <c r="C9650" s="25">
        <v>44764</v>
      </c>
      <c r="D9650" s="26">
        <v>0.74525462962962974</v>
      </c>
      <c r="E9650" t="s">
        <v>30</v>
      </c>
      <c r="F9650" t="s">
        <v>210</v>
      </c>
      <c r="G9650" t="s">
        <v>211</v>
      </c>
      <c r="H9650" t="s">
        <v>287</v>
      </c>
      <c r="I9650" s="160">
        <v>361.01</v>
      </c>
      <c r="J9650" s="160"/>
      <c r="K9650" s="160"/>
      <c r="L9650" s="160"/>
      <c r="M9650" s="150"/>
    </row>
    <row r="9651" spans="2:13" hidden="1" x14ac:dyDescent="0.3">
      <c r="B9651" t="s">
        <v>286</v>
      </c>
      <c r="C9651" s="25">
        <v>44765</v>
      </c>
      <c r="D9651" s="26">
        <v>0.56445601851851845</v>
      </c>
      <c r="E9651" t="s">
        <v>30</v>
      </c>
      <c r="F9651" t="s">
        <v>165</v>
      </c>
      <c r="G9651" t="s">
        <v>185</v>
      </c>
      <c r="H9651" t="s">
        <v>287</v>
      </c>
      <c r="I9651" s="160">
        <v>241.73</v>
      </c>
      <c r="J9651" s="8"/>
      <c r="K9651" s="8"/>
      <c r="L9651" s="8"/>
      <c r="M9651" s="254"/>
    </row>
    <row r="9652" spans="2:13" hidden="1" x14ac:dyDescent="0.3">
      <c r="B9652" t="s">
        <v>286</v>
      </c>
      <c r="C9652" s="25">
        <v>44766</v>
      </c>
      <c r="D9652" s="26">
        <v>0.46778935185185189</v>
      </c>
      <c r="E9652" t="s">
        <v>30</v>
      </c>
      <c r="F9652" t="s">
        <v>210</v>
      </c>
      <c r="G9652" t="s">
        <v>211</v>
      </c>
      <c r="H9652" t="s">
        <v>287</v>
      </c>
      <c r="I9652" s="160">
        <v>152.99</v>
      </c>
      <c r="J9652" s="160"/>
      <c r="K9652" s="160"/>
      <c r="L9652" s="160"/>
      <c r="M9652" s="150"/>
    </row>
    <row r="9653" spans="2:13" hidden="1" x14ac:dyDescent="0.3">
      <c r="B9653" t="s">
        <v>286</v>
      </c>
      <c r="C9653" s="25">
        <v>44767</v>
      </c>
      <c r="D9653" s="26">
        <v>0.84810185185185183</v>
      </c>
      <c r="E9653" t="s">
        <v>30</v>
      </c>
      <c r="F9653" t="s">
        <v>391</v>
      </c>
      <c r="G9653" t="s">
        <v>392</v>
      </c>
      <c r="H9653" t="s">
        <v>287</v>
      </c>
      <c r="I9653" s="160">
        <v>389.36</v>
      </c>
      <c r="J9653" s="8"/>
      <c r="K9653" s="8"/>
      <c r="L9653" s="8"/>
      <c r="M9653" s="254"/>
    </row>
    <row r="9654" spans="2:13" hidden="1" x14ac:dyDescent="0.3">
      <c r="B9654" t="s">
        <v>286</v>
      </c>
      <c r="C9654" s="25">
        <v>44770</v>
      </c>
      <c r="D9654" s="26">
        <v>0.71232638888888899</v>
      </c>
      <c r="E9654" t="s">
        <v>30</v>
      </c>
      <c r="F9654" t="s">
        <v>210</v>
      </c>
      <c r="G9654" t="s">
        <v>211</v>
      </c>
      <c r="H9654" t="s">
        <v>287</v>
      </c>
      <c r="I9654" s="160">
        <v>343.92</v>
      </c>
      <c r="J9654" s="160"/>
      <c r="K9654" s="160"/>
      <c r="L9654" s="160"/>
      <c r="M9654" s="150"/>
    </row>
    <row r="9655" spans="2:13" hidden="1" x14ac:dyDescent="0.3">
      <c r="B9655" t="s">
        <v>286</v>
      </c>
      <c r="C9655" s="25">
        <v>44770</v>
      </c>
      <c r="D9655" s="26">
        <v>0.71967592592592589</v>
      </c>
      <c r="E9655" t="s">
        <v>30</v>
      </c>
      <c r="F9655" t="s">
        <v>210</v>
      </c>
      <c r="G9655" t="s">
        <v>211</v>
      </c>
      <c r="H9655" t="s">
        <v>287</v>
      </c>
      <c r="I9655" s="160">
        <v>123.29</v>
      </c>
      <c r="J9655" s="8"/>
      <c r="K9655" s="8"/>
      <c r="L9655" s="8"/>
      <c r="M9655" s="254"/>
    </row>
    <row r="9656" spans="2:13" hidden="1" x14ac:dyDescent="0.3">
      <c r="B9656" t="s">
        <v>286</v>
      </c>
      <c r="C9656" s="25">
        <v>44771</v>
      </c>
      <c r="D9656" s="26">
        <v>0.99324074074074076</v>
      </c>
      <c r="E9656" t="s">
        <v>30</v>
      </c>
      <c r="F9656" t="s">
        <v>210</v>
      </c>
      <c r="G9656" t="s">
        <v>211</v>
      </c>
      <c r="H9656" t="s">
        <v>287</v>
      </c>
      <c r="I9656" s="160">
        <v>410.05</v>
      </c>
      <c r="J9656" s="160"/>
      <c r="K9656" s="160"/>
      <c r="L9656" s="160"/>
      <c r="M9656" s="150"/>
    </row>
    <row r="9657" spans="2:13" hidden="1" x14ac:dyDescent="0.3">
      <c r="B9657" t="s">
        <v>286</v>
      </c>
      <c r="C9657" s="25">
        <v>44772</v>
      </c>
      <c r="D9657" s="26">
        <v>0.59134259259259259</v>
      </c>
      <c r="E9657" t="s">
        <v>30</v>
      </c>
      <c r="F9657" t="s">
        <v>169</v>
      </c>
      <c r="G9657" t="s">
        <v>196</v>
      </c>
      <c r="H9657" t="s">
        <v>287</v>
      </c>
      <c r="I9657" s="160">
        <v>144.77000000000001</v>
      </c>
      <c r="J9657" s="8"/>
      <c r="K9657" s="8"/>
      <c r="L9657" s="8"/>
      <c r="M9657" s="254"/>
    </row>
    <row r="9658" spans="2:13" hidden="1" x14ac:dyDescent="0.3">
      <c r="B9658" t="s">
        <v>240</v>
      </c>
      <c r="C9658" s="25">
        <v>44754</v>
      </c>
      <c r="D9658" s="26">
        <v>0.30964120370370368</v>
      </c>
      <c r="E9658" t="s">
        <v>30</v>
      </c>
      <c r="F9658" t="s">
        <v>884</v>
      </c>
      <c r="G9658" t="s">
        <v>562</v>
      </c>
      <c r="H9658" t="s">
        <v>458</v>
      </c>
      <c r="I9658">
        <v>151.80000000000001</v>
      </c>
      <c r="K9658" s="88"/>
      <c r="L9658" s="3"/>
      <c r="M9658" s="48"/>
    </row>
    <row r="9659" spans="2:13" hidden="1" x14ac:dyDescent="0.3">
      <c r="B9659" t="s">
        <v>240</v>
      </c>
      <c r="C9659" s="25">
        <v>44758</v>
      </c>
      <c r="D9659" s="26">
        <v>0.56278935185185186</v>
      </c>
      <c r="E9659" t="s">
        <v>30</v>
      </c>
      <c r="F9659" t="s">
        <v>951</v>
      </c>
      <c r="G9659" t="s">
        <v>562</v>
      </c>
      <c r="H9659" t="s">
        <v>458</v>
      </c>
      <c r="I9659">
        <v>164.45</v>
      </c>
      <c r="K9659" s="88"/>
      <c r="L9659" s="3"/>
      <c r="M9659" s="19"/>
    </row>
    <row r="9660" spans="2:13" hidden="1" x14ac:dyDescent="0.3">
      <c r="B9660" t="s">
        <v>240</v>
      </c>
      <c r="C9660" s="25">
        <v>44756</v>
      </c>
      <c r="D9660" s="26">
        <v>0.31008101851851849</v>
      </c>
      <c r="E9660" t="s">
        <v>30</v>
      </c>
      <c r="F9660" t="s">
        <v>952</v>
      </c>
      <c r="G9660" t="s">
        <v>562</v>
      </c>
      <c r="H9660" t="s">
        <v>458</v>
      </c>
      <c r="I9660">
        <v>100</v>
      </c>
      <c r="K9660" s="88"/>
      <c r="L9660" s="3"/>
      <c r="M9660" s="19"/>
    </row>
    <row r="9661" spans="2:13" hidden="1" x14ac:dyDescent="0.3">
      <c r="B9661" t="s">
        <v>223</v>
      </c>
      <c r="C9661" s="25">
        <v>44755</v>
      </c>
      <c r="D9661" s="26">
        <v>0.10741898148148148</v>
      </c>
      <c r="E9661" t="s">
        <v>30</v>
      </c>
      <c r="F9661" t="s">
        <v>948</v>
      </c>
      <c r="G9661" t="s">
        <v>297</v>
      </c>
      <c r="H9661" t="s">
        <v>289</v>
      </c>
      <c r="I9661">
        <v>200</v>
      </c>
      <c r="K9661" s="88"/>
      <c r="L9661" s="3"/>
      <c r="M9661" s="19"/>
    </row>
    <row r="9662" spans="2:13" hidden="1" x14ac:dyDescent="0.3">
      <c r="B9662" t="s">
        <v>223</v>
      </c>
      <c r="C9662" s="25">
        <v>44755</v>
      </c>
      <c r="D9662" s="26">
        <v>0.56646990740740744</v>
      </c>
      <c r="E9662" t="s">
        <v>30</v>
      </c>
      <c r="F9662" t="s">
        <v>441</v>
      </c>
      <c r="G9662" t="s">
        <v>442</v>
      </c>
      <c r="H9662" t="s">
        <v>289</v>
      </c>
      <c r="I9662">
        <v>200.03</v>
      </c>
      <c r="K9662" s="88"/>
      <c r="L9662" s="3"/>
      <c r="M9662" s="19"/>
    </row>
    <row r="9663" spans="2:13" hidden="1" x14ac:dyDescent="0.3">
      <c r="B9663" t="s">
        <v>223</v>
      </c>
      <c r="C9663" s="25">
        <v>44756</v>
      </c>
      <c r="D9663" s="26">
        <v>1.7731481481481483E-2</v>
      </c>
      <c r="E9663" t="s">
        <v>30</v>
      </c>
      <c r="F9663" t="s">
        <v>939</v>
      </c>
      <c r="G9663" t="s">
        <v>445</v>
      </c>
      <c r="H9663" t="s">
        <v>289</v>
      </c>
      <c r="I9663">
        <v>218.96</v>
      </c>
      <c r="K9663" s="88"/>
      <c r="L9663" s="3"/>
      <c r="M9663" s="19"/>
    </row>
    <row r="9664" spans="2:13" hidden="1" x14ac:dyDescent="0.3">
      <c r="B9664" t="s">
        <v>223</v>
      </c>
      <c r="C9664" s="25">
        <v>44756</v>
      </c>
      <c r="D9664" s="26">
        <v>0.80202546296296295</v>
      </c>
      <c r="E9664" t="s">
        <v>30</v>
      </c>
      <c r="F9664" t="s">
        <v>947</v>
      </c>
      <c r="G9664" t="s">
        <v>320</v>
      </c>
      <c r="H9664" t="s">
        <v>289</v>
      </c>
      <c r="I9664">
        <v>199.57</v>
      </c>
      <c r="K9664" s="88"/>
      <c r="L9664" s="3"/>
      <c r="M9664" s="19"/>
    </row>
    <row r="9665" spans="2:13" hidden="1" x14ac:dyDescent="0.3">
      <c r="B9665" t="s">
        <v>223</v>
      </c>
      <c r="C9665" s="25">
        <v>44757</v>
      </c>
      <c r="D9665" s="26">
        <v>0.30083333333333334</v>
      </c>
      <c r="E9665" t="s">
        <v>30</v>
      </c>
      <c r="F9665" t="s">
        <v>234</v>
      </c>
      <c r="G9665" t="s">
        <v>235</v>
      </c>
      <c r="H9665" t="s">
        <v>289</v>
      </c>
      <c r="I9665">
        <v>158.78</v>
      </c>
      <c r="K9665" s="88"/>
      <c r="L9665" s="3"/>
      <c r="M9665" s="19"/>
    </row>
    <row r="9666" spans="2:13" hidden="1" x14ac:dyDescent="0.3">
      <c r="B9666" t="s">
        <v>223</v>
      </c>
      <c r="C9666" s="25">
        <v>44757</v>
      </c>
      <c r="D9666" s="26">
        <v>0.7212615740740741</v>
      </c>
      <c r="E9666" t="s">
        <v>30</v>
      </c>
      <c r="F9666" t="s">
        <v>946</v>
      </c>
      <c r="G9666" t="s">
        <v>550</v>
      </c>
      <c r="H9666" t="s">
        <v>289</v>
      </c>
      <c r="I9666">
        <v>228.37</v>
      </c>
      <c r="K9666" s="88"/>
      <c r="L9666" s="3"/>
      <c r="M9666" s="19"/>
    </row>
    <row r="9667" spans="2:13" hidden="1" x14ac:dyDescent="0.3">
      <c r="B9667" t="s">
        <v>223</v>
      </c>
      <c r="C9667" s="25">
        <v>44758</v>
      </c>
      <c r="D9667" s="26">
        <v>0.92603009259259261</v>
      </c>
      <c r="E9667" t="s">
        <v>30</v>
      </c>
      <c r="F9667" t="s">
        <v>945</v>
      </c>
      <c r="G9667" t="s">
        <v>957</v>
      </c>
      <c r="H9667" t="s">
        <v>289</v>
      </c>
      <c r="I9667">
        <v>100</v>
      </c>
      <c r="K9667" s="88"/>
      <c r="L9667" s="3"/>
      <c r="M9667" s="19"/>
    </row>
    <row r="9668" spans="2:13" hidden="1" x14ac:dyDescent="0.3">
      <c r="B9668" t="s">
        <v>223</v>
      </c>
      <c r="C9668" s="25">
        <v>44759</v>
      </c>
      <c r="D9668" s="26">
        <v>0.3856944444444444</v>
      </c>
      <c r="E9668" t="s">
        <v>30</v>
      </c>
      <c r="F9668" t="s">
        <v>945</v>
      </c>
      <c r="G9668" t="s">
        <v>957</v>
      </c>
      <c r="H9668" t="s">
        <v>289</v>
      </c>
      <c r="I9668">
        <v>100</v>
      </c>
      <c r="K9668" s="88"/>
      <c r="L9668" s="3"/>
      <c r="M9668" s="19"/>
    </row>
    <row r="9669" spans="2:13" hidden="1" x14ac:dyDescent="0.3">
      <c r="B9669" t="s">
        <v>223</v>
      </c>
      <c r="C9669" s="25">
        <v>44759</v>
      </c>
      <c r="D9669" s="26">
        <v>0.47549768518518515</v>
      </c>
      <c r="E9669" t="s">
        <v>30</v>
      </c>
      <c r="F9669" t="s">
        <v>944</v>
      </c>
      <c r="G9669" t="s">
        <v>956</v>
      </c>
      <c r="H9669" t="s">
        <v>289</v>
      </c>
      <c r="I9669">
        <v>96.73</v>
      </c>
      <c r="K9669" s="88"/>
      <c r="L9669" s="3"/>
      <c r="M9669" s="19"/>
    </row>
    <row r="9670" spans="2:13" hidden="1" x14ac:dyDescent="0.3">
      <c r="B9670" t="s">
        <v>223</v>
      </c>
      <c r="C9670" s="25">
        <v>44759</v>
      </c>
      <c r="D9670" s="26">
        <v>0.71498842592592593</v>
      </c>
      <c r="E9670" t="s">
        <v>30</v>
      </c>
      <c r="F9670" t="s">
        <v>943</v>
      </c>
      <c r="G9670" t="s">
        <v>390</v>
      </c>
      <c r="H9670" t="s">
        <v>289</v>
      </c>
      <c r="I9670">
        <v>130.01</v>
      </c>
      <c r="K9670" s="88"/>
      <c r="L9670" s="3"/>
      <c r="M9670" s="46"/>
    </row>
    <row r="9677" spans="2:13" x14ac:dyDescent="0.3">
      <c r="L9677" s="4"/>
    </row>
    <row r="9678" spans="2:13" x14ac:dyDescent="0.3">
      <c r="L9678" s="4"/>
    </row>
    <row r="9679" spans="2:13" x14ac:dyDescent="0.3">
      <c r="L9679" s="4"/>
    </row>
    <row r="9753" spans="5:7" x14ac:dyDescent="0.3">
      <c r="E9753" s="3" t="s">
        <v>690</v>
      </c>
      <c r="F9753" s="3" t="s">
        <v>691</v>
      </c>
      <c r="G9753" s="3" t="s">
        <v>692</v>
      </c>
    </row>
    <row r="9754" spans="5:7" x14ac:dyDescent="0.3">
      <c r="E9754" s="459">
        <v>1557</v>
      </c>
      <c r="F9754" s="459">
        <v>4212</v>
      </c>
      <c r="G9754" s="458">
        <f>+E9754/F9754*100</f>
        <v>36.965811965811966</v>
      </c>
    </row>
    <row r="9755" spans="5:7" x14ac:dyDescent="0.3">
      <c r="E9755" s="459"/>
      <c r="F9755" s="459"/>
      <c r="G9755" s="458"/>
    </row>
    <row r="9756" spans="5:7" x14ac:dyDescent="0.3">
      <c r="F9756" s="3" t="s">
        <v>706</v>
      </c>
    </row>
    <row r="10675" spans="6:8" x14ac:dyDescent="0.3">
      <c r="F10675" s="3" t="s">
        <v>690</v>
      </c>
      <c r="G10675" s="3" t="s">
        <v>691</v>
      </c>
      <c r="H10675" s="3" t="s">
        <v>692</v>
      </c>
    </row>
    <row r="10676" spans="6:8" x14ac:dyDescent="0.3">
      <c r="F10676" s="459">
        <v>864</v>
      </c>
      <c r="G10676" s="459">
        <v>2044</v>
      </c>
      <c r="H10676" s="458">
        <f>+F10676/G10676*100</f>
        <v>42.270058708414872</v>
      </c>
    </row>
    <row r="10677" spans="6:8" x14ac:dyDescent="0.3">
      <c r="F10677" s="459"/>
      <c r="G10677" s="459"/>
      <c r="H10677" s="458"/>
    </row>
  </sheetData>
  <sheetProtection formatCells="0" formatColumns="0" formatRows="0" insertColumns="0" insertRows="0" insertHyperlinks="0" deleteColumns="0" deleteRows="0" sort="0" autoFilter="0" pivotTables="0"/>
  <autoFilter ref="A1:T9670" xr:uid="{00000000-0009-0000-0000-000010000000}">
    <filterColumn colId="4">
      <filters>
        <filter val="06_JUNIO"/>
        <filter val="07_JULIO"/>
      </filters>
    </filterColumn>
    <filterColumn colId="7">
      <filters>
        <filter val="AC576YN"/>
      </filters>
    </filterColumn>
    <sortState xmlns:xlrd2="http://schemas.microsoft.com/office/spreadsheetml/2017/richdata2" ref="A3519:T8014">
      <sortCondition ref="C1:C9670"/>
    </sortState>
  </autoFilter>
  <sortState xmlns:xlrd2="http://schemas.microsoft.com/office/spreadsheetml/2017/richdata2" ref="B1928:N8856">
    <sortCondition ref="B6:B8856"/>
  </sortState>
  <mergeCells count="6">
    <mergeCell ref="H10676:H10677"/>
    <mergeCell ref="E9754:E9755"/>
    <mergeCell ref="F9754:F9755"/>
    <mergeCell ref="G9754:G9755"/>
    <mergeCell ref="F10676:F10677"/>
    <mergeCell ref="G10676:G10677"/>
  </mergeCells>
  <dataValidations count="5">
    <dataValidation type="list" allowBlank="1" showInputMessage="1" showErrorMessage="1" sqref="H6745" xr:uid="{00000000-0002-0000-1000-000000000000}">
      <formula1>$R$2:$R$49</formula1>
    </dataValidation>
    <dataValidation type="list" allowBlank="1" showInputMessage="1" showErrorMessage="1" sqref="B2:B48 B51:B6073 B6603:B6745" xr:uid="{00000000-0002-0000-1000-000001000000}">
      <formula1>$O$2:$O$67</formula1>
    </dataValidation>
    <dataValidation type="list" allowBlank="1" showInputMessage="1" showErrorMessage="1" sqref="G2:G1335 G1375:G6074 G6603:G6751" xr:uid="{00000000-0002-0000-1000-000002000000}">
      <formula1>$S$2:$S$16</formula1>
    </dataValidation>
    <dataValidation type="list" allowBlank="1" showInputMessage="1" showErrorMessage="1" sqref="G1336:G1374 H1375:H6073 H6603:H6744 H2:H1335" xr:uid="{00000000-0002-0000-1000-000003000000}">
      <formula1>$R$2:$R$67</formula1>
    </dataValidation>
    <dataValidation type="list" allowBlank="1" showInputMessage="1" showErrorMessage="1" sqref="F6603:F6751 E2:E6241 F2:F6074 E6243:E7672 E7675:E9670" xr:uid="{00000000-0002-0000-1000-000004000000}">
      <formula1>$Q$2:$Q$13</formula1>
    </dataValidation>
  </dataValidations>
  <pageMargins left="0.70866141732283472" right="0.70866141732283472" top="0.74803149606299213" bottom="0.74803149606299213" header="0.31496062992125984" footer="0.31496062992125984"/>
  <pageSetup scale="10" fitToHeight="2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MAYO 2024</vt:lpstr>
      <vt:lpstr>JUNIO 2024</vt:lpstr>
      <vt:lpstr>JULIO 2024</vt:lpstr>
      <vt:lpstr>AGOSTO 2024</vt:lpstr>
      <vt:lpstr>SEPTIEMBRE 2024</vt:lpstr>
      <vt:lpstr>OCTUBRE 2024</vt:lpstr>
      <vt:lpstr>NOVIEMBRE 2024</vt:lpstr>
      <vt:lpstr>DICIEMBRE 2024</vt:lpstr>
      <vt:lpstr>ENERO 2025</vt:lpstr>
      <vt:lpstr>FEBRERO 2025</vt:lpstr>
      <vt:lpstr>MARZO 2025</vt:lpstr>
      <vt:lpstr>ABRIL 2025</vt:lpstr>
      <vt:lpstr>MAYO 2025</vt:lpstr>
      <vt:lpstr>JUNIO 2025</vt:lpstr>
      <vt:lpstr>JULIO 2025</vt:lpstr>
      <vt:lpstr>AGOSTO 2025</vt:lpstr>
      <vt:lpstr>SEPTIEMBRE 2025</vt:lpstr>
      <vt:lpstr>OCTUBRE 2025</vt:lpstr>
      <vt:lpstr>CONSOLIDADO</vt:lpstr>
      <vt:lpstr>NOVIEMBRE</vt:lpstr>
      <vt:lpstr>CAMIONES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Usuario</cp:lastModifiedBy>
  <cp:lastPrinted>2024-02-21T15:20:06Z</cp:lastPrinted>
  <dcterms:created xsi:type="dcterms:W3CDTF">2019-02-08T20:28:28Z</dcterms:created>
  <dcterms:modified xsi:type="dcterms:W3CDTF">2025-12-06T11:50:20Z</dcterms:modified>
</cp:coreProperties>
</file>